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tables/table1.xml" ContentType="application/vnd.openxmlformats-officedocument.spreadsheetml.table+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D:\.goldminer3\projects\fe28bb3f-a453-11ee-b878-14755b767e75\"/>
    </mc:Choice>
  </mc:AlternateContent>
  <xr:revisionPtr revIDLastSave="0" documentId="13_ncr:1_{3DCD60A0-D0D1-4AD4-B79E-CD83253C9709}" xr6:coauthVersionLast="47" xr6:coauthVersionMax="47" xr10:uidLastSave="{00000000-0000-0000-0000-000000000000}"/>
  <bookViews>
    <workbookView xWindow="-110" yWindow="-110" windowWidth="25420" windowHeight="16300" firstSheet="7" activeTab="12" xr2:uid="{00000000-000D-0000-FFFF-FFFF00000000}"/>
  </bookViews>
  <sheets>
    <sheet name="ST公司" sheetId="1" r:id="rId1"/>
    <sheet name="博弈记录" sheetId="2" state="hidden" r:id="rId2"/>
    <sheet name="摘帽" sheetId="3" r:id="rId3"/>
    <sheet name="2023戴帽回测" sheetId="4" state="hidden" r:id="rId4"/>
    <sheet name="退市" sheetId="5" r:id="rId5"/>
    <sheet name="控股权变更" sheetId="6" r:id="rId6"/>
    <sheet name="预计摘帽" sheetId="7" r:id="rId7"/>
    <sheet name="重整" sheetId="8" r:id="rId8"/>
    <sheet name="Sheet5" sheetId="9" state="hidden" r:id="rId9"/>
    <sheet name="月账单" sheetId="10" r:id="rId10"/>
    <sheet name="转债" sheetId="11" r:id="rId11"/>
    <sheet name="转债测算公式" sheetId="12" state="hidden" r:id="rId12"/>
    <sheet name="收益日记" sheetId="13" r:id="rId13"/>
    <sheet name="etf" sheetId="14" r:id="rId14"/>
    <sheet name="年涨跌结构" sheetId="15" r:id="rId15"/>
    <sheet name="可转债等权指数" sheetId="16" r:id="rId16"/>
    <sheet name="新股记录" sheetId="17" state="hidden" r:id="rId17"/>
    <sheet name="煤炭" sheetId="18" state="hidden" r:id="rId18"/>
    <sheet name="电力" sheetId="19" state="hidden" r:id="rId19"/>
    <sheet name="STSTAR回测" sheetId="20" state="hidden" r:id="rId20"/>
    <sheet name="立案调查" sheetId="21" state="hidden" r:id="rId21"/>
    <sheet name="猪肉" sheetId="22" state="hidden" r:id="rId22"/>
    <sheet name="股东户数" sheetId="23" state="hidden" r:id="rId23"/>
    <sheet name="锂矿" sheetId="24" state="hidden" r:id="rId24"/>
    <sheet name="重组" sheetId="25" state="hidden" r:id="rId25"/>
    <sheet name="2024新增ST" sheetId="26" state="hidden" r:id="rId26"/>
    <sheet name="退市记录" sheetId="27" state="hidden" r:id="rId27"/>
    <sheet name="期货与商品ETF套利" sheetId="28" state="hidden" r:id="rId28"/>
    <sheet name="吸收合并" sheetId="29" state="hidden" r:id="rId29"/>
    <sheet name="装修" sheetId="30" state="hidden" r:id="rId30"/>
    <sheet name="Sheet2" sheetId="31" state="hidden" r:id="rId31"/>
    <sheet name="Sheet1" sheetId="32" state="hidden" r:id="rId32"/>
    <sheet name="择时预测" sheetId="33" r:id="rId33"/>
    <sheet name="全部可转债" sheetId="34" r:id="rId34"/>
  </sheets>
  <definedNames>
    <definedName name="_xlnm._FilterDatabase" localSheetId="25" hidden="1">'2024新增ST'!$A$2:$K$97</definedName>
    <definedName name="_xlnm._FilterDatabase" localSheetId="31" hidden="1">Sheet1!$A$1:$E$172</definedName>
    <definedName name="_xlnm._FilterDatabase" localSheetId="30" hidden="1">Sheet2!$A$1:$E$407</definedName>
    <definedName name="_xlnm._FilterDatabase" localSheetId="5" hidden="1">控股权变更!$A$1:$T$262</definedName>
    <definedName name="_xlnm._FilterDatabase" localSheetId="12" hidden="1">收益日记!$B$1:$J$48</definedName>
    <definedName name="_xlnm._FilterDatabase" localSheetId="4" hidden="1">退市!$B$2:$I$33</definedName>
    <definedName name="_xlnm._FilterDatabase" localSheetId="6" hidden="1">预计摘帽!$A$2:$AC$106</definedName>
    <definedName name="_xlnm._FilterDatabase" localSheetId="7" hidden="1">重整!$A$1:$U$147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302" i="13" l="1"/>
  <c r="U303" i="13"/>
  <c r="U304" i="13"/>
  <c r="U305" i="13"/>
  <c r="U306" i="13"/>
  <c r="U307" i="13"/>
  <c r="U308" i="13"/>
  <c r="U300" i="13" s="1"/>
  <c r="U309" i="13"/>
  <c r="U310" i="13"/>
  <c r="U311" i="13"/>
  <c r="U312" i="13"/>
  <c r="U313" i="13"/>
  <c r="U314" i="13"/>
  <c r="U315" i="13"/>
  <c r="U316" i="13"/>
  <c r="U317" i="13"/>
  <c r="U301" i="13"/>
  <c r="C302" i="13"/>
  <c r="C303" i="13"/>
  <c r="C304" i="13"/>
  <c r="C305" i="13"/>
  <c r="C306" i="13"/>
  <c r="C307" i="13"/>
  <c r="C308" i="13"/>
  <c r="C309" i="13"/>
  <c r="C310" i="13"/>
  <c r="C311" i="13"/>
  <c r="C300" i="13" s="1"/>
  <c r="C312" i="13"/>
  <c r="C313" i="13"/>
  <c r="C314" i="13"/>
  <c r="C315" i="13"/>
  <c r="C316" i="13"/>
  <c r="C317" i="13"/>
  <c r="C301" i="13"/>
  <c r="D302" i="13"/>
  <c r="D303" i="13"/>
  <c r="D304" i="13"/>
  <c r="D305" i="13"/>
  <c r="D306" i="13"/>
  <c r="D307" i="13"/>
  <c r="D308" i="13"/>
  <c r="D309" i="13"/>
  <c r="D310" i="13"/>
  <c r="D311" i="13"/>
  <c r="D300" i="13" s="1"/>
  <c r="D312" i="13"/>
  <c r="D313" i="13"/>
  <c r="D314" i="13"/>
  <c r="D315" i="13"/>
  <c r="D316" i="13"/>
  <c r="D317" i="13"/>
  <c r="D301" i="13"/>
  <c r="I302" i="13"/>
  <c r="I303" i="13"/>
  <c r="I304" i="13"/>
  <c r="I305" i="13"/>
  <c r="I306" i="13"/>
  <c r="I307" i="13"/>
  <c r="I308" i="13"/>
  <c r="I309" i="13"/>
  <c r="I310" i="13"/>
  <c r="I311" i="13"/>
  <c r="I312" i="13"/>
  <c r="I313" i="13"/>
  <c r="I314" i="13"/>
  <c r="I300" i="13" s="1"/>
  <c r="I315" i="13"/>
  <c r="I316" i="13"/>
  <c r="I317" i="13"/>
  <c r="I301" i="13"/>
  <c r="K302" i="13"/>
  <c r="K303" i="13"/>
  <c r="K304" i="13"/>
  <c r="K305" i="13"/>
  <c r="L305" i="13" s="1"/>
  <c r="K306" i="13"/>
  <c r="L306" i="13" s="1"/>
  <c r="K307" i="13"/>
  <c r="L307" i="13" s="1"/>
  <c r="K308" i="13"/>
  <c r="L308" i="13" s="1"/>
  <c r="K309" i="13"/>
  <c r="L309" i="13" s="1"/>
  <c r="K310" i="13"/>
  <c r="K311" i="13"/>
  <c r="K312" i="13"/>
  <c r="K313" i="13"/>
  <c r="L313" i="13" s="1"/>
  <c r="K314" i="13"/>
  <c r="L314" i="13" s="1"/>
  <c r="K315" i="13"/>
  <c r="L315" i="13" s="1"/>
  <c r="K316" i="13"/>
  <c r="L316" i="13" s="1"/>
  <c r="K317" i="13"/>
  <c r="L317" i="13" s="1"/>
  <c r="K301" i="13"/>
  <c r="L302" i="13"/>
  <c r="L303" i="13"/>
  <c r="L304" i="13"/>
  <c r="L310" i="13"/>
  <c r="L311" i="13"/>
  <c r="L312" i="13"/>
  <c r="L301" i="13"/>
  <c r="Q301" i="13"/>
  <c r="Q302" i="13" s="1"/>
  <c r="Q303" i="13" s="1"/>
  <c r="Q304" i="13" s="1"/>
  <c r="Q305" i="13" s="1"/>
  <c r="Q306" i="13" s="1"/>
  <c r="Q307" i="13" s="1"/>
  <c r="Q308" i="13" s="1"/>
  <c r="Q309" i="13" s="1"/>
  <c r="Q310" i="13" s="1"/>
  <c r="Q311" i="13" s="1"/>
  <c r="Q312" i="13" s="1"/>
  <c r="Q313" i="13" s="1"/>
  <c r="Q314" i="13" s="1"/>
  <c r="Q315" i="13" s="1"/>
  <c r="Q316" i="13" s="1"/>
  <c r="Q317" i="13" s="1"/>
  <c r="T300" i="13"/>
  <c r="S300" i="13"/>
  <c r="P300" i="13"/>
  <c r="J300" i="13"/>
  <c r="M300" i="13"/>
  <c r="N300" i="13"/>
  <c r="O300" i="13"/>
  <c r="E300" i="13"/>
  <c r="F300" i="13"/>
  <c r="G300" i="13"/>
  <c r="R300" i="13"/>
  <c r="H300" i="13"/>
  <c r="C4" i="14"/>
  <c r="D4" i="14"/>
  <c r="E4" i="14"/>
  <c r="F4" i="14"/>
  <c r="G4" i="14"/>
  <c r="H4" i="14"/>
  <c r="I4" i="14"/>
  <c r="J4" i="14"/>
  <c r="K4" i="14"/>
  <c r="L4" i="14"/>
  <c r="M4" i="14"/>
  <c r="N4" i="14"/>
  <c r="O4" i="14"/>
  <c r="P4" i="14"/>
  <c r="Q4" i="14"/>
  <c r="R4" i="14"/>
  <c r="S4" i="14"/>
  <c r="T4" i="14"/>
  <c r="U4" i="14"/>
  <c r="V4" i="14"/>
  <c r="W4" i="14"/>
  <c r="X4" i="14"/>
  <c r="Y4" i="14"/>
  <c r="Z4" i="14"/>
  <c r="AA4" i="14"/>
  <c r="AB4" i="14"/>
  <c r="AC4" i="14"/>
  <c r="AD4" i="14"/>
  <c r="AE4" i="14"/>
  <c r="AF4" i="14"/>
  <c r="AG4" i="14"/>
  <c r="AH4" i="14"/>
  <c r="AI4" i="14"/>
  <c r="AJ4" i="14"/>
  <c r="AK4" i="14"/>
  <c r="AL4" i="14"/>
  <c r="AM4" i="14"/>
  <c r="AN4" i="14"/>
  <c r="AO4" i="14"/>
  <c r="AP4" i="14"/>
  <c r="AQ4" i="14"/>
  <c r="AR4" i="14"/>
  <c r="AS4" i="14"/>
  <c r="AT4" i="14"/>
  <c r="AU4" i="14"/>
  <c r="AV4" i="14"/>
  <c r="AW4" i="14"/>
  <c r="AX4" i="14"/>
  <c r="AY4" i="14"/>
  <c r="AZ4" i="14"/>
  <c r="BA4" i="14"/>
  <c r="BB4" i="14"/>
  <c r="BC4" i="14"/>
  <c r="BD4" i="14"/>
  <c r="B4" i="14"/>
  <c r="C175" i="14"/>
  <c r="D175" i="14"/>
  <c r="E175" i="14"/>
  <c r="F175" i="14"/>
  <c r="G175" i="14"/>
  <c r="H175" i="14"/>
  <c r="I175" i="14"/>
  <c r="J175" i="14"/>
  <c r="K175" i="14"/>
  <c r="L175" i="14"/>
  <c r="M175" i="14"/>
  <c r="N175" i="14"/>
  <c r="O175" i="14"/>
  <c r="P175" i="14"/>
  <c r="Q175" i="14"/>
  <c r="R175" i="14"/>
  <c r="S175" i="14"/>
  <c r="T175" i="14"/>
  <c r="U175" i="14"/>
  <c r="V175" i="14"/>
  <c r="W175" i="14"/>
  <c r="X175" i="14"/>
  <c r="Y175" i="14"/>
  <c r="Z175" i="14"/>
  <c r="AA175" i="14"/>
  <c r="AB175" i="14"/>
  <c r="AC175" i="14"/>
  <c r="AD175" i="14"/>
  <c r="AE175" i="14"/>
  <c r="AF175" i="14"/>
  <c r="AG175" i="14"/>
  <c r="AH175" i="14"/>
  <c r="AI175" i="14"/>
  <c r="AJ175" i="14"/>
  <c r="AK175" i="14"/>
  <c r="AL175" i="14"/>
  <c r="AM175" i="14"/>
  <c r="AN175" i="14"/>
  <c r="AO175" i="14"/>
  <c r="AP175" i="14"/>
  <c r="AQ175" i="14"/>
  <c r="AR175" i="14"/>
  <c r="AS175" i="14"/>
  <c r="AT175" i="14"/>
  <c r="AU175" i="14"/>
  <c r="AV175" i="14"/>
  <c r="AW175" i="14"/>
  <c r="AX175" i="14"/>
  <c r="AY175" i="14"/>
  <c r="AZ175" i="14"/>
  <c r="BA175" i="14"/>
  <c r="BB175" i="14"/>
  <c r="BC175" i="14"/>
  <c r="BD175" i="14"/>
  <c r="B175" i="14"/>
  <c r="D5" i="33"/>
  <c r="D4" i="33"/>
  <c r="D3" i="33"/>
  <c r="D2" i="33"/>
  <c r="G29" i="30"/>
  <c r="F29" i="30"/>
  <c r="H29" i="30" s="1"/>
  <c r="G28" i="30"/>
  <c r="H28" i="30" s="1"/>
  <c r="F28" i="30"/>
  <c r="F27" i="30"/>
  <c r="F33" i="30" s="1"/>
  <c r="H26" i="30"/>
  <c r="H25" i="30"/>
  <c r="H24" i="30"/>
  <c r="H23" i="30"/>
  <c r="H22" i="30"/>
  <c r="H21" i="30"/>
  <c r="H20" i="30"/>
  <c r="H19" i="30"/>
  <c r="H18" i="30"/>
  <c r="H17" i="30"/>
  <c r="H16" i="30"/>
  <c r="H15" i="30"/>
  <c r="H14" i="30"/>
  <c r="H13" i="30"/>
  <c r="H12" i="30"/>
  <c r="H10" i="30"/>
  <c r="G9" i="30"/>
  <c r="H7" i="30"/>
  <c r="H6" i="30"/>
  <c r="H5" i="30"/>
  <c r="H4" i="30"/>
  <c r="H3" i="30"/>
  <c r="M25" i="29"/>
  <c r="M17" i="29"/>
  <c r="M16" i="29" s="1"/>
  <c r="J17" i="29"/>
  <c r="J18" i="29" s="1"/>
  <c r="I17" i="29"/>
  <c r="I18" i="29" s="1"/>
  <c r="H17" i="29"/>
  <c r="H18" i="29" s="1"/>
  <c r="G17" i="29"/>
  <c r="G18" i="29" s="1"/>
  <c r="F17" i="29"/>
  <c r="F18" i="29" s="1"/>
  <c r="J16" i="29"/>
  <c r="J19" i="29" s="1"/>
  <c r="I16" i="29"/>
  <c r="I19" i="29" s="1"/>
  <c r="H16" i="29"/>
  <c r="H19" i="29" s="1"/>
  <c r="G16" i="29"/>
  <c r="G19" i="29" s="1"/>
  <c r="F16" i="29"/>
  <c r="F19" i="29" s="1"/>
  <c r="E16" i="29"/>
  <c r="E17" i="29" s="1"/>
  <c r="E18" i="29" s="1"/>
  <c r="F10" i="29"/>
  <c r="N29" i="28"/>
  <c r="O29" i="28" s="1"/>
  <c r="M29" i="28"/>
  <c r="L29" i="28"/>
  <c r="P29" i="28" s="1"/>
  <c r="I29" i="28"/>
  <c r="H29" i="28"/>
  <c r="M28" i="28"/>
  <c r="L28" i="28"/>
  <c r="P28" i="28" s="1"/>
  <c r="I28" i="28"/>
  <c r="H28" i="28"/>
  <c r="N28" i="28" s="1"/>
  <c r="O28" i="28" s="1"/>
  <c r="Q28" i="28" s="1"/>
  <c r="R28" i="28" s="1"/>
  <c r="Q23" i="28"/>
  <c r="Q22" i="28"/>
  <c r="Q21" i="28"/>
  <c r="Q20" i="28"/>
  <c r="Q19" i="28"/>
  <c r="Q18" i="28"/>
  <c r="Q17" i="28"/>
  <c r="Q16" i="28"/>
  <c r="Q15" i="28"/>
  <c r="Q14" i="28"/>
  <c r="Q13" i="28"/>
  <c r="Q12" i="28"/>
  <c r="Q11" i="28"/>
  <c r="Q10" i="28"/>
  <c r="Q9" i="28"/>
  <c r="Q8" i="28"/>
  <c r="Q7" i="28"/>
  <c r="Q6" i="28"/>
  <c r="Q5" i="28"/>
  <c r="Q4" i="28"/>
  <c r="O4" i="27"/>
  <c r="L4" i="27"/>
  <c r="I4" i="27"/>
  <c r="E4" i="27"/>
  <c r="D9" i="24"/>
  <c r="J16" i="23"/>
  <c r="J15" i="23"/>
  <c r="U63" i="22"/>
  <c r="U62" i="22"/>
  <c r="AE45" i="20"/>
  <c r="AE44" i="20"/>
  <c r="AE43" i="20"/>
  <c r="AE42" i="20"/>
  <c r="AE41" i="20"/>
  <c r="AE40" i="20"/>
  <c r="G30" i="20"/>
  <c r="E30" i="20"/>
  <c r="D30" i="20"/>
  <c r="L29" i="20"/>
  <c r="G29" i="20"/>
  <c r="D29" i="20"/>
  <c r="E29" i="20" s="1"/>
  <c r="L28" i="20"/>
  <c r="G28" i="20"/>
  <c r="D28" i="20"/>
  <c r="E28" i="20" s="1"/>
  <c r="Q27" i="20"/>
  <c r="L27" i="20"/>
  <c r="G27" i="20"/>
  <c r="D27" i="20"/>
  <c r="E27" i="20" s="1"/>
  <c r="G26" i="20"/>
  <c r="D26" i="20"/>
  <c r="L25" i="20"/>
  <c r="G25" i="20"/>
  <c r="D25" i="20"/>
  <c r="E25" i="20" s="1"/>
  <c r="F23" i="20"/>
  <c r="F24" i="20" s="1"/>
  <c r="Q21" i="20"/>
  <c r="Q30" i="20" s="1"/>
  <c r="L21" i="20"/>
  <c r="L30" i="20" s="1"/>
  <c r="G21" i="20"/>
  <c r="E21" i="20"/>
  <c r="D21" i="20"/>
  <c r="Q20" i="20"/>
  <c r="Q29" i="20" s="1"/>
  <c r="L20" i="20"/>
  <c r="G20" i="20"/>
  <c r="D20" i="20"/>
  <c r="Q19" i="20"/>
  <c r="Q28" i="20" s="1"/>
  <c r="L19" i="20"/>
  <c r="G19" i="20"/>
  <c r="D19" i="20"/>
  <c r="E19" i="20" s="1"/>
  <c r="Q18" i="20"/>
  <c r="L18" i="20"/>
  <c r="G18" i="20"/>
  <c r="D18" i="20"/>
  <c r="E18" i="20" s="1"/>
  <c r="Q17" i="20"/>
  <c r="Q26" i="20" s="1"/>
  <c r="L17" i="20"/>
  <c r="L26" i="20" s="1"/>
  <c r="G17" i="20"/>
  <c r="E17" i="20"/>
  <c r="D17" i="20"/>
  <c r="Q16" i="20"/>
  <c r="Q25" i="20" s="1"/>
  <c r="L16" i="20"/>
  <c r="G16" i="20"/>
  <c r="D16" i="20"/>
  <c r="F14" i="20"/>
  <c r="F15" i="20" s="1"/>
  <c r="O12" i="20"/>
  <c r="D12" i="20"/>
  <c r="O11" i="20"/>
  <c r="D11" i="20"/>
  <c r="E20" i="20" s="1"/>
  <c r="O10" i="20"/>
  <c r="D10" i="20"/>
  <c r="O9" i="20"/>
  <c r="D9" i="20"/>
  <c r="O8" i="20"/>
  <c r="D8" i="20"/>
  <c r="E26" i="20" s="1"/>
  <c r="O7" i="20"/>
  <c r="D7" i="20"/>
  <c r="E16" i="20" s="1"/>
  <c r="O6" i="20"/>
  <c r="D6" i="20"/>
  <c r="P5" i="20"/>
  <c r="Q4" i="20"/>
  <c r="Q5" i="20" s="1"/>
  <c r="P4" i="20"/>
  <c r="L4" i="20"/>
  <c r="L5" i="20" s="1"/>
  <c r="K4" i="20"/>
  <c r="K5" i="20" s="1"/>
  <c r="I4" i="20"/>
  <c r="I5" i="20" s="1"/>
  <c r="F4" i="20"/>
  <c r="F5" i="20" s="1"/>
  <c r="Q20" i="19"/>
  <c r="S19" i="19"/>
  <c r="R20" i="19" s="1"/>
  <c r="S18" i="19"/>
  <c r="P17" i="19"/>
  <c r="S16" i="19"/>
  <c r="R17" i="19" s="1"/>
  <c r="O14" i="19"/>
  <c r="N14" i="19"/>
  <c r="S13" i="19"/>
  <c r="R14" i="19" s="1"/>
  <c r="S12" i="19"/>
  <c r="Q11" i="19"/>
  <c r="S10" i="19"/>
  <c r="R11" i="19" s="1"/>
  <c r="R8" i="19"/>
  <c r="Q8" i="19"/>
  <c r="P8" i="19"/>
  <c r="O8" i="19"/>
  <c r="N8" i="19"/>
  <c r="S7" i="19"/>
  <c r="S6" i="19"/>
  <c r="R5" i="19"/>
  <c r="Q5" i="19"/>
  <c r="O5" i="19"/>
  <c r="N5" i="19"/>
  <c r="F5" i="19"/>
  <c r="E5" i="19"/>
  <c r="S4" i="19"/>
  <c r="P5" i="19" s="1"/>
  <c r="R23" i="17"/>
  <c r="S23" i="17" s="1"/>
  <c r="V23" i="17" s="1"/>
  <c r="Q23" i="17"/>
  <c r="T23" i="17" s="1"/>
  <c r="U23" i="17" s="1"/>
  <c r="O23" i="17"/>
  <c r="N23" i="17"/>
  <c r="P23" i="17" s="1"/>
  <c r="H21" i="17"/>
  <c r="H20" i="17"/>
  <c r="H19" i="17"/>
  <c r="O18" i="17"/>
  <c r="N18" i="17"/>
  <c r="P18" i="17" s="1"/>
  <c r="L18" i="17"/>
  <c r="H18" i="17"/>
  <c r="O17" i="17"/>
  <c r="M17" i="17"/>
  <c r="N17" i="17" s="1"/>
  <c r="P17" i="17" s="1"/>
  <c r="L17" i="17"/>
  <c r="H17" i="17"/>
  <c r="Q16" i="17"/>
  <c r="Q17" i="17" s="1"/>
  <c r="O16" i="17"/>
  <c r="M16" i="17"/>
  <c r="N16" i="17" s="1"/>
  <c r="L16" i="17"/>
  <c r="H16" i="17"/>
  <c r="H15" i="17"/>
  <c r="O14" i="17"/>
  <c r="T14" i="17" s="1"/>
  <c r="U14" i="17" s="1"/>
  <c r="N14" i="17"/>
  <c r="R14" i="17" s="1"/>
  <c r="I14" i="17"/>
  <c r="H14" i="17"/>
  <c r="T13" i="17"/>
  <c r="U13" i="17" s="1"/>
  <c r="O13" i="17"/>
  <c r="N13" i="17"/>
  <c r="R13" i="17" s="1"/>
  <c r="M13" i="17"/>
  <c r="H13" i="17"/>
  <c r="I13" i="17" s="1"/>
  <c r="O12" i="17"/>
  <c r="N12" i="17"/>
  <c r="R12" i="17" s="1"/>
  <c r="M12" i="17"/>
  <c r="I12" i="17"/>
  <c r="Q11" i="17"/>
  <c r="O11" i="17"/>
  <c r="L11" i="17"/>
  <c r="N11" i="17" s="1"/>
  <c r="P11" i="17" s="1"/>
  <c r="Q10" i="17"/>
  <c r="V10" i="17" s="1"/>
  <c r="P10" i="17"/>
  <c r="O10" i="17"/>
  <c r="T10" i="17" s="1"/>
  <c r="U10" i="17" s="1"/>
  <c r="N10" i="17"/>
  <c r="R10" i="17" s="1"/>
  <c r="S10" i="17" s="1"/>
  <c r="H10" i="17"/>
  <c r="Q9" i="17"/>
  <c r="P9" i="17"/>
  <c r="O9" i="17"/>
  <c r="N9" i="17"/>
  <c r="Q8" i="17"/>
  <c r="T8" i="17" s="1"/>
  <c r="U8" i="17" s="1"/>
  <c r="N8" i="17"/>
  <c r="R8" i="17" s="1"/>
  <c r="H8" i="17"/>
  <c r="U7" i="17"/>
  <c r="T7" i="17"/>
  <c r="N7" i="17"/>
  <c r="R7" i="17" s="1"/>
  <c r="H7" i="17"/>
  <c r="U6" i="17"/>
  <c r="T6" i="17"/>
  <c r="Q6" i="17"/>
  <c r="N6" i="17"/>
  <c r="R6" i="17" s="1"/>
  <c r="I6" i="17"/>
  <c r="H4" i="17"/>
  <c r="I4" i="17" s="1"/>
  <c r="I3" i="17" s="1"/>
  <c r="T22" i="15"/>
  <c r="Q22" i="15"/>
  <c r="O22" i="15"/>
  <c r="N22" i="15"/>
  <c r="P22" i="15" s="1"/>
  <c r="T21" i="15"/>
  <c r="Q21" i="15"/>
  <c r="P21" i="15"/>
  <c r="O21" i="15"/>
  <c r="N21" i="15"/>
  <c r="T20" i="15"/>
  <c r="Q20" i="15"/>
  <c r="N20" i="15"/>
  <c r="P20" i="15" s="1"/>
  <c r="T19" i="15"/>
  <c r="O19" i="15"/>
  <c r="N19" i="15"/>
  <c r="Q19" i="15" s="1"/>
  <c r="T18" i="15"/>
  <c r="Q18" i="15"/>
  <c r="O18" i="15"/>
  <c r="N18" i="15"/>
  <c r="P18" i="15" s="1"/>
  <c r="T17" i="15"/>
  <c r="Q17" i="15"/>
  <c r="P17" i="15"/>
  <c r="O17" i="15"/>
  <c r="N17" i="15"/>
  <c r="T16" i="15"/>
  <c r="Q16" i="15"/>
  <c r="N16" i="15"/>
  <c r="P16" i="15" s="1"/>
  <c r="T15" i="15"/>
  <c r="O15" i="15"/>
  <c r="N15" i="15"/>
  <c r="Q15" i="15" s="1"/>
  <c r="T14" i="15"/>
  <c r="Q14" i="15"/>
  <c r="O14" i="15"/>
  <c r="N14" i="15"/>
  <c r="P14" i="15" s="1"/>
  <c r="T13" i="15"/>
  <c r="Q13" i="15"/>
  <c r="P13" i="15"/>
  <c r="O13" i="15"/>
  <c r="N13" i="15"/>
  <c r="T12" i="15"/>
  <c r="Q12" i="15"/>
  <c r="N12" i="15"/>
  <c r="P12" i="15" s="1"/>
  <c r="T11" i="15"/>
  <c r="O11" i="15"/>
  <c r="N11" i="15"/>
  <c r="Q11" i="15" s="1"/>
  <c r="T10" i="15"/>
  <c r="Q10" i="15"/>
  <c r="O10" i="15"/>
  <c r="N10" i="15"/>
  <c r="P10" i="15" s="1"/>
  <c r="T9" i="15"/>
  <c r="Q9" i="15"/>
  <c r="P9" i="15"/>
  <c r="O9" i="15"/>
  <c r="N9" i="15"/>
  <c r="T8" i="15"/>
  <c r="Q8" i="15"/>
  <c r="N8" i="15"/>
  <c r="P8" i="15" s="1"/>
  <c r="T7" i="15"/>
  <c r="N7" i="15"/>
  <c r="Q7" i="15" s="1"/>
  <c r="T6" i="15"/>
  <c r="Q6" i="15"/>
  <c r="O6" i="15"/>
  <c r="N6" i="15"/>
  <c r="P6" i="15" s="1"/>
  <c r="T5" i="15"/>
  <c r="Q5" i="15"/>
  <c r="P5" i="15"/>
  <c r="O5" i="15"/>
  <c r="N5" i="15"/>
  <c r="T4" i="15"/>
  <c r="Q4" i="15"/>
  <c r="N4" i="15"/>
  <c r="P4" i="15" s="1"/>
  <c r="AM3" i="15"/>
  <c r="AQ3" i="15" s="1"/>
  <c r="T3" i="15"/>
  <c r="Q3" i="15"/>
  <c r="O3" i="15"/>
  <c r="N3" i="15"/>
  <c r="P3" i="15" s="1"/>
  <c r="AQ2" i="15"/>
  <c r="AP2" i="15"/>
  <c r="AO2" i="15"/>
  <c r="AN2" i="15"/>
  <c r="AM2" i="15"/>
  <c r="T2" i="15"/>
  <c r="Q2" i="15"/>
  <c r="N2" i="15"/>
  <c r="P2" i="15" s="1"/>
  <c r="BD153" i="14"/>
  <c r="BC153" i="14"/>
  <c r="BB153" i="14"/>
  <c r="BA153" i="14"/>
  <c r="AZ153" i="14"/>
  <c r="AY153" i="14"/>
  <c r="AX153" i="14"/>
  <c r="AW153" i="14"/>
  <c r="AV153" i="14"/>
  <c r="AU153" i="14"/>
  <c r="AT153" i="14"/>
  <c r="AS153" i="14"/>
  <c r="AR153" i="14"/>
  <c r="AQ153" i="14"/>
  <c r="AP153" i="14"/>
  <c r="AO153" i="14"/>
  <c r="AN153" i="14"/>
  <c r="AM153" i="14"/>
  <c r="AL153" i="14"/>
  <c r="AK153"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C153" i="14"/>
  <c r="B153" i="14"/>
  <c r="BB131" i="14"/>
  <c r="BA131" i="14"/>
  <c r="AZ131" i="14"/>
  <c r="AY131" i="14"/>
  <c r="AX131" i="14"/>
  <c r="AW131" i="14"/>
  <c r="AV131" i="14"/>
  <c r="AU131" i="14"/>
  <c r="AT131" i="14"/>
  <c r="AS131" i="14"/>
  <c r="AR131" i="14"/>
  <c r="AQ131" i="14"/>
  <c r="AP131" i="14"/>
  <c r="AO131" i="14"/>
  <c r="AN131" i="14"/>
  <c r="AM131" i="14"/>
  <c r="AL131" i="14"/>
  <c r="AK131" i="14"/>
  <c r="AJ131" i="14"/>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C131" i="14"/>
  <c r="B131" i="14"/>
  <c r="BD107" i="14"/>
  <c r="BB107" i="14"/>
  <c r="BA107" i="14"/>
  <c r="AZ107" i="14"/>
  <c r="AY107" i="14"/>
  <c r="AX107" i="14"/>
  <c r="AW107" i="14"/>
  <c r="AV107" i="14"/>
  <c r="AU107" i="14"/>
  <c r="AT107" i="14"/>
  <c r="AS107" i="14"/>
  <c r="AR107" i="14"/>
  <c r="AQ107" i="14"/>
  <c r="AP107" i="14"/>
  <c r="AO107" i="14"/>
  <c r="AN107" i="14"/>
  <c r="AM107" i="14"/>
  <c r="AL107" i="14"/>
  <c r="AK107" i="14"/>
  <c r="AJ107" i="14"/>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C107" i="14"/>
  <c r="B107" i="14"/>
  <c r="BD106" i="14"/>
  <c r="BD105" i="14"/>
  <c r="BD104" i="14"/>
  <c r="BD103" i="14"/>
  <c r="BD102" i="14"/>
  <c r="BD101" i="14"/>
  <c r="BD100" i="14"/>
  <c r="BD99" i="14"/>
  <c r="BD98" i="14"/>
  <c r="BD97" i="14"/>
  <c r="BD96" i="14"/>
  <c r="BD95" i="14"/>
  <c r="BD94" i="14"/>
  <c r="BD93" i="14"/>
  <c r="BD92" i="14"/>
  <c r="BD91" i="14"/>
  <c r="BD90" i="14"/>
  <c r="BD89" i="14"/>
  <c r="BD88" i="14"/>
  <c r="BD87" i="14"/>
  <c r="BD86" i="14"/>
  <c r="BB85" i="14"/>
  <c r="BA85" i="14"/>
  <c r="AZ85" i="14"/>
  <c r="AY85" i="14"/>
  <c r="AX85" i="14"/>
  <c r="BD85" i="14" s="1"/>
  <c r="AW85" i="14"/>
  <c r="AV85" i="14"/>
  <c r="AU85" i="14"/>
  <c r="AT85" i="14"/>
  <c r="AS85" i="14"/>
  <c r="AR85" i="14"/>
  <c r="AQ85" i="14"/>
  <c r="AP85" i="14"/>
  <c r="AO85" i="14"/>
  <c r="AN85" i="14"/>
  <c r="AM85" i="14"/>
  <c r="AL85" i="14"/>
  <c r="AK85" i="14"/>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C85" i="14"/>
  <c r="B85" i="14"/>
  <c r="BD84" i="14"/>
  <c r="BD83" i="14"/>
  <c r="BD82" i="14"/>
  <c r="BD81" i="14"/>
  <c r="BD80" i="14"/>
  <c r="BD79" i="14"/>
  <c r="BD78" i="14"/>
  <c r="BD77" i="14"/>
  <c r="BD76" i="14"/>
  <c r="BD75" i="14"/>
  <c r="BD74" i="14"/>
  <c r="BD73" i="14"/>
  <c r="BD72" i="14"/>
  <c r="BD71" i="14"/>
  <c r="BD70" i="14"/>
  <c r="BD69" i="14"/>
  <c r="BD68" i="14"/>
  <c r="BD67" i="14"/>
  <c r="BB66" i="14"/>
  <c r="BA66" i="14"/>
  <c r="AZ66" i="14"/>
  <c r="AY66" i="14"/>
  <c r="AX66" i="14"/>
  <c r="AV66" i="14"/>
  <c r="AU66" i="14"/>
  <c r="AT66" i="14"/>
  <c r="AS66" i="14"/>
  <c r="BD66" i="14" s="1"/>
  <c r="AR66" i="14"/>
  <c r="AQ66" i="14"/>
  <c r="AP66" i="14"/>
  <c r="AO66" i="14"/>
  <c r="AN66" i="14"/>
  <c r="AM66" i="14"/>
  <c r="AL66" i="14"/>
  <c r="AK66" i="14"/>
  <c r="AJ66" i="14"/>
  <c r="AI66" i="14"/>
  <c r="AH66" i="14"/>
  <c r="AG66" i="14"/>
  <c r="AF66" i="14"/>
  <c r="AE66" i="14"/>
  <c r="AD66" i="14"/>
  <c r="AC66" i="14"/>
  <c r="AB66" i="14"/>
  <c r="AA66" i="14"/>
  <c r="Z66" i="14"/>
  <c r="Y66" i="14"/>
  <c r="X66" i="14"/>
  <c r="W66" i="14"/>
  <c r="V66" i="14"/>
  <c r="U66" i="14"/>
  <c r="T66" i="14"/>
  <c r="S66" i="14"/>
  <c r="R66" i="14"/>
  <c r="Q66" i="14"/>
  <c r="P66" i="14"/>
  <c r="O66" i="14"/>
  <c r="N66" i="14"/>
  <c r="M66" i="14"/>
  <c r="L66" i="14"/>
  <c r="K66" i="14"/>
  <c r="J66" i="14"/>
  <c r="I66" i="14"/>
  <c r="H66" i="14"/>
  <c r="G66" i="14"/>
  <c r="F66" i="14"/>
  <c r="E66" i="14"/>
  <c r="D66" i="14"/>
  <c r="C66" i="14"/>
  <c r="B66" i="14"/>
  <c r="BD46" i="14"/>
  <c r="BD47" i="14" s="1"/>
  <c r="BD48" i="14" s="1"/>
  <c r="BD49" i="14" s="1"/>
  <c r="BD50" i="14" s="1"/>
  <c r="BD51" i="14" s="1"/>
  <c r="BD52" i="14" s="1"/>
  <c r="BD53" i="14" s="1"/>
  <c r="BD54" i="14" s="1"/>
  <c r="BD55" i="14" s="1"/>
  <c r="BD56" i="14" s="1"/>
  <c r="BD57" i="14" s="1"/>
  <c r="BD58" i="14" s="1"/>
  <c r="BD59" i="14" s="1"/>
  <c r="BD60" i="14" s="1"/>
  <c r="BD61" i="14" s="1"/>
  <c r="BD62" i="14" s="1"/>
  <c r="BD63" i="14" s="1"/>
  <c r="BD64" i="14" s="1"/>
  <c r="BD65" i="14" s="1"/>
  <c r="BD45" i="14"/>
  <c r="BD44" i="14"/>
  <c r="BB44" i="14"/>
  <c r="BA44" i="14"/>
  <c r="AZ44" i="14"/>
  <c r="AY44" i="14"/>
  <c r="AX44" i="14"/>
  <c r="AV44" i="14"/>
  <c r="AU44" i="14"/>
  <c r="AT44" i="14"/>
  <c r="AS44" i="14"/>
  <c r="AR44" i="14"/>
  <c r="AQ44" i="14"/>
  <c r="AP44" i="14"/>
  <c r="AO44" i="14"/>
  <c r="AN44" i="14"/>
  <c r="AM44" i="14"/>
  <c r="AL44" i="14"/>
  <c r="AK44" i="14"/>
  <c r="AJ44" i="14"/>
  <c r="AI44" i="14"/>
  <c r="AH44" i="14"/>
  <c r="AG44" i="14"/>
  <c r="AF44" i="14"/>
  <c r="AE44" i="14"/>
  <c r="AD44" i="14"/>
  <c r="AC44" i="14"/>
  <c r="AB44" i="14"/>
  <c r="AA44" i="14"/>
  <c r="Z44" i="14"/>
  <c r="Y44" i="14"/>
  <c r="X44" i="14"/>
  <c r="W44" i="14"/>
  <c r="V44" i="14"/>
  <c r="U44" i="14"/>
  <c r="T44" i="14"/>
  <c r="S44" i="14"/>
  <c r="R44" i="14"/>
  <c r="Q44" i="14"/>
  <c r="P44" i="14"/>
  <c r="O44" i="14"/>
  <c r="N44" i="14"/>
  <c r="M44" i="14"/>
  <c r="L44" i="14"/>
  <c r="K44" i="14"/>
  <c r="J44" i="14"/>
  <c r="I44" i="14"/>
  <c r="H44" i="14"/>
  <c r="G44" i="14"/>
  <c r="F44" i="14"/>
  <c r="E44" i="14"/>
  <c r="D44" i="14"/>
  <c r="C44" i="14"/>
  <c r="B44" i="14"/>
  <c r="BD22" i="14"/>
  <c r="BD23" i="14" s="1"/>
  <c r="BD24" i="14" s="1"/>
  <c r="BD25" i="14" s="1"/>
  <c r="BD26" i="14" s="1"/>
  <c r="BD27" i="14" s="1"/>
  <c r="BD28" i="14" s="1"/>
  <c r="BD29" i="14" s="1"/>
  <c r="BD30" i="14" s="1"/>
  <c r="BD31" i="14" s="1"/>
  <c r="BD32" i="14" s="1"/>
  <c r="BD33" i="14" s="1"/>
  <c r="BD34" i="14" s="1"/>
  <c r="BD35" i="14" s="1"/>
  <c r="BD36" i="14" s="1"/>
  <c r="BD37" i="14" s="1"/>
  <c r="BD38" i="14" s="1"/>
  <c r="BD39" i="14" s="1"/>
  <c r="BD40" i="14" s="1"/>
  <c r="BD41" i="14" s="1"/>
  <c r="BD42" i="14" s="1"/>
  <c r="BD43" i="14" s="1"/>
  <c r="BA21" i="14"/>
  <c r="AZ21" i="14"/>
  <c r="AY21" i="14"/>
  <c r="AX21" i="14"/>
  <c r="BD21" i="14" s="1"/>
  <c r="AV21" i="14"/>
  <c r="AU21" i="14"/>
  <c r="AT21" i="14"/>
  <c r="AS21" i="14"/>
  <c r="AR21" i="14"/>
  <c r="AQ21" i="14"/>
  <c r="AP21" i="14"/>
  <c r="AO21" i="14"/>
  <c r="AN21" i="14"/>
  <c r="AM21" i="14"/>
  <c r="AL21" i="14"/>
  <c r="AK21" i="14"/>
  <c r="AJ21" i="14"/>
  <c r="AI21" i="14"/>
  <c r="AH21" i="14"/>
  <c r="AG21" i="14"/>
  <c r="AF21" i="14"/>
  <c r="AE21" i="14"/>
  <c r="AD21" i="14"/>
  <c r="AC21" i="14"/>
  <c r="AB21" i="14"/>
  <c r="AA21" i="14"/>
  <c r="Z21" i="14"/>
  <c r="Y21" i="14"/>
  <c r="X21" i="14"/>
  <c r="W21" i="14"/>
  <c r="V21" i="14"/>
  <c r="U21" i="14"/>
  <c r="T21" i="14"/>
  <c r="S21" i="14"/>
  <c r="R21" i="14"/>
  <c r="Q21" i="14"/>
  <c r="P21" i="14"/>
  <c r="O21" i="14"/>
  <c r="N21" i="14"/>
  <c r="M21" i="14"/>
  <c r="L21" i="14"/>
  <c r="K21" i="14"/>
  <c r="J21" i="14"/>
  <c r="I21" i="14"/>
  <c r="H21" i="14"/>
  <c r="G21" i="14"/>
  <c r="F21" i="14"/>
  <c r="E21" i="14"/>
  <c r="D21" i="14"/>
  <c r="C21" i="14"/>
  <c r="B21" i="14"/>
  <c r="BA6" i="14"/>
  <c r="AZ6" i="14"/>
  <c r="AY6" i="14"/>
  <c r="AX6" i="14"/>
  <c r="AJ6" i="14"/>
  <c r="AI6" i="14"/>
  <c r="AH6" i="14"/>
  <c r="AG6" i="14"/>
  <c r="AF6" i="14"/>
  <c r="AE6" i="14"/>
  <c r="AD6" i="14"/>
  <c r="AC6" i="14"/>
  <c r="AB6" i="14"/>
  <c r="AA6" i="14"/>
  <c r="Z6" i="14"/>
  <c r="Y6" i="14"/>
  <c r="X6" i="14"/>
  <c r="W6" i="14"/>
  <c r="V6" i="14"/>
  <c r="U6" i="14"/>
  <c r="T6" i="14"/>
  <c r="S6" i="14"/>
  <c r="R6" i="14"/>
  <c r="Q6" i="14"/>
  <c r="P6" i="14"/>
  <c r="O6" i="14"/>
  <c r="N6" i="14"/>
  <c r="M6" i="14"/>
  <c r="L6" i="14"/>
  <c r="K6" i="14"/>
  <c r="J6" i="14"/>
  <c r="I6" i="14"/>
  <c r="H6" i="14"/>
  <c r="G6" i="14"/>
  <c r="F6" i="14"/>
  <c r="E6" i="14"/>
  <c r="D6" i="14"/>
  <c r="C6" i="14"/>
  <c r="B6" i="14"/>
  <c r="M16" i="12"/>
  <c r="L16" i="12"/>
  <c r="I16" i="12"/>
  <c r="Q16" i="12" s="1"/>
  <c r="H14" i="12"/>
  <c r="E14" i="12"/>
  <c r="I14" i="12" s="1"/>
  <c r="I10" i="12"/>
  <c r="H10" i="12"/>
  <c r="I9" i="12"/>
  <c r="H9" i="12"/>
  <c r="R5" i="12"/>
  <c r="L5" i="12"/>
  <c r="H5" i="12"/>
  <c r="D5" i="12"/>
  <c r="R79" i="11"/>
  <c r="P79" i="11"/>
  <c r="O79" i="11"/>
  <c r="N79" i="11"/>
  <c r="M79" i="11"/>
  <c r="L79" i="11"/>
  <c r="K79" i="11"/>
  <c r="J79" i="11"/>
  <c r="I79" i="11"/>
  <c r="G79" i="11"/>
  <c r="H79" i="11" s="1"/>
  <c r="E79" i="11"/>
  <c r="D79" i="11"/>
  <c r="B79" i="11"/>
  <c r="A79" i="11"/>
  <c r="R78" i="11"/>
  <c r="P78" i="11"/>
  <c r="O78" i="11"/>
  <c r="N78" i="11"/>
  <c r="M78" i="11"/>
  <c r="B78" i="11" s="1"/>
  <c r="L78" i="11"/>
  <c r="K78" i="11"/>
  <c r="J78" i="11"/>
  <c r="I78" i="11"/>
  <c r="G78" i="11"/>
  <c r="H78" i="11" s="1"/>
  <c r="E78" i="11"/>
  <c r="D78" i="11"/>
  <c r="A78" i="11"/>
  <c r="R77" i="11"/>
  <c r="P77" i="11"/>
  <c r="O77" i="11"/>
  <c r="N77" i="11"/>
  <c r="M77" i="11"/>
  <c r="L77" i="11"/>
  <c r="B77" i="11" s="1"/>
  <c r="K77" i="11"/>
  <c r="J77" i="11"/>
  <c r="I77" i="11"/>
  <c r="H77" i="11"/>
  <c r="G77" i="11"/>
  <c r="E77" i="11"/>
  <c r="D77" i="11"/>
  <c r="A77" i="11"/>
  <c r="R76" i="11"/>
  <c r="P76" i="11"/>
  <c r="O76" i="11"/>
  <c r="N76" i="11"/>
  <c r="M76" i="11"/>
  <c r="L76" i="11"/>
  <c r="K76" i="11"/>
  <c r="J76" i="11"/>
  <c r="I76" i="11"/>
  <c r="G76" i="11"/>
  <c r="H76" i="11" s="1"/>
  <c r="E76" i="11"/>
  <c r="D76" i="11"/>
  <c r="B76" i="11"/>
  <c r="A76" i="11"/>
  <c r="R75" i="11"/>
  <c r="P75" i="11"/>
  <c r="O75" i="11"/>
  <c r="N75" i="11"/>
  <c r="M75" i="11"/>
  <c r="L75" i="11"/>
  <c r="K75" i="11"/>
  <c r="J75" i="11"/>
  <c r="I75" i="11"/>
  <c r="H75" i="11"/>
  <c r="G75" i="11"/>
  <c r="E75" i="11"/>
  <c r="D75" i="11"/>
  <c r="B75" i="11"/>
  <c r="A75" i="11"/>
  <c r="R74" i="11"/>
  <c r="P74" i="11"/>
  <c r="O74" i="11"/>
  <c r="N74" i="11"/>
  <c r="M74" i="11"/>
  <c r="B74" i="11" s="1"/>
  <c r="L74" i="11"/>
  <c r="K74" i="11"/>
  <c r="J74" i="11"/>
  <c r="I74" i="11"/>
  <c r="G74" i="11"/>
  <c r="H74" i="11" s="1"/>
  <c r="E74" i="11"/>
  <c r="D74" i="11"/>
  <c r="A74" i="11"/>
  <c r="R73" i="11"/>
  <c r="P73" i="11"/>
  <c r="O73" i="11"/>
  <c r="N73" i="11"/>
  <c r="M73" i="11"/>
  <c r="L73" i="11"/>
  <c r="B73" i="11" s="1"/>
  <c r="K73" i="11"/>
  <c r="J73" i="11"/>
  <c r="I73" i="11"/>
  <c r="H73" i="11"/>
  <c r="G73" i="11"/>
  <c r="E73" i="11"/>
  <c r="D73" i="11"/>
  <c r="A73" i="11"/>
  <c r="R72" i="11"/>
  <c r="P72" i="11"/>
  <c r="O72" i="11"/>
  <c r="N72" i="11"/>
  <c r="M72" i="11"/>
  <c r="L72" i="11"/>
  <c r="K72" i="11"/>
  <c r="J72" i="11"/>
  <c r="I72" i="11"/>
  <c r="G72" i="11"/>
  <c r="H72" i="11" s="1"/>
  <c r="E72" i="11"/>
  <c r="D72" i="11"/>
  <c r="B72" i="11"/>
  <c r="A72" i="11"/>
  <c r="R71" i="11"/>
  <c r="P71" i="11"/>
  <c r="O71" i="11"/>
  <c r="N71" i="11"/>
  <c r="M71" i="11"/>
  <c r="L71" i="11"/>
  <c r="K71" i="11"/>
  <c r="J71" i="11"/>
  <c r="I71" i="11"/>
  <c r="H71" i="11"/>
  <c r="G71" i="11"/>
  <c r="E71" i="11"/>
  <c r="D71" i="11"/>
  <c r="B71" i="11"/>
  <c r="A71" i="11"/>
  <c r="R70" i="11"/>
  <c r="P70" i="11"/>
  <c r="O70" i="11"/>
  <c r="N70" i="11"/>
  <c r="M70" i="11"/>
  <c r="L70" i="11"/>
  <c r="K70" i="11"/>
  <c r="J70" i="11"/>
  <c r="I70" i="11"/>
  <c r="G70" i="11"/>
  <c r="H70" i="11" s="1"/>
  <c r="E70" i="11"/>
  <c r="D70" i="11"/>
  <c r="B70" i="11"/>
  <c r="A70" i="11"/>
  <c r="R69" i="11"/>
  <c r="P69" i="11"/>
  <c r="O69" i="11"/>
  <c r="N69" i="11"/>
  <c r="M69" i="11"/>
  <c r="L69" i="11"/>
  <c r="B69" i="11" s="1"/>
  <c r="K69" i="11"/>
  <c r="J69" i="11"/>
  <c r="I69" i="11"/>
  <c r="H69" i="11"/>
  <c r="G69" i="11"/>
  <c r="E69" i="11"/>
  <c r="D69" i="11"/>
  <c r="A69" i="11"/>
  <c r="R68" i="11"/>
  <c r="P68" i="11"/>
  <c r="O68" i="11"/>
  <c r="N68" i="11"/>
  <c r="M68" i="11"/>
  <c r="B68" i="11" s="1"/>
  <c r="L68" i="11"/>
  <c r="K68" i="11"/>
  <c r="J68" i="11"/>
  <c r="I68" i="11"/>
  <c r="G68" i="11"/>
  <c r="H68" i="11" s="1"/>
  <c r="E68" i="11"/>
  <c r="D68" i="11"/>
  <c r="A68" i="11"/>
  <c r="R67" i="11"/>
  <c r="P67" i="11"/>
  <c r="O67" i="11"/>
  <c r="N67" i="11"/>
  <c r="M67" i="11"/>
  <c r="L67" i="11"/>
  <c r="K67" i="11"/>
  <c r="J67" i="11"/>
  <c r="I67" i="11"/>
  <c r="H67" i="11"/>
  <c r="G67" i="11"/>
  <c r="E67" i="11"/>
  <c r="D67" i="11"/>
  <c r="B67" i="11"/>
  <c r="A67" i="11"/>
  <c r="R66" i="11"/>
  <c r="P66" i="11"/>
  <c r="O66" i="11"/>
  <c r="N66" i="11"/>
  <c r="M66" i="11"/>
  <c r="L66" i="11"/>
  <c r="K66" i="11"/>
  <c r="J66" i="11"/>
  <c r="I66" i="11"/>
  <c r="G66" i="11"/>
  <c r="H66" i="11" s="1"/>
  <c r="E66" i="11"/>
  <c r="D66" i="11"/>
  <c r="B66" i="11"/>
  <c r="A66" i="11"/>
  <c r="R65" i="11"/>
  <c r="P65" i="11"/>
  <c r="O65" i="11"/>
  <c r="N65" i="11"/>
  <c r="M65" i="11"/>
  <c r="L65" i="11"/>
  <c r="B65" i="11" s="1"/>
  <c r="K65" i="11"/>
  <c r="J65" i="11"/>
  <c r="I65" i="11"/>
  <c r="H65" i="11"/>
  <c r="G65" i="11"/>
  <c r="E65" i="11"/>
  <c r="D65" i="11"/>
  <c r="A65" i="11"/>
  <c r="R64" i="11"/>
  <c r="P64" i="11"/>
  <c r="O64" i="11"/>
  <c r="N64" i="11"/>
  <c r="M64" i="11"/>
  <c r="B64" i="11" s="1"/>
  <c r="L64" i="11"/>
  <c r="K64" i="11"/>
  <c r="J64" i="11"/>
  <c r="I64" i="11"/>
  <c r="G64" i="11"/>
  <c r="H64" i="11" s="1"/>
  <c r="E64" i="11"/>
  <c r="D64" i="11"/>
  <c r="A64" i="11"/>
  <c r="R63" i="11"/>
  <c r="P63" i="11"/>
  <c r="O63" i="11"/>
  <c r="N63" i="11"/>
  <c r="M63" i="11"/>
  <c r="L63" i="11"/>
  <c r="K63" i="11"/>
  <c r="J63" i="11"/>
  <c r="I63" i="11"/>
  <c r="H63" i="11"/>
  <c r="G63" i="11"/>
  <c r="E63" i="11"/>
  <c r="D63" i="11"/>
  <c r="B63" i="11"/>
  <c r="A63" i="11"/>
  <c r="R62" i="11"/>
  <c r="P62" i="11"/>
  <c r="O62" i="11"/>
  <c r="N62" i="11"/>
  <c r="M62" i="11"/>
  <c r="L62" i="11"/>
  <c r="K62" i="11"/>
  <c r="J62" i="11"/>
  <c r="I62" i="11"/>
  <c r="G62" i="11"/>
  <c r="H62" i="11" s="1"/>
  <c r="E62" i="11"/>
  <c r="D62" i="11"/>
  <c r="B62" i="11"/>
  <c r="A62" i="11"/>
  <c r="R61" i="11"/>
  <c r="P61" i="11"/>
  <c r="O61" i="11"/>
  <c r="N61" i="11"/>
  <c r="M61" i="11"/>
  <c r="L61" i="11"/>
  <c r="B61" i="11" s="1"/>
  <c r="K61" i="11"/>
  <c r="J61" i="11"/>
  <c r="I61" i="11"/>
  <c r="G61" i="11"/>
  <c r="H61" i="11" s="1"/>
  <c r="E61" i="11"/>
  <c r="D61" i="11"/>
  <c r="A61" i="11"/>
  <c r="R60" i="11"/>
  <c r="P60" i="11"/>
  <c r="O60" i="11"/>
  <c r="N60" i="11"/>
  <c r="M60" i="11"/>
  <c r="B60" i="11" s="1"/>
  <c r="L60" i="11"/>
  <c r="K60" i="11"/>
  <c r="J60" i="11"/>
  <c r="I60" i="11"/>
  <c r="G60" i="11"/>
  <c r="H60" i="11" s="1"/>
  <c r="E60" i="11"/>
  <c r="D60" i="11"/>
  <c r="A60" i="11"/>
  <c r="R59" i="11"/>
  <c r="P59" i="11"/>
  <c r="O59" i="11"/>
  <c r="N59" i="11"/>
  <c r="M59" i="11"/>
  <c r="L59" i="11"/>
  <c r="B59" i="11" s="1"/>
  <c r="K59" i="11"/>
  <c r="J59" i="11"/>
  <c r="I59" i="11"/>
  <c r="G59" i="11"/>
  <c r="H59" i="11" s="1"/>
  <c r="E59" i="11"/>
  <c r="D59" i="11"/>
  <c r="A59" i="11"/>
  <c r="R58" i="11"/>
  <c r="P58" i="11"/>
  <c r="O58" i="11"/>
  <c r="N58" i="11"/>
  <c r="M58" i="11"/>
  <c r="L58" i="11"/>
  <c r="B58" i="11" s="1"/>
  <c r="K58" i="11"/>
  <c r="J58" i="11"/>
  <c r="I58" i="11"/>
  <c r="G58" i="11"/>
  <c r="H58" i="11" s="1"/>
  <c r="E58" i="11"/>
  <c r="D58" i="11"/>
  <c r="A58" i="11"/>
  <c r="R57" i="11"/>
  <c r="P57" i="11"/>
  <c r="O57" i="11"/>
  <c r="N57" i="11"/>
  <c r="M57" i="11"/>
  <c r="L57" i="11"/>
  <c r="B57" i="11" s="1"/>
  <c r="K57" i="11"/>
  <c r="J57" i="11"/>
  <c r="I57" i="11"/>
  <c r="G57" i="11"/>
  <c r="E57" i="11"/>
  <c r="D57" i="11"/>
  <c r="A57" i="11"/>
  <c r="R56" i="11"/>
  <c r="P56" i="11"/>
  <c r="O56" i="11"/>
  <c r="N56" i="11"/>
  <c r="M56" i="11"/>
  <c r="L56" i="11"/>
  <c r="B56" i="11" s="1"/>
  <c r="K56" i="11"/>
  <c r="J56" i="11"/>
  <c r="I56" i="11"/>
  <c r="G56" i="11"/>
  <c r="E56" i="11"/>
  <c r="D56" i="11"/>
  <c r="A56" i="11"/>
  <c r="R55" i="11"/>
  <c r="P55" i="11"/>
  <c r="O55" i="11"/>
  <c r="N55" i="11"/>
  <c r="M55" i="11"/>
  <c r="L55" i="11"/>
  <c r="B55" i="11" s="1"/>
  <c r="K55" i="11"/>
  <c r="J55" i="11"/>
  <c r="I55" i="11"/>
  <c r="G55" i="11"/>
  <c r="E55" i="11"/>
  <c r="D55" i="11"/>
  <c r="A55" i="11"/>
  <c r="R54" i="11"/>
  <c r="P54" i="11"/>
  <c r="O54" i="11"/>
  <c r="N54" i="11"/>
  <c r="M54" i="11"/>
  <c r="L54" i="11"/>
  <c r="B54" i="11" s="1"/>
  <c r="K54" i="11"/>
  <c r="J54" i="11"/>
  <c r="I54" i="11"/>
  <c r="G54" i="11"/>
  <c r="H54" i="11" s="1"/>
  <c r="E54" i="11"/>
  <c r="D54" i="11"/>
  <c r="A54" i="11"/>
  <c r="R53" i="11"/>
  <c r="P53" i="11"/>
  <c r="O53" i="11"/>
  <c r="N53" i="11"/>
  <c r="M53" i="11"/>
  <c r="L53" i="11"/>
  <c r="B53" i="11" s="1"/>
  <c r="K53" i="11"/>
  <c r="J53" i="11"/>
  <c r="I53" i="11"/>
  <c r="G53" i="11"/>
  <c r="H53" i="11" s="1"/>
  <c r="E53" i="11"/>
  <c r="D53" i="11"/>
  <c r="A53" i="11"/>
  <c r="R52" i="11"/>
  <c r="P52" i="11"/>
  <c r="O52" i="11"/>
  <c r="N52" i="11"/>
  <c r="M52" i="11"/>
  <c r="L52" i="11"/>
  <c r="B52" i="11" s="1"/>
  <c r="K52" i="11"/>
  <c r="J52" i="11"/>
  <c r="I52" i="11"/>
  <c r="G52" i="11"/>
  <c r="E52" i="11"/>
  <c r="D52" i="11"/>
  <c r="A52" i="11"/>
  <c r="R51" i="11"/>
  <c r="P51" i="11"/>
  <c r="O51" i="11"/>
  <c r="N51" i="11"/>
  <c r="M51" i="11"/>
  <c r="L51" i="11"/>
  <c r="B51" i="11" s="1"/>
  <c r="K51" i="11"/>
  <c r="J51" i="11"/>
  <c r="I51" i="11"/>
  <c r="G51" i="11"/>
  <c r="H51" i="11" s="1"/>
  <c r="E51" i="11"/>
  <c r="D51" i="11"/>
  <c r="A51" i="11"/>
  <c r="R50" i="11"/>
  <c r="P50" i="11"/>
  <c r="O50" i="11"/>
  <c r="N50" i="11"/>
  <c r="M50" i="11"/>
  <c r="L50" i="11"/>
  <c r="B50" i="11" s="1"/>
  <c r="K50" i="11"/>
  <c r="J50" i="11"/>
  <c r="I50" i="11"/>
  <c r="G50" i="11"/>
  <c r="H50" i="11" s="1"/>
  <c r="E50" i="11"/>
  <c r="D50" i="11"/>
  <c r="A50" i="11"/>
  <c r="R49" i="11"/>
  <c r="P49" i="11"/>
  <c r="O49" i="11"/>
  <c r="N49" i="11"/>
  <c r="M49" i="11"/>
  <c r="L49" i="11"/>
  <c r="K49" i="11"/>
  <c r="J49" i="11"/>
  <c r="I49" i="11"/>
  <c r="G49" i="11"/>
  <c r="H49" i="11" s="1"/>
  <c r="E49" i="11"/>
  <c r="D49" i="11"/>
  <c r="B49" i="11"/>
  <c r="A49" i="11"/>
  <c r="R48" i="11"/>
  <c r="P48" i="11"/>
  <c r="O48" i="11"/>
  <c r="N48" i="11"/>
  <c r="M48" i="11"/>
  <c r="L48" i="11"/>
  <c r="K48" i="11"/>
  <c r="J48" i="11"/>
  <c r="I48" i="11"/>
  <c r="G48" i="11"/>
  <c r="E48" i="11"/>
  <c r="D48" i="11"/>
  <c r="H48" i="11" s="1"/>
  <c r="B48" i="11"/>
  <c r="A48" i="11"/>
  <c r="R47" i="11"/>
  <c r="P47" i="11"/>
  <c r="O47" i="11"/>
  <c r="N47" i="11"/>
  <c r="M47" i="11"/>
  <c r="B47" i="11" s="1"/>
  <c r="L47" i="11"/>
  <c r="K47" i="11"/>
  <c r="J47" i="11"/>
  <c r="I47" i="11"/>
  <c r="G47" i="11"/>
  <c r="E47" i="11"/>
  <c r="D47" i="11"/>
  <c r="A47" i="11"/>
  <c r="R46" i="11"/>
  <c r="P46" i="11"/>
  <c r="O46" i="11"/>
  <c r="N46" i="11"/>
  <c r="M46" i="11"/>
  <c r="L46" i="11"/>
  <c r="K46" i="11"/>
  <c r="J46" i="11"/>
  <c r="I46" i="11"/>
  <c r="G46" i="11"/>
  <c r="H46" i="11" s="1"/>
  <c r="E46" i="11"/>
  <c r="D46" i="11"/>
  <c r="A46" i="11"/>
  <c r="R45" i="11"/>
  <c r="P45" i="11"/>
  <c r="O45" i="11"/>
  <c r="N45" i="11"/>
  <c r="M45" i="11"/>
  <c r="L45" i="11"/>
  <c r="B45" i="11" s="1"/>
  <c r="K45" i="11"/>
  <c r="J45" i="11"/>
  <c r="I45" i="11"/>
  <c r="G45" i="11"/>
  <c r="H45" i="11" s="1"/>
  <c r="E45" i="11"/>
  <c r="D45" i="11"/>
  <c r="A45" i="11"/>
  <c r="R44" i="11"/>
  <c r="P44" i="11"/>
  <c r="O44" i="11"/>
  <c r="N44" i="11"/>
  <c r="M44" i="11"/>
  <c r="L44" i="11"/>
  <c r="K44" i="11"/>
  <c r="J44" i="11"/>
  <c r="I44" i="11"/>
  <c r="G44" i="11"/>
  <c r="H44" i="11" s="1"/>
  <c r="E44" i="11"/>
  <c r="D44" i="11"/>
  <c r="B44" i="11"/>
  <c r="A44" i="11"/>
  <c r="R43" i="11"/>
  <c r="P43" i="11"/>
  <c r="O43" i="11"/>
  <c r="N43" i="11"/>
  <c r="M43" i="11"/>
  <c r="L43" i="11"/>
  <c r="B43" i="11" s="1"/>
  <c r="K43" i="11"/>
  <c r="J43" i="11"/>
  <c r="I43" i="11"/>
  <c r="G43" i="11"/>
  <c r="E43" i="11"/>
  <c r="D43" i="11"/>
  <c r="A43" i="11"/>
  <c r="R42" i="11"/>
  <c r="P42" i="11"/>
  <c r="O42" i="11"/>
  <c r="N42" i="11"/>
  <c r="M42" i="11"/>
  <c r="L42" i="11"/>
  <c r="B42" i="11" s="1"/>
  <c r="K42" i="11"/>
  <c r="J42" i="11"/>
  <c r="I42" i="11"/>
  <c r="G42" i="11"/>
  <c r="H42" i="11" s="1"/>
  <c r="E42" i="11"/>
  <c r="D42" i="11"/>
  <c r="A42" i="11"/>
  <c r="R41" i="11"/>
  <c r="P41" i="11"/>
  <c r="O41" i="11"/>
  <c r="N41" i="11"/>
  <c r="M41" i="11"/>
  <c r="L41" i="11"/>
  <c r="B41" i="11" s="1"/>
  <c r="K41" i="11"/>
  <c r="J41" i="11"/>
  <c r="I41" i="11"/>
  <c r="G41" i="11"/>
  <c r="H41" i="11" s="1"/>
  <c r="E41" i="11"/>
  <c r="D41" i="11"/>
  <c r="A41" i="11"/>
  <c r="R40" i="11"/>
  <c r="P40" i="11"/>
  <c r="O40" i="11"/>
  <c r="N40" i="11"/>
  <c r="M40" i="11"/>
  <c r="L40" i="11"/>
  <c r="B40" i="11" s="1"/>
  <c r="K40" i="11"/>
  <c r="J40" i="11"/>
  <c r="I40" i="11"/>
  <c r="G40" i="11"/>
  <c r="H40" i="11" s="1"/>
  <c r="E40" i="11"/>
  <c r="D40" i="11"/>
  <c r="A40" i="11"/>
  <c r="R39" i="11"/>
  <c r="P39" i="11"/>
  <c r="O39" i="11"/>
  <c r="N39" i="11"/>
  <c r="M39" i="11"/>
  <c r="L39" i="11"/>
  <c r="B39" i="11" s="1"/>
  <c r="K39" i="11"/>
  <c r="J39" i="11"/>
  <c r="I39" i="11"/>
  <c r="G39" i="11"/>
  <c r="E39" i="11"/>
  <c r="D39" i="11"/>
  <c r="A39" i="11"/>
  <c r="R38" i="11"/>
  <c r="P38" i="11"/>
  <c r="O38" i="11"/>
  <c r="N38" i="11"/>
  <c r="M38" i="11"/>
  <c r="L38" i="11"/>
  <c r="K38" i="11"/>
  <c r="J38" i="11"/>
  <c r="I38" i="11"/>
  <c r="G38" i="11"/>
  <c r="H38" i="11" s="1"/>
  <c r="E38" i="11"/>
  <c r="D38" i="11"/>
  <c r="A38" i="11"/>
  <c r="R37" i="11"/>
  <c r="P37" i="11"/>
  <c r="O37" i="11"/>
  <c r="N37" i="11"/>
  <c r="M37" i="11"/>
  <c r="L37" i="11"/>
  <c r="K37" i="11"/>
  <c r="J37" i="11"/>
  <c r="I37" i="11"/>
  <c r="H37" i="11"/>
  <c r="G37" i="11"/>
  <c r="E37" i="11"/>
  <c r="D37" i="11"/>
  <c r="B37" i="11"/>
  <c r="A37" i="11"/>
  <c r="R36" i="11"/>
  <c r="P36" i="11"/>
  <c r="O36" i="11"/>
  <c r="N36" i="11"/>
  <c r="M36" i="11"/>
  <c r="L36" i="11"/>
  <c r="B36" i="11" s="1"/>
  <c r="K36" i="11"/>
  <c r="J36" i="11"/>
  <c r="I36" i="11"/>
  <c r="G36" i="11"/>
  <c r="H36" i="11" s="1"/>
  <c r="E36" i="11"/>
  <c r="D36" i="11"/>
  <c r="A36" i="11"/>
  <c r="R35" i="11"/>
  <c r="P35" i="11"/>
  <c r="O35" i="11"/>
  <c r="N35" i="11"/>
  <c r="M35" i="11"/>
  <c r="L35" i="11"/>
  <c r="K35" i="11"/>
  <c r="J35" i="11"/>
  <c r="I35" i="11"/>
  <c r="G35" i="11"/>
  <c r="H35" i="11" s="1"/>
  <c r="E35" i="11"/>
  <c r="D35" i="11"/>
  <c r="B35" i="11"/>
  <c r="A35" i="11"/>
  <c r="R34" i="11"/>
  <c r="P34" i="11"/>
  <c r="O34" i="11"/>
  <c r="N34" i="11"/>
  <c r="M34" i="11"/>
  <c r="L34" i="11"/>
  <c r="B34" i="11" s="1"/>
  <c r="K34" i="11"/>
  <c r="J34" i="11"/>
  <c r="I34" i="11"/>
  <c r="G34" i="11"/>
  <c r="H34" i="11" s="1"/>
  <c r="E34" i="11"/>
  <c r="D34" i="11"/>
  <c r="A34" i="11"/>
  <c r="R33" i="11"/>
  <c r="P33" i="11"/>
  <c r="O33" i="11"/>
  <c r="N33" i="11"/>
  <c r="M33" i="11"/>
  <c r="B33" i="11" s="1"/>
  <c r="L33" i="11"/>
  <c r="K33" i="11"/>
  <c r="J33" i="11"/>
  <c r="I33" i="11"/>
  <c r="G33" i="11"/>
  <c r="H33" i="11" s="1"/>
  <c r="E33" i="11"/>
  <c r="D33" i="11"/>
  <c r="A33" i="11"/>
  <c r="R32" i="11"/>
  <c r="P32" i="11"/>
  <c r="O32" i="11"/>
  <c r="N32" i="11"/>
  <c r="M32" i="11"/>
  <c r="L32" i="11"/>
  <c r="B32" i="11" s="1"/>
  <c r="K32" i="11"/>
  <c r="J32" i="11"/>
  <c r="I32" i="11"/>
  <c r="H32" i="11"/>
  <c r="G32" i="11"/>
  <c r="E32" i="11"/>
  <c r="D32" i="11"/>
  <c r="A32" i="11"/>
  <c r="R31" i="11"/>
  <c r="P31" i="11"/>
  <c r="O31" i="11"/>
  <c r="N31" i="11"/>
  <c r="M31" i="11"/>
  <c r="L31" i="11"/>
  <c r="K31" i="11"/>
  <c r="J31" i="11"/>
  <c r="I31" i="11"/>
  <c r="G31" i="11"/>
  <c r="E31" i="11"/>
  <c r="D31" i="11"/>
  <c r="B31" i="11"/>
  <c r="A31" i="11"/>
  <c r="R30" i="11"/>
  <c r="P30" i="11"/>
  <c r="O30" i="11"/>
  <c r="N30" i="11"/>
  <c r="M30" i="11"/>
  <c r="L30" i="11"/>
  <c r="B30" i="11" s="1"/>
  <c r="K30" i="11"/>
  <c r="J30" i="11"/>
  <c r="I30" i="11"/>
  <c r="G30" i="11"/>
  <c r="H30" i="11" s="1"/>
  <c r="E30" i="11"/>
  <c r="D30" i="11"/>
  <c r="A30" i="11"/>
  <c r="R29" i="11"/>
  <c r="P29" i="11"/>
  <c r="O29" i="11"/>
  <c r="N29" i="11"/>
  <c r="M29" i="11"/>
  <c r="B29" i="11" s="1"/>
  <c r="L29" i="11"/>
  <c r="K29" i="11"/>
  <c r="J29" i="11"/>
  <c r="I29" i="11"/>
  <c r="G29" i="11"/>
  <c r="E29" i="11"/>
  <c r="D29" i="11"/>
  <c r="H29" i="11" s="1"/>
  <c r="A29" i="11"/>
  <c r="R28" i="11"/>
  <c r="P28" i="11"/>
  <c r="O28" i="11"/>
  <c r="N28" i="11"/>
  <c r="M28" i="11"/>
  <c r="L28" i="11"/>
  <c r="B28" i="11" s="1"/>
  <c r="K28" i="11"/>
  <c r="J28" i="11"/>
  <c r="I28" i="11"/>
  <c r="H28" i="11"/>
  <c r="G28" i="11"/>
  <c r="E28" i="11"/>
  <c r="D28" i="11"/>
  <c r="A28" i="11"/>
  <c r="R27" i="11"/>
  <c r="P27" i="11"/>
  <c r="O27" i="11"/>
  <c r="N27" i="11"/>
  <c r="M27" i="11"/>
  <c r="B27" i="11" s="1"/>
  <c r="L27" i="11"/>
  <c r="K27" i="11"/>
  <c r="J27" i="11"/>
  <c r="I27" i="11"/>
  <c r="G27" i="11"/>
  <c r="E27" i="11"/>
  <c r="D27" i="11"/>
  <c r="A27" i="11"/>
  <c r="R26" i="11"/>
  <c r="P26" i="11"/>
  <c r="O26" i="11"/>
  <c r="N26" i="11"/>
  <c r="M26" i="11"/>
  <c r="L26" i="11"/>
  <c r="B26" i="11" s="1"/>
  <c r="K26" i="11"/>
  <c r="J26" i="11"/>
  <c r="I26" i="11"/>
  <c r="H26" i="11"/>
  <c r="G26" i="11"/>
  <c r="E26" i="11"/>
  <c r="D26" i="11"/>
  <c r="A26" i="11"/>
  <c r="R25" i="11"/>
  <c r="P25" i="11"/>
  <c r="O25" i="11"/>
  <c r="N25" i="11"/>
  <c r="M25" i="11"/>
  <c r="L25" i="11"/>
  <c r="B25" i="11" s="1"/>
  <c r="K25" i="11"/>
  <c r="J25" i="11"/>
  <c r="I25" i="11"/>
  <c r="H25" i="11"/>
  <c r="G25" i="11"/>
  <c r="E25" i="11"/>
  <c r="D25" i="11"/>
  <c r="A25" i="11"/>
  <c r="R24" i="11"/>
  <c r="P24" i="11"/>
  <c r="O24" i="11"/>
  <c r="N24" i="11"/>
  <c r="M24" i="11"/>
  <c r="L24" i="11"/>
  <c r="K24" i="11"/>
  <c r="J24" i="11"/>
  <c r="I24" i="11"/>
  <c r="G24" i="11"/>
  <c r="H24" i="11" s="1"/>
  <c r="E24" i="11"/>
  <c r="D24" i="11"/>
  <c r="B24" i="11"/>
  <c r="A24" i="11"/>
  <c r="R23" i="11"/>
  <c r="P23" i="11"/>
  <c r="O23" i="11"/>
  <c r="N23" i="11"/>
  <c r="M23" i="11"/>
  <c r="L23" i="11"/>
  <c r="B23" i="11" s="1"/>
  <c r="K23" i="11"/>
  <c r="J23" i="11"/>
  <c r="I23" i="11"/>
  <c r="G23" i="11"/>
  <c r="H23" i="11" s="1"/>
  <c r="E23" i="11"/>
  <c r="D23" i="11"/>
  <c r="A23" i="11"/>
  <c r="R22" i="11"/>
  <c r="P22" i="11"/>
  <c r="O22" i="11"/>
  <c r="N22" i="11"/>
  <c r="M22" i="11"/>
  <c r="L22" i="11"/>
  <c r="K22" i="11"/>
  <c r="J22" i="11"/>
  <c r="I22" i="11"/>
  <c r="G22" i="11"/>
  <c r="H22" i="11" s="1"/>
  <c r="E22" i="11"/>
  <c r="D22" i="11"/>
  <c r="A22" i="11"/>
  <c r="R21" i="11"/>
  <c r="P21" i="11"/>
  <c r="O21" i="11"/>
  <c r="N21" i="11"/>
  <c r="M21" i="11"/>
  <c r="L21" i="11"/>
  <c r="B21" i="11" s="1"/>
  <c r="K21" i="11"/>
  <c r="J21" i="11"/>
  <c r="I21" i="11"/>
  <c r="G21" i="11"/>
  <c r="H21" i="11" s="1"/>
  <c r="E21" i="11"/>
  <c r="D21" i="11"/>
  <c r="A21" i="11"/>
  <c r="R20" i="11"/>
  <c r="P20" i="11"/>
  <c r="O20" i="11"/>
  <c r="N20" i="11"/>
  <c r="M20" i="11"/>
  <c r="L20" i="11"/>
  <c r="K20" i="11"/>
  <c r="J20" i="11"/>
  <c r="I20" i="11"/>
  <c r="G20" i="11"/>
  <c r="E20" i="11"/>
  <c r="D20" i="11"/>
  <c r="H20" i="11" s="1"/>
  <c r="B20" i="11"/>
  <c r="A20" i="11"/>
  <c r="R19" i="11"/>
  <c r="P19" i="11"/>
  <c r="O19" i="11"/>
  <c r="N19" i="11"/>
  <c r="M19" i="11"/>
  <c r="L19" i="11"/>
  <c r="K19" i="11"/>
  <c r="J19" i="11"/>
  <c r="I19" i="11"/>
  <c r="G19" i="11"/>
  <c r="E19" i="11"/>
  <c r="D19" i="11"/>
  <c r="B19" i="11"/>
  <c r="A19" i="11"/>
  <c r="R18" i="11"/>
  <c r="P18" i="11"/>
  <c r="O18" i="11"/>
  <c r="N18" i="11"/>
  <c r="M18" i="11"/>
  <c r="L18" i="11"/>
  <c r="K18" i="11"/>
  <c r="J18" i="11"/>
  <c r="I18" i="11"/>
  <c r="H18" i="11"/>
  <c r="G18" i="11"/>
  <c r="E18" i="11"/>
  <c r="D18" i="11"/>
  <c r="A18" i="11"/>
  <c r="R17" i="11"/>
  <c r="P17" i="11"/>
  <c r="O17" i="11"/>
  <c r="N17" i="11"/>
  <c r="M17" i="11"/>
  <c r="B17" i="11" s="1"/>
  <c r="L17" i="11"/>
  <c r="K17" i="11"/>
  <c r="J17" i="11"/>
  <c r="I17" i="11"/>
  <c r="G17" i="11"/>
  <c r="H17" i="11" s="1"/>
  <c r="E17" i="11"/>
  <c r="D17" i="11"/>
  <c r="A17" i="11"/>
  <c r="R16" i="11"/>
  <c r="P16" i="11"/>
  <c r="O16" i="11"/>
  <c r="N16" i="11"/>
  <c r="M16" i="11"/>
  <c r="L16" i="11"/>
  <c r="B16" i="11" s="1"/>
  <c r="K16" i="11"/>
  <c r="J16" i="11"/>
  <c r="I16" i="11"/>
  <c r="H16" i="11"/>
  <c r="G16" i="11"/>
  <c r="E16" i="11"/>
  <c r="D16" i="11"/>
  <c r="A16" i="11"/>
  <c r="R15" i="11"/>
  <c r="P15" i="11"/>
  <c r="O15" i="11"/>
  <c r="N15" i="11"/>
  <c r="M15" i="11"/>
  <c r="L15" i="11"/>
  <c r="K15" i="11"/>
  <c r="J15" i="11"/>
  <c r="I15" i="11"/>
  <c r="G15" i="11"/>
  <c r="H15" i="11" s="1"/>
  <c r="E15" i="11"/>
  <c r="D15" i="11"/>
  <c r="B15" i="11"/>
  <c r="A15" i="11"/>
  <c r="R14" i="11"/>
  <c r="P14" i="11"/>
  <c r="O14" i="11"/>
  <c r="N14" i="11"/>
  <c r="M14" i="11"/>
  <c r="L14" i="11"/>
  <c r="B14" i="11" s="1"/>
  <c r="K14" i="11"/>
  <c r="J14" i="11"/>
  <c r="I14" i="11"/>
  <c r="H14" i="11"/>
  <c r="G14" i="11"/>
  <c r="E14" i="11"/>
  <c r="D14" i="11"/>
  <c r="A14" i="11"/>
  <c r="R13" i="11"/>
  <c r="P13" i="11"/>
  <c r="O13" i="11"/>
  <c r="N13" i="11"/>
  <c r="M13" i="11"/>
  <c r="L13" i="11"/>
  <c r="B13" i="11" s="1"/>
  <c r="K13" i="11"/>
  <c r="J13" i="11"/>
  <c r="I13" i="11"/>
  <c r="G13" i="11"/>
  <c r="E13" i="11"/>
  <c r="D13" i="11"/>
  <c r="H13" i="11" s="1"/>
  <c r="A13" i="11"/>
  <c r="R12" i="11"/>
  <c r="P12" i="11"/>
  <c r="O12" i="11"/>
  <c r="N12" i="11"/>
  <c r="M12" i="11"/>
  <c r="L12" i="11"/>
  <c r="B12" i="11" s="1"/>
  <c r="K12" i="11"/>
  <c r="J12" i="11"/>
  <c r="I12" i="11"/>
  <c r="G12" i="11"/>
  <c r="H12" i="11" s="1"/>
  <c r="E12" i="11"/>
  <c r="D12" i="11"/>
  <c r="A12" i="11"/>
  <c r="R11" i="11"/>
  <c r="P11" i="11"/>
  <c r="O11" i="11"/>
  <c r="N11" i="11"/>
  <c r="M11" i="11"/>
  <c r="B11" i="11" s="1"/>
  <c r="L11" i="11"/>
  <c r="K11" i="11"/>
  <c r="J11" i="11"/>
  <c r="I11" i="11"/>
  <c r="G11" i="11"/>
  <c r="E11" i="11"/>
  <c r="D11" i="11"/>
  <c r="A11" i="11"/>
  <c r="R10" i="11"/>
  <c r="P10" i="11"/>
  <c r="O10" i="11"/>
  <c r="N10" i="11"/>
  <c r="M10" i="11"/>
  <c r="L10" i="11"/>
  <c r="K10" i="11"/>
  <c r="J10" i="11"/>
  <c r="I10" i="11"/>
  <c r="G10" i="11"/>
  <c r="H10" i="11" s="1"/>
  <c r="E10" i="11"/>
  <c r="D10" i="11"/>
  <c r="A10" i="11"/>
  <c r="R9" i="11"/>
  <c r="P9" i="11"/>
  <c r="O9" i="11"/>
  <c r="N9" i="11"/>
  <c r="M9" i="11"/>
  <c r="L9" i="11"/>
  <c r="K9" i="11"/>
  <c r="J9" i="11"/>
  <c r="I9" i="11"/>
  <c r="G9" i="11"/>
  <c r="H9" i="11" s="1"/>
  <c r="E9" i="11"/>
  <c r="D9" i="11"/>
  <c r="B9" i="11"/>
  <c r="A9" i="11"/>
  <c r="R8" i="11"/>
  <c r="P8" i="11"/>
  <c r="O8" i="11"/>
  <c r="N8" i="11"/>
  <c r="M8" i="11"/>
  <c r="L8" i="11"/>
  <c r="K8" i="11"/>
  <c r="J8" i="11"/>
  <c r="I8" i="11"/>
  <c r="G8" i="11"/>
  <c r="E8" i="11"/>
  <c r="D8" i="11"/>
  <c r="H8" i="11" s="1"/>
  <c r="B8" i="11"/>
  <c r="A8" i="11"/>
  <c r="R7" i="11"/>
  <c r="P7" i="11"/>
  <c r="O7" i="11"/>
  <c r="N7" i="11"/>
  <c r="M7" i="11"/>
  <c r="B7" i="11" s="1"/>
  <c r="L7" i="11"/>
  <c r="K7" i="11"/>
  <c r="J7" i="11"/>
  <c r="I7" i="11"/>
  <c r="G7" i="11"/>
  <c r="E7" i="11"/>
  <c r="D7" i="11"/>
  <c r="A7" i="11"/>
  <c r="R4" i="11"/>
  <c r="P4" i="11"/>
  <c r="O4" i="11"/>
  <c r="N4" i="11"/>
  <c r="M4" i="11"/>
  <c r="L4" i="11"/>
  <c r="K4" i="11"/>
  <c r="J4" i="11"/>
  <c r="I4" i="11"/>
  <c r="G4" i="11"/>
  <c r="H4" i="11" s="1"/>
  <c r="E4" i="11"/>
  <c r="D4" i="11"/>
  <c r="A4" i="11"/>
  <c r="R3" i="11"/>
  <c r="P3" i="11"/>
  <c r="O3" i="11"/>
  <c r="N3" i="11"/>
  <c r="M3" i="11"/>
  <c r="L3" i="11"/>
  <c r="B3" i="11" s="1"/>
  <c r="K3" i="11"/>
  <c r="J3" i="11"/>
  <c r="I3" i="11"/>
  <c r="G3" i="11"/>
  <c r="H3" i="11" s="1"/>
  <c r="E3" i="11"/>
  <c r="D3" i="11"/>
  <c r="A3" i="11"/>
  <c r="R2" i="11"/>
  <c r="P2" i="11"/>
  <c r="O2" i="11"/>
  <c r="N2" i="11"/>
  <c r="M2" i="11"/>
  <c r="L2" i="11"/>
  <c r="K2" i="11"/>
  <c r="J2" i="11"/>
  <c r="I2" i="11"/>
  <c r="G2" i="11"/>
  <c r="H2" i="11" s="1"/>
  <c r="E2" i="11"/>
  <c r="D2" i="11"/>
  <c r="B2" i="11"/>
  <c r="A2" i="11"/>
  <c r="D32" i="10"/>
  <c r="D30" i="10"/>
  <c r="D29" i="10"/>
  <c r="D27" i="10"/>
  <c r="D26" i="10"/>
  <c r="D25" i="10"/>
  <c r="D24" i="10"/>
  <c r="D23" i="10"/>
  <c r="D21" i="10"/>
  <c r="D20" i="10"/>
  <c r="D19" i="10"/>
  <c r="D18" i="10"/>
  <c r="V17" i="10"/>
  <c r="D17" i="10"/>
  <c r="AG16" i="10"/>
  <c r="Z16" i="10"/>
  <c r="X16" i="10"/>
  <c r="V16" i="10"/>
  <c r="U16" i="10"/>
  <c r="S16" i="10"/>
  <c r="N16" i="10"/>
  <c r="M16" i="10"/>
  <c r="L16" i="10"/>
  <c r="K16" i="10"/>
  <c r="J16" i="10"/>
  <c r="AG15" i="10"/>
  <c r="Z15" i="10"/>
  <c r="V15" i="10"/>
  <c r="X15" i="10" s="1"/>
  <c r="S15" i="10"/>
  <c r="U15" i="10" s="1"/>
  <c r="M15" i="10"/>
  <c r="L15" i="10"/>
  <c r="K15" i="10"/>
  <c r="J15" i="10"/>
  <c r="N15" i="10" s="1"/>
  <c r="D15" i="10"/>
  <c r="AG14" i="10"/>
  <c r="AF14" i="10"/>
  <c r="Y14" i="10"/>
  <c r="V14" i="10"/>
  <c r="X14" i="10" s="1"/>
  <c r="Z14" i="10" s="1"/>
  <c r="S14" i="10"/>
  <c r="U14" i="10" s="1"/>
  <c r="N14" i="10"/>
  <c r="M14" i="10"/>
  <c r="K14" i="10"/>
  <c r="J14" i="10"/>
  <c r="D14" i="10"/>
  <c r="AG13" i="10"/>
  <c r="V13" i="10"/>
  <c r="X13" i="10" s="1"/>
  <c r="Z13" i="10" s="1"/>
  <c r="S13" i="10"/>
  <c r="U13" i="10" s="1"/>
  <c r="M13" i="10"/>
  <c r="N13" i="10" s="1"/>
  <c r="K13" i="10"/>
  <c r="J13" i="10"/>
  <c r="D13" i="10"/>
  <c r="AG12" i="10"/>
  <c r="Z12" i="10"/>
  <c r="Y12" i="10"/>
  <c r="X12" i="10"/>
  <c r="V12" i="10"/>
  <c r="U12" i="10"/>
  <c r="S12" i="10"/>
  <c r="M12" i="10"/>
  <c r="K12" i="10"/>
  <c r="J12" i="10"/>
  <c r="N12" i="10" s="1"/>
  <c r="D12" i="10"/>
  <c r="AG11" i="10"/>
  <c r="Z11" i="10"/>
  <c r="X11" i="10"/>
  <c r="S11" i="10"/>
  <c r="M11" i="10"/>
  <c r="N11" i="10" s="1"/>
  <c r="K11" i="10"/>
  <c r="J11" i="10"/>
  <c r="D11" i="10"/>
  <c r="AG10" i="10"/>
  <c r="Z10" i="10"/>
  <c r="X10" i="10"/>
  <c r="S10" i="10"/>
  <c r="R10" i="10"/>
  <c r="M10" i="10" s="1"/>
  <c r="K10" i="10"/>
  <c r="J10" i="10"/>
  <c r="N10" i="10" s="1"/>
  <c r="D10" i="10"/>
  <c r="AG9" i="10"/>
  <c r="Z9" i="10"/>
  <c r="X9" i="10"/>
  <c r="S9" i="10"/>
  <c r="M9" i="10"/>
  <c r="K9" i="10"/>
  <c r="J9" i="10"/>
  <c r="N9" i="10" s="1"/>
  <c r="D9" i="10"/>
  <c r="AG8" i="10"/>
  <c r="X8" i="10"/>
  <c r="Z8" i="10" s="1"/>
  <c r="S8" i="10"/>
  <c r="S7" i="10" s="1"/>
  <c r="N7" i="10" s="1"/>
  <c r="N8" i="10"/>
  <c r="M8" i="10"/>
  <c r="K8" i="10"/>
  <c r="J8" i="10"/>
  <c r="D8" i="10"/>
  <c r="R7" i="10"/>
  <c r="Q7" i="10"/>
  <c r="P7" i="10"/>
  <c r="O7" i="10"/>
  <c r="F7" i="10"/>
  <c r="D7" i="10"/>
  <c r="R6" i="10"/>
  <c r="S6" i="10" s="1"/>
  <c r="K6" i="10"/>
  <c r="J6" i="10"/>
  <c r="D6" i="10"/>
  <c r="N5" i="10"/>
  <c r="K5" i="10"/>
  <c r="J5" i="10"/>
  <c r="D5" i="10"/>
  <c r="S4" i="10"/>
  <c r="M4" i="10"/>
  <c r="L4" i="10"/>
  <c r="K4" i="10"/>
  <c r="N4" i="10" s="1"/>
  <c r="J4" i="10"/>
  <c r="D4" i="10"/>
  <c r="L3" i="10"/>
  <c r="J3" i="10"/>
  <c r="I3" i="10"/>
  <c r="K3" i="10" s="1"/>
  <c r="H3" i="10"/>
  <c r="D3" i="10"/>
  <c r="Q2" i="10"/>
  <c r="S2" i="10" s="1"/>
  <c r="D2" i="10"/>
  <c r="C2" i="10"/>
  <c r="F52" i="9"/>
  <c r="F51" i="9"/>
  <c r="F50" i="9"/>
  <c r="F49" i="9"/>
  <c r="F48" i="9"/>
  <c r="F47" i="9"/>
  <c r="F46" i="9"/>
  <c r="F45" i="9"/>
  <c r="F44" i="9"/>
  <c r="F43" i="9"/>
  <c r="F42" i="9"/>
  <c r="F41" i="9"/>
  <c r="H40" i="9"/>
  <c r="F40" i="9"/>
  <c r="H39" i="9"/>
  <c r="F39" i="9"/>
  <c r="H38" i="9"/>
  <c r="F38" i="9"/>
  <c r="H37" i="9"/>
  <c r="F37" i="9"/>
  <c r="H36" i="9"/>
  <c r="H35" i="9"/>
  <c r="F35" i="9"/>
  <c r="H34" i="9"/>
  <c r="F34" i="9"/>
  <c r="K33" i="9"/>
  <c r="F33" i="9"/>
  <c r="K32" i="9"/>
  <c r="H32" i="9"/>
  <c r="F32" i="9"/>
  <c r="K31" i="9"/>
  <c r="H31" i="9"/>
  <c r="F31" i="9"/>
  <c r="K30" i="9"/>
  <c r="H30" i="9"/>
  <c r="F30" i="9"/>
  <c r="K29" i="9"/>
  <c r="H29" i="9"/>
  <c r="F29" i="9"/>
  <c r="K28" i="9"/>
  <c r="H28" i="9"/>
  <c r="F28" i="9"/>
  <c r="K27" i="9"/>
  <c r="H27" i="9"/>
  <c r="F27" i="9"/>
  <c r="K26" i="9"/>
  <c r="H26" i="9"/>
  <c r="F26" i="9"/>
  <c r="K25" i="9"/>
  <c r="H25" i="9"/>
  <c r="F25" i="9"/>
  <c r="K24" i="9"/>
  <c r="H24" i="9"/>
  <c r="F24" i="9"/>
  <c r="K23" i="9"/>
  <c r="H23" i="9"/>
  <c r="F23" i="9"/>
  <c r="K22" i="9"/>
  <c r="H22" i="9"/>
  <c r="F22" i="9"/>
  <c r="K21" i="9"/>
  <c r="H21" i="9"/>
  <c r="F21" i="9"/>
  <c r="K20" i="9"/>
  <c r="H20" i="9"/>
  <c r="F20" i="9"/>
  <c r="D20" i="9"/>
  <c r="K19" i="9"/>
  <c r="H19" i="9"/>
  <c r="F19" i="9"/>
  <c r="D19" i="9"/>
  <c r="K18" i="9"/>
  <c r="H18" i="9"/>
  <c r="F18" i="9"/>
  <c r="D18" i="9"/>
  <c r="K17" i="9"/>
  <c r="H17" i="9"/>
  <c r="F17" i="9"/>
  <c r="D17" i="9"/>
  <c r="K16" i="9"/>
  <c r="H16" i="9"/>
  <c r="F16" i="9"/>
  <c r="D16" i="9"/>
  <c r="K15" i="9"/>
  <c r="H15" i="9"/>
  <c r="F15" i="9"/>
  <c r="D15" i="9"/>
  <c r="K14" i="9"/>
  <c r="H14" i="9"/>
  <c r="F14" i="9"/>
  <c r="D14" i="9"/>
  <c r="H13" i="9"/>
  <c r="F13" i="9"/>
  <c r="D13" i="9"/>
  <c r="F12" i="9"/>
  <c r="D12" i="9"/>
  <c r="H11" i="9"/>
  <c r="F11" i="9"/>
  <c r="D11" i="9"/>
  <c r="H10" i="9"/>
  <c r="F10" i="9"/>
  <c r="D10" i="9"/>
  <c r="H9" i="9"/>
  <c r="F9" i="9"/>
  <c r="D9" i="9"/>
  <c r="H8" i="9"/>
  <c r="F8" i="9"/>
  <c r="D8" i="9"/>
  <c r="H7" i="9"/>
  <c r="F7" i="9"/>
  <c r="D7" i="9"/>
  <c r="H6" i="9"/>
  <c r="F6" i="9"/>
  <c r="D6" i="9"/>
  <c r="B6" i="9"/>
  <c r="H5" i="9"/>
  <c r="F5" i="9"/>
  <c r="D5" i="9"/>
  <c r="B5" i="9"/>
  <c r="H4" i="9"/>
  <c r="F4" i="9"/>
  <c r="D4" i="9"/>
  <c r="F3" i="9"/>
  <c r="D3" i="9"/>
  <c r="I161" i="8"/>
  <c r="H161" i="8" s="1"/>
  <c r="J160" i="8"/>
  <c r="F160" i="8" s="1"/>
  <c r="I160" i="8"/>
  <c r="H160" i="8" s="1"/>
  <c r="I159" i="8"/>
  <c r="H159" i="8"/>
  <c r="F159" i="8"/>
  <c r="I158" i="8"/>
  <c r="H158" i="8" s="1"/>
  <c r="I157" i="8"/>
  <c r="H157" i="8"/>
  <c r="F157" i="8"/>
  <c r="I156" i="8"/>
  <c r="I155" i="8"/>
  <c r="H155" i="8"/>
  <c r="F155" i="8"/>
  <c r="M119" i="7"/>
  <c r="M118" i="7"/>
  <c r="M117" i="7"/>
  <c r="M116" i="7"/>
  <c r="M115" i="7"/>
  <c r="M114" i="7"/>
  <c r="M113" i="7"/>
  <c r="M112" i="7"/>
  <c r="M111" i="7"/>
  <c r="M110" i="7"/>
  <c r="M109" i="7"/>
  <c r="M108" i="7"/>
  <c r="M107" i="7"/>
  <c r="M106" i="7"/>
  <c r="M105" i="7"/>
  <c r="M99" i="7"/>
  <c r="M93" i="7"/>
  <c r="M89" i="7"/>
  <c r="M88" i="7"/>
  <c r="M87" i="7"/>
  <c r="M86" i="7"/>
  <c r="M85" i="7"/>
  <c r="M84" i="7"/>
  <c r="M83" i="7"/>
  <c r="M70" i="7"/>
  <c r="M69" i="7"/>
  <c r="M67" i="7"/>
  <c r="M66" i="7"/>
  <c r="M65" i="7"/>
  <c r="M64" i="7"/>
  <c r="M63" i="7"/>
  <c r="M62" i="7"/>
  <c r="M61" i="7"/>
  <c r="M60" i="7"/>
  <c r="M59" i="7"/>
  <c r="M58" i="7"/>
  <c r="M57" i="7"/>
  <c r="M56" i="7"/>
  <c r="M55" i="7"/>
  <c r="M54" i="7"/>
  <c r="M53" i="7"/>
  <c r="M52" i="7"/>
  <c r="M51" i="7"/>
  <c r="M50" i="7"/>
  <c r="M49" i="7"/>
  <c r="M48" i="7"/>
  <c r="M47" i="7"/>
  <c r="M46" i="7"/>
  <c r="M45" i="7"/>
  <c r="M44" i="7"/>
  <c r="M43" i="7"/>
  <c r="M42" i="7"/>
  <c r="M41" i="7"/>
  <c r="M40" i="7"/>
  <c r="M39" i="7"/>
  <c r="M38" i="7"/>
  <c r="M37" i="7"/>
  <c r="M36" i="7"/>
  <c r="M35" i="7"/>
  <c r="M34" i="7"/>
  <c r="M33" i="7"/>
  <c r="M32" i="7"/>
  <c r="M31" i="7"/>
  <c r="M30" i="7"/>
  <c r="M29" i="7"/>
  <c r="M28" i="7"/>
  <c r="M27" i="7"/>
  <c r="M26" i="7"/>
  <c r="M25" i="7"/>
  <c r="M24" i="7"/>
  <c r="M23" i="7"/>
  <c r="M22" i="7"/>
  <c r="M21" i="7"/>
  <c r="M20" i="7"/>
  <c r="M19" i="7"/>
  <c r="M18" i="7"/>
  <c r="M17" i="7"/>
  <c r="M16" i="7"/>
  <c r="M15" i="7"/>
  <c r="M14" i="7"/>
  <c r="M13" i="7"/>
  <c r="M12" i="7"/>
  <c r="M11" i="7"/>
  <c r="M10" i="7"/>
  <c r="M9" i="7"/>
  <c r="M8" i="7"/>
  <c r="M7" i="7"/>
  <c r="M6" i="7"/>
  <c r="M5" i="7"/>
  <c r="M4" i="7"/>
  <c r="M3" i="7"/>
  <c r="M263" i="6"/>
  <c r="M262" i="6"/>
  <c r="M261" i="6"/>
  <c r="M260" i="6"/>
  <c r="M257" i="6"/>
  <c r="M256" i="6"/>
  <c r="M255" i="6"/>
  <c r="M254" i="6"/>
  <c r="M253" i="6"/>
  <c r="M252" i="6"/>
  <c r="M251" i="6"/>
  <c r="M250" i="6"/>
  <c r="M249" i="6"/>
  <c r="M248" i="6"/>
  <c r="M247" i="6"/>
  <c r="M246" i="6"/>
  <c r="M245" i="6"/>
  <c r="M244" i="6"/>
  <c r="M242" i="6"/>
  <c r="M241" i="6"/>
  <c r="M240" i="6"/>
  <c r="M238" i="6"/>
  <c r="M237" i="6"/>
  <c r="M236" i="6"/>
  <c r="M234" i="6"/>
  <c r="M233" i="6"/>
  <c r="M232" i="6"/>
  <c r="M231" i="6"/>
  <c r="M230" i="6"/>
  <c r="M229" i="6"/>
  <c r="M227" i="6"/>
  <c r="M225" i="6"/>
  <c r="M224" i="6"/>
  <c r="M223" i="6"/>
  <c r="M222" i="6"/>
  <c r="M221" i="6"/>
  <c r="M220" i="6"/>
  <c r="M218" i="6"/>
  <c r="M217" i="6"/>
  <c r="M216" i="6"/>
  <c r="M215" i="6"/>
  <c r="M214" i="6"/>
  <c r="M212" i="6"/>
  <c r="M211" i="6"/>
  <c r="M210" i="6"/>
  <c r="M209" i="6"/>
  <c r="M208" i="6"/>
  <c r="M207" i="6"/>
  <c r="M206" i="6"/>
  <c r="M205" i="6"/>
  <c r="M204" i="6"/>
  <c r="M202" i="6"/>
  <c r="M200" i="6"/>
  <c r="M195" i="6"/>
  <c r="M194" i="6"/>
  <c r="M193" i="6"/>
  <c r="M192" i="6"/>
  <c r="M190" i="6"/>
  <c r="M189" i="6"/>
  <c r="M188" i="6"/>
  <c r="M187" i="6"/>
  <c r="M186" i="6"/>
  <c r="M185" i="6"/>
  <c r="M183" i="6"/>
  <c r="M182" i="6"/>
  <c r="M179" i="6"/>
  <c r="M177" i="6"/>
  <c r="M176" i="6"/>
  <c r="M175" i="6"/>
  <c r="F175" i="6"/>
  <c r="M174" i="6"/>
  <c r="M172" i="6"/>
  <c r="F172" i="6"/>
  <c r="F171" i="6"/>
  <c r="M170" i="6"/>
  <c r="F170" i="6"/>
  <c r="M169" i="6"/>
  <c r="F169" i="6"/>
  <c r="F168" i="6"/>
  <c r="M167" i="6"/>
  <c r="F167" i="6"/>
  <c r="M166" i="6"/>
  <c r="F166" i="6"/>
  <c r="F165" i="6"/>
  <c r="F164" i="6"/>
  <c r="F163" i="6"/>
  <c r="F162" i="6"/>
  <c r="M161" i="6"/>
  <c r="F161" i="6"/>
  <c r="M160" i="6"/>
  <c r="M159" i="6"/>
  <c r="F159" i="6"/>
  <c r="M158" i="6"/>
  <c r="F158" i="6"/>
  <c r="M157" i="6"/>
  <c r="F157" i="6"/>
  <c r="M156" i="6"/>
  <c r="M155" i="6"/>
  <c r="F155" i="6"/>
  <c r="F154" i="6"/>
  <c r="F153" i="6"/>
  <c r="M152" i="6"/>
  <c r="F152" i="6"/>
  <c r="M151" i="6"/>
  <c r="M150" i="6"/>
  <c r="M149" i="6"/>
  <c r="F149" i="6"/>
  <c r="F148" i="6"/>
  <c r="M147" i="6"/>
  <c r="F147" i="6"/>
  <c r="M146" i="6"/>
  <c r="F145" i="6"/>
  <c r="M144" i="6"/>
  <c r="M143" i="6"/>
  <c r="F143" i="6"/>
  <c r="M142" i="6"/>
  <c r="F142" i="6"/>
  <c r="M141" i="6"/>
  <c r="M140" i="6"/>
  <c r="F140" i="6"/>
  <c r="M139" i="6"/>
  <c r="F139" i="6"/>
  <c r="M138" i="6"/>
  <c r="F138" i="6"/>
  <c r="M137" i="6"/>
  <c r="M136" i="6"/>
  <c r="M135" i="6"/>
  <c r="F134" i="6"/>
  <c r="F133" i="6"/>
  <c r="M132" i="6"/>
  <c r="F132" i="6"/>
  <c r="M131" i="6"/>
  <c r="F131" i="6"/>
  <c r="M130" i="6"/>
  <c r="M129" i="6"/>
  <c r="F129" i="6"/>
  <c r="M128" i="6"/>
  <c r="F128" i="6"/>
  <c r="M127" i="6"/>
  <c r="M126" i="6"/>
  <c r="F126" i="6"/>
  <c r="M122" i="6"/>
  <c r="F122" i="6"/>
  <c r="F121" i="6"/>
  <c r="F120" i="6"/>
  <c r="F119" i="6"/>
  <c r="F117" i="6"/>
  <c r="F116" i="6"/>
  <c r="F115" i="6"/>
  <c r="F114" i="6"/>
  <c r="F113" i="6"/>
  <c r="F112" i="6"/>
  <c r="F111" i="6"/>
  <c r="F110" i="6"/>
  <c r="F109" i="6"/>
  <c r="M108" i="6"/>
  <c r="F108" i="6"/>
  <c r="F106" i="6"/>
  <c r="L104" i="6"/>
  <c r="F104" i="6"/>
  <c r="F103" i="6"/>
  <c r="F102" i="6"/>
  <c r="F101" i="6"/>
  <c r="F100" i="6"/>
  <c r="M99" i="6"/>
  <c r="F98" i="6"/>
  <c r="F95" i="6"/>
  <c r="F94" i="6"/>
  <c r="M93" i="6"/>
  <c r="F93" i="6"/>
  <c r="M92" i="6"/>
  <c r="M91" i="6"/>
  <c r="F91" i="6"/>
  <c r="M90" i="6"/>
  <c r="F90" i="6"/>
  <c r="M89" i="6"/>
  <c r="F89" i="6"/>
  <c r="M88" i="6"/>
  <c r="F88" i="6"/>
  <c r="M87" i="6"/>
  <c r="M86" i="6"/>
  <c r="F86" i="6"/>
  <c r="M85" i="6"/>
  <c r="F85" i="6"/>
  <c r="M84" i="6"/>
  <c r="M83" i="6"/>
  <c r="F83" i="6"/>
  <c r="M82" i="6"/>
  <c r="M81" i="6"/>
  <c r="F81" i="6"/>
  <c r="M80" i="6"/>
  <c r="F80" i="6"/>
  <c r="F79" i="6"/>
  <c r="F78" i="6"/>
  <c r="M76" i="6"/>
  <c r="F76" i="6"/>
  <c r="M75" i="6"/>
  <c r="F75" i="6"/>
  <c r="M74" i="6"/>
  <c r="F74" i="6"/>
  <c r="M73" i="6"/>
  <c r="F73" i="6"/>
  <c r="M72" i="6"/>
  <c r="F72" i="6"/>
  <c r="M71" i="6"/>
  <c r="F71" i="6"/>
  <c r="M69" i="6"/>
  <c r="F69" i="6"/>
  <c r="F68" i="6"/>
  <c r="F67" i="6"/>
  <c r="M66" i="6"/>
  <c r="F66" i="6"/>
  <c r="M65" i="6"/>
  <c r="F65" i="6"/>
  <c r="M64" i="6"/>
  <c r="F64" i="6"/>
  <c r="M63" i="6"/>
  <c r="F62" i="6"/>
  <c r="F61" i="6"/>
  <c r="F60" i="6"/>
  <c r="F59" i="6"/>
  <c r="F58" i="6"/>
  <c r="F57" i="6"/>
  <c r="F56" i="6"/>
  <c r="F55" i="6"/>
  <c r="F54" i="6"/>
  <c r="F53" i="6"/>
  <c r="F52" i="6"/>
  <c r="F51" i="6"/>
  <c r="F50" i="6"/>
  <c r="F49" i="6"/>
  <c r="M48" i="6"/>
  <c r="F48" i="6"/>
  <c r="F47" i="6"/>
  <c r="F46" i="6"/>
  <c r="F45" i="6"/>
  <c r="F44" i="6"/>
  <c r="F43" i="6"/>
  <c r="F41" i="6"/>
  <c r="F40" i="6"/>
  <c r="F39" i="6"/>
  <c r="F38" i="6"/>
  <c r="F37" i="6"/>
  <c r="F36" i="6"/>
  <c r="M35" i="6"/>
  <c r="F35" i="6"/>
  <c r="F34" i="6"/>
  <c r="L33" i="6"/>
  <c r="F33" i="6"/>
  <c r="F32" i="6"/>
  <c r="F31" i="6"/>
  <c r="F30" i="6"/>
  <c r="L29" i="6"/>
  <c r="F29" i="6"/>
  <c r="F28" i="6"/>
  <c r="F27" i="6"/>
  <c r="F26" i="6"/>
  <c r="F25" i="6"/>
  <c r="F24" i="6"/>
  <c r="F23" i="6"/>
  <c r="F22" i="6"/>
  <c r="F21" i="6"/>
  <c r="L20" i="6"/>
  <c r="F20" i="6"/>
  <c r="F19" i="6"/>
  <c r="F18" i="6"/>
  <c r="F17" i="6"/>
  <c r="F16" i="6"/>
  <c r="F15" i="6"/>
  <c r="F14" i="6"/>
  <c r="F13" i="6"/>
  <c r="F12" i="6"/>
  <c r="F11" i="6"/>
  <c r="F10" i="6"/>
  <c r="F9" i="6"/>
  <c r="F8" i="6"/>
  <c r="L5" i="6"/>
  <c r="F5" i="6"/>
  <c r="F2" i="6"/>
  <c r="Q26" i="5"/>
  <c r="Q25" i="5"/>
  <c r="L25" i="5"/>
  <c r="Q24" i="5"/>
  <c r="L24" i="5"/>
  <c r="Q23" i="5"/>
  <c r="L23" i="5"/>
  <c r="Q22" i="5"/>
  <c r="L22" i="5"/>
  <c r="Q21" i="5"/>
  <c r="L21" i="5"/>
  <c r="L20" i="5"/>
  <c r="L19" i="5"/>
  <c r="L18" i="5"/>
  <c r="L17" i="5"/>
  <c r="L16" i="5"/>
  <c r="L15" i="5"/>
  <c r="L14" i="5"/>
  <c r="L13" i="5"/>
  <c r="L12" i="5"/>
  <c r="L11" i="5"/>
  <c r="L10" i="5"/>
  <c r="L9" i="5"/>
  <c r="L8" i="5"/>
  <c r="L7" i="5"/>
  <c r="L6" i="5"/>
  <c r="L5" i="5"/>
  <c r="L4" i="5"/>
  <c r="L3" i="5"/>
  <c r="L2" i="5"/>
  <c r="I19" i="4"/>
  <c r="H19" i="4"/>
  <c r="I18" i="4"/>
  <c r="H18" i="4"/>
  <c r="I17" i="4"/>
  <c r="H17" i="4"/>
  <c r="I16" i="4"/>
  <c r="H16" i="4"/>
  <c r="I15" i="4"/>
  <c r="H15" i="4"/>
  <c r="I14" i="4"/>
  <c r="H14" i="4"/>
  <c r="I13" i="4"/>
  <c r="H13" i="4"/>
  <c r="I12" i="4"/>
  <c r="H12" i="4"/>
  <c r="I11" i="4"/>
  <c r="H11" i="4"/>
  <c r="I10" i="4"/>
  <c r="H10" i="4"/>
  <c r="I9" i="4"/>
  <c r="H9" i="4"/>
  <c r="I8" i="4"/>
  <c r="H8" i="4"/>
  <c r="I7" i="4"/>
  <c r="H7" i="4"/>
  <c r="I6" i="4"/>
  <c r="H6" i="4"/>
  <c r="I5" i="4"/>
  <c r="H5" i="4"/>
  <c r="I4" i="4"/>
  <c r="H4" i="4"/>
  <c r="I3" i="4"/>
  <c r="H3" i="4"/>
  <c r="E33" i="3"/>
  <c r="K23" i="2"/>
  <c r="K11" i="2"/>
  <c r="K10" i="2"/>
  <c r="K9" i="2"/>
  <c r="K8" i="2"/>
  <c r="K7" i="2"/>
  <c r="U299" i="13"/>
  <c r="L299" i="13"/>
  <c r="K299" i="13"/>
  <c r="I299" i="13"/>
  <c r="H299" i="13"/>
  <c r="D299" i="13"/>
  <c r="C299" i="13"/>
  <c r="U298" i="13"/>
  <c r="L298" i="13"/>
  <c r="K298" i="13"/>
  <c r="I298" i="13"/>
  <c r="H298" i="13"/>
  <c r="D298" i="13"/>
  <c r="C298" i="13"/>
  <c r="U297" i="13"/>
  <c r="K297" i="13"/>
  <c r="L297" i="13" s="1"/>
  <c r="I297" i="13"/>
  <c r="H297" i="13"/>
  <c r="D297" i="13"/>
  <c r="C297" i="13" s="1"/>
  <c r="U296" i="13"/>
  <c r="K296" i="13"/>
  <c r="L296" i="13" s="1"/>
  <c r="I296" i="13"/>
  <c r="H296" i="13"/>
  <c r="D296" i="13"/>
  <c r="C296" i="13" s="1"/>
  <c r="U295" i="13"/>
  <c r="K295" i="13"/>
  <c r="L295" i="13" s="1"/>
  <c r="I295" i="13"/>
  <c r="H295" i="13"/>
  <c r="D295" i="13"/>
  <c r="C295" i="13" s="1"/>
  <c r="U294" i="13"/>
  <c r="K294" i="13"/>
  <c r="L294" i="13" s="1"/>
  <c r="I294" i="13"/>
  <c r="H294" i="13"/>
  <c r="D294" i="13"/>
  <c r="C294" i="13" s="1"/>
  <c r="U293" i="13"/>
  <c r="L293" i="13"/>
  <c r="K293" i="13"/>
  <c r="I293" i="13"/>
  <c r="H293" i="13"/>
  <c r="D293" i="13"/>
  <c r="C293" i="13"/>
  <c r="U292" i="13"/>
  <c r="L292" i="13"/>
  <c r="K292" i="13"/>
  <c r="I292" i="13"/>
  <c r="H292" i="13"/>
  <c r="D292" i="13"/>
  <c r="C292" i="13"/>
  <c r="U291" i="13"/>
  <c r="L291" i="13"/>
  <c r="K291" i="13"/>
  <c r="I291" i="13"/>
  <c r="H291" i="13"/>
  <c r="D291" i="13"/>
  <c r="C291" i="13" s="1"/>
  <c r="U290" i="13"/>
  <c r="K290" i="13"/>
  <c r="L290" i="13" s="1"/>
  <c r="I290" i="13"/>
  <c r="H290" i="13"/>
  <c r="D290" i="13"/>
  <c r="C290" i="13"/>
  <c r="U289" i="13"/>
  <c r="L289" i="13"/>
  <c r="K289" i="13"/>
  <c r="I289" i="13"/>
  <c r="I278" i="13" s="1"/>
  <c r="H289" i="13"/>
  <c r="D289" i="13"/>
  <c r="C289" i="13"/>
  <c r="U288" i="13"/>
  <c r="K288" i="13"/>
  <c r="L288" i="13" s="1"/>
  <c r="I288" i="13"/>
  <c r="H288" i="13"/>
  <c r="D288" i="13"/>
  <c r="C288" i="13"/>
  <c r="U287" i="13"/>
  <c r="K287" i="13"/>
  <c r="L287" i="13" s="1"/>
  <c r="I287" i="13"/>
  <c r="H287" i="13"/>
  <c r="D287" i="13"/>
  <c r="C287" i="13" s="1"/>
  <c r="U286" i="13"/>
  <c r="K286" i="13"/>
  <c r="L286" i="13" s="1"/>
  <c r="I286" i="13"/>
  <c r="H286" i="13"/>
  <c r="D286" i="13"/>
  <c r="C286" i="13"/>
  <c r="U285" i="13"/>
  <c r="K285" i="13"/>
  <c r="L285" i="13" s="1"/>
  <c r="I285" i="13"/>
  <c r="H285" i="13"/>
  <c r="D285" i="13"/>
  <c r="C285" i="13"/>
  <c r="U284" i="13"/>
  <c r="K284" i="13"/>
  <c r="L284" i="13" s="1"/>
  <c r="I284" i="13"/>
  <c r="H284" i="13"/>
  <c r="D284" i="13"/>
  <c r="C284" i="13" s="1"/>
  <c r="U283" i="13"/>
  <c r="K283" i="13"/>
  <c r="L283" i="13" s="1"/>
  <c r="I283" i="13"/>
  <c r="H283" i="13"/>
  <c r="D283" i="13"/>
  <c r="C283" i="13"/>
  <c r="U282" i="13"/>
  <c r="K282" i="13"/>
  <c r="L282" i="13" s="1"/>
  <c r="I282" i="13"/>
  <c r="H282" i="13"/>
  <c r="D282" i="13"/>
  <c r="C282" i="13"/>
  <c r="U281" i="13"/>
  <c r="Q281" i="13"/>
  <c r="Q282" i="13" s="1"/>
  <c r="Q283" i="13" s="1"/>
  <c r="Q284" i="13" s="1"/>
  <c r="Q285" i="13" s="1"/>
  <c r="Q286" i="13" s="1"/>
  <c r="Q287" i="13" s="1"/>
  <c r="Q288" i="13" s="1"/>
  <c r="Q289" i="13" s="1"/>
  <c r="Q290" i="13" s="1"/>
  <c r="Q291" i="13" s="1"/>
  <c r="Q292" i="13" s="1"/>
  <c r="Q293" i="13" s="1"/>
  <c r="Q294" i="13" s="1"/>
  <c r="Q295" i="13" s="1"/>
  <c r="Q296" i="13" s="1"/>
  <c r="Q297" i="13" s="1"/>
  <c r="Q298" i="13" s="1"/>
  <c r="Q299" i="13" s="1"/>
  <c r="L281" i="13"/>
  <c r="K281" i="13"/>
  <c r="I281" i="13"/>
  <c r="H281" i="13"/>
  <c r="D281" i="13"/>
  <c r="C281" i="13"/>
  <c r="U280" i="13"/>
  <c r="Q280" i="13"/>
  <c r="K280" i="13"/>
  <c r="L280" i="13" s="1"/>
  <c r="I280" i="13"/>
  <c r="H280" i="13"/>
  <c r="D280" i="13"/>
  <c r="C280" i="13" s="1"/>
  <c r="U279" i="13"/>
  <c r="U278" i="13" s="1"/>
  <c r="Q279" i="13"/>
  <c r="K279" i="13"/>
  <c r="K278" i="13" s="1"/>
  <c r="I279" i="13"/>
  <c r="H279" i="13"/>
  <c r="D279" i="13"/>
  <c r="C279" i="13" s="1"/>
  <c r="T278" i="13"/>
  <c r="S278" i="13"/>
  <c r="R278" i="13"/>
  <c r="P278" i="13"/>
  <c r="O278" i="13"/>
  <c r="N278" i="13"/>
  <c r="M278" i="13"/>
  <c r="J278" i="13"/>
  <c r="G278" i="13"/>
  <c r="F278" i="13"/>
  <c r="H278" i="13" s="1"/>
  <c r="E278" i="13"/>
  <c r="U277" i="13"/>
  <c r="K277" i="13"/>
  <c r="L277" i="13" s="1"/>
  <c r="I277" i="13"/>
  <c r="H277" i="13"/>
  <c r="D277" i="13"/>
  <c r="C277" i="13" s="1"/>
  <c r="U276" i="13"/>
  <c r="K276" i="13"/>
  <c r="L276" i="13" s="1"/>
  <c r="I276" i="13"/>
  <c r="H276" i="13"/>
  <c r="D276" i="13"/>
  <c r="C276" i="13" s="1"/>
  <c r="U275" i="13"/>
  <c r="K275" i="13"/>
  <c r="L275" i="13" s="1"/>
  <c r="I275" i="13"/>
  <c r="H275" i="13"/>
  <c r="D275" i="13"/>
  <c r="C275" i="13" s="1"/>
  <c r="U274" i="13"/>
  <c r="K274" i="13"/>
  <c r="L274" i="13" s="1"/>
  <c r="I274" i="13"/>
  <c r="H274" i="13"/>
  <c r="D274" i="13"/>
  <c r="C274" i="13" s="1"/>
  <c r="U273" i="13"/>
  <c r="K273" i="13"/>
  <c r="L273" i="13" s="1"/>
  <c r="I273" i="13"/>
  <c r="H273" i="13"/>
  <c r="D273" i="13"/>
  <c r="C273" i="13" s="1"/>
  <c r="U272" i="13"/>
  <c r="K272" i="13"/>
  <c r="L272" i="13" s="1"/>
  <c r="I272" i="13"/>
  <c r="H272" i="13"/>
  <c r="D272" i="13"/>
  <c r="C272" i="13" s="1"/>
  <c r="U271" i="13"/>
  <c r="K271" i="13"/>
  <c r="L271" i="13" s="1"/>
  <c r="I271" i="13"/>
  <c r="H271" i="13"/>
  <c r="D271" i="13"/>
  <c r="C271" i="13"/>
  <c r="U270" i="13"/>
  <c r="K270" i="13"/>
  <c r="L270" i="13" s="1"/>
  <c r="I270" i="13"/>
  <c r="H270" i="13"/>
  <c r="D270" i="13"/>
  <c r="C270" i="13"/>
  <c r="U269" i="13"/>
  <c r="L269" i="13"/>
  <c r="K269" i="13"/>
  <c r="I269" i="13"/>
  <c r="H269" i="13"/>
  <c r="D269" i="13"/>
  <c r="C269" i="13"/>
  <c r="U268" i="13"/>
  <c r="K268" i="13"/>
  <c r="L268" i="13" s="1"/>
  <c r="I268" i="13"/>
  <c r="H268" i="13"/>
  <c r="D268" i="13"/>
  <c r="C268" i="13" s="1"/>
  <c r="U267" i="13"/>
  <c r="K267" i="13"/>
  <c r="L267" i="13" s="1"/>
  <c r="I267" i="13"/>
  <c r="H267" i="13"/>
  <c r="D267" i="13"/>
  <c r="C267" i="13" s="1"/>
  <c r="U266" i="13"/>
  <c r="K266" i="13"/>
  <c r="L266" i="13" s="1"/>
  <c r="I266" i="13"/>
  <c r="H266" i="13"/>
  <c r="D266" i="13"/>
  <c r="C266" i="13" s="1"/>
  <c r="U265" i="13"/>
  <c r="K265" i="13"/>
  <c r="L265" i="13" s="1"/>
  <c r="I265" i="13"/>
  <c r="H265" i="13"/>
  <c r="D265" i="13"/>
  <c r="C265" i="13" s="1"/>
  <c r="U264" i="13"/>
  <c r="K264" i="13"/>
  <c r="L264" i="13" s="1"/>
  <c r="I264" i="13"/>
  <c r="H264" i="13"/>
  <c r="D264" i="13"/>
  <c r="C264" i="13"/>
  <c r="U263" i="13"/>
  <c r="L263" i="13"/>
  <c r="K263" i="13"/>
  <c r="I263" i="13"/>
  <c r="H263" i="13"/>
  <c r="D263" i="13"/>
  <c r="C263" i="13" s="1"/>
  <c r="U262" i="13"/>
  <c r="L262" i="13"/>
  <c r="K262" i="13"/>
  <c r="I262" i="13"/>
  <c r="H262" i="13"/>
  <c r="D262" i="13"/>
  <c r="C262" i="13"/>
  <c r="U261" i="13"/>
  <c r="K261" i="13"/>
  <c r="L261" i="13" s="1"/>
  <c r="I261" i="13"/>
  <c r="H261" i="13"/>
  <c r="D261" i="13"/>
  <c r="C261" i="13"/>
  <c r="U260" i="13"/>
  <c r="K260" i="13"/>
  <c r="L260" i="13" s="1"/>
  <c r="I260" i="13"/>
  <c r="H260" i="13"/>
  <c r="D260" i="13"/>
  <c r="C260" i="13"/>
  <c r="U259" i="13"/>
  <c r="K259" i="13"/>
  <c r="I259" i="13"/>
  <c r="H259" i="13"/>
  <c r="D259" i="13"/>
  <c r="C259" i="13" s="1"/>
  <c r="U258" i="13"/>
  <c r="K258" i="13"/>
  <c r="L258" i="13" s="1"/>
  <c r="I258" i="13"/>
  <c r="H258" i="13"/>
  <c r="D258" i="13"/>
  <c r="C258" i="13" s="1"/>
  <c r="U257" i="13"/>
  <c r="Q257" i="13"/>
  <c r="Q258" i="13" s="1"/>
  <c r="Q259" i="13" s="1"/>
  <c r="Q260" i="13" s="1"/>
  <c r="Q261" i="13" s="1"/>
  <c r="Q262" i="13" s="1"/>
  <c r="Q263" i="13" s="1"/>
  <c r="Q264" i="13" s="1"/>
  <c r="Q265" i="13" s="1"/>
  <c r="Q266" i="13" s="1"/>
  <c r="Q267" i="13" s="1"/>
  <c r="Q268" i="13" s="1"/>
  <c r="Q269" i="13" s="1"/>
  <c r="Q270" i="13" s="1"/>
  <c r="Q271" i="13" s="1"/>
  <c r="Q272" i="13" s="1"/>
  <c r="Q273" i="13" s="1"/>
  <c r="Q274" i="13" s="1"/>
  <c r="Q275" i="13" s="1"/>
  <c r="Q276" i="13" s="1"/>
  <c r="Q277" i="13" s="1"/>
  <c r="K257" i="13"/>
  <c r="L257" i="13" s="1"/>
  <c r="I257" i="13"/>
  <c r="I256" i="13" s="1"/>
  <c r="H257" i="13"/>
  <c r="D257" i="13"/>
  <c r="C257" i="13" s="1"/>
  <c r="T256" i="13"/>
  <c r="S256" i="13"/>
  <c r="R256" i="13"/>
  <c r="P256" i="13"/>
  <c r="O256" i="13"/>
  <c r="N256" i="13"/>
  <c r="M256" i="13"/>
  <c r="J256" i="13"/>
  <c r="G256" i="13"/>
  <c r="F256" i="13"/>
  <c r="H256" i="13" s="1"/>
  <c r="E256" i="13"/>
  <c r="U255" i="13"/>
  <c r="K255" i="13"/>
  <c r="L255" i="13" s="1"/>
  <c r="I255" i="13"/>
  <c r="H255" i="13"/>
  <c r="D255" i="13"/>
  <c r="C255" i="13" s="1"/>
  <c r="U254" i="13"/>
  <c r="K254" i="13"/>
  <c r="L254" i="13" s="1"/>
  <c r="I254" i="13"/>
  <c r="H254" i="13"/>
  <c r="D254" i="13"/>
  <c r="C254" i="13"/>
  <c r="U253" i="13"/>
  <c r="K253" i="13"/>
  <c r="L253" i="13" s="1"/>
  <c r="I253" i="13"/>
  <c r="H253" i="13"/>
  <c r="D253" i="13"/>
  <c r="C253" i="13"/>
  <c r="U252" i="13"/>
  <c r="L252" i="13"/>
  <c r="K252" i="13"/>
  <c r="I252" i="13"/>
  <c r="H252" i="13"/>
  <c r="D252" i="13"/>
  <c r="C252" i="13"/>
  <c r="U251" i="13"/>
  <c r="K251" i="13"/>
  <c r="L251" i="13" s="1"/>
  <c r="I251" i="13"/>
  <c r="H251" i="13"/>
  <c r="D251" i="13"/>
  <c r="C251" i="13"/>
  <c r="U250" i="13"/>
  <c r="K250" i="13"/>
  <c r="L250" i="13" s="1"/>
  <c r="I250" i="13"/>
  <c r="H250" i="13"/>
  <c r="D250" i="13"/>
  <c r="C250" i="13" s="1"/>
  <c r="U249" i="13"/>
  <c r="K249" i="13"/>
  <c r="L249" i="13" s="1"/>
  <c r="I249" i="13"/>
  <c r="H249" i="13"/>
  <c r="D249" i="13"/>
  <c r="C249" i="13" s="1"/>
  <c r="U248" i="13"/>
  <c r="L248" i="13"/>
  <c r="K248" i="13"/>
  <c r="I248" i="13"/>
  <c r="H248" i="13"/>
  <c r="D248" i="13"/>
  <c r="C248" i="13"/>
  <c r="U247" i="13"/>
  <c r="L247" i="13"/>
  <c r="K247" i="13"/>
  <c r="I247" i="13"/>
  <c r="H247" i="13"/>
  <c r="D247" i="13"/>
  <c r="C247" i="13"/>
  <c r="U246" i="13"/>
  <c r="L246" i="13"/>
  <c r="K246" i="13"/>
  <c r="I246" i="13"/>
  <c r="H246" i="13"/>
  <c r="D246" i="13"/>
  <c r="C246" i="13" s="1"/>
  <c r="U245" i="13"/>
  <c r="K245" i="13"/>
  <c r="L245" i="13" s="1"/>
  <c r="I245" i="13"/>
  <c r="H245" i="13"/>
  <c r="D245" i="13"/>
  <c r="C245" i="13"/>
  <c r="U244" i="13"/>
  <c r="L244" i="13"/>
  <c r="K244" i="13"/>
  <c r="I244" i="13"/>
  <c r="H244" i="13"/>
  <c r="D244" i="13"/>
  <c r="C244" i="13" s="1"/>
  <c r="U243" i="13"/>
  <c r="K243" i="13"/>
  <c r="L243" i="13" s="1"/>
  <c r="I243" i="13"/>
  <c r="H243" i="13"/>
  <c r="D243" i="13"/>
  <c r="C243" i="13"/>
  <c r="U242" i="13"/>
  <c r="K242" i="13"/>
  <c r="L242" i="13" s="1"/>
  <c r="I242" i="13"/>
  <c r="H242" i="13"/>
  <c r="D242" i="13"/>
  <c r="C242" i="13" s="1"/>
  <c r="U241" i="13"/>
  <c r="L241" i="13"/>
  <c r="K241" i="13"/>
  <c r="I241" i="13"/>
  <c r="H241" i="13"/>
  <c r="D241" i="13"/>
  <c r="C241" i="13"/>
  <c r="U240" i="13"/>
  <c r="K240" i="13"/>
  <c r="L240" i="13" s="1"/>
  <c r="I240" i="13"/>
  <c r="H240" i="13"/>
  <c r="D240" i="13"/>
  <c r="C240" i="13" s="1"/>
  <c r="C232" i="13" s="1"/>
  <c r="U239" i="13"/>
  <c r="K239" i="13"/>
  <c r="L239" i="13" s="1"/>
  <c r="I239" i="13"/>
  <c r="H239" i="13"/>
  <c r="D239" i="13"/>
  <c r="C239" i="13"/>
  <c r="U238" i="13"/>
  <c r="K238" i="13"/>
  <c r="L238" i="13" s="1"/>
  <c r="I238" i="13"/>
  <c r="H238" i="13"/>
  <c r="D238" i="13"/>
  <c r="C238" i="13"/>
  <c r="U237" i="13"/>
  <c r="L237" i="13"/>
  <c r="K237" i="13"/>
  <c r="I237" i="13"/>
  <c r="H237" i="13"/>
  <c r="D237" i="13"/>
  <c r="C237" i="13"/>
  <c r="U236" i="13"/>
  <c r="K236" i="13"/>
  <c r="L236" i="13" s="1"/>
  <c r="I236" i="13"/>
  <c r="H236" i="13"/>
  <c r="D236" i="13"/>
  <c r="C236" i="13"/>
  <c r="U235" i="13"/>
  <c r="K235" i="13"/>
  <c r="L235" i="13" s="1"/>
  <c r="I235" i="13"/>
  <c r="H235" i="13"/>
  <c r="D235" i="13"/>
  <c r="C235" i="13"/>
  <c r="U234" i="13"/>
  <c r="Q234" i="13"/>
  <c r="Q235" i="13" s="1"/>
  <c r="Q236" i="13" s="1"/>
  <c r="Q237" i="13" s="1"/>
  <c r="Q238" i="13" s="1"/>
  <c r="Q239" i="13" s="1"/>
  <c r="Q240" i="13" s="1"/>
  <c r="Q241" i="13" s="1"/>
  <c r="Q242" i="13" s="1"/>
  <c r="Q243" i="13" s="1"/>
  <c r="Q244" i="13" s="1"/>
  <c r="Q245" i="13" s="1"/>
  <c r="Q246" i="13" s="1"/>
  <c r="Q247" i="13" s="1"/>
  <c r="Q248" i="13" s="1"/>
  <c r="Q249" i="13" s="1"/>
  <c r="Q250" i="13" s="1"/>
  <c r="Q251" i="13" s="1"/>
  <c r="Q252" i="13" s="1"/>
  <c r="Q253" i="13" s="1"/>
  <c r="Q254" i="13" s="1"/>
  <c r="Q255" i="13" s="1"/>
  <c r="L234" i="13"/>
  <c r="K234" i="13"/>
  <c r="I234" i="13"/>
  <c r="H234" i="13"/>
  <c r="D234" i="13"/>
  <c r="C234" i="13"/>
  <c r="U233" i="13"/>
  <c r="U232" i="13" s="1"/>
  <c r="Q233" i="13"/>
  <c r="K233" i="13"/>
  <c r="K232" i="13" s="1"/>
  <c r="I233" i="13"/>
  <c r="I232" i="13" s="1"/>
  <c r="H233" i="13"/>
  <c r="D233" i="13"/>
  <c r="C233" i="13"/>
  <c r="T232" i="13"/>
  <c r="S232" i="13"/>
  <c r="R232" i="13"/>
  <c r="P232" i="13"/>
  <c r="O232" i="13"/>
  <c r="N232" i="13"/>
  <c r="M232" i="13"/>
  <c r="J232" i="13"/>
  <c r="H232" i="13"/>
  <c r="G232" i="13"/>
  <c r="F232" i="13"/>
  <c r="E232" i="13"/>
  <c r="U231" i="13"/>
  <c r="K231" i="13"/>
  <c r="L231" i="13" s="1"/>
  <c r="I231" i="13"/>
  <c r="H231" i="13"/>
  <c r="D231" i="13"/>
  <c r="C231" i="13" s="1"/>
  <c r="U230" i="13"/>
  <c r="K230" i="13"/>
  <c r="L230" i="13" s="1"/>
  <c r="I230" i="13"/>
  <c r="H230" i="13"/>
  <c r="D230" i="13"/>
  <c r="C230" i="13"/>
  <c r="U229" i="13"/>
  <c r="K229" i="13"/>
  <c r="L229" i="13" s="1"/>
  <c r="I229" i="13"/>
  <c r="H229" i="13"/>
  <c r="D229" i="13"/>
  <c r="C229" i="13"/>
  <c r="U228" i="13"/>
  <c r="L228" i="13"/>
  <c r="K228" i="13"/>
  <c r="I228" i="13"/>
  <c r="H228" i="13"/>
  <c r="D228" i="13"/>
  <c r="C228" i="13"/>
  <c r="U227" i="13"/>
  <c r="K227" i="13"/>
  <c r="L227" i="13" s="1"/>
  <c r="I227" i="13"/>
  <c r="H227" i="13"/>
  <c r="D227" i="13"/>
  <c r="C227" i="13"/>
  <c r="U226" i="13"/>
  <c r="K226" i="13"/>
  <c r="L226" i="13" s="1"/>
  <c r="I226" i="13"/>
  <c r="H226" i="13"/>
  <c r="D226" i="13"/>
  <c r="C226" i="13"/>
  <c r="U225" i="13"/>
  <c r="L225" i="13"/>
  <c r="K225" i="13"/>
  <c r="I225" i="13"/>
  <c r="H225" i="13"/>
  <c r="D225" i="13"/>
  <c r="C225" i="13"/>
  <c r="U224" i="13"/>
  <c r="K224" i="13"/>
  <c r="L224" i="13" s="1"/>
  <c r="I224" i="13"/>
  <c r="H224" i="13"/>
  <c r="D224" i="13"/>
  <c r="C224" i="13"/>
  <c r="U223" i="13"/>
  <c r="K223" i="13"/>
  <c r="L223" i="13" s="1"/>
  <c r="I223" i="13"/>
  <c r="H223" i="13"/>
  <c r="D223" i="13"/>
  <c r="C223" i="13" s="1"/>
  <c r="U222" i="13"/>
  <c r="K222" i="13"/>
  <c r="L222" i="13" s="1"/>
  <c r="I222" i="13"/>
  <c r="H222" i="13"/>
  <c r="D222" i="13"/>
  <c r="C222" i="13"/>
  <c r="U221" i="13"/>
  <c r="L221" i="13"/>
  <c r="K221" i="13"/>
  <c r="I221" i="13"/>
  <c r="H221" i="13"/>
  <c r="D221" i="13"/>
  <c r="C221" i="13"/>
  <c r="U220" i="13"/>
  <c r="L220" i="13"/>
  <c r="K220" i="13"/>
  <c r="I220" i="13"/>
  <c r="H220" i="13"/>
  <c r="D220" i="13"/>
  <c r="C220" i="13"/>
  <c r="U219" i="13"/>
  <c r="U210" i="13" s="1"/>
  <c r="L219" i="13"/>
  <c r="K219" i="13"/>
  <c r="I219" i="13"/>
  <c r="H219" i="13"/>
  <c r="D219" i="13"/>
  <c r="C219" i="13" s="1"/>
  <c r="U218" i="13"/>
  <c r="K218" i="13"/>
  <c r="L218" i="13" s="1"/>
  <c r="I218" i="13"/>
  <c r="H218" i="13"/>
  <c r="D218" i="13"/>
  <c r="C218" i="13" s="1"/>
  <c r="U217" i="13"/>
  <c r="K217" i="13"/>
  <c r="L217" i="13" s="1"/>
  <c r="I217" i="13"/>
  <c r="H217" i="13"/>
  <c r="D217" i="13"/>
  <c r="C217" i="13" s="1"/>
  <c r="U216" i="13"/>
  <c r="K216" i="13"/>
  <c r="L216" i="13" s="1"/>
  <c r="I216" i="13"/>
  <c r="H216" i="13"/>
  <c r="D216" i="13"/>
  <c r="C216" i="13" s="1"/>
  <c r="U215" i="13"/>
  <c r="Q215" i="13"/>
  <c r="Q216" i="13" s="1"/>
  <c r="Q217" i="13" s="1"/>
  <c r="Q218" i="13" s="1"/>
  <c r="Q219" i="13" s="1"/>
  <c r="Q220" i="13" s="1"/>
  <c r="Q221" i="13" s="1"/>
  <c r="Q222" i="13" s="1"/>
  <c r="Q223" i="13" s="1"/>
  <c r="Q224" i="13" s="1"/>
  <c r="Q225" i="13" s="1"/>
  <c r="Q226" i="13" s="1"/>
  <c r="Q227" i="13" s="1"/>
  <c r="Q228" i="13" s="1"/>
  <c r="Q229" i="13" s="1"/>
  <c r="Q230" i="13" s="1"/>
  <c r="Q231" i="13" s="1"/>
  <c r="K215" i="13"/>
  <c r="L215" i="13" s="1"/>
  <c r="I215" i="13"/>
  <c r="H215" i="13"/>
  <c r="D215" i="13"/>
  <c r="C215" i="13" s="1"/>
  <c r="U214" i="13"/>
  <c r="Q214" i="13"/>
  <c r="L214" i="13"/>
  <c r="K214" i="13"/>
  <c r="I214" i="13"/>
  <c r="H214" i="13"/>
  <c r="D214" i="13"/>
  <c r="C214" i="13"/>
  <c r="U213" i="13"/>
  <c r="Q213" i="13"/>
  <c r="L213" i="13"/>
  <c r="K213" i="13"/>
  <c r="I213" i="13"/>
  <c r="I210" i="13" s="1"/>
  <c r="H213" i="13"/>
  <c r="D213" i="13"/>
  <c r="C213" i="13"/>
  <c r="U212" i="13"/>
  <c r="Q212" i="13"/>
  <c r="L212" i="13"/>
  <c r="K212" i="13"/>
  <c r="I212" i="13"/>
  <c r="H212" i="13"/>
  <c r="D212" i="13"/>
  <c r="C212" i="13" s="1"/>
  <c r="U211" i="13"/>
  <c r="Q211" i="13"/>
  <c r="K211" i="13"/>
  <c r="K210" i="13" s="1"/>
  <c r="I211" i="13"/>
  <c r="H211" i="13"/>
  <c r="D211" i="13"/>
  <c r="C211" i="13" s="1"/>
  <c r="T210" i="13"/>
  <c r="S210" i="13"/>
  <c r="R210" i="13"/>
  <c r="P210" i="13"/>
  <c r="O210" i="13"/>
  <c r="N210" i="13"/>
  <c r="M210" i="13"/>
  <c r="J210" i="13"/>
  <c r="G210" i="13"/>
  <c r="F210" i="13"/>
  <c r="H210" i="13" s="1"/>
  <c r="E210" i="13"/>
  <c r="U209" i="13"/>
  <c r="K209" i="13"/>
  <c r="L209" i="13" s="1"/>
  <c r="I209" i="13"/>
  <c r="H209" i="13"/>
  <c r="D209" i="13"/>
  <c r="C209" i="13" s="1"/>
  <c r="U208" i="13"/>
  <c r="K208" i="13"/>
  <c r="L208" i="13" s="1"/>
  <c r="I208" i="13"/>
  <c r="H208" i="13"/>
  <c r="D208" i="13"/>
  <c r="C208" i="13"/>
  <c r="U207" i="13"/>
  <c r="L207" i="13"/>
  <c r="K207" i="13"/>
  <c r="I207" i="13"/>
  <c r="H207" i="13"/>
  <c r="D207" i="13"/>
  <c r="C207" i="13"/>
  <c r="U206" i="13"/>
  <c r="L206" i="13"/>
  <c r="K206" i="13"/>
  <c r="I206" i="13"/>
  <c r="H206" i="13"/>
  <c r="D206" i="13"/>
  <c r="C206" i="13"/>
  <c r="U205" i="13"/>
  <c r="K205" i="13"/>
  <c r="L205" i="13" s="1"/>
  <c r="I205" i="13"/>
  <c r="H205" i="13"/>
  <c r="D205" i="13"/>
  <c r="C205" i="13"/>
  <c r="U204" i="13"/>
  <c r="L204" i="13"/>
  <c r="K204" i="13"/>
  <c r="I204" i="13"/>
  <c r="H204" i="13"/>
  <c r="D204" i="13"/>
  <c r="C204" i="13"/>
  <c r="U203" i="13"/>
  <c r="L203" i="13"/>
  <c r="K203" i="13"/>
  <c r="I203" i="13"/>
  <c r="H203" i="13"/>
  <c r="D203" i="13"/>
  <c r="C203" i="13"/>
  <c r="U202" i="13"/>
  <c r="K202" i="13"/>
  <c r="L202" i="13" s="1"/>
  <c r="I202" i="13"/>
  <c r="H202" i="13"/>
  <c r="D202" i="13"/>
  <c r="C202" i="13" s="1"/>
  <c r="U201" i="13"/>
  <c r="K201" i="13"/>
  <c r="L201" i="13" s="1"/>
  <c r="I201" i="13"/>
  <c r="H201" i="13"/>
  <c r="D201" i="13"/>
  <c r="C201" i="13" s="1"/>
  <c r="U200" i="13"/>
  <c r="K200" i="13"/>
  <c r="L200" i="13" s="1"/>
  <c r="I200" i="13"/>
  <c r="H200" i="13"/>
  <c r="D200" i="13"/>
  <c r="C200" i="13"/>
  <c r="U199" i="13"/>
  <c r="K199" i="13"/>
  <c r="L199" i="13" s="1"/>
  <c r="I199" i="13"/>
  <c r="H199" i="13"/>
  <c r="D199" i="13"/>
  <c r="C199" i="13" s="1"/>
  <c r="U198" i="13"/>
  <c r="U191" i="13" s="1"/>
  <c r="K198" i="13"/>
  <c r="L198" i="13" s="1"/>
  <c r="I198" i="13"/>
  <c r="H198" i="13"/>
  <c r="D198" i="13"/>
  <c r="C198" i="13"/>
  <c r="U197" i="13"/>
  <c r="K197" i="13"/>
  <c r="L197" i="13" s="1"/>
  <c r="I197" i="13"/>
  <c r="H197" i="13"/>
  <c r="D197" i="13"/>
  <c r="C197" i="13"/>
  <c r="U196" i="13"/>
  <c r="L196" i="13"/>
  <c r="K196" i="13"/>
  <c r="K191" i="13" s="1"/>
  <c r="I196" i="13"/>
  <c r="H196" i="13"/>
  <c r="D196" i="13"/>
  <c r="C196" i="13"/>
  <c r="U195" i="13"/>
  <c r="K195" i="13"/>
  <c r="L195" i="13" s="1"/>
  <c r="I195" i="13"/>
  <c r="H195" i="13"/>
  <c r="D195" i="13"/>
  <c r="C195" i="13"/>
  <c r="U194" i="13"/>
  <c r="Q194" i="13"/>
  <c r="Q195" i="13" s="1"/>
  <c r="Q196" i="13" s="1"/>
  <c r="Q197" i="13" s="1"/>
  <c r="Q198" i="13" s="1"/>
  <c r="Q199" i="13" s="1"/>
  <c r="Q200" i="13" s="1"/>
  <c r="Q201" i="13" s="1"/>
  <c r="Q202" i="13" s="1"/>
  <c r="Q203" i="13" s="1"/>
  <c r="Q204" i="13" s="1"/>
  <c r="Q205" i="13" s="1"/>
  <c r="Q206" i="13" s="1"/>
  <c r="Q207" i="13" s="1"/>
  <c r="Q208" i="13" s="1"/>
  <c r="Q209" i="13" s="1"/>
  <c r="L194" i="13"/>
  <c r="I194" i="13"/>
  <c r="H194" i="13"/>
  <c r="D194" i="13"/>
  <c r="C194" i="13"/>
  <c r="U193" i="13"/>
  <c r="Q193" i="13"/>
  <c r="L193" i="13"/>
  <c r="I193" i="13"/>
  <c r="H193" i="13"/>
  <c r="D193" i="13"/>
  <c r="C193" i="13" s="1"/>
  <c r="U192" i="13"/>
  <c r="Q192" i="13"/>
  <c r="L192" i="13"/>
  <c r="I192" i="13"/>
  <c r="I191" i="13" s="1"/>
  <c r="H192" i="13"/>
  <c r="D192" i="13"/>
  <c r="C192" i="13"/>
  <c r="T191" i="13"/>
  <c r="S191" i="13"/>
  <c r="R191" i="13"/>
  <c r="P191" i="13"/>
  <c r="O191" i="13"/>
  <c r="N191" i="13"/>
  <c r="M191" i="13"/>
  <c r="J191" i="13"/>
  <c r="H191" i="13"/>
  <c r="G191" i="13"/>
  <c r="F191" i="13"/>
  <c r="E191" i="13"/>
  <c r="U190" i="13"/>
  <c r="L190" i="13"/>
  <c r="I190" i="13"/>
  <c r="H190" i="13"/>
  <c r="D190" i="13"/>
  <c r="C190" i="13" s="1"/>
  <c r="U189" i="13"/>
  <c r="U169" i="13" s="1"/>
  <c r="L189" i="13"/>
  <c r="I189" i="13"/>
  <c r="H189" i="13"/>
  <c r="D189" i="13"/>
  <c r="C189" i="13"/>
  <c r="L188" i="13"/>
  <c r="I188" i="13"/>
  <c r="H188" i="13"/>
  <c r="C188" i="13"/>
  <c r="L187" i="13"/>
  <c r="I187" i="13"/>
  <c r="H187" i="13"/>
  <c r="C187" i="13"/>
  <c r="U186" i="13"/>
  <c r="L186" i="13"/>
  <c r="I186" i="13"/>
  <c r="H186" i="13"/>
  <c r="C186" i="13"/>
  <c r="L185" i="13"/>
  <c r="I185" i="13"/>
  <c r="H185" i="13"/>
  <c r="C185" i="13"/>
  <c r="L184" i="13"/>
  <c r="I184" i="13"/>
  <c r="H184" i="13"/>
  <c r="C184" i="13"/>
  <c r="L183" i="13"/>
  <c r="I183" i="13"/>
  <c r="H183" i="13"/>
  <c r="C183" i="13"/>
  <c r="L182" i="13"/>
  <c r="I182" i="13"/>
  <c r="H182" i="13"/>
  <c r="C182" i="13"/>
  <c r="L181" i="13"/>
  <c r="I181" i="13"/>
  <c r="H181" i="13"/>
  <c r="C181" i="13"/>
  <c r="L180" i="13"/>
  <c r="I180" i="13"/>
  <c r="H180" i="13"/>
  <c r="C180" i="13"/>
  <c r="L179" i="13"/>
  <c r="I179" i="13"/>
  <c r="H179" i="13"/>
  <c r="C179" i="13"/>
  <c r="L178" i="13"/>
  <c r="I178" i="13"/>
  <c r="H178" i="13"/>
  <c r="C178" i="13"/>
  <c r="L177" i="13"/>
  <c r="I177" i="13"/>
  <c r="I169" i="13" s="1"/>
  <c r="H177" i="13"/>
  <c r="C177" i="13"/>
  <c r="L176" i="13"/>
  <c r="I176" i="13"/>
  <c r="H176" i="13"/>
  <c r="C176" i="13"/>
  <c r="L175" i="13"/>
  <c r="I175" i="13"/>
  <c r="H175" i="13"/>
  <c r="C175" i="13"/>
  <c r="L174" i="13"/>
  <c r="I174" i="13"/>
  <c r="H174" i="13"/>
  <c r="C174" i="13"/>
  <c r="L173" i="13"/>
  <c r="I173" i="13"/>
  <c r="H173" i="13"/>
  <c r="C173" i="13"/>
  <c r="L172" i="13"/>
  <c r="I172" i="13"/>
  <c r="H172" i="13"/>
  <c r="C172" i="13"/>
  <c r="L171" i="13"/>
  <c r="I171" i="13"/>
  <c r="H171" i="13"/>
  <c r="C171" i="13"/>
  <c r="Q170" i="13"/>
  <c r="Q171" i="13" s="1"/>
  <c r="Q172" i="13" s="1"/>
  <c r="Q173" i="13" s="1"/>
  <c r="Q174" i="13" s="1"/>
  <c r="Q175" i="13" s="1"/>
  <c r="Q176" i="13" s="1"/>
  <c r="Q177" i="13" s="1"/>
  <c r="Q178" i="13" s="1"/>
  <c r="Q179" i="13" s="1"/>
  <c r="Q180" i="13" s="1"/>
  <c r="Q181" i="13" s="1"/>
  <c r="Q182" i="13" s="1"/>
  <c r="Q183" i="13" s="1"/>
  <c r="Q184" i="13" s="1"/>
  <c r="Q185" i="13" s="1"/>
  <c r="Q186" i="13" s="1"/>
  <c r="Q187" i="13" s="1"/>
  <c r="Q188" i="13" s="1"/>
  <c r="Q189" i="13" s="1"/>
  <c r="Q190" i="13" s="1"/>
  <c r="L170" i="13"/>
  <c r="L169" i="13" s="1"/>
  <c r="I170" i="13"/>
  <c r="H170" i="13"/>
  <c r="C170" i="13"/>
  <c r="C169" i="13" s="1"/>
  <c r="T169" i="13"/>
  <c r="S169" i="13"/>
  <c r="R169" i="13"/>
  <c r="P169" i="13"/>
  <c r="O169" i="13"/>
  <c r="N169" i="13"/>
  <c r="M169" i="13"/>
  <c r="K169" i="13"/>
  <c r="J169" i="13"/>
  <c r="H169" i="13"/>
  <c r="G169" i="13"/>
  <c r="F169" i="13"/>
  <c r="E169" i="13"/>
  <c r="D169" i="13"/>
  <c r="L168" i="13"/>
  <c r="I168" i="13"/>
  <c r="H168" i="13"/>
  <c r="C168" i="13"/>
  <c r="L167" i="13"/>
  <c r="I167" i="13"/>
  <c r="H167" i="13"/>
  <c r="C167" i="13"/>
  <c r="L166" i="13"/>
  <c r="I166" i="13"/>
  <c r="H166" i="13"/>
  <c r="C166" i="13"/>
  <c r="L165" i="13"/>
  <c r="I165" i="13"/>
  <c r="H165" i="13"/>
  <c r="C165" i="13"/>
  <c r="L164" i="13"/>
  <c r="I164" i="13"/>
  <c r="H164" i="13"/>
  <c r="C164" i="13"/>
  <c r="L163" i="13"/>
  <c r="I163" i="13"/>
  <c r="H163" i="13"/>
  <c r="C163" i="13"/>
  <c r="L162" i="13"/>
  <c r="I162" i="13"/>
  <c r="H162" i="13"/>
  <c r="C162" i="13"/>
  <c r="L161" i="13"/>
  <c r="I161" i="13"/>
  <c r="H161" i="13"/>
  <c r="C161" i="13"/>
  <c r="L160" i="13"/>
  <c r="I160" i="13"/>
  <c r="H160" i="13"/>
  <c r="C160" i="13"/>
  <c r="L159" i="13"/>
  <c r="I159" i="13"/>
  <c r="H159" i="13"/>
  <c r="C159" i="13"/>
  <c r="L158" i="13"/>
  <c r="I158" i="13"/>
  <c r="H158" i="13"/>
  <c r="C158" i="13"/>
  <c r="L157" i="13"/>
  <c r="I157" i="13"/>
  <c r="H157" i="13"/>
  <c r="C157" i="13"/>
  <c r="L156" i="13"/>
  <c r="I156" i="13"/>
  <c r="H156" i="13"/>
  <c r="C156" i="13"/>
  <c r="L155" i="13"/>
  <c r="I155" i="13"/>
  <c r="H155" i="13"/>
  <c r="C155" i="13"/>
  <c r="L154" i="13"/>
  <c r="I154" i="13"/>
  <c r="H154" i="13"/>
  <c r="C154" i="13"/>
  <c r="L153" i="13"/>
  <c r="I153" i="13"/>
  <c r="H153" i="13"/>
  <c r="C153" i="13"/>
  <c r="L152" i="13"/>
  <c r="I152" i="13"/>
  <c r="H152" i="13"/>
  <c r="C152" i="13"/>
  <c r="L151" i="13"/>
  <c r="I151" i="13"/>
  <c r="H151" i="13"/>
  <c r="C151" i="13"/>
  <c r="L150" i="13"/>
  <c r="I150" i="13"/>
  <c r="H150" i="13"/>
  <c r="C150" i="13"/>
  <c r="L149" i="13"/>
  <c r="I149" i="13"/>
  <c r="I146" i="13" s="1"/>
  <c r="H149" i="13"/>
  <c r="C149" i="13"/>
  <c r="L148" i="13"/>
  <c r="I148" i="13"/>
  <c r="H148" i="13"/>
  <c r="C148" i="13"/>
  <c r="Q147" i="13"/>
  <c r="Q148" i="13" s="1"/>
  <c r="Q149" i="13" s="1"/>
  <c r="Q150" i="13" s="1"/>
  <c r="Q151" i="13" s="1"/>
  <c r="Q152" i="13" s="1"/>
  <c r="Q153" i="13" s="1"/>
  <c r="Q154" i="13" s="1"/>
  <c r="Q155" i="13" s="1"/>
  <c r="Q156" i="13" s="1"/>
  <c r="Q157" i="13" s="1"/>
  <c r="Q158" i="13" s="1"/>
  <c r="Q159" i="13" s="1"/>
  <c r="Q160" i="13" s="1"/>
  <c r="Q161" i="13" s="1"/>
  <c r="Q162" i="13" s="1"/>
  <c r="Q163" i="13" s="1"/>
  <c r="Q164" i="13" s="1"/>
  <c r="Q165" i="13" s="1"/>
  <c r="Q166" i="13" s="1"/>
  <c r="Q167" i="13" s="1"/>
  <c r="Q168" i="13" s="1"/>
  <c r="L147" i="13"/>
  <c r="L146" i="13" s="1"/>
  <c r="I147" i="13"/>
  <c r="H147" i="13"/>
  <c r="C147" i="13"/>
  <c r="U146" i="13"/>
  <c r="T146" i="13"/>
  <c r="S146" i="13"/>
  <c r="R146" i="13"/>
  <c r="P146" i="13"/>
  <c r="O146" i="13"/>
  <c r="N146" i="13"/>
  <c r="M146" i="13"/>
  <c r="K146" i="13"/>
  <c r="J146" i="13"/>
  <c r="G146" i="13"/>
  <c r="F146" i="13"/>
  <c r="H146" i="13" s="1"/>
  <c r="E146" i="13"/>
  <c r="D146" i="13"/>
  <c r="L145" i="13"/>
  <c r="I145" i="13"/>
  <c r="H145" i="13"/>
  <c r="C145" i="13"/>
  <c r="L144" i="13"/>
  <c r="I144" i="13"/>
  <c r="H144" i="13"/>
  <c r="C144" i="13"/>
  <c r="L143" i="13"/>
  <c r="I143" i="13"/>
  <c r="H143" i="13"/>
  <c r="C143" i="13"/>
  <c r="L142" i="13"/>
  <c r="I142" i="13"/>
  <c r="H142" i="13"/>
  <c r="C142" i="13"/>
  <c r="L141" i="13"/>
  <c r="I141" i="13"/>
  <c r="H141" i="13"/>
  <c r="C141" i="13"/>
  <c r="L140" i="13"/>
  <c r="I140" i="13"/>
  <c r="H140" i="13"/>
  <c r="C140" i="13"/>
  <c r="L139" i="13"/>
  <c r="I139" i="13"/>
  <c r="H139" i="13"/>
  <c r="C139" i="13"/>
  <c r="L138" i="13"/>
  <c r="I138" i="13"/>
  <c r="H138" i="13"/>
  <c r="C138" i="13"/>
  <c r="L137" i="13"/>
  <c r="I137" i="13"/>
  <c r="I131" i="13" s="1"/>
  <c r="H137" i="13"/>
  <c r="C137" i="13"/>
  <c r="L136" i="13"/>
  <c r="I136" i="13"/>
  <c r="H136" i="13"/>
  <c r="C136" i="13"/>
  <c r="Q135" i="13"/>
  <c r="Q136" i="13" s="1"/>
  <c r="Q137" i="13" s="1"/>
  <c r="Q138" i="13" s="1"/>
  <c r="Q139" i="13" s="1"/>
  <c r="Q140" i="13" s="1"/>
  <c r="Q141" i="13" s="1"/>
  <c r="Q142" i="13" s="1"/>
  <c r="Q143" i="13" s="1"/>
  <c r="Q144" i="13" s="1"/>
  <c r="Q145" i="13" s="1"/>
  <c r="L135" i="13"/>
  <c r="I135" i="13"/>
  <c r="H135" i="13"/>
  <c r="C135" i="13"/>
  <c r="Q134" i="13"/>
  <c r="L134" i="13"/>
  <c r="I134" i="13"/>
  <c r="H134" i="13"/>
  <c r="C134" i="13"/>
  <c r="L133" i="13"/>
  <c r="L131" i="13" s="1"/>
  <c r="I133" i="13"/>
  <c r="H133" i="13"/>
  <c r="C133" i="13"/>
  <c r="Q132" i="13"/>
  <c r="Q133" i="13" s="1"/>
  <c r="L132" i="13"/>
  <c r="I132" i="13"/>
  <c r="H132" i="13"/>
  <c r="C132" i="13"/>
  <c r="C131" i="13" s="1"/>
  <c r="U131" i="13"/>
  <c r="T131" i="13"/>
  <c r="S131" i="13"/>
  <c r="R131" i="13"/>
  <c r="P131" i="13"/>
  <c r="O131" i="13"/>
  <c r="N131" i="13"/>
  <c r="M131" i="13"/>
  <c r="K131" i="13"/>
  <c r="J131" i="13"/>
  <c r="G131" i="13"/>
  <c r="H131" i="13" s="1"/>
  <c r="F131" i="13"/>
  <c r="E131" i="13"/>
  <c r="D131" i="13"/>
  <c r="L130" i="13"/>
  <c r="I130" i="13"/>
  <c r="H130" i="13"/>
  <c r="C130" i="13"/>
  <c r="L129" i="13"/>
  <c r="I129" i="13"/>
  <c r="H129" i="13"/>
  <c r="C129" i="13"/>
  <c r="L128" i="13"/>
  <c r="I128" i="13"/>
  <c r="H128" i="13"/>
  <c r="C128" i="13"/>
  <c r="L127" i="13"/>
  <c r="I127" i="13"/>
  <c r="H127" i="13"/>
  <c r="C127" i="13"/>
  <c r="L126" i="13"/>
  <c r="I126" i="13"/>
  <c r="H126" i="13"/>
  <c r="C126" i="13"/>
  <c r="L125" i="13"/>
  <c r="I125" i="13"/>
  <c r="H125" i="13"/>
  <c r="C125" i="13"/>
  <c r="L124" i="13"/>
  <c r="I124" i="13"/>
  <c r="H124" i="13"/>
  <c r="C124" i="13"/>
  <c r="L123" i="13"/>
  <c r="I123" i="13"/>
  <c r="H123" i="13"/>
  <c r="C123" i="13"/>
  <c r="L122" i="13"/>
  <c r="I122" i="13"/>
  <c r="H122" i="13"/>
  <c r="C122" i="13"/>
  <c r="L121" i="13"/>
  <c r="I121" i="13"/>
  <c r="H121" i="13"/>
  <c r="C121" i="13"/>
  <c r="L120" i="13"/>
  <c r="I120" i="13"/>
  <c r="H120" i="13"/>
  <c r="C120" i="13"/>
  <c r="L119" i="13"/>
  <c r="I119" i="13"/>
  <c r="H119" i="13"/>
  <c r="C119" i="13"/>
  <c r="L118" i="13"/>
  <c r="I118" i="13"/>
  <c r="H118" i="13"/>
  <c r="C118" i="13"/>
  <c r="L117" i="13"/>
  <c r="I117" i="13"/>
  <c r="H117" i="13"/>
  <c r="C117" i="13"/>
  <c r="L116" i="13"/>
  <c r="I116" i="13"/>
  <c r="H116" i="13"/>
  <c r="C116" i="13"/>
  <c r="L115" i="13"/>
  <c r="I115" i="13"/>
  <c r="H115" i="13"/>
  <c r="C115" i="13"/>
  <c r="L114" i="13"/>
  <c r="I114" i="13"/>
  <c r="H114" i="13"/>
  <c r="C114" i="13"/>
  <c r="L113" i="13"/>
  <c r="I113" i="13"/>
  <c r="H113" i="13"/>
  <c r="C113" i="13"/>
  <c r="L112" i="13"/>
  <c r="I112" i="13"/>
  <c r="H112" i="13"/>
  <c r="C112" i="13"/>
  <c r="Q111" i="13"/>
  <c r="Q112" i="13" s="1"/>
  <c r="Q113" i="13" s="1"/>
  <c r="Q114" i="13" s="1"/>
  <c r="Q115" i="13" s="1"/>
  <c r="Q116" i="13" s="1"/>
  <c r="Q117" i="13" s="1"/>
  <c r="Q118" i="13" s="1"/>
  <c r="Q119" i="13" s="1"/>
  <c r="Q120" i="13" s="1"/>
  <c r="Q121" i="13" s="1"/>
  <c r="Q122" i="13" s="1"/>
  <c r="Q123" i="13" s="1"/>
  <c r="Q124" i="13" s="1"/>
  <c r="Q125" i="13" s="1"/>
  <c r="Q126" i="13" s="1"/>
  <c r="Q127" i="13" s="1"/>
  <c r="Q128" i="13" s="1"/>
  <c r="Q129" i="13" s="1"/>
  <c r="Q130" i="13" s="1"/>
  <c r="L111" i="13"/>
  <c r="L110" i="13" s="1"/>
  <c r="I111" i="13"/>
  <c r="H111" i="13"/>
  <c r="C111" i="13"/>
  <c r="U110" i="13"/>
  <c r="T110" i="13"/>
  <c r="S110" i="13"/>
  <c r="R110" i="13"/>
  <c r="P110" i="13"/>
  <c r="O110" i="13"/>
  <c r="N110" i="13"/>
  <c r="M110" i="13"/>
  <c r="K110" i="13"/>
  <c r="J110" i="13"/>
  <c r="G110" i="13"/>
  <c r="F110" i="13"/>
  <c r="H110" i="13" s="1"/>
  <c r="E110" i="13"/>
  <c r="D110" i="13"/>
  <c r="C110" i="13"/>
  <c r="L109" i="13"/>
  <c r="I109" i="13"/>
  <c r="H109" i="13"/>
  <c r="C109" i="13"/>
  <c r="L108" i="13"/>
  <c r="I108" i="13"/>
  <c r="H108" i="13"/>
  <c r="C108" i="13"/>
  <c r="L107" i="13"/>
  <c r="I107" i="13"/>
  <c r="H107" i="13"/>
  <c r="C107" i="13"/>
  <c r="L106" i="13"/>
  <c r="I106" i="13"/>
  <c r="H106" i="13"/>
  <c r="C106" i="13"/>
  <c r="L105" i="13"/>
  <c r="I105" i="13"/>
  <c r="H105" i="13"/>
  <c r="C105" i="13"/>
  <c r="L104" i="13"/>
  <c r="I104" i="13"/>
  <c r="H104" i="13"/>
  <c r="C104" i="13"/>
  <c r="L103" i="13"/>
  <c r="I103" i="13"/>
  <c r="H103" i="13"/>
  <c r="C103" i="13"/>
  <c r="L102" i="13"/>
  <c r="I102" i="13"/>
  <c r="H102" i="13"/>
  <c r="C102" i="13"/>
  <c r="L101" i="13"/>
  <c r="I101" i="13"/>
  <c r="H101" i="13"/>
  <c r="C101" i="13"/>
  <c r="L100" i="13"/>
  <c r="I100" i="13"/>
  <c r="H100" i="13"/>
  <c r="C100" i="13"/>
  <c r="L99" i="13"/>
  <c r="I99" i="13"/>
  <c r="H99" i="13"/>
  <c r="C99" i="13"/>
  <c r="L98" i="13"/>
  <c r="I98" i="13"/>
  <c r="H98" i="13"/>
  <c r="C98" i="13"/>
  <c r="L97" i="13"/>
  <c r="I97" i="13"/>
  <c r="H97" i="13"/>
  <c r="C97" i="13"/>
  <c r="L96" i="13"/>
  <c r="I96" i="13"/>
  <c r="H96" i="13"/>
  <c r="C96" i="13"/>
  <c r="L95" i="13"/>
  <c r="I95" i="13"/>
  <c r="H95" i="13"/>
  <c r="F95" i="13"/>
  <c r="C95" i="13" s="1"/>
  <c r="L94" i="13"/>
  <c r="I94" i="13"/>
  <c r="H94" i="13"/>
  <c r="C94" i="13"/>
  <c r="L93" i="13"/>
  <c r="I93" i="13"/>
  <c r="H93" i="13"/>
  <c r="C93" i="13"/>
  <c r="L92" i="13"/>
  <c r="I92" i="13"/>
  <c r="H92" i="13"/>
  <c r="C92" i="13"/>
  <c r="L91" i="13"/>
  <c r="I91" i="13"/>
  <c r="H91" i="13"/>
  <c r="C91" i="13"/>
  <c r="C86" i="13" s="1"/>
  <c r="L90" i="13"/>
  <c r="I90" i="13"/>
  <c r="H90" i="13"/>
  <c r="C90" i="13"/>
  <c r="L89" i="13"/>
  <c r="I89" i="13"/>
  <c r="H89" i="13"/>
  <c r="C89" i="13"/>
  <c r="L88" i="13"/>
  <c r="I88" i="13"/>
  <c r="H88" i="13"/>
  <c r="C88" i="13"/>
  <c r="L87" i="13"/>
  <c r="L86" i="13" s="1"/>
  <c r="I87" i="13"/>
  <c r="I86" i="13" s="1"/>
  <c r="H87" i="13"/>
  <c r="C87" i="13"/>
  <c r="U86" i="13"/>
  <c r="T86" i="13"/>
  <c r="R86" i="13"/>
  <c r="P86" i="13"/>
  <c r="O86" i="13"/>
  <c r="N86" i="13"/>
  <c r="M86" i="13"/>
  <c r="K86" i="13"/>
  <c r="J86" i="13"/>
  <c r="G86" i="13"/>
  <c r="E86" i="13"/>
  <c r="D86" i="13"/>
  <c r="L85" i="13"/>
  <c r="I85" i="13"/>
  <c r="H85" i="13"/>
  <c r="C85" i="13"/>
  <c r="L84" i="13"/>
  <c r="I84" i="13"/>
  <c r="H84" i="13"/>
  <c r="C84" i="13"/>
  <c r="L83" i="13"/>
  <c r="I83" i="13"/>
  <c r="H83" i="13"/>
  <c r="C83" i="13"/>
  <c r="L82" i="13"/>
  <c r="I82" i="13"/>
  <c r="H82" i="13"/>
  <c r="C82" i="13"/>
  <c r="L81" i="13"/>
  <c r="I81" i="13"/>
  <c r="H81" i="13"/>
  <c r="C81" i="13"/>
  <c r="L80" i="13"/>
  <c r="I80" i="13"/>
  <c r="H80" i="13"/>
  <c r="C80" i="13"/>
  <c r="L79" i="13"/>
  <c r="I79" i="13"/>
  <c r="H79" i="13"/>
  <c r="C79" i="13"/>
  <c r="L78" i="13"/>
  <c r="I78" i="13"/>
  <c r="H78" i="13"/>
  <c r="C78" i="13"/>
  <c r="L77" i="13"/>
  <c r="I77" i="13"/>
  <c r="H77" i="13"/>
  <c r="C77" i="13"/>
  <c r="L76" i="13"/>
  <c r="I76" i="13"/>
  <c r="H76" i="13"/>
  <c r="C76" i="13"/>
  <c r="L75" i="13"/>
  <c r="I75" i="13"/>
  <c r="H75" i="13"/>
  <c r="C75" i="13"/>
  <c r="L74" i="13"/>
  <c r="I74" i="13"/>
  <c r="H74" i="13"/>
  <c r="C74" i="13"/>
  <c r="L73" i="13"/>
  <c r="I73" i="13"/>
  <c r="H73" i="13"/>
  <c r="C73" i="13"/>
  <c r="L72" i="13"/>
  <c r="I72" i="13"/>
  <c r="H72" i="13"/>
  <c r="C72" i="13"/>
  <c r="L71" i="13"/>
  <c r="I71" i="13"/>
  <c r="H71" i="13"/>
  <c r="C71" i="13"/>
  <c r="L70" i="13"/>
  <c r="I70" i="13"/>
  <c r="H70" i="13"/>
  <c r="C70" i="13"/>
  <c r="L69" i="13"/>
  <c r="I69" i="13"/>
  <c r="H69" i="13"/>
  <c r="C69" i="13"/>
  <c r="L68" i="13"/>
  <c r="I68" i="13"/>
  <c r="I65" i="13" s="1"/>
  <c r="H68" i="13"/>
  <c r="C68" i="13"/>
  <c r="L67" i="13"/>
  <c r="I67" i="13"/>
  <c r="H67" i="13"/>
  <c r="C67" i="13"/>
  <c r="C65" i="13" s="1"/>
  <c r="L66" i="13"/>
  <c r="L65" i="13" s="1"/>
  <c r="I66" i="13"/>
  <c r="H66" i="13"/>
  <c r="C66" i="13"/>
  <c r="U65" i="13"/>
  <c r="R65" i="13"/>
  <c r="P65" i="13"/>
  <c r="O65" i="13"/>
  <c r="N65" i="13"/>
  <c r="M65" i="13"/>
  <c r="K65" i="13"/>
  <c r="J65" i="13"/>
  <c r="G65" i="13"/>
  <c r="F65" i="13"/>
  <c r="H65" i="13" s="1"/>
  <c r="E65" i="13"/>
  <c r="D65" i="13"/>
  <c r="P64" i="13"/>
  <c r="L64" i="13"/>
  <c r="I64" i="13"/>
  <c r="H64" i="13"/>
  <c r="C64" i="13"/>
  <c r="L63" i="13"/>
  <c r="I63" i="13"/>
  <c r="H63" i="13"/>
  <c r="C63" i="13"/>
  <c r="L62" i="13"/>
  <c r="I62" i="13"/>
  <c r="H62" i="13"/>
  <c r="C62" i="13"/>
  <c r="L61" i="13"/>
  <c r="I61" i="13"/>
  <c r="H61" i="13"/>
  <c r="C61" i="13"/>
  <c r="L60" i="13"/>
  <c r="I60" i="13"/>
  <c r="H60" i="13"/>
  <c r="C60" i="13"/>
  <c r="L59" i="13"/>
  <c r="I59" i="13"/>
  <c r="H59" i="13"/>
  <c r="C59" i="13"/>
  <c r="L58" i="13"/>
  <c r="I58" i="13"/>
  <c r="H58" i="13"/>
  <c r="C58" i="13"/>
  <c r="L57" i="13"/>
  <c r="I57" i="13"/>
  <c r="H57" i="13"/>
  <c r="E57" i="13"/>
  <c r="C57" i="13"/>
  <c r="L56" i="13"/>
  <c r="I56" i="13"/>
  <c r="H56" i="13"/>
  <c r="E56" i="13"/>
  <c r="C56" i="13"/>
  <c r="L55" i="13"/>
  <c r="I55" i="13"/>
  <c r="H55" i="13"/>
  <c r="E55" i="13"/>
  <c r="C55" i="13"/>
  <c r="L54" i="13"/>
  <c r="I54" i="13"/>
  <c r="H54" i="13"/>
  <c r="E54" i="13"/>
  <c r="C54" i="13"/>
  <c r="L53" i="13"/>
  <c r="I53" i="13"/>
  <c r="H53" i="13"/>
  <c r="E53" i="13"/>
  <c r="C53" i="13"/>
  <c r="L52" i="13"/>
  <c r="I52" i="13"/>
  <c r="H52" i="13"/>
  <c r="E52" i="13"/>
  <c r="C52" i="13"/>
  <c r="L51" i="13"/>
  <c r="I51" i="13"/>
  <c r="H51" i="13"/>
  <c r="E51" i="13"/>
  <c r="C51" i="13"/>
  <c r="L50" i="13"/>
  <c r="L47" i="13" s="1"/>
  <c r="I50" i="13"/>
  <c r="H50" i="13"/>
  <c r="E50" i="13"/>
  <c r="C50" i="13"/>
  <c r="L49" i="13"/>
  <c r="I49" i="13"/>
  <c r="I47" i="13" s="1"/>
  <c r="H49" i="13"/>
  <c r="E49" i="13"/>
  <c r="E47" i="13" s="1"/>
  <c r="C49" i="13"/>
  <c r="L48" i="13"/>
  <c r="I48" i="13"/>
  <c r="H48" i="13"/>
  <c r="E48" i="13"/>
  <c r="C48" i="13"/>
  <c r="K47" i="13"/>
  <c r="J47" i="13"/>
  <c r="G47" i="13"/>
  <c r="F47" i="13"/>
  <c r="H47" i="13" s="1"/>
  <c r="D47" i="13"/>
  <c r="L46" i="13"/>
  <c r="I46" i="13"/>
  <c r="H46" i="13"/>
  <c r="E46" i="13"/>
  <c r="C46" i="13"/>
  <c r="L45" i="13"/>
  <c r="I45" i="13"/>
  <c r="H45" i="13"/>
  <c r="E45" i="13"/>
  <c r="C45" i="13"/>
  <c r="L44" i="13"/>
  <c r="I44" i="13"/>
  <c r="H44" i="13"/>
  <c r="E44" i="13"/>
  <c r="C44" i="13"/>
  <c r="L43" i="13"/>
  <c r="I43" i="13"/>
  <c r="H43" i="13"/>
  <c r="E43" i="13"/>
  <c r="C43" i="13"/>
  <c r="L42" i="13"/>
  <c r="I42" i="13"/>
  <c r="H42" i="13"/>
  <c r="E42" i="13"/>
  <c r="C42" i="13"/>
  <c r="L41" i="13"/>
  <c r="I41" i="13"/>
  <c r="H41" i="13"/>
  <c r="E41" i="13"/>
  <c r="C41" i="13"/>
  <c r="L40" i="13"/>
  <c r="I40" i="13"/>
  <c r="H40" i="13"/>
  <c r="E40" i="13"/>
  <c r="C40" i="13"/>
  <c r="L39" i="13"/>
  <c r="I39" i="13"/>
  <c r="H39" i="13"/>
  <c r="E39" i="13"/>
  <c r="C39" i="13"/>
  <c r="L38" i="13"/>
  <c r="I38" i="13"/>
  <c r="H38" i="13"/>
  <c r="E38" i="13"/>
  <c r="C38" i="13"/>
  <c r="L37" i="13"/>
  <c r="I37" i="13"/>
  <c r="H37" i="13"/>
  <c r="E37" i="13"/>
  <c r="C37" i="13"/>
  <c r="L36" i="13"/>
  <c r="I36" i="13"/>
  <c r="H36" i="13"/>
  <c r="E36" i="13"/>
  <c r="C36" i="13"/>
  <c r="L35" i="13"/>
  <c r="I35" i="13"/>
  <c r="H35" i="13"/>
  <c r="E35" i="13"/>
  <c r="C35" i="13"/>
  <c r="L34" i="13"/>
  <c r="I34" i="13"/>
  <c r="H34" i="13"/>
  <c r="E34" i="13"/>
  <c r="C34" i="13"/>
  <c r="L33" i="13"/>
  <c r="I33" i="13"/>
  <c r="H33" i="13"/>
  <c r="E33" i="13"/>
  <c r="C33" i="13"/>
  <c r="L32" i="13"/>
  <c r="I32" i="13"/>
  <c r="H32" i="13"/>
  <c r="E32" i="13"/>
  <c r="C32" i="13"/>
  <c r="L31" i="13"/>
  <c r="I31" i="13"/>
  <c r="H31" i="13"/>
  <c r="E31" i="13"/>
  <c r="C31" i="13"/>
  <c r="L30" i="13"/>
  <c r="I30" i="13"/>
  <c r="H30" i="13"/>
  <c r="E30" i="13"/>
  <c r="C30" i="13"/>
  <c r="L29" i="13"/>
  <c r="I29" i="13"/>
  <c r="H29" i="13"/>
  <c r="E29" i="13"/>
  <c r="C29" i="13"/>
  <c r="L28" i="13"/>
  <c r="I28" i="13"/>
  <c r="H28" i="13"/>
  <c r="E28" i="13"/>
  <c r="C28" i="13"/>
  <c r="L27" i="13"/>
  <c r="I27" i="13"/>
  <c r="I24" i="13" s="1"/>
  <c r="H27" i="13"/>
  <c r="E27" i="13"/>
  <c r="C27" i="13"/>
  <c r="L26" i="13"/>
  <c r="I26" i="13"/>
  <c r="H26" i="13"/>
  <c r="E26" i="13"/>
  <c r="C26" i="13"/>
  <c r="L25" i="13"/>
  <c r="L24" i="13" s="1"/>
  <c r="L2" i="13" s="1"/>
  <c r="I25" i="13"/>
  <c r="H25" i="13"/>
  <c r="E25" i="13"/>
  <c r="C25" i="13"/>
  <c r="K24" i="13"/>
  <c r="K2" i="13" s="1"/>
  <c r="J24" i="13"/>
  <c r="J2" i="13" s="1"/>
  <c r="G24" i="13"/>
  <c r="F24" i="13"/>
  <c r="H24" i="13" s="1"/>
  <c r="E24" i="13"/>
  <c r="D24" i="13"/>
  <c r="C23" i="13"/>
  <c r="C22" i="13"/>
  <c r="C21" i="13"/>
  <c r="C20" i="13"/>
  <c r="C19" i="13"/>
  <c r="C18" i="13"/>
  <c r="C17" i="13"/>
  <c r="C16" i="13"/>
  <c r="C15" i="13"/>
  <c r="C14" i="13"/>
  <c r="C13" i="13"/>
  <c r="C12" i="13"/>
  <c r="C11" i="13"/>
  <c r="C10" i="13"/>
  <c r="C9" i="13"/>
  <c r="C8" i="13"/>
  <c r="C7" i="13"/>
  <c r="C6" i="13"/>
  <c r="C5" i="13"/>
  <c r="C4" i="13"/>
  <c r="C3" i="13"/>
  <c r="F2" i="13"/>
  <c r="D2" i="13"/>
  <c r="C2" i="13"/>
  <c r="K300" i="13" l="1"/>
  <c r="L300" i="13"/>
  <c r="K256" i="13"/>
  <c r="D256" i="13"/>
  <c r="BD131" i="14"/>
  <c r="C278" i="13"/>
  <c r="C256" i="13"/>
  <c r="L191" i="13"/>
  <c r="C210" i="13"/>
  <c r="C191" i="13"/>
  <c r="N3" i="10"/>
  <c r="L259" i="13"/>
  <c r="L256" i="13" s="1"/>
  <c r="L279" i="13"/>
  <c r="L278" i="13" s="1"/>
  <c r="H55" i="11"/>
  <c r="S6" i="17"/>
  <c r="V6" i="17" s="1"/>
  <c r="P16" i="17"/>
  <c r="D278" i="13"/>
  <c r="B10" i="11"/>
  <c r="H31" i="11"/>
  <c r="H52" i="11"/>
  <c r="J5" i="12"/>
  <c r="P5" i="12" s="1"/>
  <c r="R17" i="17"/>
  <c r="S17" i="17" s="1"/>
  <c r="Q18" i="17"/>
  <c r="V17" i="17"/>
  <c r="T17" i="17"/>
  <c r="U17" i="17" s="1"/>
  <c r="H156" i="8"/>
  <c r="F156" i="8"/>
  <c r="B4" i="11"/>
  <c r="H27" i="11"/>
  <c r="B46" i="11"/>
  <c r="U256" i="13"/>
  <c r="M19" i="29"/>
  <c r="M15" i="29"/>
  <c r="L211" i="13"/>
  <c r="L210" i="13" s="1"/>
  <c r="D232" i="13"/>
  <c r="H57" i="11"/>
  <c r="D210" i="13"/>
  <c r="L233" i="13"/>
  <c r="L232" i="13" s="1"/>
  <c r="F158" i="8"/>
  <c r="H19" i="11"/>
  <c r="B38" i="11"/>
  <c r="D191" i="13"/>
  <c r="M6" i="10"/>
  <c r="N6" i="10" s="1"/>
  <c r="Q14" i="12"/>
  <c r="L14" i="12"/>
  <c r="J14" i="12"/>
  <c r="H11" i="11"/>
  <c r="C24" i="13"/>
  <c r="Q29" i="28"/>
  <c r="R29" i="28" s="1"/>
  <c r="G33" i="30"/>
  <c r="F86" i="13"/>
  <c r="H86" i="13" s="1"/>
  <c r="C47" i="13"/>
  <c r="C146" i="13"/>
  <c r="H7" i="11"/>
  <c r="H47" i="11"/>
  <c r="H56" i="11"/>
  <c r="I110" i="13"/>
  <c r="B22" i="11"/>
  <c r="H43" i="11"/>
  <c r="B18" i="11"/>
  <c r="H39" i="11"/>
  <c r="R9" i="17"/>
  <c r="S9" i="17" s="1"/>
  <c r="V9" i="17" s="1"/>
  <c r="R11" i="17"/>
  <c r="S11" i="17" s="1"/>
  <c r="V11" i="17" s="1"/>
  <c r="P13" i="17"/>
  <c r="S13" i="17" s="1"/>
  <c r="V13" i="17" s="1"/>
  <c r="N11" i="19"/>
  <c r="N20" i="19"/>
  <c r="I5" i="12"/>
  <c r="P7" i="17"/>
  <c r="S7" i="17" s="1"/>
  <c r="V7" i="17" s="1"/>
  <c r="O11" i="19"/>
  <c r="O20" i="19"/>
  <c r="T9" i="17"/>
  <c r="U9" i="17" s="1"/>
  <c r="T11" i="17"/>
  <c r="U11" i="17" s="1"/>
  <c r="P11" i="19"/>
  <c r="P20" i="19"/>
  <c r="R16" i="17"/>
  <c r="H9" i="30"/>
  <c r="H33" i="30" s="1"/>
  <c r="H27" i="30"/>
  <c r="T16" i="17"/>
  <c r="U16" i="17" s="1"/>
  <c r="G11" i="30"/>
  <c r="H11" i="30" s="1"/>
  <c r="AN3" i="15"/>
  <c r="O7" i="15"/>
  <c r="AO3" i="15"/>
  <c r="P7" i="15"/>
  <c r="P11" i="15"/>
  <c r="P15" i="15"/>
  <c r="P19" i="15"/>
  <c r="P8" i="17"/>
  <c r="S8" i="17" s="1"/>
  <c r="V8" i="17" s="1"/>
  <c r="P12" i="17"/>
  <c r="S12" i="17" s="1"/>
  <c r="V12" i="17" s="1"/>
  <c r="P14" i="19"/>
  <c r="AP3" i="15"/>
  <c r="P14" i="17"/>
  <c r="S14" i="17" s="1"/>
  <c r="V14" i="17" s="1"/>
  <c r="Q14" i="19"/>
  <c r="E19" i="29"/>
  <c r="P6" i="17"/>
  <c r="T12" i="17"/>
  <c r="U12" i="17" s="1"/>
  <c r="O2" i="15"/>
  <c r="O4" i="15"/>
  <c r="O8" i="15"/>
  <c r="O12" i="15"/>
  <c r="O16" i="15"/>
  <c r="O20" i="15"/>
  <c r="N17" i="19"/>
  <c r="O17" i="19"/>
  <c r="Q17" i="19"/>
  <c r="S5" i="12" l="1"/>
  <c r="Q5" i="12"/>
  <c r="T18" i="17"/>
  <c r="U18" i="17" s="1"/>
  <c r="R18" i="17"/>
  <c r="S18" i="17" s="1"/>
  <c r="V18" i="17" s="1"/>
  <c r="S16" i="17"/>
  <c r="V16"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王江林</author>
  </authors>
  <commentList>
    <comment ref="A1" authorId="0" shapeId="0" xr:uid="{00000000-0006-0000-0500-000001000000}">
      <text>
        <r>
          <rPr>
            <sz val="11"/>
            <color theme="1"/>
            <rFont val="等线"/>
            <family val="2"/>
            <charset val="134"/>
            <scheme val="minor"/>
          </rPr>
          <t>王江林:
公司及控股股东、实际控制人不存在因涉嫌犯罪被司法机关立案侦查或者涉嫌违法违规被中国证监会立案调查的情况，最近三年未受到过行政处罚（与证券市场明显无关的除外）、刑事处罚。
公司及其控股股东、实际控制人最近十二个月内不存在受到证券交易所公开谴责的情况，亦不存在其他重大失信行为。</t>
        </r>
      </text>
    </comment>
    <comment ref="G11" authorId="0" shapeId="0" xr:uid="{00000000-0006-0000-0500-000002000000}">
      <text>
        <r>
          <rPr>
            <sz val="11"/>
            <color theme="1"/>
            <rFont val="等线"/>
            <family val="2"/>
            <charset val="134"/>
            <scheme val="minor"/>
          </rPr>
          <t>王江林:
https://www.sse.com.cn/disclosure/bond/announcement/company/c/new/2023-04-28/188688_20230428_H2L8.pdf</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王江林</author>
  </authors>
  <commentList>
    <comment ref="A1" authorId="0" shapeId="0" xr:uid="{00000000-0006-0000-0700-000001000000}">
      <text>
        <r>
          <rPr>
            <sz val="11"/>
            <color theme="1"/>
            <rFont val="等线"/>
            <family val="2"/>
            <charset val="134"/>
            <scheme val="minor"/>
          </rPr>
          <t xml:space="preserve">王江林:
校长总结1:一个省一般受理2家上市公司的重整，一个地方中院受理一般一年只能受理一家上市公司的重整（北京一中院最高单年3家，深圳中院单年最高2家）建议选择受理预重整少的中院。
校长总结2:数据显示上半年受理重整的上市公司很少，也基本上都是6月份开始，去年上半年受理的只有一家金科4月，持有金科的应该了解金科情况，实际上可以说去年上半年没有受理一家重整。
校长总结3:数据记录受理重整的大多数都是戴星的ST，其实很好理解，戴星的ST不受理重整将面临退市风险，势必会催促上市公司推进重整，而其他申请重整股没有退市风险，可以拖到明年受理，自然受理的少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王江林</author>
  </authors>
  <commentList>
    <comment ref="AA1" authorId="0" shapeId="0" xr:uid="{00000000-0006-0000-0C00-000001000000}">
      <text>
        <r>
          <rPr>
            <sz val="11"/>
            <color theme="1"/>
            <rFont val="等线"/>
            <family val="2"/>
            <charset val="134"/>
            <scheme val="minor"/>
          </rPr>
          <t>王江林:
当日创新低数量，排除ST和北交所，上市1年以上的
ST和T和ST</t>
        </r>
      </text>
    </comment>
    <comment ref="J81" authorId="0" shapeId="0" xr:uid="{00000000-0006-0000-0C00-000002000000}">
      <text>
        <r>
          <rPr>
            <sz val="11"/>
            <color theme="1"/>
            <rFont val="等线"/>
            <family val="2"/>
            <charset val="134"/>
            <scheme val="minor"/>
          </rPr>
          <t>王江林:
如果不减仓的话1.79</t>
        </r>
      </text>
    </comment>
    <comment ref="J82" authorId="0" shapeId="0" xr:uid="{00000000-0006-0000-0C00-000003000000}">
      <text>
        <r>
          <rPr>
            <sz val="11"/>
            <color theme="1"/>
            <rFont val="等线"/>
            <family val="2"/>
            <charset val="134"/>
            <scheme val="minor"/>
          </rPr>
          <t>王江林:
1.7</t>
        </r>
      </text>
    </comment>
    <comment ref="J83" authorId="0" shapeId="0" xr:uid="{00000000-0006-0000-0C00-000004000000}">
      <text>
        <r>
          <rPr>
            <sz val="11"/>
            <color theme="1"/>
            <rFont val="等线"/>
            <family val="2"/>
            <charset val="134"/>
            <scheme val="minor"/>
          </rPr>
          <t xml:space="preserve">王江林:
-0.56
</t>
        </r>
      </text>
    </comment>
    <comment ref="J84" authorId="0" shapeId="0" xr:uid="{00000000-0006-0000-0C00-000005000000}">
      <text>
        <r>
          <rPr>
            <sz val="11"/>
            <color theme="1"/>
            <rFont val="等线"/>
            <family val="2"/>
            <charset val="134"/>
            <scheme val="minor"/>
          </rPr>
          <t>王江林:
-0.37</t>
        </r>
      </text>
    </comment>
    <comment ref="J85" authorId="0" shapeId="0" xr:uid="{00000000-0006-0000-0C00-000006000000}">
      <text>
        <r>
          <rPr>
            <sz val="11"/>
            <color theme="1"/>
            <rFont val="等线"/>
            <family val="2"/>
            <charset val="134"/>
            <scheme val="minor"/>
          </rPr>
          <t>王江林:
1.21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王江林</author>
  </authors>
  <commentList>
    <comment ref="H2" authorId="0" shapeId="0" xr:uid="{00000000-0006-0000-1100-000001000000}">
      <text>
        <r>
          <rPr>
            <sz val="11"/>
            <color theme="1"/>
            <rFont val="等线"/>
            <family val="2"/>
            <charset val="134"/>
            <scheme val="minor"/>
          </rPr>
          <t>王江林:
税费，安全生产费、环境治理费等</t>
        </r>
      </text>
    </comment>
    <comment ref="B9" authorId="0" shapeId="0" xr:uid="{00000000-0006-0000-1100-000002000000}">
      <text>
        <r>
          <rPr>
            <sz val="11"/>
            <color theme="1"/>
            <rFont val="等线"/>
            <family val="2"/>
            <charset val="134"/>
            <scheme val="minor"/>
          </rPr>
          <t>王江林:
全部井工矿</t>
        </r>
      </text>
    </comment>
    <comment ref="H9" authorId="0" shapeId="0" xr:uid="{00000000-0006-0000-1100-000003000000}">
      <text>
        <r>
          <rPr>
            <sz val="11"/>
            <color theme="1"/>
            <rFont val="等线"/>
            <family val="2"/>
            <charset val="134"/>
            <scheme val="minor"/>
          </rPr>
          <t>王江林:
税率8%</t>
        </r>
      </text>
    </comment>
    <comment ref="B12" authorId="0" shapeId="0" xr:uid="{00000000-0006-0000-1100-000004000000}">
      <text>
        <r>
          <rPr>
            <sz val="11"/>
            <color theme="1"/>
            <rFont val="等线"/>
            <family val="2"/>
            <charset val="134"/>
            <scheme val="minor"/>
          </rPr>
          <t>王江林:
自有铁路运输，成本比其他的低30元
长协为主，涨的时候比别人少，但跌的时候也少
露天矿占比40%</t>
        </r>
      </text>
    </comment>
    <comment ref="F13" authorId="0" shapeId="0" xr:uid="{00000000-0006-0000-1100-000005000000}">
      <text>
        <r>
          <rPr>
            <sz val="11"/>
            <color theme="1"/>
            <rFont val="等线"/>
            <family val="2"/>
            <charset val="134"/>
            <scheme val="minor"/>
          </rPr>
          <t>王江林:
原材料（27.4元/吨）、人工（47.3元/吨）、折旧（21元/吨）等分项均保持稳定，其他成本（如安全费、维简费）占比41.4%（74.1元/吨）</t>
        </r>
      </text>
    </comment>
    <comment ref="D14" authorId="0" shapeId="0" xr:uid="{00000000-0006-0000-1100-000006000000}">
      <text>
        <r>
          <rPr>
            <sz val="11"/>
            <color theme="1"/>
            <rFont val="等线"/>
            <family val="2"/>
            <charset val="134"/>
            <scheme val="minor"/>
          </rPr>
          <t>王江林:
-45</t>
        </r>
      </text>
    </comment>
    <comment ref="F14" authorId="0" shapeId="0" xr:uid="{00000000-0006-0000-1100-000007000000}">
      <text>
        <r>
          <rPr>
            <sz val="11"/>
            <color theme="1"/>
            <rFont val="等线"/>
            <family val="2"/>
            <charset val="134"/>
            <scheme val="minor"/>
          </rPr>
          <t>王江林:
人工计提+6.7%，维修费+15.5%</t>
        </r>
      </text>
    </comment>
    <comment ref="K14" authorId="0" shapeId="0" xr:uid="{00000000-0006-0000-1100-000008000000}">
      <text>
        <r>
          <rPr>
            <sz val="11"/>
            <color theme="1"/>
            <rFont val="等线"/>
            <family val="2"/>
            <charset val="134"/>
            <scheme val="minor"/>
          </rPr>
          <t>王江林:
-177</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王江林</author>
  </authors>
  <commentList>
    <comment ref="AB11" authorId="0" shapeId="0" xr:uid="{00000000-0006-0000-1300-000001000000}">
      <text>
        <r>
          <rPr>
            <sz val="11"/>
            <color theme="1"/>
            <rFont val="等线"/>
            <family val="2"/>
            <charset val="134"/>
            <scheme val="minor"/>
          </rPr>
          <t>王江林:
大盘当月暴涨</t>
        </r>
      </text>
    </comment>
    <comment ref="S44" authorId="0" shapeId="0" xr:uid="{00000000-0006-0000-1300-000002000000}">
      <text>
        <r>
          <rPr>
            <sz val="11"/>
            <color theme="1"/>
            <rFont val="等线"/>
            <family val="2"/>
            <charset val="134"/>
            <scheme val="minor"/>
          </rPr>
          <t>王江林:
大盘暴跌</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王江林</author>
  </authors>
  <commentList>
    <comment ref="F4" authorId="0" shapeId="0" xr:uid="{00000000-0006-0000-1500-000001000000}">
      <text>
        <r>
          <rPr>
            <sz val="11"/>
            <color theme="1"/>
            <rFont val="等线"/>
            <family val="2"/>
            <charset val="134"/>
            <scheme val="minor"/>
          </rPr>
          <t>王江林:
产房成活率×保育成活率×育肥成活率=全程成活率</t>
        </r>
      </text>
    </comment>
    <comment ref="F22" authorId="0" shapeId="0" xr:uid="{00000000-0006-0000-1500-000002000000}">
      <text>
        <r>
          <rPr>
            <sz val="11"/>
            <color theme="1"/>
            <rFont val="等线"/>
            <family val="2"/>
            <charset val="134"/>
            <scheme val="minor"/>
          </rPr>
          <t>王江林:
14以下占比30%</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王江林</author>
  </authors>
  <commentList>
    <comment ref="B1" authorId="0" shapeId="0" xr:uid="{00000000-0006-0000-2000-000001000000}">
      <text>
        <r>
          <rPr>
            <sz val="11"/>
            <color theme="1"/>
            <rFont val="等线"/>
            <family val="2"/>
            <charset val="134"/>
            <scheme val="minor"/>
          </rPr>
          <t>王江林:
&lt;10，小
&lt;20，中
&lt;30，大
超大</t>
        </r>
      </text>
    </comment>
  </commentList>
</comments>
</file>

<file path=xl/sharedStrings.xml><?xml version="1.0" encoding="utf-8"?>
<sst xmlns="http://schemas.openxmlformats.org/spreadsheetml/2006/main" count="19629" uniqueCount="14155">
  <si>
    <t>日期</t>
  </si>
  <si>
    <t>可转债超额</t>
  </si>
  <si>
    <t>可转债等权指数</t>
  </si>
  <si>
    <t>可转债轮动组合</t>
  </si>
  <si>
    <t>可转债实盘</t>
  </si>
  <si>
    <t>对应正股涨幅</t>
  </si>
  <si>
    <t>转债正股比值</t>
  </si>
  <si>
    <t>模拟正股delta40</t>
  </si>
  <si>
    <t>ST实盘</t>
  </si>
  <si>
    <t>ST板块</t>
  </si>
  <si>
    <t>ST超额</t>
  </si>
  <si>
    <t>ST等权</t>
  </si>
  <si>
    <t>ST星等权</t>
  </si>
  <si>
    <t>ST重整</t>
  </si>
  <si>
    <t>盈亏</t>
  </si>
  <si>
    <t>累计盈亏</t>
  </si>
  <si>
    <t>封基收益</t>
  </si>
  <si>
    <t>涨超6数量</t>
  </si>
  <si>
    <t>小狮子实盘</t>
  </si>
  <si>
    <t>微盘股</t>
  </si>
  <si>
    <t>微盘股轮出</t>
  </si>
  <si>
    <t>微盘股轮入</t>
  </si>
  <si>
    <t>ST涨
超5%</t>
  </si>
  <si>
    <t>ST跌
超5%</t>
  </si>
  <si>
    <t>波动率</t>
  </si>
  <si>
    <t>创新低</t>
  </si>
  <si>
    <t>上涨板块</t>
  </si>
  <si>
    <t>202508汇总</t>
  </si>
  <si>
    <t>202509汇总</t>
  </si>
  <si>
    <t>202510汇总</t>
  </si>
  <si>
    <t>切正股</t>
  </si>
  <si>
    <t>切转债</t>
  </si>
  <si>
    <t>202511汇总</t>
  </si>
  <si>
    <t>202512汇总</t>
  </si>
  <si>
    <t>ST清仓</t>
  </si>
  <si>
    <t>202601汇总</t>
  </si>
  <si>
    <t>半导体、医药</t>
  </si>
  <si>
    <t>军工券商有色化工</t>
  </si>
  <si>
    <t>半导体煤炭</t>
  </si>
  <si>
    <t>军工地产</t>
  </si>
  <si>
    <t>军工汽车零部件游戏医疗有色</t>
  </si>
  <si>
    <t>军工游戏钢铁传媒</t>
  </si>
  <si>
    <t>医疗有色</t>
  </si>
  <si>
    <t>半导体医疗化工</t>
  </si>
  <si>
    <t>半导体有色光伏化工</t>
  </si>
  <si>
    <t>半导体汽车零部件机器人</t>
  </si>
  <si>
    <t>军工游戏光伏化工</t>
  </si>
  <si>
    <t>化工地产煤炭银行</t>
  </si>
  <si>
    <t>半导体有色机器人</t>
  </si>
  <si>
    <t>军工光伏化工钢铁煤炭</t>
  </si>
  <si>
    <t>光伏军工有色医疗钢铁电池传媒</t>
  </si>
  <si>
    <t>生物医药电力银行畜牧煤炭</t>
  </si>
  <si>
    <t>半导体军工传媒软件光伏汽车零部件</t>
  </si>
  <si>
    <t>汽车零部件化工电池钢铁软件电网设备家电医药光伏游戏传媒军工</t>
  </si>
  <si>
    <t>有色化工煤炭石油地产钢铁红利基建</t>
  </si>
  <si>
    <t>白酒消费有色红利证券房地产银行畜牧医疗传媒</t>
  </si>
  <si>
    <t>农业半导体畜牧</t>
  </si>
  <si>
    <t>202602汇总</t>
  </si>
  <si>
    <t>大跌</t>
  </si>
  <si>
    <t>白酒电网设备</t>
  </si>
  <si>
    <t>涨溢价</t>
  </si>
  <si>
    <t>有色军工光伏化工电网设备工程机械传媒钢铁可转债涨溢价</t>
  </si>
  <si>
    <t>杀溢价</t>
  </si>
  <si>
    <t>煤炭旅游光伏地产钢铁白酒工程机械医疗银行证券电力</t>
  </si>
  <si>
    <t>银行旅游医药消费</t>
  </si>
  <si>
    <t>化工电池光伏中药</t>
  </si>
  <si>
    <t>传媒光伏工程机械软件半导体电网设备游戏电池房地产有色</t>
  </si>
  <si>
    <t>游戏传媒医药家电机器人电网设备</t>
  </si>
  <si>
    <t>有色电池化工钢铁煤炭</t>
  </si>
  <si>
    <t>电网设备储能电池半导体工程机械软件军工光伏电力</t>
  </si>
  <si>
    <t>军工半导体</t>
  </si>
  <si>
    <t>电网设备工程机械化工粮食煤炭有色钢铁电力红利光伏军工</t>
  </si>
  <si>
    <t>钢铁有色房地产粮食电池军工化工</t>
  </si>
  <si>
    <t>电网设备军工钢铁半导体电力</t>
  </si>
  <si>
    <t>有色煤炭电力钢铁软件光伏畜牧</t>
  </si>
  <si>
    <t>202603汇总</t>
  </si>
  <si>
    <t>有色煤炭军工红利化工电网设备电力银行</t>
  </si>
  <si>
    <t>煤炭红利银行</t>
  </si>
  <si>
    <t>电网设备粮食军工电力</t>
  </si>
  <si>
    <t>电网设备工程机械机器人半导体基建电力传媒游戏汽零光伏</t>
  </si>
  <si>
    <t>畜牧粮食医药软件化工消费券商</t>
  </si>
  <si>
    <t>煤炭光伏软件电力</t>
  </si>
  <si>
    <t>通信工程机械医药半导体汽零家电机器人电池游戏</t>
  </si>
  <si>
    <t>电池煤炭电力化工粮食光伏畜牧</t>
  </si>
  <si>
    <t>煤炭电力畜牧银行</t>
  </si>
  <si>
    <t>白酒基建</t>
  </si>
  <si>
    <t>半导体通信白酒医药畜牧</t>
  </si>
  <si>
    <t>证券银行医药</t>
  </si>
  <si>
    <t>通信半导体电网设备软件传媒</t>
  </si>
  <si>
    <t>煤炭电力</t>
  </si>
  <si>
    <t>光伏储能电池通信电力</t>
  </si>
  <si>
    <t>煤炭</t>
  </si>
  <si>
    <t>绿电有色钢铁工程机械基建医药军工半导体</t>
  </si>
  <si>
    <t>通信旅游有色电力汽车零部件电网设备半导体游戏基建传媒钢铁软件军工化工</t>
  </si>
  <si>
    <t>煤炭银行化工红利</t>
  </si>
  <si>
    <t>医药有色化工粮食畜牧钢铁</t>
  </si>
  <si>
    <t>粮食有色医药军工化工</t>
  </si>
  <si>
    <t>银行家电生物医药</t>
  </si>
  <si>
    <t>202604汇总</t>
  </si>
  <si>
    <t>游戏医药工程机械通信旅游半导体机器人汽车零部件传媒软件有色证券</t>
  </si>
  <si>
    <t>畜牧煤炭消费银行创新药</t>
  </si>
  <si>
    <t>通信</t>
  </si>
  <si>
    <t>化工煤炭畜牧半导体有色传媒</t>
  </si>
  <si>
    <t>传媒通信软件半导体有色工程机械游戏汽零军工光伏电网设备旅游储能电池房地产证券汽车钢铁家电医疗</t>
  </si>
  <si>
    <t>通信储能电池</t>
  </si>
  <si>
    <t>储能电池通信证券游戏光伏半导体机器人汽车</t>
  </si>
  <si>
    <t>光伏储能电池畜牧钢铁电力煤炭</t>
  </si>
  <si>
    <t>畜牧房地产储能电池半导体机器人通信软件有色军工家电</t>
  </si>
  <si>
    <t>医药电网设备银行畜牧</t>
  </si>
  <si>
    <t>有色通信游戏传媒软件钢铁储能电池机器人汽车化工半导体旅游</t>
  </si>
  <si>
    <t>通信房地产军工半导体</t>
  </si>
  <si>
    <t>电网设备军工传媒家电半导体通信光伏电力软件银行</t>
  </si>
  <si>
    <t>煤炭化工电力</t>
  </si>
  <si>
    <t>通信电网设备半导体软件储能电池医疗</t>
  </si>
  <si>
    <t>煤炭电力白酒</t>
  </si>
  <si>
    <t>化工半导体有色</t>
  </si>
  <si>
    <t>半导体机器人通信家电</t>
  </si>
  <si>
    <t>煤炭医药券商</t>
  </si>
  <si>
    <t>有色储能电池化工畜牧旅游传媒钢铁房地产家电光伏煤炭白酒</t>
  </si>
  <si>
    <t>半导体卫星房地产军工机器人</t>
  </si>
  <si>
    <t>202605汇总</t>
  </si>
  <si>
    <t>半导体电网设备工程机械软件有色卫星储能电力通信光伏军工机器人</t>
  </si>
  <si>
    <t>通信机器人汽零基建电网设备传媒半导体游戏软件光伏电力</t>
  </si>
  <si>
    <t>卫星机器人汽零军工房地产游戏</t>
  </si>
  <si>
    <t>半导体通信医药工程机械光伏储能机器人券商电力军工</t>
  </si>
  <si>
    <t>电网设备电力通信券商半导体</t>
  </si>
  <si>
    <t>通信半导体储能机器人电网设备电力光伏工程机械传媒军工游戏软件</t>
  </si>
  <si>
    <t>畜牧白酒银行</t>
  </si>
  <si>
    <t>机器人汽零煤炭家电</t>
  </si>
  <si>
    <t>电网设备卫星通信机器人煤炭储能电池半导体软件汽零电力</t>
  </si>
  <si>
    <t>电力半导体电网设备传媒游戏软件光伏机器人储能电池医疗</t>
  </si>
  <si>
    <t>半导体储能电池化工光伏通信白酒</t>
  </si>
  <si>
    <t>汽车汽零创新药银行</t>
  </si>
  <si>
    <t>通信有色半导体工程机械卫星电网设备机器人储能电池光伏军工汽零化工绿电</t>
  </si>
  <si>
    <t>半导体通信煤炭电力卫星绿电软件旅游军工光伏电网设备</t>
  </si>
  <si>
    <t>有色化工证券</t>
  </si>
  <si>
    <t>白酒煤炭储能电池电力</t>
  </si>
  <si>
    <t>通信煤炭军工电网设备半导体电力绿电</t>
  </si>
  <si>
    <t>电力旅游白酒消费煤炭中药创新药医药绿电生物医药银行证券红利</t>
  </si>
  <si>
    <t>202606汇总</t>
  </si>
  <si>
    <t>煤炭软件传媒红利游戏粮食化工电力养殖银行</t>
  </si>
  <si>
    <t>通信有色家电机器人半导体汽车汽零</t>
  </si>
  <si>
    <t>通信煤炭半导体卫星</t>
  </si>
  <si>
    <t>煤炭半导体工程机械</t>
  </si>
  <si>
    <t>卫星机器人银行游戏</t>
  </si>
  <si>
    <t>机器人</t>
  </si>
  <si>
    <t>切2026重整</t>
  </si>
  <si>
    <t>半导体通信电网设备储能电池光伏有色卫星软件化工传媒军工电力汽零工程机械机器人绿电游戏</t>
  </si>
  <si>
    <t>银行创新药医药生物医药旅游证券豆粕白酒</t>
  </si>
  <si>
    <t>有色化工半导体</t>
  </si>
  <si>
    <t>有色证券化工旅游钢铁创新药生物医药军工医药医疗中药银行储能电池工程机械房地产养殖游戏软件粮食红利消费电力绿电</t>
  </si>
  <si>
    <t>通信半导体有色电网设备机器人汽零储能电池工程机械软件化工证券光伏基建军工汽车传媒游戏旅游</t>
  </si>
  <si>
    <t>转债低仓</t>
  </si>
  <si>
    <t>储能电池电网设备通信机器人光伏半导体</t>
  </si>
  <si>
    <t>半导体通信基建军工卫星</t>
  </si>
  <si>
    <t>半导体通信创新药机器人生物医药卫星汽零</t>
  </si>
  <si>
    <t>证券化工有色电网设备软件游戏传媒储能电池半导体光伏煤炭医药粮食通信工程机械基建钢铁</t>
  </si>
  <si>
    <t>创新药</t>
  </si>
  <si>
    <t>半导体通信化工创新药医药生物医药卫星医疗</t>
  </si>
  <si>
    <t>半导体通信证券游戏旅游白酒电网设备光伏</t>
  </si>
  <si>
    <t>卫星</t>
  </si>
  <si>
    <t>创新药生物医药医药半导体医疗中药养殖消费游戏白酒煤炭证券有色家电储能电池基建汽车传媒</t>
  </si>
  <si>
    <t>机器人通信卫星军工半导体汽零光伏储能电池软件家电电网设备传媒汽车</t>
  </si>
  <si>
    <t>202607汇总</t>
  </si>
  <si>
    <t>科技调整</t>
  </si>
  <si>
    <t>养殖证券创新药中药生物医药软件化工旅游煤炭医疗医药粮食消费房地产钢铁基建红利绿电电力白酒</t>
  </si>
  <si>
    <t>豆粕有色银行工程机械红利</t>
  </si>
  <si>
    <t>机器人汽零汽车工程机械卫星军工家电创新药生物医药医药通信医疗基建中药煤炭红利</t>
  </si>
  <si>
    <t>煤炭养殖豆粕红利消费银行白酒中药医药生物医药</t>
  </si>
  <si>
    <t>游戏豆粕</t>
  </si>
  <si>
    <t>软件银行豆粕红利煤炭</t>
  </si>
  <si>
    <t>科技大涨</t>
  </si>
  <si>
    <t>半导体通信卫星机器人软件储能电池创新药医药生物医药军工证券光伏电网设备家电房地产</t>
  </si>
  <si>
    <t>卫星生物医药白酒创新药军工医疗传媒游戏房地产消费养殖旅游医药中药软件电力汽车钢铁</t>
  </si>
  <si>
    <t>中药豆粕银行</t>
  </si>
  <si>
    <t>通信有色煤炭生物医药创新药化工医疗电网设备储能电池红利钢铁医药工程机械电力粮食半导体中药绿电基建</t>
  </si>
  <si>
    <t>游戏白酒生物医药传媒医疗创新药消费医药旅游养殖证券汽车中药煤炭钢铁红利粮食豆粕软件银行家电绿电</t>
  </si>
  <si>
    <t>中药养殖传媒消费房地产汽车</t>
  </si>
  <si>
    <t>电力绿电</t>
  </si>
  <si>
    <t>煤炭电力白酒绿电消费红利医药创新药软件豆粕生物医药医疗银行证券游戏养殖旅游传媒</t>
  </si>
  <si>
    <t>半导体通信储能电池有色机器人卫星光伏电网设备军工汽零工程机械化工家电软件基建游戏传媒生物医药创新药</t>
  </si>
  <si>
    <t>有色煤炭化工绿电电力红利粮食房地产白酒银行</t>
  </si>
  <si>
    <t>电网设备储能电池有色钢铁工程机械化工光伏粮食军工汽车豆粕卫星证券煤炭</t>
  </si>
  <si>
    <t>豆粕</t>
  </si>
  <si>
    <t>储能电池生物医药卫星旅游中药电网设备通信游戏传媒医疗军工软件创新药有色光伏机器人化工家电房地产汽零基建钢铁汽车粮食工程机械养殖消费</t>
  </si>
  <si>
    <t>白酒银行消费房地产</t>
  </si>
  <si>
    <t>游戏传媒工程机械煤炭钢铁汽车证券医药医疗有色软件房地产旅游生物医药军工电力汽零电网设备化工粮食绿电白酒中药创新药红利家电</t>
  </si>
  <si>
    <t>白酒消费银行红利汽车粮食</t>
  </si>
  <si>
    <t>传媒软件机器人通信游戏半导体卫星汽零有色军工基建电网设备工程机械储能电池创新药医疗家电光伏生物医药汽车旅游房地产粮食</t>
  </si>
  <si>
    <t>202608汇总</t>
  </si>
  <si>
    <t>卫星光伏电网设备电力游戏绿电机器人钢铁粮食</t>
  </si>
  <si>
    <t>通信半导体创新药卫星传媒生物医药游戏机器人医药储能电池电网设备软件医疗有色军工光伏汽零</t>
  </si>
  <si>
    <t>半导体有色化工储能电池机器人软件卫星电网设备汽零军工房地产通信光伏工程机械基建创新药医药</t>
  </si>
  <si>
    <t>煤炭红利半导体化工通信粮食豆粕</t>
  </si>
  <si>
    <t>创新药生物医药医疗医药有色半导体卫星通信光伏储能电池军工中药电网设备机器人</t>
  </si>
  <si>
    <t>养殖消费白酒医药煤炭医疗游戏化工工程机械生物医药有色房地产粮食军工旅游传媒钢铁红利</t>
  </si>
  <si>
    <t>储能电池机器人</t>
  </si>
  <si>
    <t>通信房地产卫星半导体</t>
  </si>
  <si>
    <t>生物医药医疗创新药</t>
  </si>
  <si>
    <t>通信游戏煤炭卫星电网设备有色</t>
  </si>
  <si>
    <t>半导体通信粮食有色卫星电网设备储能电池光伏机器人汽零化工军工医药工程机械基建</t>
  </si>
  <si>
    <t>粮食豆粕养殖机器人煤炭红利</t>
  </si>
  <si>
    <t>银行</t>
  </si>
  <si>
    <t>生物医药医疗创新药中药旅游养殖传媒基建通信有色医药</t>
  </si>
  <si>
    <t>有色通信储能电池</t>
  </si>
  <si>
    <t>生物医药医疗创新药粮食机器人医药房地产中药汽零传媒家电旅游游戏养殖卫星</t>
  </si>
  <si>
    <t>证券有色豆粕化工钢铁光伏储能电池房地产电力绿电</t>
  </si>
  <si>
    <t>半导体通信粮食卫星化工煤炭豆粕软件机器人军工汽零有色养殖</t>
  </si>
  <si>
    <t>化工粮食钢铁养殖</t>
  </si>
  <si>
    <t>传媒卫星煤炭机器人豆粕游戏半导体军工银行通信软件家电</t>
  </si>
  <si>
    <t>202609汇总</t>
  </si>
  <si>
    <t>粮食豆粕白酒银行养殖电力绿电旅游消费传媒汽车</t>
  </si>
  <si>
    <t>军工</t>
  </si>
  <si>
    <t>豆粕储能电池有色家电游戏生物医药</t>
  </si>
  <si>
    <t>养殖传媒消费白酒游戏粮食豆粕房地产旅游软件</t>
  </si>
  <si>
    <t>通信粮食半导体机器人光伏传媒游戏储能电池汽零工程机械</t>
  </si>
  <si>
    <t>粮食煤炭房地产化工钢铁生物医药红利有色医疗豆粕中药</t>
  </si>
  <si>
    <t>煤炭电网设备有色军工红利电力</t>
  </si>
  <si>
    <t>生物医药创新药医疗医药中药汽车银行</t>
  </si>
  <si>
    <t>半导体</t>
  </si>
  <si>
    <t>半导体通信豆粕卫星有色光伏电网设备储能电池房地产</t>
  </si>
  <si>
    <t>粮食汽零汽车</t>
  </si>
  <si>
    <t>半导体房地产光伏卫星储能电池通信软件机器人军工证券有色旅游电网设备汽零基建家电</t>
  </si>
  <si>
    <t>房地产创新药生物医药医药煤炭医疗粮食中药旅游电网设备军工红利养殖汽零白酒钢铁证券化工通信</t>
  </si>
  <si>
    <t>传媒软件豆粕</t>
  </si>
  <si>
    <t>房地产</t>
  </si>
  <si>
    <t>房地产传媒储能电池有色基建</t>
  </si>
  <si>
    <t>生物医药创新药白酒医疗医药粮食中药消费银行红利钢铁工程机械</t>
  </si>
  <si>
    <t>下一步</t>
  </si>
  <si>
    <t>退市概率</t>
  </si>
  <si>
    <t>明诚</t>
  </si>
  <si>
    <t>湖北国企</t>
  </si>
  <si>
    <t>已经破除重组过了，正在优化资产负债表，目前收购了大股东的一个物业公司，估计是保壳用的。</t>
  </si>
  <si>
    <t>不知道装入什么资产</t>
  </si>
  <si>
    <t>干净壳</t>
  </si>
  <si>
    <t>低</t>
  </si>
  <si>
    <t>宁科</t>
  </si>
  <si>
    <t>民营</t>
  </si>
  <si>
    <t>债务预期，可能要破产了</t>
  </si>
  <si>
    <t>破产</t>
  </si>
  <si>
    <t>中高</t>
  </si>
  <si>
    <t>锦州港</t>
  </si>
  <si>
    <t>无控制人</t>
  </si>
  <si>
    <t>年报可能无法表示的意见，应收账款大量预期，违规担保</t>
  </si>
  <si>
    <t>强退</t>
  </si>
  <si>
    <t>高</t>
  </si>
  <si>
    <t>科新发展</t>
  </si>
  <si>
    <t>2023年营收低于1亿。2024年预计可以摘帽营收大幅增加，利润转正</t>
  </si>
  <si>
    <t>摘帽</t>
  </si>
  <si>
    <t>2023年年报带帽后大跌到5亿，然后触底后上涨</t>
  </si>
  <si>
    <t>青海华鼎</t>
  </si>
  <si>
    <t>2024营收2.3亿不足3亿退市风险</t>
  </si>
  <si>
    <t>做大营收或利润或卖壳</t>
  </si>
  <si>
    <t>大跌后可以抄底赌2025年摘帽</t>
  </si>
  <si>
    <t>江苏舜天</t>
  </si>
  <si>
    <t>江苏国企</t>
  </si>
  <si>
    <t>前面多年财务造假，虚增收入，已经处罚完了</t>
  </si>
  <si>
    <t>带帽后跌到10亿左右反弹</t>
  </si>
  <si>
    <t>亿阳信通</t>
  </si>
  <si>
    <t>2023年年报无法表示意见、资金占用、违规担保，还有违规担保没解决</t>
  </si>
  <si>
    <t>解决担保问题</t>
  </si>
  <si>
    <t>股价大涨过了，不用管</t>
  </si>
  <si>
    <t>国旅联合</t>
  </si>
  <si>
    <t>江西国企</t>
  </si>
  <si>
    <t>2020年有几百万利润放错年份了，这个很好解决</t>
  </si>
  <si>
    <t>2026年可摘帽</t>
  </si>
  <si>
    <t>跌停打开后反弹</t>
  </si>
  <si>
    <t>华微电子</t>
  </si>
  <si>
    <t>2025年10月12前必须解决14亿的非经营资金占用问题，否则终止上市</t>
  </si>
  <si>
    <t>解决资产占用</t>
  </si>
  <si>
    <t>中</t>
  </si>
  <si>
    <t>占用有点多，2023年报披露后大跌到20亿反弹</t>
  </si>
  <si>
    <t>通葡股份</t>
  </si>
  <si>
    <t>担保问题</t>
  </si>
  <si>
    <t>青海春天</t>
  </si>
  <si>
    <t>审计预测营收不足3亿，很多收入不符合常理，可能否定意见</t>
  </si>
  <si>
    <t>解决审计和营收</t>
  </si>
  <si>
    <t>宇顺电子</t>
  </si>
  <si>
    <t>202308月大股东进入，现在需要保壳。正打算购买一些数据中心。</t>
  </si>
  <si>
    <t>保壳</t>
  </si>
  <si>
    <t>已经大涨</t>
  </si>
  <si>
    <t>海越能源</t>
  </si>
  <si>
    <t>银川国企</t>
  </si>
  <si>
    <t>2023年非标，2024又可能非标</t>
  </si>
  <si>
    <t>九有投资</t>
  </si>
  <si>
    <t>2023净资产为负，2024可能转正，但正被立案侦查。</t>
  </si>
  <si>
    <t>中珠医疗</t>
  </si>
  <si>
    <t>非经营资金占用5.6亿</t>
  </si>
  <si>
    <t>归还资金</t>
  </si>
  <si>
    <t>熊猫金控</t>
  </si>
  <si>
    <t>金融公司，小贷业务基本快没了。剩烟花业务了。2022-2023连续否定审计。业绩正的。</t>
  </si>
  <si>
    <t>解决历史问题</t>
  </si>
  <si>
    <t>广汇物流</t>
  </si>
  <si>
    <t>之前有小小的财务造假</t>
  </si>
  <si>
    <t>应该可以摘帽了</t>
  </si>
  <si>
    <t>无投资价值了</t>
  </si>
  <si>
    <t>宽频科技</t>
  </si>
  <si>
    <t>昆明国企</t>
  </si>
  <si>
    <t>原大股东资金占用3.4亿，已经10几年了，但原大股东已经没有偿还能力了。没有收入了，资产也很干净。2024年触发不足3亿退市风险。现大股东都10年了也没注入资产。</t>
  </si>
  <si>
    <t>做大营收或利润，注入资产</t>
  </si>
  <si>
    <t>双成药业</t>
  </si>
  <si>
    <t>收入不足。
本来要购买大股东的半导体资产，但最终终止了，因为跟有些交易方达不成一致。</t>
  </si>
  <si>
    <t>估值高</t>
  </si>
  <si>
    <t>类型</t>
  </si>
  <si>
    <t>标的</t>
  </si>
  <si>
    <t>结果</t>
  </si>
  <si>
    <t>仓位</t>
  </si>
  <si>
    <t>收益</t>
  </si>
  <si>
    <t>买入日期</t>
  </si>
  <si>
    <t>最迟日期</t>
  </si>
  <si>
    <t>负债率</t>
  </si>
  <si>
    <t>转债规模</t>
  </si>
  <si>
    <t>现金</t>
  </si>
  <si>
    <t>转债现金比</t>
  </si>
  <si>
    <t>不强赎</t>
  </si>
  <si>
    <t>金铜转债</t>
  </si>
  <si>
    <t>失败</t>
  </si>
  <si>
    <t>年报延期</t>
  </si>
  <si>
    <t>天茂集团</t>
  </si>
  <si>
    <t>要约波动</t>
  </si>
  <si>
    <t>申科股份</t>
  </si>
  <si>
    <t>成功</t>
  </si>
  <si>
    <t>化债</t>
  </si>
  <si>
    <t>柳药集团</t>
  </si>
  <si>
    <t>重庆建工</t>
  </si>
  <si>
    <t>烽火通信</t>
  </si>
  <si>
    <t>鲁泰股份</t>
  </si>
  <si>
    <t>利群股份</t>
  </si>
  <si>
    <t>异议选择权</t>
  </si>
  <si>
    <t>海光信息</t>
  </si>
  <si>
    <t>清研</t>
  </si>
  <si>
    <t>太和</t>
  </si>
  <si>
    <t>凯鑫</t>
  </si>
  <si>
    <t>海钦</t>
  </si>
  <si>
    <t>海源</t>
  </si>
  <si>
    <t>返利</t>
  </si>
  <si>
    <t>威尔</t>
  </si>
  <si>
    <t>艾艾</t>
  </si>
  <si>
    <t>四通</t>
  </si>
  <si>
    <t>亿通</t>
  </si>
  <si>
    <t>本钢板材</t>
  </si>
  <si>
    <t>戴帽原因</t>
  </si>
  <si>
    <t>解决方法</t>
  </si>
  <si>
    <t>关键节点</t>
  </si>
  <si>
    <t>公布前市值</t>
  </si>
  <si>
    <t>公布前</t>
  </si>
  <si>
    <t>公布日</t>
  </si>
  <si>
    <t>摘帽当天</t>
  </si>
  <si>
    <t>第二天</t>
  </si>
  <si>
    <t>第三天</t>
  </si>
  <si>
    <t>和展能源</t>
  </si>
  <si>
    <t>2023亏损且收入不足1亿</t>
  </si>
  <si>
    <t>做大收入</t>
  </si>
  <si>
    <t>最低市值11亿，出现在20240424
20230830实控人变更为和展中达</t>
  </si>
  <si>
    <t>翻倍</t>
  </si>
  <si>
    <t>高开低走</t>
  </si>
  <si>
    <t>威帝</t>
  </si>
  <si>
    <t>净利润正</t>
  </si>
  <si>
    <t>涨停</t>
  </si>
  <si>
    <t>理工导航</t>
  </si>
  <si>
    <t>2023年亏损且收入不足1亿</t>
  </si>
  <si>
    <t>收入做大</t>
  </si>
  <si>
    <t>20240403公告收购宇讯电子，1.2亿价款，宇讯电子收入7000万，利润1200万。
20240430带帽当天市值最低16亿。
20240605公告签定大额经营合同，1个多亿，年内交付，基本锁定摘帽。
20240830半年报显示业绩没有改善。
2241029三季报显示收入开始大涨。
20250117业绩预告显示收入满足1亿要求。</t>
  </si>
  <si>
    <t>做大收入和做正利润，实控人变更</t>
  </si>
  <si>
    <t>股价一直跌到20240611，晚上公告管理层增持计划。第二天开始股价反弹。最低市值5亿。
20240731公告实控人变更为连宗盛。股价继续上涨。
20240830半年报业绩没有改善。但公告新签合同2个多亿。
20240927公告出售广告子公司。
20241030三季报显示收入大涨。
20250125公告业绩预盈。</t>
  </si>
  <si>
    <t>翻两倍</t>
  </si>
  <si>
    <t>文投控股</t>
  </si>
  <si>
    <t>2023净资产负、持续经营不确定性</t>
  </si>
  <si>
    <t>重整</t>
  </si>
  <si>
    <t>涨50%</t>
  </si>
  <si>
    <t>永悦科技</t>
  </si>
  <si>
    <t>2023内部否定审计</t>
  </si>
  <si>
    <t>天创时尚</t>
  </si>
  <si>
    <t>2023无法表示意见审计报告和否定意见内部审计</t>
  </si>
  <si>
    <t>解决相关事项</t>
  </si>
  <si>
    <t>起步股份</t>
  </si>
  <si>
    <t>2021年否定内部审计、2023年持续经营不确定性</t>
  </si>
  <si>
    <t>中润资源</t>
  </si>
  <si>
    <t>2023经营重大不确定性</t>
  </si>
  <si>
    <t>大股东为公司提供担保和借款
收回股权转让款
达成还款协议，解除账户冻结
聚焦黄金主业，增强经营能力
实控人变更为招远国企</t>
  </si>
  <si>
    <t>合力泰</t>
  </si>
  <si>
    <t>东方园林</t>
  </si>
  <si>
    <t>贤丰控股</t>
  </si>
  <si>
    <t>2023亏损且收入不足1亿
2023否定内控报告：
1、1-2季度预收账款确认不当，说明收入相关内部控制有缺陷。
2、虚增收入成本，说明内部控制缺陷。</t>
  </si>
  <si>
    <t>靠覆铜板业务营收超过3亿
内部缺陷解决，前期会计差错纠正；批判相关人员</t>
  </si>
  <si>
    <t>金时科技</t>
  </si>
  <si>
    <t>2023年亏损且收入不足1亿
子公司四川金时印务有限公司实施停产已满3个月</t>
  </si>
  <si>
    <t>营收超过3亿
剥离停产的不良子公司</t>
  </si>
  <si>
    <t>2024年7月半年报预告时还没有摘帽的可能性，股价也一直跌到了这时候
20240822晚，公司发布公告出售停产子公司给关联方，总价3亿，股票开始涨停。
20241028三季报显示收入还只是有所提升，但离摘帽相差很远。
20241029、1114分别公告签订两项经营合同、总金额差不多3亿。储能相关业务。股价继续上涨。
20241231公告出售停产子公司完成。
20250125业绩预告，基本确定可以摘帽。</t>
  </si>
  <si>
    <t>红太阳</t>
  </si>
  <si>
    <t>2023年否定内控报告</t>
  </si>
  <si>
    <t>非经营资金占用归还
对部分预付款项缺乏合理的商业理由和依据已完成整改
重整</t>
  </si>
  <si>
    <t>升达林业</t>
  </si>
  <si>
    <t>大股东违规担保
非经营资金占用</t>
  </si>
  <si>
    <t>九芝堂</t>
  </si>
  <si>
    <t xml:space="preserve">非经营资金3700万占用归还
</t>
  </si>
  <si>
    <t>同洲电子</t>
  </si>
  <si>
    <t>2023亏损且收入不足1亿
经营不确定性
与大族控股有物业纠纷银行账户被冻结</t>
  </si>
  <si>
    <t>尝试重整没成功
开展算力服务电源业务改善收入和利润
投资者诉讼过期失效</t>
  </si>
  <si>
    <t>恒宇信通</t>
  </si>
  <si>
    <t>2023亏损且收入不足1亿
经营不确定性，2023年一次性计提了前面8年的营业收入导致营收负数</t>
  </si>
  <si>
    <t>收入利润恢复正常
销售收入的审核价如果低于暂定价，就会计提营收，所以感觉很难确定以后不会作假</t>
  </si>
  <si>
    <t>汉马科技</t>
  </si>
  <si>
    <t>步步高</t>
  </si>
  <si>
    <t>宁科生物</t>
  </si>
  <si>
    <t>2023年无法表示意见的审计报告</t>
  </si>
  <si>
    <t>子公司重整中
退市风险解除了，但子公司持续经营能力未解除</t>
  </si>
  <si>
    <t>新宁物流</t>
  </si>
  <si>
    <t>定向增发融资优化财务状况，引入新大股东湖南国资</t>
  </si>
  <si>
    <t>名称</t>
  </si>
  <si>
    <t>戴帽当天收盘价</t>
  </si>
  <si>
    <t>戴帽当天打开跌停价</t>
  </si>
  <si>
    <t>2024年12月31收盘价</t>
  </si>
  <si>
    <t>申请摘帽当天开盘价</t>
  </si>
  <si>
    <t>摘帽当天开盘价</t>
  </si>
  <si>
    <t>戴帽当天到年底收益</t>
  </si>
  <si>
    <t>戴帽跌停打开到年底收益</t>
  </si>
  <si>
    <t>威帝股份</t>
  </si>
  <si>
    <t>天邦食品</t>
  </si>
  <si>
    <t>金时股份</t>
  </si>
  <si>
    <t>天沃科技</t>
  </si>
  <si>
    <t>山东魔龙</t>
  </si>
  <si>
    <t>年份</t>
  </si>
  <si>
    <t>退市总数</t>
  </si>
  <si>
    <t>ST退市</t>
  </si>
  <si>
    <t>其他退市</t>
  </si>
  <si>
    <t>ST*</t>
  </si>
  <si>
    <t>实际退市</t>
  </si>
  <si>
    <t>退市率</t>
  </si>
  <si>
    <t>代码</t>
  </si>
  <si>
    <t>公司</t>
  </si>
  <si>
    <t>原因</t>
  </si>
  <si>
    <t>详细</t>
  </si>
  <si>
    <t>思考</t>
  </si>
  <si>
    <t>确定日市值</t>
  </si>
  <si>
    <t>是否国资</t>
  </si>
  <si>
    <t>年底前收益</t>
  </si>
  <si>
    <t>龙津药业</t>
  </si>
  <si>
    <t>财务退</t>
  </si>
  <si>
    <t>连续两年财务亏损营收不足。负债率是低的。</t>
  </si>
  <si>
    <t>为什么不卖壳呢？</t>
  </si>
  <si>
    <t>否</t>
  </si>
  <si>
    <t>平</t>
  </si>
  <si>
    <t>大理药业</t>
  </si>
  <si>
    <t>负</t>
  </si>
  <si>
    <t>恒立实业</t>
  </si>
  <si>
    <t>2023年财务退市风险+保留意见审计报告+强调事项内控报告。
2024年无法及时披露年报
20250216实控人股份过户</t>
  </si>
  <si>
    <t>20240827实控人变更，总价1个亿，后面经过一系列努力还是没能挽救</t>
  </si>
  <si>
    <t>正</t>
  </si>
  <si>
    <t>ST高鸿</t>
  </si>
  <si>
    <t>重大违法</t>
  </si>
  <si>
    <t>鹏博士</t>
  </si>
  <si>
    <t>面值退</t>
  </si>
  <si>
    <t>2023年无法表示意见，资金占用，违规担保，立案调查。最终拒绝受理预重整。股价低于1元退市。2024继续无法表示意见。</t>
  </si>
  <si>
    <t>主要是非经营问题太多了。</t>
  </si>
  <si>
    <t>主动退</t>
  </si>
  <si>
    <t>海通证券</t>
  </si>
  <si>
    <t>吸收合并</t>
  </si>
  <si>
    <t>是</t>
  </si>
  <si>
    <t>大智慧</t>
  </si>
  <si>
    <t>镇洋发展</t>
  </si>
  <si>
    <t>中国重工</t>
  </si>
  <si>
    <t>ST东通</t>
  </si>
  <si>
    <t>ST苏吴</t>
  </si>
  <si>
    <t>ST紫天</t>
  </si>
  <si>
    <t>强制退</t>
  </si>
  <si>
    <t>拒绝整改，披露财务报告</t>
  </si>
  <si>
    <t>ST广道</t>
  </si>
  <si>
    <t>2018-2023连续虚假记载，2024定向发行股票说明书虚假记载</t>
  </si>
  <si>
    <t>ST锦港</t>
  </si>
  <si>
    <t>连续三年虚假记载</t>
  </si>
  <si>
    <t>ST中程</t>
  </si>
  <si>
    <t>2023年净资产负，2024年保留意见审计报告和否定内控报告</t>
  </si>
  <si>
    <t>ST九有</t>
  </si>
  <si>
    <t>2023年净资产负，2024无法表示意见的报告</t>
  </si>
  <si>
    <t>ST工智</t>
  </si>
  <si>
    <t>2023年无法表示意见，2024年又无法表示意见</t>
  </si>
  <si>
    <t>中间想购买资产来消除相关事项，但没成功</t>
  </si>
  <si>
    <t>ST海越</t>
  </si>
  <si>
    <t>ST人乐</t>
  </si>
  <si>
    <t>2023年净资产负，2024年净资产负且无法表示意见</t>
  </si>
  <si>
    <t>公司中间也努力了，但是出售资产的进展没能在年末走完流程，因此无法确认收益。</t>
  </si>
  <si>
    <t>ST龙宇</t>
  </si>
  <si>
    <t>大股东资金占用8亿未归还
20241216被立案调查</t>
  </si>
  <si>
    <t>ST卓朗</t>
  </si>
  <si>
    <t>立案调查20240314-20141030</t>
  </si>
  <si>
    <t>玉龙股份</t>
  </si>
  <si>
    <t>中航产融</t>
  </si>
  <si>
    <t>ST普利</t>
  </si>
  <si>
    <t>立案调查20240707-20250105</t>
  </si>
  <si>
    <t>国美通讯</t>
  </si>
  <si>
    <t>市值退</t>
  </si>
  <si>
    <t>市值低于5亿，2023年净资产负、收入低于1亿亏损</t>
  </si>
  <si>
    <t>立案调查20231206-20240415
公司没有努力</t>
  </si>
  <si>
    <t>博信股份</t>
  </si>
  <si>
    <t>市值低于5亿，2023年净资产负，收入低于1亿亏损</t>
  </si>
  <si>
    <t>公司没有努力</t>
  </si>
  <si>
    <t>ST吉药</t>
  </si>
  <si>
    <t>2023年净资产负，打算重整，但没有拿到路条，最终股价低于1元</t>
  </si>
  <si>
    <t>2022-2023刚带帽摘帽，2024又带帽。实控人持股比例太低，可能没有动力。</t>
  </si>
  <si>
    <t>元成</t>
  </si>
  <si>
    <t>立方</t>
  </si>
  <si>
    <t>ST长药</t>
  </si>
  <si>
    <t>是否已经重组</t>
  </si>
  <si>
    <t>属性</t>
  </si>
  <si>
    <t>公告时间</t>
  </si>
  <si>
    <t>实际变更时间</t>
  </si>
  <si>
    <t>新实控人</t>
  </si>
  <si>
    <t>资产星级1-5，不知道默认0</t>
  </si>
  <si>
    <t>变更是否完成</t>
  </si>
  <si>
    <t>进展</t>
  </si>
  <si>
    <t>可转债</t>
  </si>
  <si>
    <t>代价（亿）</t>
  </si>
  <si>
    <t>估值</t>
  </si>
  <si>
    <t>市值（亿）</t>
  </si>
  <si>
    <t>营收（亿）</t>
  </si>
  <si>
    <t>变更时资产规模（亿）</t>
  </si>
  <si>
    <t>净资产（亿）</t>
  </si>
  <si>
    <t>实际注入间隔，单位年</t>
  </si>
  <si>
    <t>停牌时市值</t>
  </si>
  <si>
    <t>复牌后打开涨停市值</t>
  </si>
  <si>
    <t>珠江股份</t>
  </si>
  <si>
    <t>广州国企</t>
  </si>
  <si>
    <t>广州国资，不知道会不会注入其他资产</t>
  </si>
  <si>
    <t>完成</t>
  </si>
  <si>
    <t>剥离了房地产业务，目前剩物业业务和文体运营。
20241231，资产规模下降到17亿，原来330亿，负债从300下降到12亿
20250408，定向发行股票补充流动资金7.4亿。
20251014，发行2.5亿股，募资7.3亿</t>
  </si>
  <si>
    <t>松发股份</t>
  </si>
  <si>
    <t>恒力集团陈建华先生、范红卫女士夫妇29.91%</t>
  </si>
  <si>
    <t>一直到2024年都维持了原陶瓷业务，直到2024年再不进行资产注入就要触发不足3亿退市风险了，终于置入大股东的船舶资产，由于在变更控股权36个月之后进行的资产重组，不触发重组上市。。</t>
  </si>
  <si>
    <t>终止</t>
  </si>
  <si>
    <t>光智科技</t>
  </si>
  <si>
    <t>朱世会6.8%
股份转让+表决权委托</t>
  </si>
  <si>
    <t>20200224，定向发行4.5亿投资红外光学业务，子公司安徽中飞负责，注册资本9亿，与滁州市国资委一起
20200306，继续收购原实控人5%股份，花1亿
20200706，二股东王强转让股份给深圳富银城投
20200707，继续收购原实控人15%股份，花6.1亿
20210312，发行终止
20210430，红外业务开始开展，因投入过大，产生大量借款，负债率80%。
20211119，再次定向发行股票，7.2亿
20221206，又终止了
20230525，再次定向发行股票，5.5亿，发行价格一次比一次低
20240930，发布购买资产重大重组方案，收购实控人旗下先导电科，年净利润4亿，股价大涨3倍。这里终于知道为什么当时二股东要买股份了，肯定是深圳的相关企业。
20250627，终止。后卖给衢州发展，因为先导稀材在衢州投资了110亿项目。</t>
  </si>
  <si>
    <t>康欣新材</t>
  </si>
  <si>
    <t>国企</t>
  </si>
  <si>
    <t>无锡国资委，无锡建发受让15%+表决权委托13%</t>
  </si>
  <si>
    <t>20181218，首次转让9%，6.2亿
20191018，二次转让6%，4.3亿
20210202，向大股东定向发行募资8.5亿，发行后无锡建发占38%</t>
  </si>
  <si>
    <t>富乐德</t>
  </si>
  <si>
    <t>上海申和，无实际控制人</t>
  </si>
  <si>
    <t>202410，购买大股东旗下资产富乐华，3亿净利润，定价65亿，大涨2倍。功率半导体覆铜陶瓷载板</t>
  </si>
  <si>
    <t>至正股份</t>
  </si>
  <si>
    <t>正信同创的王强受让27% ，旗下有深圳市国弘半导体发展有限公司，深圳市旅游（集团）股份有限公司。资本运作高手</t>
  </si>
  <si>
    <t>王强还持有哈尔滨中飞新技术股份有限公司15%（20200724已经转让给基金公司），沈阳商业城股份有限公司5.6%（已退市）
20201128，向原大股东转让亏损资产，4.1亿
20201224，终止重大资产出售
20221109，收购苏州桔云科技51%股权，半导体湿法工艺设备，1.1亿
20241024，发行股份购买大股东的先进封装材料国际有限公司半导体资产并且置出原至正新材料资产，估值37亿，5个涨停。净资产39亿，净利润7000万</t>
  </si>
  <si>
    <t>莎普爱思</t>
  </si>
  <si>
    <t>养和投资的林弘立、林弘远受让7%，原来持有9%+表决权放弃，旗下有医院资产，天伦医院、明好医院</t>
  </si>
  <si>
    <t>2021年内二次股份转让5%
20240924，大股东同业竞争延期3年，到2027年底，主要是医院还不符合注入的条件</t>
  </si>
  <si>
    <t>丽尚国潮</t>
  </si>
  <si>
    <t>丽水经开区的元明控股受让20%</t>
  </si>
  <si>
    <t>20210729，公开挂牌转让兰州红楼房地产开发有限公司股权，8亿
20211012，未能征集到受让方，终止出售
20250103，向大股东定向发行募资7.1亿，已终止</t>
  </si>
  <si>
    <t>浙文影业</t>
  </si>
  <si>
    <t>浙江财政厅的浙江文投受让表决权17%，旗下有很多影视公司，有同业竞争问题</t>
  </si>
  <si>
    <t>20210608，定向发行募资6亿完成，浙江文投持有23%股份和16%的表决权</t>
  </si>
  <si>
    <t>博汇纸业</t>
  </si>
  <si>
    <t>金光纸业的黄志源股份转让28.81%，合计持有48%，外商独资。承诺6年内解决同业竞争问题。经查询，金光纸业2022年净资产740亿，净利润46亿；2023年净利润36亿</t>
  </si>
  <si>
    <t>还没有注入过资产</t>
  </si>
  <si>
    <t>华懋科技</t>
  </si>
  <si>
    <t>袁晋清先生、林晖
不知道到底想干嘛</t>
  </si>
  <si>
    <t>20230221，一致行动人宁波新点减持股份到5%以下。
20250522，购买华懋东阳子公司剩余股权。</t>
  </si>
  <si>
    <t>恒通股份</t>
  </si>
  <si>
    <t>龙口市东江街道南山村村民委员会的南山集团受让20%+表决权委托5%。旗下资产规模巨大，2020年净利润40亿。持有南山铝业44%，南山智尚科技股份有限公司67%，山东裕龙石化有限公司51%，石化公司规模很大</t>
  </si>
  <si>
    <t>20220809，向南山集团定向发行募资24亿，占比41%
期间，陆续收购了大股东旗下一些港口资产
20240731，要约收购5%股份</t>
  </si>
  <si>
    <t>亿通科技</t>
  </si>
  <si>
    <t>黄汪，股份转让29.99%，旗下有安徽华米做健康监测设备，2024年末营收15亿，净利润8800万，净资产25亿。可能注入上市公司。
公司每季度财报都非常详实。</t>
  </si>
  <si>
    <t>2021控股后，发展了传感器和芯片业务</t>
  </si>
  <si>
    <t>上海亚虹</t>
  </si>
  <si>
    <t>海南宁生旅游，孙林，29.99%，文旅公司</t>
  </si>
  <si>
    <t>东方材料</t>
  </si>
  <si>
    <t>许广彬29.9%</t>
  </si>
  <si>
    <t>20250603，大股东股份被司法拍卖后只剩5%，基本无用了</t>
  </si>
  <si>
    <t>三晖电气</t>
  </si>
  <si>
    <t>上海长耘，胡坤，20%，不知道有什么资产</t>
  </si>
  <si>
    <t>2023年开始涉猎储能设备</t>
  </si>
  <si>
    <t>奇精机械</t>
  </si>
  <si>
    <t>浙江宁波工投，宁波国资委，29.99%</t>
  </si>
  <si>
    <t>不知道什么资产</t>
  </si>
  <si>
    <t>建发合诚</t>
  </si>
  <si>
    <t>福建厦门益悦，厦门国资委16%，下面主要是房地产公司，也有一些其他的，建发集团下面很多</t>
  </si>
  <si>
    <t>入驻后，发展了很大的建筑施工业务，收入规模做大了。</t>
  </si>
  <si>
    <t>维维股份</t>
  </si>
  <si>
    <t>江苏徐州市新盛投资控股集团有限公司，徐州国资委，29.99%</t>
  </si>
  <si>
    <t>20190801，转让17%给新盛集团，公司变更为无实际控制人
20200805，转让枝江酒业股权给江苏综艺控股集团，4.6亿
20211127，继续转让12%给新盛集团，变更为徐州国资委
20230429，江苏综艺为枝江酒业的欠款做担保</t>
  </si>
  <si>
    <t>中源协和</t>
  </si>
  <si>
    <t>陈春梅、龚虹嘉原持有10%，受让表决权7%。生命健康领域投资人。知名资本大佬。同时6亿参与ST长药的重整</t>
  </si>
  <si>
    <t>20231228大股东继续增持了一些股份，目前持有表决权25%</t>
  </si>
  <si>
    <t>太龙药业</t>
  </si>
  <si>
    <t>河南郑州高新区国资委受让14%</t>
  </si>
  <si>
    <t>中持股份</t>
  </si>
  <si>
    <t>长江环保受让5%+定向发行后总共24%，无实际控制人</t>
  </si>
  <si>
    <t>勘设股份</t>
  </si>
  <si>
    <t>贵州贵阳国资委23%，定向发行股份</t>
  </si>
  <si>
    <t>已终止</t>
  </si>
  <si>
    <t>2024，发行获得通过，但一直未启动，估计要黄</t>
  </si>
  <si>
    <t>金鸿顺</t>
  </si>
  <si>
    <t>海南众德科技，刘栩29.99%，旗下物业和商业公司</t>
  </si>
  <si>
    <t>2023年剥离了一些子公司
20241106，发行股份收购新思考马达公司，非大股东资产。2024净利润1亿。</t>
  </si>
  <si>
    <t>龙净环保</t>
  </si>
  <si>
    <t>紫金矿业，股份转让15%+表决权委托10%。新能源平台</t>
  </si>
  <si>
    <t>20221021，收购大股东旗下的一些新能源业务，4700万
20230721，定向发行股票15亿搞储能等项目
20231202，终止发行
都是自己新开一些新能源发电，感觉注入资产的量也不大</t>
  </si>
  <si>
    <t>联建光电</t>
  </si>
  <si>
    <t>广东南峰谭炜樑，环保和房地产公司</t>
  </si>
  <si>
    <t>剥离了一些子公司，目前负债率还是太高</t>
  </si>
  <si>
    <t>江化微</t>
  </si>
  <si>
    <t>山东淄博财政局23.95%，股份转让+定向发行</t>
  </si>
  <si>
    <t>麦迪科技</t>
  </si>
  <si>
    <t>皓祥控股，绵阳安州区国资委16%</t>
  </si>
  <si>
    <t>20250128，剥离光伏子公司给大股东，5.9亿，感觉有戴帽的风险</t>
  </si>
  <si>
    <t>==================================================================</t>
  </si>
  <si>
    <t>宁波精达</t>
  </si>
  <si>
    <t>通商集团，浙江宁波国资委29.99%</t>
  </si>
  <si>
    <t>20240430，发行股票购买无锡微研股权，3.6亿，非关联人公司。2个涨停不到
20250522，收购完成</t>
  </si>
  <si>
    <t>ST组合策略8只仓位8.7。</t>
  </si>
  <si>
    <t>王封，股份很少，主要是一致行动人，感觉没什么意思</t>
  </si>
  <si>
    <t>创兴资源</t>
  </si>
  <si>
    <t>华侨实业余增云受让23.9%</t>
  </si>
  <si>
    <t>20241109，余增云被杭州上城公安局立案，涉嫌集资诈骗。
20250530，余增云股份被司法拍卖</t>
  </si>
  <si>
    <t>博重组策略3只仓位1.92。</t>
  </si>
  <si>
    <t>新宏泰</t>
  </si>
  <si>
    <t>江苏无锡国资委，是原大股东减持后升级为大股东的</t>
  </si>
  <si>
    <t>20200102，首次转让15%给无锡国资委
20201225，继续转让12%给无锡国资委</t>
  </si>
  <si>
    <t>农尚环境</t>
  </si>
  <si>
    <t>林峰（公司总经理）20%，实控人过往有多年半导体从业经历，算力服务和显示驱动芯片。</t>
  </si>
  <si>
    <t>已经在开展算力服务相关业务了</t>
  </si>
  <si>
    <t>低估红利仓位10.85。</t>
  </si>
  <si>
    <t>天目湖</t>
  </si>
  <si>
    <t>溧阳城发受让26%，溧阳人民政府</t>
  </si>
  <si>
    <t>20211019，城发受让11.19%
20220719，城发受让8.7%
20230701，城发受让6.5%</t>
  </si>
  <si>
    <t>晨丰科技</t>
  </si>
  <si>
    <t>丁闵受让20%+表决权放弃+定向发行，发行后占38%</t>
  </si>
  <si>
    <t>20230510，签订受让股票协议同时，向丁闵收购麒麟新能等电力公司。同时定向发行募资4.4亿
202309，收购资产完成，3.6亿，牛逼啊，相当于用大股东自己募资的钱买自己的公司，左右口袋互换，股票还多了。
20250410，定向发行获得批复</t>
  </si>
  <si>
    <t>日播时尚</t>
  </si>
  <si>
    <t>上海阔元梁丰受让29.72%</t>
  </si>
  <si>
    <t>20230516，变更实控人的同时，收购新实控人的新能源电池正极材料资产，置出上市公司原服装资产。本次交易构成重组上市，10个涨停。
20231106，终止重大资产置换。重组上市太难了。
20241101，发行股份购买茵地乐71%股权，20亿，锂电池粘结剂，不是大股东的资产，但向大股东募集资金。2024年净利润2亿。6个涨停。
20250520，向原大股东转让日播致胜子公司，1.3亿</t>
  </si>
  <si>
    <t>新赛股份</t>
  </si>
  <si>
    <t>中新建物流，新疆生产建设兵团国资委29.16%，物流资产整合</t>
  </si>
  <si>
    <t>三星新材</t>
  </si>
  <si>
    <t>金玺泰有限公司受让14.15%+定向发行，金银山</t>
  </si>
  <si>
    <t>20230628，公司向金银山实控国华金泰增资4000万，控股。主要是做光伏玻璃的。
20250320，发行股票5.6亿得到批复，等待发行
2023-2024股东资产大幅增加，就是国华金泰的业务导致，刚好赶上下行期。</t>
  </si>
  <si>
    <t>国晟科技</t>
  </si>
  <si>
    <t>国晟能源，吴君、高飞先转让8%，2.1亿，又转让8%，4.1亿。电力行业</t>
  </si>
  <si>
    <t>20240601，继续定向发行5.4亿</t>
  </si>
  <si>
    <t>华立股份</t>
  </si>
  <si>
    <t>安徽洪典资本何全洪受让25%，里面有地方国资委的影子</t>
  </si>
  <si>
    <t>20240323，收购尚源智能（污水处理设备）51%股权，同时投资郑州智能制造及大数据平台项目10亿
20240823，向关联方转让东莞市宏源复合材料有限公司子公司，1.3亿，总资产4亿
20240824，尚源智能审计报告，净资产2亿，净利润2000万。全部权益价值7亿在，增值5亿。这估值高太多了吧。
20241011，受大盘影响，沾上华为鸿蒙概念，12个涨停
20241015，转让子公司成功，2.8亿
20241107，收购尚源智能完成工商变更</t>
  </si>
  <si>
    <t>中交设计</t>
  </si>
  <si>
    <t>中国交投54%</t>
  </si>
  <si>
    <t>主要是原祁连山水泥股份通过与中国交投置换资产的方式借壳上市，这是一起成功的借壳上市案例，差额资产120亿左右.从20220512发起，到核准历时1年半</t>
  </si>
  <si>
    <t>当代明诚</t>
  </si>
  <si>
    <t>湖北国资</t>
  </si>
  <si>
    <t>重整中变更为联投城运，城市垃圾运营，湖北国资委。2022年净资产6.6亿，营收6.2亿</t>
  </si>
  <si>
    <t>正在优化资产负债表
20240925，收购大股东的清能碧桂园物业公司51%股权
20250522，出售子公司时光传媒</t>
  </si>
  <si>
    <t>宝莫股份</t>
  </si>
  <si>
    <t>罗小林、韩明夫妇
股份转让15%
旗下主要是工程建筑，宏凌实业2022年净利润4亿，净资产10亿，2023年净利润2亿</t>
  </si>
  <si>
    <t>202407想定向发行20%股份的
20250423，终止发行</t>
  </si>
  <si>
    <t>黄河旋风</t>
  </si>
  <si>
    <t>许昌财政局受让9.36%，原来有6.81%</t>
  </si>
  <si>
    <t>上海雅仕</t>
  </si>
  <si>
    <t>湖北国资委，湖北国贸26%</t>
  </si>
  <si>
    <t>庚星股份</t>
  </si>
  <si>
    <t>钟仁海司法拍卖受让24%，有鸿基石化股份公司，2023净资产12亿，净利润140万。</t>
  </si>
  <si>
    <t>2025戴帽，净资产负了。大股东一直在处理各种问题，还挺有能力的，搞定了二股东。大股东还有浙江华泓新材料有限公司
鸿基石化2024净利润5000万，净资产12亿
202506，大股东增持了股份</t>
  </si>
  <si>
    <t>丹化科技/金煤科技</t>
  </si>
  <si>
    <t>北京中泽控股于泽国15%
铁合金、炭素、大黑山钼业、吉恩镍业（退市三板吉恩5）</t>
  </si>
  <si>
    <t>中泽控股在2018年对昊融集团、大黑山钼业、吉恩镍业的破产重整中作为产业投资人进入的。出资21亿。
公开查询，大黑山钼业2023净资产29亿，收入20亿，净利润8亿
20240722，向大股东中泽定向发行募资5.6亿，完成后控股34%，巩固控股权
永杉锂业、金钼股份是大黑山的客户
发行股份获批</t>
  </si>
  <si>
    <t>瑞联新材</t>
  </si>
  <si>
    <t>青岛开投集团</t>
  </si>
  <si>
    <t>未完成</t>
  </si>
  <si>
    <t>原大股东反悔了，还在打官司</t>
  </si>
  <si>
    <t>大晟文化</t>
  </si>
  <si>
    <t>唐山文旅，唐山市国资委受让17%，应该是旅游资产</t>
  </si>
  <si>
    <t>唐山文旅2023净资产54亿，净利润估计2亿</t>
  </si>
  <si>
    <t>风范股份</t>
  </si>
  <si>
    <t>唐山金控受让12,67%，河北唐山国资委，后面还要受让17%的股份。原大股东放弃表决权</t>
  </si>
  <si>
    <t>华铁应急</t>
  </si>
  <si>
    <t>河南国资委13.96%</t>
  </si>
  <si>
    <t>连宗盛，做股权投资的。</t>
  </si>
  <si>
    <t>20230902，原实控人将海派德高盛合伙份额转让给连宗盛，1.7亿。占公司股份10%
20240731，原实控人继续转让科新实业给连宗盛，占17.88%，2亿，本次转让价格几乎腰斩</t>
  </si>
  <si>
    <t>丰华股份</t>
  </si>
  <si>
    <t>东方鑫源龚大兴29.99%，通过原控制股东的重整获得。汽车、摩托车零部件</t>
  </si>
  <si>
    <t>20241122，实控人无偿赠送重庆鑫源农机股份有限公司51%股权给上市公司，价值1.5亿，2023净利润1700万。小型收割机、微耕机全国第一，全球第三。
公开查询，东方鑫源2023净资产40亿，净利润3.5亿，收入98亿</t>
  </si>
  <si>
    <t>永辉超市</t>
  </si>
  <si>
    <t>名创优品实控人受让29.4%，但只是第一大股东</t>
  </si>
  <si>
    <t>这个公司太垃圾了，什么时候转让股份完成的公告都没有，突然就看到骏山国际变大股东了。
拉黑</t>
  </si>
  <si>
    <t>城地香江</t>
  </si>
  <si>
    <t>中电智算定向发行23%</t>
  </si>
  <si>
    <t>20241015，向中电智算定向发行募资6亿，发行完成后实控人变更为国务院国资委</t>
  </si>
  <si>
    <t>亚邦股份</t>
  </si>
  <si>
    <t>国经集团，常州武进国资办抵债20%=司法拍卖8.8%，一共29.64%</t>
  </si>
  <si>
    <t>20241011，国经集团司法拍卖获得8.8%</t>
  </si>
  <si>
    <t>大千生态</t>
  </si>
  <si>
    <t>江苏步步高，张源，18%。
两个酒公司，1个房地产置业公司，同时还是光一退的一致行动人</t>
  </si>
  <si>
    <t>长电科技</t>
  </si>
  <si>
    <t>中国华润22.53%</t>
  </si>
  <si>
    <t>变更时，华润集团承诺5年内解决与华润微的同业竞争，感觉吸收合并的可能性大</t>
  </si>
  <si>
    <t>永杉锂业</t>
  </si>
  <si>
    <t>永荣致胜的吴华新通过司法拍卖19.9%，福建永荣集团，化工新材料，资产规模大，但详细不详</t>
  </si>
  <si>
    <t>20250516，向大股东定向发行募资5.6亿</t>
  </si>
  <si>
    <t>世运电路</t>
  </si>
  <si>
    <t>顺德区国资委受让25.9%，顺控集团，自来水和垃圾焚烧业务</t>
  </si>
  <si>
    <t>泰禾智能</t>
  </si>
  <si>
    <t>阳光能源旗下阳光新能源曹仁贤受让10%+表决权委托+表决权放弃，新能源发电</t>
  </si>
  <si>
    <t>20241017签订股权转让协议，转让价格24/股，溢价100%，9个涨停
第二笔股份转让5.8%预计在20251231解除限售前完成
第三笔股份转让4.34%预计在20261231解除限售前完成
公开信息，2023阳光新能源净资产78亿，净利润11亿
20250408，大股东增持1.3%
不知道为什么要选这个公司，主营业务毫无关联</t>
  </si>
  <si>
    <t>天迈科技</t>
  </si>
  <si>
    <t>启明基金邝子平26.1%，股权投资的。</t>
  </si>
  <si>
    <t>东峰集团</t>
  </si>
  <si>
    <t>衢州国资委受让29.9%</t>
  </si>
  <si>
    <t>三佳科技</t>
  </si>
  <si>
    <t>合肥国资委受让17%+表决权委托5%</t>
  </si>
  <si>
    <t>华扬联众</t>
  </si>
  <si>
    <t>湖南长沙国资委的湘江集团拍卖获得18.81%</t>
  </si>
  <si>
    <t>20250318，与湘江集团文旅公司签订商业合作
20250423，继续拍卖获得1.47%股份，成为第一大股东</t>
  </si>
  <si>
    <t>利源股份</t>
  </si>
  <si>
    <t>江苏步步高，张源22%，两个酒公司，1个房地产置业公司，同时还是光一退的一致行动人</t>
  </si>
  <si>
    <t>3600万+9亿贷款担保</t>
  </si>
  <si>
    <t>科德教育</t>
  </si>
  <si>
    <t>十堰市国企</t>
  </si>
  <si>
    <t>湖北十堰市国资委</t>
  </si>
  <si>
    <t>雪峰科技</t>
  </si>
  <si>
    <t>广东宏大，上市公司，广东省环保集团有限公司21%</t>
  </si>
  <si>
    <t>20240703，签署转让协议，由于广东宏大有民爆业务、矿山爆破业务，与上市公司冲突，承诺5年内解决同业竞争问题。可能又吸收合并？</t>
  </si>
  <si>
    <t>雪榕生物</t>
  </si>
  <si>
    <t>万紫千鸿蒋智，好像是做投资的，人工智能相关的
股份转让+定向发行</t>
  </si>
  <si>
    <t xml:space="preserve">
有可转债</t>
  </si>
  <si>
    <t>新疆火炬</t>
  </si>
  <si>
    <t>江西中燃的雍芝君受让 20.52%</t>
  </si>
  <si>
    <t>20250516，收购大股东的燃气公司</t>
  </si>
  <si>
    <t>康惠制药</t>
  </si>
  <si>
    <t>亿安天下（870849）的李红明、王雪芳受让22%+表决权放弃</t>
  </si>
  <si>
    <t>亿安天下搞数据算力中心的，2024年收入4亿，净利润3800万</t>
  </si>
  <si>
    <t>通用股份</t>
  </si>
  <si>
    <t>江苏国资委受让25%</t>
  </si>
  <si>
    <t>天洋新材</t>
  </si>
  <si>
    <t>江苏百兴产业投资集团有限公司的百瑞兴阳受让21%，PVC，各种薄膜</t>
  </si>
  <si>
    <t>新股东还持有5%的绿康生化股份</t>
  </si>
  <si>
    <t>富淼科技</t>
  </si>
  <si>
    <t>永卓控股，股份转让29.98%。
永卓下面有钢铁业务，新能源材料，风电锻件等资产，</t>
  </si>
  <si>
    <t>有可转债
转让价格16.38</t>
  </si>
  <si>
    <t>神力股份</t>
  </si>
  <si>
    <t>辽宁为戍王雪受让22%</t>
  </si>
  <si>
    <t>20250414签署股份转让协议</t>
  </si>
  <si>
    <t>绿康生化</t>
  </si>
  <si>
    <t>跨境物流公司福建纵腾网络有限公司，2024年利润11个亿。这个估计肯定要注入了。</t>
  </si>
  <si>
    <t>转让收入6个亿，置出资产估计3个亿，实际原大股东可能赚3个亿左右。那么现有大股东实际买壳成本就是3个亿了。
同时出售原负债资产给原大股东。大股东原29.99%股份全部转让。原光伏胶膜资产置出后，资产负债表将得到极大的改善。</t>
  </si>
  <si>
    <t>永安行</t>
  </si>
  <si>
    <t>哈啰资产，旗下哈啰出行</t>
  </si>
  <si>
    <t>有可转债
20250509，定向发行预案
20250530，发行方案被上交所受理</t>
  </si>
  <si>
    <t>贝肯能源</t>
  </si>
  <si>
    <t>定向发行21%，陈东（公司董事长）</t>
  </si>
  <si>
    <t xml:space="preserve">旗下没看到有什么资产
</t>
  </si>
  <si>
    <t>洪汇新材</t>
  </si>
  <si>
    <t>无锡国企</t>
  </si>
  <si>
    <t>无锡市锡山区财政局29.99%</t>
  </si>
  <si>
    <t>汇纳科技</t>
  </si>
  <si>
    <t>3D打印，江泽星，5年内解决同业竞争。
金石三维，搞3D打印增材服务的，主攻工业3D打印机
股份转让15%，然后花7亿多定向发行，控股权提升到34%。同行公司，铂力特，先临三维</t>
  </si>
  <si>
    <t>发行股份还未完成</t>
  </si>
  <si>
    <t>苏奥传感</t>
  </si>
  <si>
    <t>中创新航，港股上市公司，锂电池、储能。股份转让11%（5.1亿）+定向发行11%（6.7亿）</t>
  </si>
  <si>
    <t>20250507，发布定向发行股票预案，建设 AMB 覆铜基板建设项目</t>
  </si>
  <si>
    <t>5.1+6.7</t>
  </si>
  <si>
    <t>万德斯</t>
  </si>
  <si>
    <t>瑞源国际，奇瑞控股，无实际控制人28.88%。旗下有奇瑞汽车公司</t>
  </si>
  <si>
    <t>德迈仕</t>
  </si>
  <si>
    <t>汇心创智的潘异，创投的受让16.73%</t>
  </si>
  <si>
    <t>尚纬股份</t>
  </si>
  <si>
    <t>福华通达化学股份公司，张华25.35%，乐山化工龙头，磷、农药。2023年净资产37亿，净利润6亿</t>
  </si>
  <si>
    <t>20250524详式权益变动书里表示，未来增加电子化学品、双氧水、硫酸业务。</t>
  </si>
  <si>
    <t>罗平锌电</t>
  </si>
  <si>
    <t>云南曲靖发投受让22%，曲靖市国资委</t>
  </si>
  <si>
    <t>2025604签署股份转让协议</t>
  </si>
  <si>
    <t>东晶电子</t>
  </si>
  <si>
    <t>无锡浩天一意朱海飞受让19.97%+间接控股10%</t>
  </si>
  <si>
    <t>太和水</t>
  </si>
  <si>
    <t>北京欣欣12%，股份转让，再加6%表决权，溢价145%</t>
  </si>
  <si>
    <t>20270808前有权购买3%的股份
20250530，出售子公司凯云发展的股权，2000万，优化资产结构。</t>
  </si>
  <si>
    <t>海源复材</t>
  </si>
  <si>
    <t>深圳市紫光照明技术股份有限公司的刘洪超、丁立中、刘浩14%，搞电力的</t>
  </si>
  <si>
    <t>紫光照明2022年上市失败，2020年收入3.5亿，净利润4000玩，净资产3.5亿</t>
  </si>
  <si>
    <t>超达装逼</t>
  </si>
  <si>
    <t xml:space="preserve">南京友旭29.32%，陈存友、陈浩、陈娇、倪香莲，一家人。
协众国际热管理系统股份公司，汽车热管理系统零部件。
</t>
  </si>
  <si>
    <t>星宇股份有投资协助国际</t>
  </si>
  <si>
    <t>菲林格尔</t>
  </si>
  <si>
    <t>金亚伟受让25%，还有安吉县财政局作为合伙人</t>
  </si>
  <si>
    <t>20250603，签署股份转让协议</t>
  </si>
  <si>
    <t>深圳汇理受让41.89%</t>
  </si>
  <si>
    <t>20250530，确认由深圳汇理竞得，10亿</t>
  </si>
  <si>
    <t>亚振家居</t>
  </si>
  <si>
    <t>济南域潇集团吴涛、范伟浩股份受让29.99%+要约21%，锆钛矿</t>
  </si>
  <si>
    <t>新股东持有400122三板退市企业，还有很多锆钛矿企业，济南域潇集团有限公司，海南域潇锆钛控股股份有限公司，山东域潇有色新材料有限公司，莫桑比克锆钛矿霸主。据鲁北化工20241123对外投资公告显示，济南域潇集团2023年净利润25.9亿，净资产89亿
20250802公告收购大股东的一个子公司51%股权，估计是保壳的</t>
  </si>
  <si>
    <t>龙元建设</t>
  </si>
  <si>
    <t>杭州交投，杭州国资委受让8.4%+定向发行</t>
  </si>
  <si>
    <t>20250527，定向发行获得批复</t>
  </si>
  <si>
    <t>棒杰股份</t>
  </si>
  <si>
    <t>上海启烁黄荣耀受让5%+表决权委托14.91%</t>
  </si>
  <si>
    <t>20250603，光伏子公司主动停产止损
20250603，签署转让协议。</t>
  </si>
  <si>
    <t>安奈儿</t>
  </si>
  <si>
    <t>新创源的黄涛受让13%+表决权放弃</t>
  </si>
  <si>
    <t>签署股份转让协议</t>
  </si>
  <si>
    <t>易明医药</t>
  </si>
  <si>
    <t>姚劲波受让23%，58同城</t>
  </si>
  <si>
    <t>金发拉比</t>
  </si>
  <si>
    <t>元一成物的陈珂如受让13.3%，还有未来第二次转让14.7%</t>
  </si>
  <si>
    <t>20250712，因受让方实际控制人涉及家族财产清算纠纷，终止转让</t>
  </si>
  <si>
    <t>鸿合科技</t>
  </si>
  <si>
    <t>合肥瑞丞私募受让25%+表决权放弃，无实际控制人，奇瑞汽车和奇瑞控股设立的</t>
  </si>
  <si>
    <t>派林生物</t>
  </si>
  <si>
    <t>中国生物受让21%</t>
  </si>
  <si>
    <t>宏辉果蔬</t>
  </si>
  <si>
    <t>申泽瑞泰受让26.54%，叶桃先生、刘扬先生和苏州资产投资管理集团有限公司，上海腾瑞制药股份有限公司的CEO</t>
  </si>
  <si>
    <t>中颖电子</t>
  </si>
  <si>
    <t>上海致能工业电子有限公司受让14.2%+表决权委托9.25%，无实际控制人，工业及汽车芯片领域</t>
  </si>
  <si>
    <t>海默科技</t>
  </si>
  <si>
    <t>范中华受让5%+表决权委托22.39%</t>
  </si>
  <si>
    <t>博汇股份</t>
  </si>
  <si>
    <t>惠山国企</t>
  </si>
  <si>
    <t xml:space="preserve">20250506
</t>
  </si>
  <si>
    <t>无锡国企，股份转让13%+定向增发20%。这个案例有点奇怪，转让股份后没有要求先委托表决权拿下控制权，而是等发行完成后，这会拖延实际成为实控人的时间。</t>
  </si>
  <si>
    <t>20250211，发布定向发行股票预案
20250506国资委已经同意，完成股份过户，还需等待股票发行完成</t>
  </si>
  <si>
    <t>滨海能源</t>
  </si>
  <si>
    <t>旭阳控股的杨雪岗受让20%，旗下化工资产</t>
  </si>
  <si>
    <t>五年内解决负极材料的同业竞争
控股后，陆续玻璃原印刷业务
20250430，发行股份收购大股东旗下的沧州化工，总价140亿</t>
  </si>
  <si>
    <t>泰慕士</t>
  </si>
  <si>
    <t>广州轻工，广州国资委受让29.99%</t>
  </si>
  <si>
    <t>台基股份</t>
  </si>
  <si>
    <t>长江产业集团受让控股股东32%+表决权委托+质押，湖北国资委</t>
  </si>
  <si>
    <t>震安科技</t>
  </si>
  <si>
    <t>深圳东创技术股份的宁花香和周建旗 受让18.12%+表决权放弃</t>
  </si>
  <si>
    <t>吉林国有资本受让22.32%</t>
  </si>
  <si>
    <t>为了解决大股东资金占用问题，所以转让股份，0812之前必须归还占款15亿</t>
  </si>
  <si>
    <t>神剑股份</t>
  </si>
  <si>
    <t>安徽芜湖市国资委受让8.33%股份+表决权委托</t>
  </si>
  <si>
    <t>二次转让9.46%，20261231之前。
20250619，国资委同意</t>
  </si>
  <si>
    <t>线上线下</t>
  </si>
  <si>
    <t>深蕾科技受让13.32%+表决权放弃，夏军先生、李蔚女士</t>
  </si>
  <si>
    <t>新时达</t>
  </si>
  <si>
    <t>海尔集团受让10%+表决权委托+定向发行</t>
  </si>
  <si>
    <t>中达安</t>
  </si>
  <si>
    <t>王立定向发行23%，新能源和医药</t>
  </si>
  <si>
    <t>合金投资</t>
  </si>
  <si>
    <t>九洲恒昌物流受让20.74%，王云章</t>
  </si>
  <si>
    <t>海川智能</t>
  </si>
  <si>
    <t>中晶智芯的邓泳怡 受让29.9%</t>
  </si>
  <si>
    <t>杭州高新</t>
  </si>
  <si>
    <t>巨融伟业受让19%，林融升</t>
  </si>
  <si>
    <t>上纬新材</t>
  </si>
  <si>
    <t>机器人企业智元恒岳的邓泰华 受让29.99%+要约收购37%</t>
  </si>
  <si>
    <t>蓝黛科技</t>
  </si>
  <si>
    <t>安徽江东产投受让18%+表决权放弃</t>
  </si>
  <si>
    <t>塞隆股份</t>
  </si>
  <si>
    <t>海南雅亿受让14.16%+表决权放弃</t>
  </si>
  <si>
    <t>中旗新材</t>
  </si>
  <si>
    <t>星空科技的贺荣明受让24.97%，封装测试设备</t>
  </si>
  <si>
    <t>长岭液压</t>
  </si>
  <si>
    <t>无锡核芯听涛科技合伙企业受让29.99%+要约12%，胡康桥</t>
  </si>
  <si>
    <t>山科智能</t>
  </si>
  <si>
    <t>湖北武汉国资委的长江航天受让19%+表决权放弃</t>
  </si>
  <si>
    <t>扬电科技</t>
  </si>
  <si>
    <t>四川汉唐云智算科技受让9.04%+表决权放弃+二次受让12%</t>
  </si>
  <si>
    <t>大股东汉唐云信息2024年净资产12亿，净利润4亿多，但应收账款很高</t>
  </si>
  <si>
    <t>康华生物</t>
  </si>
  <si>
    <t>万可欣生物受让21.9%+表决权委托，无实控人</t>
  </si>
  <si>
    <t>中晟高科</t>
  </si>
  <si>
    <t>福州千景投资的翁声锦与何从</t>
  </si>
  <si>
    <t>王相荣拍卖取得15%股份</t>
  </si>
  <si>
    <t>大股东有上司公司利欧集团股份有限公司，不知道要注入什么资产</t>
  </si>
  <si>
    <t>海伦钢琴</t>
  </si>
  <si>
    <t>崔永庆受让23.83%</t>
  </si>
  <si>
    <t>全拓科技(杭州)股份有限公司创始人，做SAAS服务的，大数据公司，2022年收入4.7亿，净利润7000万</t>
  </si>
  <si>
    <t>熙菱信息</t>
  </si>
  <si>
    <t>盛凝的上海盛讯受让19%，上海金中易（背后是上海国资委）受让6%</t>
  </si>
  <si>
    <t>可能有人工智能资产</t>
  </si>
  <si>
    <t>江特电机</t>
  </si>
  <si>
    <t>王新的北京伍佰英里科技有限公司受让0.04%+表决权委托+一致行动</t>
  </si>
  <si>
    <t>金智科技</t>
  </si>
  <si>
    <t>赵丹、肖明的南京智迪受让16%</t>
  </si>
  <si>
    <t>良品铺子</t>
  </si>
  <si>
    <t>湖北武汉国资委长江国贸受让21%+8.99%</t>
  </si>
  <si>
    <t>由于广州轻工在5月也打算受让股份，但最终未达成一致，所以起诉了大股东，还要打官司</t>
  </si>
  <si>
    <t>跃岭股份</t>
  </si>
  <si>
    <t>杰思金材的王冠然受让24.5%</t>
  </si>
  <si>
    <t>旗下有很多资产，控股股东2023年95亿净资产，5亿净利润。港股灵宝黄金，锂电铜箔公司龙电华鑫</t>
  </si>
  <si>
    <t>时空科技</t>
  </si>
  <si>
    <t>佳创视讯</t>
  </si>
  <si>
    <t>毛广甫与李莉夫妇受让4.6%+表决权委托+定向发行</t>
  </si>
  <si>
    <t>河化股份</t>
  </si>
  <si>
    <t>北京胜顶科技有限公司受让23.76%</t>
  </si>
  <si>
    <t>黑芝麻</t>
  </si>
  <si>
    <t>广西国资委的广西旅发大健康产业集团有限公司受让20%+表决权放弃</t>
  </si>
  <si>
    <t>安车检测</t>
  </si>
  <si>
    <t>上海矽睿科技股份有限公司受让6.43%+表决权委托</t>
  </si>
  <si>
    <t>还有二期转让13.7%</t>
  </si>
  <si>
    <t>永和智控</t>
  </si>
  <si>
    <t>杭州润锋智能装备有限责任公司受让8%+表决权委托，孙荣祥</t>
  </si>
  <si>
    <t>承诺年底前玻璃光伏不良资产、医疗资产
20250813终止，对方未按时付款，可能是觉得买贵了</t>
  </si>
  <si>
    <t>华嵘控股</t>
  </si>
  <si>
    <t>林木顺的海南伯程汇能科技中心受让25%</t>
  </si>
  <si>
    <t>第二次转让了
苏州科德教育</t>
  </si>
  <si>
    <t>锐新科技</t>
  </si>
  <si>
    <t>安徽黄山国资委受让24.22%</t>
  </si>
  <si>
    <t>天普股份</t>
  </si>
  <si>
    <t>杨龚轶凡的中昊芯英受让10.75%+全面要约+增资</t>
  </si>
  <si>
    <t>全面要约价23.98
中昊芯英主打AI芯片，TPU研发</t>
  </si>
  <si>
    <t>科华控股</t>
  </si>
  <si>
    <t>卢红萍、涂瀚受让19.64%+二期受让+表决权放弃+定向发行</t>
  </si>
  <si>
    <t>新股东有江苏翊腾电子科技股份有限公司，消费电子连接器及结构件、新能源汽车连接器。
这是原大股东第三次转让了</t>
  </si>
  <si>
    <t>荣科科技</t>
  </si>
  <si>
    <t>河南国资委受让20.02%，旗下有超聚变公司X86服务器和算力设施</t>
  </si>
  <si>
    <t>20241025，收购上海敬在信息技术有限公司，标的公司规模很小
20250426公司决定终止本次发行股份及支付现金购买资产事宜，未来另行筹划以现金方式收购标的公司股权</t>
  </si>
  <si>
    <t>飞鹿股份</t>
  </si>
  <si>
    <t>青岛君拓启航智能科技有限公司受让10%</t>
  </si>
  <si>
    <t>背后是科凯电子主营业务为高精装备配套用混合集成电路、微电路模块的研发、生产及销售
2025净利润7000万，净资产10亿</t>
  </si>
  <si>
    <t>达刚控股</t>
  </si>
  <si>
    <t>陈可受让11%+表决权委托</t>
  </si>
  <si>
    <t>旷达科技</t>
  </si>
  <si>
    <t>湖南株洲市国资委受让28%</t>
  </si>
  <si>
    <t>天山股份</t>
  </si>
  <si>
    <t>陈明艺、陈欢的厦门舍德拍卖获得17.21%</t>
  </si>
  <si>
    <t>原股东是解直锟，净资产负了，但负得不多，只需要新大股东免除7800万债务就可以了</t>
  </si>
  <si>
    <t>泉为科技</t>
  </si>
  <si>
    <t>褚一凡的泉为绿能受让10%+表决权委托</t>
  </si>
  <si>
    <t>中间剥离了很多子公司，感觉是想做光伏新能源发电的，但是旗下没什么好的资产
20250414继续出售安徽泉为子公司，目标是扭转净资产向负的趋势</t>
  </si>
  <si>
    <t>浩丰科技</t>
  </si>
  <si>
    <t>薛杰的至芯网络受让15%</t>
  </si>
  <si>
    <t>澳洋健康</t>
  </si>
  <si>
    <t>江苏张家港国资委的张家港悦升科技合伙企业受让20%</t>
  </si>
  <si>
    <t>五洋自控</t>
  </si>
  <si>
    <t>姚小春受让15%</t>
  </si>
  <si>
    <t>新实控人旗下有广东中泰工业科技股份有限公司，汽车零部件</t>
  </si>
  <si>
    <t>品茗科技</t>
  </si>
  <si>
    <t>通智清研（北京）科技产业发展合伙企业受让15.92%</t>
  </si>
  <si>
    <t>实控人没有变更，只是部分股权转让</t>
  </si>
  <si>
    <t>中环海陆</t>
  </si>
  <si>
    <t>摩登大道</t>
  </si>
  <si>
    <t>王立平受让10%+表决权委托</t>
  </si>
  <si>
    <t>旗下锐洋集团，电力电缆的，25亿产值，净利润2亿
通过替原大股东归还占用资金2.4亿拿到的股份</t>
  </si>
  <si>
    <t>亚威股份</t>
  </si>
  <si>
    <t>江苏扬州国资委定向发行15%，1亿股</t>
  </si>
  <si>
    <t>发行价7.28</t>
  </si>
  <si>
    <t>天汽模</t>
  </si>
  <si>
    <t>新疆乌鲁木齐国资委受让15%</t>
  </si>
  <si>
    <t>冠中生态</t>
  </si>
  <si>
    <t>靳春平的深蓝财鲸受让10.5%+表决权放弃</t>
  </si>
  <si>
    <t>还有二期转让5%
同步收购新实控人下的杭州精算家人工智能技术有限公司51%，估值5.6亿</t>
  </si>
  <si>
    <t>中环环保</t>
  </si>
  <si>
    <t>刘杨受让16.61%+表决权放弃</t>
  </si>
  <si>
    <t>旗下有北京赛赋医药研究公司，CRO的</t>
  </si>
  <si>
    <t>多瑞医药</t>
  </si>
  <si>
    <t>王庆太、崔子浩、曹晓兵受让29.6%+要约24.3%</t>
  </si>
  <si>
    <t xml:space="preserve">王庆太有一个河北天王自行车科技有限公司
</t>
  </si>
  <si>
    <t>亚太药业</t>
  </si>
  <si>
    <t>邱中勋的星浩控股受让14.62%</t>
  </si>
  <si>
    <t>医药的，药兜网创始人</t>
  </si>
  <si>
    <t>凤形股份</t>
  </si>
  <si>
    <t>徐茂华的青海西部铟业有限责任公司受让23.28%</t>
  </si>
  <si>
    <t>20251218，筹划购买大股东资产</t>
  </si>
  <si>
    <t>永安林业</t>
  </si>
  <si>
    <t>中林集团</t>
  </si>
  <si>
    <t>同业竞争解决期限202602</t>
  </si>
  <si>
    <t>国际实业</t>
  </si>
  <si>
    <t>冯现啁0元受让22.82%</t>
  </si>
  <si>
    <t>建材行业
准备定向发行巩固控制权</t>
  </si>
  <si>
    <t>胜利股份</t>
  </si>
  <si>
    <t>许铁良的中油投资受让25.16%</t>
  </si>
  <si>
    <t>大股东还有一个港股公司00603
20251111，发行股份购买大股东的油气等资产</t>
  </si>
  <si>
    <t>浩物股份</t>
  </si>
  <si>
    <t>张荣华的融诚物产受让29.99%</t>
  </si>
  <si>
    <t>旗下企业挺多，钢铁为主，净资产63亿，2021年净利润2亿，不知道会注入什么资产</t>
  </si>
  <si>
    <t>博深股份</t>
  </si>
  <si>
    <t>山东国资委受让29.99%</t>
  </si>
  <si>
    <t>北京科锐</t>
  </si>
  <si>
    <t>付小东的山西秦媒受让27.77%</t>
  </si>
  <si>
    <t>大股东原来的卖煤的
20250819，大股东打算减持自己持有的2.8%股份</t>
  </si>
  <si>
    <t>德力股份</t>
  </si>
  <si>
    <t>新疆第四师可克达拉市丝路金融发展促进中心定向发行+表决权放弃</t>
  </si>
  <si>
    <t>祝镓阳、占舜迪、张栋受让10%+表决权委托</t>
  </si>
  <si>
    <t>搞新能源的，有个浙理氢能科技公司，好像还挺流弊的，氢燃料催化材料技术突破</t>
  </si>
  <si>
    <t>宝鹰股份</t>
  </si>
  <si>
    <t>国企-民营</t>
  </si>
  <si>
    <t>傅晓庆、傅相德受让5.01%+定向发行</t>
  </si>
  <si>
    <t>2024年底把大部分亏损资产置出给大股东了
发行价1.89，不超过4.23亿股。如果发行完成，合计平均购股成本2.31元。相当于牺牲小股东的利益，便宜大股东</t>
  </si>
  <si>
    <t>华脉科技</t>
  </si>
  <si>
    <t>百利科技</t>
  </si>
  <si>
    <t>湖南派勒科技有限公司通过拍卖获得11.85%</t>
  </si>
  <si>
    <t>20240925第一次拍得2.04%股份
20251018第二次拍得9.81%股份
20251120还将拍卖6%</t>
  </si>
  <si>
    <t>标准股份</t>
  </si>
  <si>
    <t>公开转让27.77%</t>
  </si>
  <si>
    <t>共进股份</t>
  </si>
  <si>
    <t>民营-国企</t>
  </si>
  <si>
    <t>河北唐山国资委唐山工控受让11%+表决权委托</t>
  </si>
  <si>
    <t>德龙汇能</t>
  </si>
  <si>
    <t>孙维佳和浙江东阳国资委受让29.64%</t>
  </si>
  <si>
    <t>东杰智能</t>
  </si>
  <si>
    <t>韩永光受让25.08%</t>
  </si>
  <si>
    <t>好像机器人的</t>
  </si>
  <si>
    <t>航新科技</t>
  </si>
  <si>
    <t>胡晨的衢州创科和杭州畅昇受让15%</t>
  </si>
  <si>
    <t>胡晨普通合伙人。里面有衢州国资委和浙江国资委的影子</t>
  </si>
  <si>
    <t>中元股份</t>
  </si>
  <si>
    <t>民营-民营</t>
  </si>
  <si>
    <t>朱双全、朱顺全及朱梦茜表决权委托20%，定向发行股票</t>
  </si>
  <si>
    <t>朗源股份</t>
  </si>
  <si>
    <t>赵征的杭州东方行知股权投资基金合伙企业（有限合伙）表决权委托</t>
  </si>
  <si>
    <t>私募的，出资额4.3亿，背后有俞敏洪。赵征是新东方的战略投资负责人。
202504，剥离了一个子公司
20251030，继续向赵征转让14%股份
20251103，大股东背后合伙人准备引进山东财政厅和临沂国资委，他们出钱，占99.9%</t>
  </si>
  <si>
    <t>长城科技</t>
  </si>
  <si>
    <t>维信诺</t>
  </si>
  <si>
    <t>蜀山区国资委定向发行28%的股份，7元一股</t>
  </si>
  <si>
    <t>真爱美家</t>
  </si>
  <si>
    <t>黎展的广州探迹远擎科技合伙企业受让29.99%+要约15%</t>
  </si>
  <si>
    <t>探迹科技搞SAAS服务的，集成超900万家生产厂家、超1140万条贸易渠道、超2.1亿线下买家等数据信息</t>
  </si>
  <si>
    <t>精艺股份</t>
  </si>
  <si>
    <t>四川眉山东坡区国资委拍卖29.99%</t>
  </si>
  <si>
    <t>汇源通信</t>
  </si>
  <si>
    <t>李红星的合肥鼎耘科技产业发展合伙企定向发行</t>
  </si>
  <si>
    <t>5364万股，6.1亿</t>
  </si>
  <si>
    <t>创业慧康</t>
  </si>
  <si>
    <t>杭州更好受让6.23%+表决权委托+一致行动+定向发行</t>
  </si>
  <si>
    <t>华蓝集团</t>
  </si>
  <si>
    <t>林伟的栩桐投资合伙企业受让5.79%+表决权委托</t>
  </si>
  <si>
    <t>高乐股份</t>
  </si>
  <si>
    <t>王帆的黎曼云图受让10%+表决权委托+定向发行</t>
  </si>
  <si>
    <t xml:space="preserve">北京芯大通科技有限公司，收入破10亿
如果因原大股东隐瞒导致4年内触发退市风险，按ST市值公允价20亿差额补偿，可以看出目前ST市值20亿是公认的。
交割后解除非玩具和教育信息化业务三份重大合同，包含钠离子研发电池投资
</t>
  </si>
  <si>
    <t>威领股份</t>
  </si>
  <si>
    <t>内蒙古兴业银锡矿业股份有限公司的西藏山南锑金资源有限公司受让7.77%</t>
  </si>
  <si>
    <t>大股东股份同一天被司法冻结，60月内解决同业竞争</t>
  </si>
  <si>
    <t>华锋股份</t>
  </si>
  <si>
    <t>陈运受让16%+表决权委托</t>
  </si>
  <si>
    <t>一期转让5%
胜宝莱光电科技有限公司，偏光片的，估计净利润2亿以上，参照三利谱</t>
  </si>
  <si>
    <t>君亭酒店</t>
  </si>
  <si>
    <t>湖北文旅国资委受让29.99%+要约收购6%</t>
  </si>
  <si>
    <t>辰安科技</t>
  </si>
  <si>
    <t>国企-国企</t>
  </si>
  <si>
    <t>安徽合肥国资委增发21%+已经持有7.51%</t>
  </si>
  <si>
    <t>超卓航科</t>
  </si>
  <si>
    <t>湖北国资委湖北交投资本投资有限公司受让21%+表决权放弃</t>
  </si>
  <si>
    <t>安妮股份</t>
  </si>
  <si>
    <t>李宁和王磊的北京晟世天安科技有限公司受让16%+表决权放弃</t>
  </si>
  <si>
    <t>搞算力设施的，2025年预计净利润1亿</t>
  </si>
  <si>
    <t>江西国资委的江药控股受让8.73%+定向发行</t>
  </si>
  <si>
    <t>原来是河南国企</t>
  </si>
  <si>
    <t>智云股份</t>
  </si>
  <si>
    <t>冯彬及邓晖的慧达富能受让10%+表决权委托</t>
  </si>
  <si>
    <t>主要是军工企业，雷达</t>
  </si>
  <si>
    <t>财信发展</t>
  </si>
  <si>
    <t>江西中久天然气集团有限公司重整受让29.99%</t>
  </si>
  <si>
    <t>天瑞仪器</t>
  </si>
  <si>
    <t>中威电子</t>
  </si>
  <si>
    <t>付英波</t>
  </si>
  <si>
    <t>古鳌科技</t>
  </si>
  <si>
    <t>二股东徐迎辉得到表决权委托+定向发行</t>
  </si>
  <si>
    <t>前面一个季度已经买入4.5%的股份，北京光辉世联科技有限公司，苏州瑞芯智能科技有限公司</t>
  </si>
  <si>
    <t>皮阿诺</t>
  </si>
  <si>
    <t>尹佳音的初芯微受让16.78%+定向发行+表决权放弃</t>
  </si>
  <si>
    <t>新实控人聚焦半导体显示相关投资</t>
  </si>
  <si>
    <t>莱茵生物</t>
  </si>
  <si>
    <t>嘉美包装</t>
  </si>
  <si>
    <t>俞浩的逐越鸿智受让29.9+部分要约25%</t>
  </si>
  <si>
    <t>追觅创始人</t>
  </si>
  <si>
    <t>南都电源</t>
  </si>
  <si>
    <t>胜通能源</t>
  </si>
  <si>
    <t>朱冬的七腾机器人有限公司受让29.99%+要约15%</t>
  </si>
  <si>
    <t>中国高科</t>
  </si>
  <si>
    <t>浙江东阳国资委、孙维佳、梁猛、贺怡帆、曹龙的湖北长江世禹芯玑半导体有限公司受让20.03%</t>
  </si>
  <si>
    <t>技感半导体设备（南通）有限公司、上海世禹</t>
  </si>
  <si>
    <t>招金黄金</t>
  </si>
  <si>
    <t>山东国资委的山东招金瑞宁矿业有限公司受让20%</t>
  </si>
  <si>
    <t>金矿，旗下有01818和002552.
5年内解决同业竞争</t>
  </si>
  <si>
    <t>锋龙股份</t>
  </si>
  <si>
    <t>优必选机器人受让29.99%+要约13%</t>
  </si>
  <si>
    <t>小崧股份</t>
  </si>
  <si>
    <t>罗明华、刘凌爽的上海嘉晟时代企业管理合伙企业受让9.23%</t>
  </si>
  <si>
    <t>联创电子</t>
  </si>
  <si>
    <t>江西国资委的南昌市北源智能产业投资合伙企业受让6.71%+定向发行</t>
  </si>
  <si>
    <t>东方智造</t>
  </si>
  <si>
    <t>广西国资委的广西现代物流集团有限公司受让14.33%</t>
  </si>
  <si>
    <t>旭升集团</t>
  </si>
  <si>
    <t>广州国资委的广州工业投资控股集团有限公司受让27%</t>
  </si>
  <si>
    <t>胡先根受让19.99%</t>
  </si>
  <si>
    <t>旗下慈兴轴承公司，净资产19亿，收入21亿，净利润2亿</t>
  </si>
  <si>
    <t>读客文化</t>
  </si>
  <si>
    <t>奥联电子</t>
  </si>
  <si>
    <t>张雁的天津潮成创新科技有限公司受让19.09%</t>
  </si>
  <si>
    <t xml:space="preserve">旗下有天津海滨半导体科技有限公司
、合肥海滨半导体科技有限公司、安徽积芯微电子科技有限公司
</t>
  </si>
  <si>
    <t>毅昌科技</t>
  </si>
  <si>
    <t>安徽滁州市国资委的滁州蔚然科技发展合伙企业受让25.33%</t>
  </si>
  <si>
    <t>友邦吊顶</t>
  </si>
  <si>
    <t>施其明的上海明盛联禾智能科技有限公司受让29.99%+要约15%</t>
  </si>
  <si>
    <t>数传集团创始人、CEO，核心资产集中在出版数字化与文化科技赛道</t>
  </si>
  <si>
    <t>嘉亨家化</t>
  </si>
  <si>
    <t>徐意的杭州拼便宜和另外2家受让29.7%+要约21%</t>
  </si>
  <si>
    <t>背后有杭州国资委影子</t>
  </si>
  <si>
    <t>柯利达</t>
  </si>
  <si>
    <t>曹亚联和刘纯坚的英众智能受让18.74%</t>
  </si>
  <si>
    <t>2024年已经购买了5%的股份，这次价格这么低，估计也是当时约定好的。</t>
  </si>
  <si>
    <t>百花医药</t>
  </si>
  <si>
    <t>胡瀚阳受让12%</t>
  </si>
  <si>
    <t>黄河三角洲的老板，没资产，主要是做投资并购的，不知道要干嘛
这个价格很低不合理，不知道为什么，原来是之前就把股份质押给他了，质押了2.5亿</t>
  </si>
  <si>
    <t>阳光股份</t>
  </si>
  <si>
    <t>刘丹受让20%</t>
  </si>
  <si>
    <t>周启超和湖北十堰市国资委受让25%</t>
  </si>
  <si>
    <t>原大股东承诺3年内剥离油墨业务</t>
  </si>
  <si>
    <t>天晟新材</t>
  </si>
  <si>
    <t>尉立东的融晟鑫泰受让6.29%+定向发行</t>
  </si>
  <si>
    <t>资产管理人，不知道什么想法</t>
  </si>
  <si>
    <t>惠博普</t>
  </si>
  <si>
    <t>天津国资委的百利机械装备集团有限公司受让25.6%</t>
  </si>
  <si>
    <t>旗下有百利电气、七一二、乐山电力上市公司</t>
  </si>
  <si>
    <t>华是科技</t>
  </si>
  <si>
    <t>郑剑波受让11.32%+定向发行</t>
  </si>
  <si>
    <t>世茂能源</t>
  </si>
  <si>
    <t>上海国资委受让23.96%</t>
  </si>
  <si>
    <t>吉华集团</t>
  </si>
  <si>
    <t>嘉事堂</t>
  </si>
  <si>
    <t>北京国资委的同仁堂受让28.48%</t>
  </si>
  <si>
    <t>东阳国资委的湖北长江世禹芯玑半导体有限公司受让205</t>
  </si>
  <si>
    <t>3年内不注入资产</t>
  </si>
  <si>
    <t>嘉华股份</t>
  </si>
  <si>
    <t>山东国资委的山东省土地发展集团有限公司受让22%+定向发行</t>
  </si>
  <si>
    <t>威龙股份</t>
  </si>
  <si>
    <t>淄博市国资委的山东齐信数字科技有限公司以股抵债23%</t>
  </si>
  <si>
    <t>金海高科</t>
  </si>
  <si>
    <t>金丹良（实控人）+ 陈永聪（一致行动人）受让29.6%</t>
  </si>
  <si>
    <t>游戏开发运营（新三板宇创世纪）</t>
  </si>
  <si>
    <t>仁度生物</t>
  </si>
  <si>
    <t>张现涛的南京海鲸药业股份有限公司受让21.25%</t>
  </si>
  <si>
    <t>仿制药制剂（骨健康、维生素、呼吸）+ CRO/CDMO 药学研发服务。2025年收入7.3亿，净利润1.7亿</t>
  </si>
  <si>
    <t>珠海中富</t>
  </si>
  <si>
    <t>黄芝颢的珠海横琴兴赢投资合伙企业定向增发18%</t>
  </si>
  <si>
    <t>华钰矿业</t>
  </si>
  <si>
    <t>卢军亮的河南万洋冶炼集团受让11%+一致行动</t>
  </si>
  <si>
    <t>国内铅锌锑冶炼龙头，旗下：万洋锌业、万洋锑业、锂电新材料产业园，年营收 500 亿 +</t>
  </si>
  <si>
    <t>富临运业</t>
  </si>
  <si>
    <t>浙江东阳国资受让18%</t>
  </si>
  <si>
    <t>东阳市属国资，与联合飞机集团深度合作，主攻低空经济、通航、无人机、航空装备</t>
  </si>
  <si>
    <t>亿利达</t>
  </si>
  <si>
    <t>桐乡市财政局受让29.99%</t>
  </si>
  <si>
    <t>仁智股份</t>
  </si>
  <si>
    <t>返利科技</t>
  </si>
  <si>
    <t>安徽繁枫智能装备有限公司受让16%</t>
  </si>
  <si>
    <t>真空镀膜机，2025年净利润1.7亿。光伏薄膜电池装备，Mini/Micro LED、LCD 面板光学镀膜设备，半导体专用真空 / 封装设备</t>
  </si>
  <si>
    <t>步森股份</t>
  </si>
  <si>
    <t>延丰数字受让14.61%</t>
  </si>
  <si>
    <t>金华市国资委受让20.61%，8.6亿</t>
  </si>
  <si>
    <t>梦天家居</t>
  </si>
  <si>
    <t>上海川士微的相关合伙企业受让6%</t>
  </si>
  <si>
    <t>上海川土微电子股份有限公司是模拟芯片，预估收入10亿，对标纳芯微 
原打算直接收购的，后来改为先转让部分股份</t>
  </si>
  <si>
    <t>朱阳军的江苏芯长征微电子集团股份有限公司受让24.73%</t>
  </si>
  <si>
    <t>功率半导体器件和功率半导体器件测试设备。</t>
  </si>
  <si>
    <t>阿科力</t>
  </si>
  <si>
    <t>青岛华芯智基投资合伙企业受让17.4%+定向发行10%</t>
  </si>
  <si>
    <t>青岛华芯晶电科技有限公司主要从事电子专用材料的研发、生产与销售业务</t>
  </si>
  <si>
    <t>浙江美大</t>
  </si>
  <si>
    <t>张海政受让29.99%</t>
  </si>
  <si>
    <t>跨境电商</t>
  </si>
  <si>
    <t>丰原药业</t>
  </si>
  <si>
    <t>蚌埠市国资委受让23.32%</t>
  </si>
  <si>
    <t>艾艾精工</t>
  </si>
  <si>
    <t>上海誉升同风金属材料科技有限公司受让29.99%</t>
  </si>
  <si>
    <t>锗金属选矿和冶炼，2025净利润2亿，收入27亿</t>
  </si>
  <si>
    <t>动力源</t>
  </si>
  <si>
    <t>陈志茂深圳湾红棉科创有限公司受让9%</t>
  </si>
  <si>
    <t>上海太洋科技股份有限公司受让26%+表决权放弃</t>
  </si>
  <si>
    <t>主营高纯铍材料、高端光学无机盐；产品用于航空航天、核工业、半导体、算力光学元器件。
2025年净利润1.4亿，收入8亿</t>
  </si>
  <si>
    <t>佳云科技</t>
  </si>
  <si>
    <t>瑞能股份受让18.31%</t>
  </si>
  <si>
    <t>锂电池</t>
  </si>
  <si>
    <t>普联软件</t>
  </si>
  <si>
    <t>吴明辉受让19%</t>
  </si>
  <si>
    <t>秒针系统的老板，营销。港股上市公司02718</t>
  </si>
  <si>
    <t>潘涛受让11.65%</t>
  </si>
  <si>
    <t>二期转让1.51%，好像是储能的</t>
  </si>
  <si>
    <t>好利科技</t>
  </si>
  <si>
    <t>厦门国资委受让18%</t>
  </si>
  <si>
    <t>兆日科技</t>
  </si>
  <si>
    <t>上海璟和珩科技有限公司，曲嘉麟受让14.18%</t>
  </si>
  <si>
    <t>同时收购新大股东佰内科技控制权资产服务器基础设施、算力相关服务</t>
  </si>
  <si>
    <t>寿县国资委受让7.81%</t>
  </si>
  <si>
    <t>欣天科技</t>
  </si>
  <si>
    <t>刘杨的深圳元启无限科技合伙企业受让22.5%</t>
  </si>
  <si>
    <t>软件、数字营销轻资产为主</t>
  </si>
  <si>
    <t>宝莱特</t>
  </si>
  <si>
    <t>天目药业</t>
  </si>
  <si>
    <t>国企-</t>
  </si>
  <si>
    <t>公开转让</t>
  </si>
  <si>
    <t>海鸥住工</t>
  </si>
  <si>
    <t>博泰车联港股02889.HK，硬件受让20%</t>
  </si>
  <si>
    <t>车载智能</t>
  </si>
  <si>
    <t>华阳集团</t>
  </si>
  <si>
    <t>四川绵阳市国资委受让28.3%</t>
  </si>
  <si>
    <t>华昌化工</t>
  </si>
  <si>
    <t>程仁杰的苏州宣力企业管理合伙企业收入24%</t>
  </si>
  <si>
    <t>新疆宣力环保能源股份有限公司形成了“煤-电-油-气-精细化工”化工全产业链和氢能“制-储-运-加”的氢能全产业链的双轮驱动业务格局，2025年净利润2.7亿，收入50亿，净资产26亿</t>
  </si>
  <si>
    <t>宇邦新材</t>
  </si>
  <si>
    <t>江文全的捷德航空收购29.99%+要约5%</t>
  </si>
  <si>
    <t>直升机销售维修出租</t>
  </si>
  <si>
    <t>优彩资源</t>
  </si>
  <si>
    <t>利润转正&gt;收入足够，实控人变更加10%概率，负债率太高且没有预重整的排除</t>
  </si>
  <si>
    <t>警示原因</t>
  </si>
  <si>
    <t>解决措施</t>
  </si>
  <si>
    <t>关注点</t>
  </si>
  <si>
    <t>其他</t>
  </si>
  <si>
    <t>财报审计报告</t>
  </si>
  <si>
    <t>内控审计报告</t>
  </si>
  <si>
    <t>是否变更实控人</t>
  </si>
  <si>
    <t>摘帽分</t>
  </si>
  <si>
    <t>实控人变更权重</t>
  </si>
  <si>
    <t>变更完成权重</t>
  </si>
  <si>
    <t>出售资产权重</t>
  </si>
  <si>
    <t>购买资产权重</t>
  </si>
  <si>
    <t>收入增加权重</t>
  </si>
  <si>
    <t>利润转正权重</t>
  </si>
  <si>
    <t>国企权重</t>
  </si>
  <si>
    <t>大合同权重</t>
  </si>
  <si>
    <t>审计扣分</t>
  </si>
  <si>
    <t>腾笼换鸟权重</t>
  </si>
  <si>
    <t>题材分</t>
  </si>
  <si>
    <t>财报问询</t>
  </si>
  <si>
    <t>宝塔实业</t>
  </si>
  <si>
    <t>收入不足3亿，差1亿</t>
  </si>
  <si>
    <t>收入超过3亿或净利润转正</t>
  </si>
  <si>
    <t>已经注入宁夏电投新能源资产</t>
  </si>
  <si>
    <t>宁夏自治区</t>
  </si>
  <si>
    <t>标准无保留意见</t>
  </si>
  <si>
    <t>威尔泰</t>
  </si>
  <si>
    <t>收入不足退市风险</t>
  </si>
  <si>
    <t>向大股东出售仪器仪表相关的亏损资产包2.8亿，净利润转正负债率大幅下降。然后向大股东购买紫江新材，从事软包锂电池用铝塑复合膜的研发。两者不互为前提，独立进行。紫江新材在新三板上市。2024年报显示收入6亿利润5000万，但利润在下滑
大股东拥有紫江企业（饮料包装、软塑包装）、紫江新材</t>
  </si>
  <si>
    <t>2024年1219公告资产重组。
20250401公告出售资产审计已经完成。就等股东大会批准了，价格2.8亿。资产1.6亿，负债6000万，增值170%，主要是紫竹高新的长期股权（穿透后是房地产）投资的增值。出售完成后净利润转正。
购买资产还在审计。
20250510公告，购买控股子公司紫燕机械剩余49%股权，4300万。2024年净利润1578万。提高净利润的措施。资产1.5亿，负债6400万
20250513公告，出售资产议案合并到0527股东大会一起审议
20250527，出售和购买都获得股东大会通过。
20250605，出售资产完成交割和收款，收购资产也完成了，二季度利润转正应该没问题了
半年报净利润还是略亏
20250828半年报净利润-400万，紫燕机械半年收入3000万，净利润350万，紫江新材半年报收入和净利润也增长30%。</t>
  </si>
  <si>
    <t>关注出售亏损资产进展</t>
  </si>
  <si>
    <t>壳价值也够低了</t>
  </si>
  <si>
    <t>上海凯鑫</t>
  </si>
  <si>
    <t>2024年Q4的收入异常的低。导致了最后的亏损。
一季度利润转正、收入大涨
在手订单2.3亿</t>
  </si>
  <si>
    <t>半年报净利润2000万，收入1.2亿</t>
  </si>
  <si>
    <t>关注半年报</t>
  </si>
  <si>
    <t>庚星股份/海钦股份</t>
  </si>
  <si>
    <t>收入不足退市风险
净资产负退市风险
持续经营不确定其他风险</t>
  </si>
  <si>
    <t>20240320原大股东股份被拍卖过户，现大股东钟仁海成为新实控人，3.9亿，单价7。然后与原大股东展开了争夺公司实际控制权的长时间斗争。钟仁海有鸿基石化股份公司，2023净资产12亿，净利润140万。
虽然公司现在净资产负，但负债规模仅1个亿多，只需要大股东随便融资就能解决。
目前看大股东还是有一些能力的，逐渐解决了很多的问题，跟二股东也和解了
20240105证监会对公司违法行为立案调查，现在还没有结论</t>
  </si>
  <si>
    <t>20241031大股东财务资助7000万
一季度净利润大幅减亏，管理销售费用大幅下滑，经营液化石油气业务，从收入上看，全年3亿应该没有问题。
半年报预计净利润500万，算起来净资产应该可以转正
20250822半年报，净资产已经转正
20250908公告，大股东赠送51%子公司股权给上市公司，净资产8000万，5-7月收入3000万，净利润100万，这下净资产稳了</t>
  </si>
  <si>
    <t>关注净资产的解决进展</t>
  </si>
  <si>
    <t>强调无保留
强调项：持续经营不确定性
被立案调查，原控股股东和上市公司</t>
  </si>
  <si>
    <t>强调无保留
强调项：原公司内控缺陷多，现在已整改</t>
  </si>
  <si>
    <t>铖昌科技</t>
  </si>
  <si>
    <t>收入不足3亿，差9000万</t>
  </si>
  <si>
    <t>一季度收入大涨，净利润大幅转正。主要是需求增加。
半年报净利润4500万</t>
  </si>
  <si>
    <t>相控雷达芯片，遥感卫星。</t>
  </si>
  <si>
    <t>收入不足退市风险
不过亏得也不多</t>
  </si>
  <si>
    <t>20250429拟花1.25亿购买泰州中石信资产，资产年收入5000万，净利润300万，资产的客户都是果链。预测2025年收入1.2亿，利润1800万，5月有产品量产。
靠收入保3亿有点悬，靠利润转正还是有可能的</t>
  </si>
  <si>
    <t>一季度利润转正，转正原因是财务费用下降，估计是汇率影响。
20250515购买资产议案通过股东大会决议
20250526，中石信完成工商变更。
半年报净利润800万，收入1亿，财务费用就贡献了600万，中石信6月并表贡献了800万，可以预估下半年贡献收入4800万，按收入算3个亿还是有点难
三季报大增1.9亿，净利润1200万</t>
  </si>
  <si>
    <t>警惕固定资产减值，存货跌价，应收账款减值，其他非流动资产减值</t>
  </si>
  <si>
    <t>国新文化</t>
  </si>
  <si>
    <t>收入不足3亿，差0.2亿，主要是商誉减值4.5亿导致亏损。还剩2.5亿商誉。</t>
  </si>
  <si>
    <t>20250408，大股东发布增持1%-2%计划。
一季度收入大涨，AI相关，有部分去年的收入在一季度确认。净利润减亏。
半年报收入1.1亿。大增，净利润690万转正
三季报大增2.3亿，净利润1700万</t>
  </si>
  <si>
    <t>现金13亿，国资委</t>
  </si>
  <si>
    <t>收入不足3亿，差0.9亿</t>
  </si>
  <si>
    <t>收入超过3亿</t>
  </si>
  <si>
    <t>20250415公告，收购电缆公司，2024收入1亿，净利润600万
20250507公告，收购电力公司完成
半年报2.3亿，大涨，净利润减亏。其中电力公司并表9100万，净利润200万。所有保留事项已经消除。
三季报4.2亿收入</t>
  </si>
  <si>
    <t>原大股东占用2.4亿，被责令归还快到期时被现实控人代替归还，现大股东王立平旗下有锐洋集团，产值25亿。持有10%股份，还有3%的表决权</t>
  </si>
  <si>
    <t>保留意见</t>
  </si>
  <si>
    <t>佳沃食品</t>
  </si>
  <si>
    <t>净资产负</t>
  </si>
  <si>
    <t>20250425出售主要净资产负的子公司给大股东，完成净资产大幅提升，净利润大幅提升。只剩青岛国星子公司，收入8亿，净利润6000万。
20250610出售完成
半年报净资产转正，剥离子公司贡献净利润-3.18亿，青岛国星受关税25%影响，进口成本上升，销量下滑，净利润下滑到1400万。</t>
  </si>
  <si>
    <t>持续经营不确定性无保留意见</t>
  </si>
  <si>
    <t>收入不足退市风险，差1.3亿</t>
  </si>
  <si>
    <t>换实控人
主营光伏组件和汽车复合材料和光伏组件代工业务
提高代工业务是不是就可以保收入了</t>
  </si>
  <si>
    <t xml:space="preserve">
20250331实控人变更新余金紫欣的刘洪超、丁立中、刘浩 ，总价3.5亿
20250416设立江西省紫源新技术有限责任公司，搞电力的。
20250417，金紫欣向公司提供1亿财务资助
20250428，一季度收入9600万大涨，说是光伏和复合材料订单增加
20250428担保公告，从中找到一季度收入大涨的主要功臣是新余海源电源科技有限公司子公司收入大涨。Q1就超过了去年一年的收入。
二季度收入继续大涨
20250825，剥离压机资产，净资产可提升1.2亿，2024年收入4000万
半年报收入2亿，净利润下滑
三季报大增2.7亿</t>
  </si>
  <si>
    <t>四环生物</t>
  </si>
  <si>
    <t>收入不足退市风险，差1亿</t>
  </si>
  <si>
    <t>20250114原大股东股份被拍卖，新大股东碧水投资进入。已经完成变更。花了3.8亿。好像是搞农业的。</t>
  </si>
  <si>
    <t>一季度收入下降，净利润大幅下滑
半年报预计收入1.7亿，大幅增加，主要是苗木增加
三季报大增2.9亿</t>
  </si>
  <si>
    <t>不知道实控人有什么资产</t>
  </si>
  <si>
    <t>返利网</t>
  </si>
  <si>
    <t>收入不足3亿，差7000万</t>
  </si>
  <si>
    <t>半年报收入1.8亿，净利润-3000万
三季报已经过3亿</t>
  </si>
  <si>
    <t>三季报</t>
  </si>
  <si>
    <t>收入不足退市风险，9600万</t>
  </si>
  <si>
    <t>2021年3月实控人变更为黄汪，旗下有安徽华米做健康监测设备，2024年末营收15亿，净利润8800万，净资产25亿。可能注入上市公司。
公司每季度财报都非常详实。</t>
  </si>
  <si>
    <t>一季度收入大涨
20250430跟安徽华米签订关联交易合同1.5亿，1年内有效。
三季报大增1.5亿</t>
  </si>
  <si>
    <t>收入保壳基本没问题
大股东注入资产的时间也够了，但是华米现在自己也不太好，不知道符不符合注入条件</t>
  </si>
  <si>
    <t>2024净资产负
持续经营不确定性</t>
  </si>
  <si>
    <t>20250422变更实控人，跨境物流公司福建纵腾网络有限公司，2024年利润11个亿。这个估计肯定要注入了。同时出售原负债资产给原大股东，两者不互为前提。大股东原29.99%股份全部转让。原光伏胶膜资产置出后，资产负债表将得到极大的改善。还参与了有棵树的破除重整</t>
  </si>
  <si>
    <t>一季度收入利润没有改善
要等资产出售进展和实控人变更进展
20250528，置出资产承接方设立完成
20250628出售草案出炉</t>
  </si>
  <si>
    <t>关注资产出售情况
关注实控人变更情况</t>
  </si>
  <si>
    <t>带解释的无保留意见
解释段是持续经营不确定性</t>
  </si>
  <si>
    <t>花王股份</t>
  </si>
  <si>
    <t>已经重整过了，2025年必须要解决收入不足的问题，否则投资人就亏死了。正在购买三方资产混动燃油箱，12个亿，购买1半的股权，如果成功，肯定可以满足收入要求了。明年可以摘帽。
大股东还有新质生产力资产，但注入较慢，为了保壳所以先购买三方资产，目前看市场不认可公布购买方案后一直跌。从监管函得知，公司购买的三方资产定价明显过高，偏离汽车零部件行业太多，公司账上现金一共就5个多亿，却全部拿来购买高价资产，目的是什么？所以投资者用脚投票。
大股东旗下还有半导体资产等待注入。</t>
  </si>
  <si>
    <t>实控人变更承诺被第一次股东大会否决，现第二次股东大会继续审议。就算通过能否购买成功也不一样，参照双成药业。
20250604，回复购买资产预案的问询，2024年净利润7000万，按这个看，也不算很贵。竞对公司，世昌股份
20250830，购买资产已经过户完成。预计增加2025年并表收入2.3亿</t>
  </si>
  <si>
    <t>关注实控人承诺变更是否获得股东大会通过</t>
  </si>
  <si>
    <t>市值太高</t>
  </si>
  <si>
    <t>声讯股份</t>
  </si>
  <si>
    <t>收入不足3亿</t>
  </si>
  <si>
    <t>收入超过3亿，差了3000万</t>
  </si>
  <si>
    <t>一季度收入持平，净利润继续下滑
20250614收购浙江中辰城市应急服务管理有限公司51%股权，2024年收入1.4亿，净利润-1500万，0630完成收购，保壳应该没问题了
半年报收入7000万，同比增2000万，净利润减亏，经营在好转
三季报收入1.3亿，净利润继续正，但这主要是减值转回导致的，转回了2700万。还是有点担心Q4的收入</t>
  </si>
  <si>
    <t>收入不足退市风险
持续经营不确定性</t>
  </si>
  <si>
    <t>202407实控人变更为宝鸡国资，司法拍卖获得，1.6亿，7.5元/股。</t>
  </si>
  <si>
    <t>一季度收入下滑，净利润减亏，减亏原因是信用减值下滑。
半年报收入下滑，净利润增亏，公司管理层正在股东方的支持下努力缓解现金流压力，多措并举恢复和发展主营业务
20250908公告，出售联营公司陕西步森服饰智造有限公司，按长期股权投资项预计，可以卖6000万</t>
  </si>
  <si>
    <t>强调无保留意见
强调项：连续三年亏损，现金流负
持续经营不确定性</t>
  </si>
  <si>
    <t>强调事项段无保留意见
强调项：原大股东非经营资金占用，已归还。</t>
  </si>
  <si>
    <t>南华生物</t>
  </si>
  <si>
    <t>说是要发展美妆
大股东旗下有财信证券</t>
  </si>
  <si>
    <t>一季度没有改善
20250811公告收购湖南慧泽生物医药科技有限公司51%股权CRO
20250903华7000万控股娄底金弘新材料新能源电池回收，前7月收入4500万，业绩承诺每年2.5亿
三季报收入0.8亿，但净利润转正，通过管理费用大幅下降完成的</t>
  </si>
  <si>
    <t>关注保壳信号</t>
  </si>
  <si>
    <t>中广天择</t>
  </si>
  <si>
    <t>收入不足退市风险
2024年就差1000万</t>
  </si>
  <si>
    <t>20250430拟购买大股东旗下体育资产，年收入4000万，净利润300万</t>
  </si>
  <si>
    <t>一季度收入大幅下滑
20250430收购大股东旗下长沙体育产业经营有限公司，2024年收入6900万，净利润300万
202506收购完成股权变更登记。
半年报略减，1.3亿，全年应该差的不多，长沙体产并表收入1300万
三季报略减1.8亿，进入两家私募</t>
  </si>
  <si>
    <t>天微电子</t>
  </si>
  <si>
    <t>无</t>
  </si>
  <si>
    <t>一季度利润转正大涨
三季报净利润3000万</t>
  </si>
  <si>
    <t>关注业绩持续性</t>
  </si>
  <si>
    <t>半年报</t>
  </si>
  <si>
    <t>20250424，实控人变更，总价款7个多亿，分两步，先转让29.99%股份，股份过户后十工作日内发起要约，要约21%股份，要约价格5.68
新实控人是向其旗下公司借款收购股份的，旗下公司进行锆钛矿开采业务，净资产超100亿。还有一家三板企业400122，原游久股份，稀土资产，该公司目前不太好。</t>
  </si>
  <si>
    <t>一季度收入略增利润减亏
20250530，变更完成
20250821收购广西锆业科技有限公司51%股权完成，前5月收入1.2亿
半年报收入1亿，净利润-3000万 
三季报不变1.5亿</t>
  </si>
  <si>
    <t>关注实控人变更完成情况</t>
  </si>
  <si>
    <t>塞隆药业</t>
  </si>
  <si>
    <t>就差5000万
20250518转让给海南雅亿，合伙人企业，无实际控制人，医药行业，2亿，8元/股。</t>
  </si>
  <si>
    <t>一季度收入利润继续下滑
20250524，海南雅亿完成工商变更。
20250710，变更完成
半年报收入1.3亿，净利润继续下滑
三季报收入2亿同比下滑一点</t>
  </si>
  <si>
    <t>四通股份</t>
  </si>
  <si>
    <t>有新业务增加收入，本来差得也不多，按照2024年3个月的矿产品收入3700万计算，今年7400万，总收入肯定超过3亿了。</t>
  </si>
  <si>
    <t>目前看一季度收入增加3000多万，大概率就是矿产品的
半年报业绩收入1.7亿
三季报大增2.6亿</t>
  </si>
  <si>
    <t>关注未来季度财报</t>
  </si>
  <si>
    <t>一季度收入大涨，可能解除风险，合并了几个医疗门诊的收入。</t>
  </si>
  <si>
    <t>一季度收入大涨，合并医疗门诊收入
半年报，收入1.6亿，亏损扩大，其中医美3300万，其他母婴用品增加了4700万
三季报2.6亿收入</t>
  </si>
  <si>
    <t>传智教育</t>
  </si>
  <si>
    <t>收入不足3亿，差6000万</t>
  </si>
  <si>
    <t>20240920，收购辅仁控股海外教育公司，2023年收入8000万，净利润1000万。20250104收购完成。
20241220，收购三板公司优优汇联51%股权，1亿。2024收入5000万，净利润-800万。20250213已完成。
一季度收入略涨（主要并表辅仁控股），净利润减亏
半年报收入1.6亿，净利润大幅减亏，-1000万，其中并表辅仁4600万，净利润500万，优优260万净利润-400万
三季报大增2.6亿</t>
  </si>
  <si>
    <t>感觉收入还是有点风险，看看半年报预告再说
公司账上8亿现金。</t>
  </si>
  <si>
    <t>原尚股份</t>
  </si>
  <si>
    <t>20250429收购零部件制造公司，收入2700万，利润100万</t>
  </si>
  <si>
    <t>一季度继续恶化，原汽车零部件物流业务继续收缩。汽车零部件业务拓展。
半年报收入略增，1.8亿。净利润增亏
20250823，打算剥离农牧资产，2025上半年收入1000万，利润略亏。
三季报收入3.3亿</t>
  </si>
  <si>
    <t>关注努力信号</t>
  </si>
  <si>
    <t>波导股份</t>
  </si>
  <si>
    <t>收入就差2000万，还是有希望的，账上现金7个亿，随便买个资产</t>
  </si>
  <si>
    <t>一季度没有改善
半年报收入大增，净利润下降为负
三季报大增3.2亿</t>
  </si>
  <si>
    <t>一季度收入净利润没改善
20250527控制权变更，股权投资行业
20250806完成变更
半年报收入1.1亿，还差不少
三季报1.8亿</t>
  </si>
  <si>
    <t>暂无</t>
  </si>
  <si>
    <t>一季度收入没有改善
半年报收入增长30%到1亿，净利润增亏到-3000万，主要源于短剧业务的收入3000万，还新增了7个传媒子公司猜测是要通过短剧来扩大收入。但是净资产只剩4000万了，感觉下半年很可能亏到负资产。
三季报大增2亿，但是净资产要负了
20251227，大股东豁免3000万债务</t>
  </si>
  <si>
    <t>和科达</t>
  </si>
  <si>
    <t xml:space="preserve">
20241023实控人变成国企了，已经完成。2022年报退市风险，2023年报撤摘帽。2024年报又退市风险。</t>
  </si>
  <si>
    <t>一季度利润转正、收入大涨，不过一季度明显有调节收入的嫌疑。
二季度利润转亏
三季报收入大增1.7亿，净利润-200万</t>
  </si>
  <si>
    <t>关注二季度</t>
  </si>
  <si>
    <t>亚太实业</t>
  </si>
  <si>
    <t>净资产转正</t>
  </si>
  <si>
    <t>20250702，预重整
2025实控人增持1000万，还要增持2000万
20250903，原实控人和现实控人内讧了</t>
  </si>
  <si>
    <t>202307表决权委托给债务方广州万顺，实控人变更，实控人旗下有一些5G通信等资产</t>
  </si>
  <si>
    <t>重大段落的无保留意见
欠广州万顺的借款逾期了</t>
  </si>
  <si>
    <t>建艺集团</t>
  </si>
  <si>
    <t>20250411，向大股东出售子公司广东建艺矿业有限公司股权大概10亿，该公司净资产只有1000万，这是变相的输血，但没有进展
20251225，大股东豁免14亿债务，赠送4亿现金</t>
  </si>
  <si>
    <t>关注建艺矿业出售进展
关注重整的可能性</t>
  </si>
  <si>
    <t>ST宝鹰</t>
  </si>
  <si>
    <t>差的不多，4000万足够转正</t>
  </si>
  <si>
    <t>珠海国资委是2020年从古少明买过来控股权的，花了16亿
20240721，要约收购13%的股份
2024年曾想通过无偿捐赠现金规避带星，但被审计判断不合规
2024年已经剥离了主要负债资产
20250725公开转让净资产-61万的子公司，标价3000万
20250911，控股股东无偿划转给珠光集团，主要做涉港澳资产运营的
大股东变更</t>
  </si>
  <si>
    <t>否定意见，但问题不大</t>
  </si>
  <si>
    <t>清研环境</t>
  </si>
  <si>
    <t>收入不足1亿，差3000万</t>
  </si>
  <si>
    <t>收入超过1亿或净利润转正</t>
  </si>
  <si>
    <t>20250321，竞拍福建海通镍业公司51%股权，2024年收入8000万，净利润负。固体垃圾处理回收。
一季度收入持平，净利润减亏，主要是管理费用下降和毛利提高。
20250506，福建镍业完成工商变更。那这个时间算，全年能合并收入4500万，差不多够1亿
半年报收入下降到2500万，镍业公司并表650万，目前看还是有点危险的，但是公司存货里有半成品和未验收部分一共5000万，这部分如果在下半年验收就足够1亿了
三季报收入1亿，够了</t>
  </si>
  <si>
    <t>关注二季度合并镍业后的收入。主要原主业也大幅下降</t>
  </si>
  <si>
    <t>荣丰控股</t>
  </si>
  <si>
    <t>收入超过3亿
公司今年以销售长春国金中心即可完成业绩</t>
  </si>
  <si>
    <t>一季度收入大涨，主要是房地产销售
三季报大增1.8亿</t>
  </si>
  <si>
    <t>关注二季度情况</t>
  </si>
  <si>
    <t>大立科技</t>
  </si>
  <si>
    <t>20250110签订7100万研发合同。
一季度收入大涨，应该是因为2024年部分收入在一季度确认。
半年报收入大增至1.4亿，但还是危险
三季报大增2.6亿</t>
  </si>
  <si>
    <t>应收和存货都很高，财务有些问题。</t>
  </si>
  <si>
    <t>神雾节能</t>
  </si>
  <si>
    <t>20250110，持股49%表决权53%的子公司江苏院与其少数股东中清孚尧的子公司签订10亿合同，预期20260331完工。</t>
  </si>
  <si>
    <t>一季度收入大幅下降，净利润减亏
20250802，半年报收入大幅下降，净利润减亏
3亿合同150日内完成，20250819
大股东部分股权要被拍卖，如果全部拍卖完成，控制权可能变更，大股东看来自身难保
三季报略减9000万</t>
  </si>
  <si>
    <t>关注合同履行情况</t>
  </si>
  <si>
    <t>惠程科技</t>
  </si>
  <si>
    <t>收入不足且净资产负</t>
  </si>
  <si>
    <t>净资产转正
收入超过3亿或利润转正
202105变更的控制权。</t>
  </si>
  <si>
    <t>20241010，大股东免除1亿债务
20241218,4700万购买锐恩医药51%股权，2024收入1.6亿，净利润2000万，净资产1600万
一季度收入大涨，利润减亏，主要是合并了锐恩医药，负资产还没进展
半年报医药收入1亿。净利润2300万
20250930，豁免了1.3亿债务，净资产转正。收入2.8亿，净利润大幅减亏
打算重整
20251229，重整投资人赠送3000万现金</t>
  </si>
  <si>
    <t>年终净资产还是可能变负</t>
  </si>
  <si>
    <t>中基健康</t>
  </si>
  <si>
    <t>收入不足3亿且净资产负</t>
  </si>
  <si>
    <t>原来是六师国资
购买新业能化资产</t>
  </si>
  <si>
    <t>20250205，发行股份购买资产新业能化，购买资产后变更为新疆国资委，构成重组上市。净资产38亿，净利润5亿。但是重组上市太难了。
20250430，资产审计中
20250715终止购买资产，改为由新疆新业来重整公司
20251230，豁免1亿债务</t>
  </si>
  <si>
    <t>关注资产重组进展</t>
  </si>
  <si>
    <t>汇金科技</t>
  </si>
  <si>
    <t>收入不足1亿，差2000万，否定内控</t>
  </si>
  <si>
    <t>一季度收入不变，净利润转正
半年报净利润略正
三季报净利润150万，收入7400万</t>
  </si>
  <si>
    <t>年终计提风险</t>
  </si>
  <si>
    <t>否定意见
主要是业绩预告不准</t>
  </si>
  <si>
    <t>中科云网</t>
  </si>
  <si>
    <t>收入不足3亿，差500万</t>
  </si>
  <si>
    <t>发展光伏组件业务，这个容易增加收入
但公司净资产也岌岌可危啊。</t>
  </si>
  <si>
    <t>一季度收入大涨，应该是光伏业务，按这个估计全年3亿无忧。净利润减亏，主要是管理费用大幅下降。
半年报预计收入1.5亿，净利润减亏不少，但净资产负更多了
三季报大增2亿
20251220，大股东赠送1亿+豁免债务5000万，净资产保住了</t>
  </si>
  <si>
    <t>关注净资产的改善</t>
  </si>
  <si>
    <t>重大段落无保留意见
重大段落：流动负债大于流动资产，持续经营不确定性</t>
  </si>
  <si>
    <t>立航科技</t>
  </si>
  <si>
    <t>收入不足3亿，差1000万</t>
  </si>
  <si>
    <t>一季度收入大涨，净利润减亏
半年报收入大幅下降，净利润大幅下降，存货里发出商品有1.5亿
三季报不变1.4亿</t>
  </si>
  <si>
    <t>大股东被留置</t>
  </si>
  <si>
    <t>兰州黄河</t>
  </si>
  <si>
    <t>202411月变更实控人为鑫远股份（三板企业同时摘牌），已经完成。做水治理的，应收账款很差。而且实控人是因为纠纷所以成为大股东的。花了3个亿。</t>
  </si>
  <si>
    <t>2025半年报，收入没有改善，利润没有改善
20250904公告2600万购买果汁公司50%股权，2024年光四季度收入5500万，净利润300万，2025年7-8月收入1000万。还是差很多啊
三季报2.1亿了，抖音同增4000万，新公司并表1730，感觉有希望了</t>
  </si>
  <si>
    <t>0331已经有新股东进入4亿，29.8，进入后肯定要保壳吧
目前看保壳难度大，不管是收入或利润都很难做。做利润基本没可能，计提肯定很大，除非把相关资产卖回给原大股东。
202409月尝试销售算力服务3.4亿规避营收不足的风险。但最后被按净额法结算了。且扣除在外。</t>
  </si>
  <si>
    <t>20241130收购北京中科砚云科技有限公司55%股权，2200万元，承诺2025年收入1.5亿
一季度收入没有增加
二季度收入没有增加，亏损扩大，北京中科砚云科技收入1600万
三季报下滑8000万</t>
  </si>
  <si>
    <t>关注新股东确认进入进展，已完成</t>
  </si>
  <si>
    <t>一季度大幅减亏
公司想转正利润的希望较难达成，年终的计提规模太大了。还是做大收入比较好实现。</t>
  </si>
  <si>
    <t>20241026，购买茫崖源鑫能源有限公司，天然气业务，能增加6000万收入，500万利润。
20250430，一季度大幅减亏是因为管理费用的大幅下降，而且原电梯件业务还在下滑，收入还是不够。
20250801收购鲁新鼎盛完成，年收入预计3500万
半年报收入没有变化，净利润大幅减亏
三季报不变1.9亿，大股东变更</t>
  </si>
  <si>
    <t>关注半年报
关注其他应收款的计提，主要是应收祥馨同佳的股权转让款余额</t>
  </si>
  <si>
    <t>恒久科技</t>
  </si>
  <si>
    <t>收入不足退市风险
财务虚假</t>
  </si>
  <si>
    <t>20251227可以撤销财务虚假风险警示
考虑购买资产提升营业收入</t>
  </si>
  <si>
    <t>一季度收入没有改善
20250709收购上海憬芯科技并表，2024年收入720万，净利润-1000万，光伏系统管理业务，感觉是不是在掏空资产
半年报收入9000万，略增，主要光伏EPC收入1400万。
三季报1.8亿收入，还是有希望的</t>
  </si>
  <si>
    <t>关注购买资产情况</t>
  </si>
  <si>
    <t>强调事项段无保留意见
强调项：行政处罚刚下来。原子公司总经理职务侵占案还没结束</t>
  </si>
  <si>
    <t>国华网安</t>
  </si>
  <si>
    <t>20250418挂牌转让山东智游子公司，价格2000万，预计可以减少净利润损失700万，还未完成
软件开发，客户预算影响，正在下行期
研发、销售、管理三高吃掉了毛利</t>
  </si>
  <si>
    <t>20250521公告，山东智游网安转让失败，下调价格为1847万继续转让。
20250908转让成功，1500万左右，购买方资金来源于实控人关联方借款
20250930签订90天合同2.2亿
三季报收入下滑5000万，如果合同能确认，还是有希望，但是净资产可能变负</t>
  </si>
  <si>
    <t>川大智胜</t>
  </si>
  <si>
    <t>四川省财政厅将表决权委托给四川产业振兴基金投资集团有限公司，它将为公司赋能，为公司  2025年业绩做出贡献。</t>
  </si>
  <si>
    <t>一季度没有改善
半年报收入利润大幅下滑
大股东把股份质押给了四川产业公司
三季报收入7000万，净利润继续下滑，同时公布收购兴仁科技，1.5亿，上半年收入2000万，净利润279万，军工行业</t>
  </si>
  <si>
    <t>关注实控人是否随时变成四川国资委</t>
  </si>
  <si>
    <t>高斯贝尔</t>
  </si>
  <si>
    <t>收入不足3亿，差1.7亿
2025年还有净资产负的风险</t>
  </si>
  <si>
    <t>收入超过3亿
净资产保正</t>
  </si>
  <si>
    <t>一季度收入净利润持平
半年报没变化
三季报略增1.5亿</t>
  </si>
  <si>
    <t>大股东股份被冻结
关注收入进展</t>
  </si>
  <si>
    <t>强调事项的无保留意见 
强调事项：流动负债大于流动资产导致持续经营部确定性</t>
  </si>
  <si>
    <t>收入不足3亿，差1.4亿</t>
  </si>
  <si>
    <t>本来202408收购大股东的半导体资产的，但是2250311终止了收购，因为某些交易方价格无法达成一致。
一季度收入和净利润略下滑。
半年报收入和利润没有改善
三季报收入1.6亿，净利润只亏600万了，有希望</t>
  </si>
  <si>
    <t>强调事项无保留意见
强调项：收入不足触发退市风险</t>
  </si>
  <si>
    <t>精伦电子</t>
  </si>
  <si>
    <t>收入不足3亿，差1.8亿</t>
  </si>
  <si>
    <t>一季度收入下滑
签订2.3亿企业云服务器采购合同，上半年交付4500万
上半年收入8200万
三季报收入大增2.2亿</t>
  </si>
  <si>
    <t>辉丰股份</t>
  </si>
  <si>
    <t>收入超过3亿，净利润转正太难了</t>
  </si>
  <si>
    <t>一季度收入净利润略增
半年报收入1.5亿，大幅增加。利润也减亏。主要是油品等收入增加，估计靠这个保壳问题不大。
三季报收入2.1亿，还有点悬</t>
  </si>
  <si>
    <t>每年都有大量的资产减值计提</t>
  </si>
  <si>
    <t>重大段落和强调事项的无保留意见
1、流动负债大于流动资产，持续经营不确定性
2、辉丰股份公司根据法院解散瑞凯公司的判决和法院关于5,000吨草铵膦项目为双方共同所有的再审裁定，重新估算了对瑞凯公司的债务金额和股权价值</t>
  </si>
  <si>
    <t>无保留意见</t>
  </si>
  <si>
    <t>一季度收入下滑、净利润下滑。
20250507，继续收购子公司浙江庄辰剩余34%股权，2024收入1.1亿，净利润500万。
半年报收入5500万，净利润-340万，浙江庄辰净利润15万
20250812，林木顺的海南伯程受让25%，4.5亿
三季报收入1亿，净利润-200万，有希望净利润转正，主要收入就是子公司的
20251030向新大股东借款750万</t>
  </si>
  <si>
    <t>估计做正利润的希望大些</t>
  </si>
  <si>
    <t>强调无保留意见。
强调项：触发退市风险</t>
  </si>
  <si>
    <t>天圣制药</t>
  </si>
  <si>
    <t>2019年大股东侵占挪用资金1.2亿未及时归还，大股东被判刑了</t>
  </si>
  <si>
    <t>归还资金
立案调查结果出来
上市后业绩一直在下滑，可能有财务造假</t>
  </si>
  <si>
    <t>2024年已经归还
20250119大股东被证监会立案调查，还没有结果。
20250913收到处罚，不用退市了</t>
  </si>
  <si>
    <t>关注立案调查结果</t>
  </si>
  <si>
    <t>保留意见
因大股东立案结果未出，未能就涉案及追溯调整事项获取充分、适当的审计证据，无法确定前述资金占用的完整性。</t>
  </si>
  <si>
    <t>星光农机</t>
  </si>
  <si>
    <t>20250318收购大股东旗下苏州电中，燃油喷射系统开发，2024收入8000万，净利润-100万。0426完成交易，一季度未并表。0426完成变更。</t>
  </si>
  <si>
    <t>一季度收入大涨，说是销量增加。
公司说审计师正在审计保留事项，后续会有公告
半年报收入1.5亿。大涨，其中苏州电中并表3000万。
20250906，购买中诚汽车子公司完成，1-5月收入1600万
三季报收入3亿</t>
  </si>
  <si>
    <t>被立案调查
关注保留事项的解决进展</t>
  </si>
  <si>
    <t>保留意见
采棉农事服务按总额法确认的依据不足，如果存在问题对2023年的收入调整较大。
董事会的解释是当时开展业务时保留的资料不够充分。还不知道怎么消除。</t>
  </si>
  <si>
    <t>新研股份</t>
  </si>
  <si>
    <t>20250428，与新疆资管重组9800万的债务。以股权抵债。
重整中</t>
  </si>
  <si>
    <t>强调无保留意见
净资产负持续经营不确定性</t>
  </si>
  <si>
    <t>万方发展</t>
  </si>
  <si>
    <t xml:space="preserve">
历史上保壳过一次。通过做正利润的方式。
大股东的29%股份被判出售以偿还债务，可能会导致实控人变更，现在的实控人只是拥有投票权
长期股权投资公司连连亏损，审计师无法核实剩余价值，出具带强调事项。
2023年曾经由于银行不续贷导致债务逾期</t>
  </si>
  <si>
    <t>一季度收入大增
白山市原来的承诺基本都没有兑现，所以是否愿意保壳存疑
原大股东股份抵债给九台农商行了
三季报收入1.7亿，大增，净利润-900万</t>
  </si>
  <si>
    <t>不确定收入是不是全部是主营
关注对长期股权万方百奥投资的处理情况，这个必须要处理（建仓时点）
关注大股东质押违约的处理，实控人是否成功受让违约股票的债权
关注现在实控人满3年，可以注入资产</t>
  </si>
  <si>
    <t>强调事项段保留意见
保留项：万方百奥的不确定性
强调项：原大股东质押的股份可能被拍卖导致实控人变更</t>
  </si>
  <si>
    <t>沐邦高科</t>
  </si>
  <si>
    <t>收入不足3亿
否定意见内控报告</t>
  </si>
  <si>
    <t>内控报告否定意见修正
收入超过3亿</t>
  </si>
  <si>
    <t>一季度收入净利润大幅下滑
三季报略下滑收入2.2亿
实控人被立案，资金占用1000万</t>
  </si>
  <si>
    <t>关注二季度情况
关注内控否定事项</t>
  </si>
  <si>
    <t>否定意见
将募集资金以支付供应商货款或工程款的形式付款后，再通过关联企业借款的形式回流到沐邦高科，沐邦高科用来归还银行借款和供应商欠款，涉及金额 2亿，导致募集资金违规使用</t>
  </si>
  <si>
    <t>海南椰岛</t>
  </si>
  <si>
    <t>收入超过3亿
解决与糊涂酒业之间的账目问题</t>
  </si>
  <si>
    <t>一季度收入下滑、净利润减亏
半年报收入下滑，净利润增亏
三季报收入不变1.7亿，净资产也很危险了</t>
  </si>
  <si>
    <t>关注与糊涂酒业之间的合作进展
关注收入进展</t>
  </si>
  <si>
    <t>强调事项的保留意见
跟糊涂酒业之间的糊涂账
持续经营不确定性</t>
  </si>
  <si>
    <t>否定意见
经销商管理不明确
总经理一身多职不合理</t>
  </si>
  <si>
    <t>岩石股份</t>
  </si>
  <si>
    <t>收入不足3亿，差2000万</t>
  </si>
  <si>
    <t>收入超过3亿
解决保留事项</t>
  </si>
  <si>
    <t>一季度收入净利润大幅下滑
二季度收入净利润继续大幅下滑
三季报收入大幅下滑3400万，基本完了</t>
  </si>
  <si>
    <t>关注保留事项的解决
收入的解决</t>
  </si>
  <si>
    <t>保留意见
1、债务违约的诉讼未完结，涉及金额巨大，无法审计。
2、3亿多存货被查封，无法审计。
3、关联交易的合理性无法确认，与经销商的大量交易合法性待查。</t>
  </si>
  <si>
    <t>强调事项无保留意见</t>
  </si>
  <si>
    <t>奥维通信</t>
  </si>
  <si>
    <t>收入不足3亿，差2000万
无法表示意见
否定意见</t>
  </si>
  <si>
    <t>一季度收入和净利润大幅下降
半年报没有变化
三季报收入3000万，基本摆烂了</t>
  </si>
  <si>
    <t>大股东资金占用1.9亿的归还进展。
主要子公司金属制品业务复产情况。
部分销售业务的合理性存疑的解决。</t>
  </si>
  <si>
    <t>无法表示意见</t>
  </si>
  <si>
    <t>否定意见</t>
  </si>
  <si>
    <t>ST沪科</t>
  </si>
  <si>
    <t>收入不足3亿，差2.2亿</t>
  </si>
  <si>
    <t>半年报收入大幅下滑
三季报收入500万，净利润-23万，感觉可以靠净利润保住</t>
  </si>
  <si>
    <t>收入不足3亿，差2.2亿
2025年还有净资产负的风险</t>
  </si>
  <si>
    <t>一季度收入净利润暴跌
二季度收入大幅下跌，净利润也是
三季报收入1800万</t>
  </si>
  <si>
    <t>公司感觉快倒闭了
关注收入改善进展，负债改善进展
20250717，王相荣拍卖15%股权成为大股东，利欧集团股份的老板
20250812转让建设工程子公司3400万，净资产也是3400万。</t>
  </si>
  <si>
    <t>强调事项的无保留意见 
强调事项：流动负债大于流动资产导致持续经营部确定性
强调事项2：大股东股份被冻结，控股权可能变更</t>
  </si>
  <si>
    <t>无法表示意见审计报告</t>
  </si>
  <si>
    <t>小贷业务清理
违规担保解除
提供烟花采购应收款计提理由</t>
  </si>
  <si>
    <t>一季度收入下滑净利润下滑
三季报收入1.5亿，净利润1000万</t>
  </si>
  <si>
    <t>关注审计报告相关事项
感觉大股东在掏空公司资产</t>
  </si>
  <si>
    <t>金力泰</t>
  </si>
  <si>
    <t>归还占用资金，加强内控</t>
  </si>
  <si>
    <t>20250506被立案调查
20250916结案
公司董事会还在极力狡辩，但审计委员会已经承认。</t>
  </si>
  <si>
    <t>无法表示意见
1、以战略备库预付款名义将资金转出至相关贸易商后，贸易商又在邻近时间点将相近金额转出至非供货主体的异常情形。转出资金与实际采购金额严重不成比例。2024  年你公司战略备库预付款发生额及取消合作转回款项均超过 9 亿元，但实际采购金额仅 2,900 余万元 3.你公司与相关贸易商的资金往来呈现季度初转出和季度末转回的显著特征，累计转出金额与转回金额大体相当。你公司资金存在以战略备库名义转出后被关联方占用的重大风险
2、股权转让无法确认是否资金占用</t>
  </si>
  <si>
    <t>持续经营不确定性</t>
  </si>
  <si>
    <t>20250414打算出售子公司安徽泉为，净资产1.6亿，售价2.7亿，购买方上海赢古资产，专门做不良资产处理的。
20250826半年报，收入净利润大幅下滑，安慰泉为收入800万，净利润-1800万。
20250826签订11亿大合同，工期12月，联合中标</t>
  </si>
  <si>
    <t>天山生物</t>
  </si>
  <si>
    <t>净资产负且营收不足1亿且净利润负</t>
  </si>
  <si>
    <t>净资产转正且营收达到1亿</t>
  </si>
  <si>
    <t>20250829，陈明艺、陈欢的厦门舍德拍卖17.21%，花费2.87亿。旗下有谷味德食品有限公司，还持有傲农生物3%股份。
20250920，大股东豁免了5000万债务，净资产负的问题解决了
20251025，向大股东转让亏损子公司巴尔鲁克
20251025，三季报显示业绩还没有进展，收入还差4000万，但存货大增了4000万。</t>
  </si>
  <si>
    <t>实控人喜欢持有养殖公司
公司从原大股东收回的7300万股份要注销，但还没完成</t>
  </si>
  <si>
    <t>营收达标</t>
  </si>
  <si>
    <t>Q3财报2.12亿，净利润大幅减亏</t>
  </si>
  <si>
    <t>东易日盛</t>
  </si>
  <si>
    <t>交投生态</t>
  </si>
  <si>
    <t>金刚光伏</t>
  </si>
  <si>
    <t>景峰医药</t>
  </si>
  <si>
    <t>炼石航空</t>
  </si>
  <si>
    <t>聆达股份</t>
  </si>
  <si>
    <t>奥园美谷</t>
  </si>
  <si>
    <t>名家汇</t>
  </si>
  <si>
    <t>宁夏中科生物</t>
  </si>
  <si>
    <t>三圣股份</t>
  </si>
  <si>
    <t>新元科技</t>
  </si>
  <si>
    <t>净资产负
否定意见</t>
  </si>
  <si>
    <t>净资产也负了
三季报收入6800万
20251226，大股东豁免5000万债务</t>
  </si>
  <si>
    <t>长药控股</t>
  </si>
  <si>
    <t>主营品牌营销</t>
  </si>
  <si>
    <t>收入不足3亿、净资产负</t>
  </si>
  <si>
    <t>20251129，大股东捐赠佛山鹏昌企业80%股权，核心资产是广西天丞铝业51%，2025年净资产4000万，收入5亿，净利润1295万，如果完成的话2026年收入肯定达标了</t>
  </si>
  <si>
    <t>鞋服</t>
  </si>
  <si>
    <t>景谷林业</t>
  </si>
  <si>
    <t>20250816向大股东剥离汇银木业51%股权，大概1.3亿，占2024年度收入87%
202511，大股东赠送博达数科51%，月收入600万</t>
  </si>
  <si>
    <t>华鹏</t>
  </si>
  <si>
    <t>美尔雅</t>
  </si>
  <si>
    <t>服装纺织</t>
  </si>
  <si>
    <t>美晨科技</t>
  </si>
  <si>
    <t>20250422，园林资产剥离预案
202512，转让很多债权给大股东</t>
  </si>
  <si>
    <t>汽车零部件</t>
  </si>
  <si>
    <t>英飞拓</t>
  </si>
  <si>
    <t>20251210，挂牌转让子公司英飞拓杭州科技，净资产-1300万，价格1元，购买人还需要代还1.3亿的债务</t>
  </si>
  <si>
    <t>物联软件</t>
  </si>
  <si>
    <t>未名医药</t>
  </si>
  <si>
    <t>生长因子</t>
  </si>
  <si>
    <t>20250414，向上海赢古资产管理有限公司出售合计持有的安徽泉为100%股权，净资产1.7亿，负债2.1亿，出售价格2.7亿</t>
  </si>
  <si>
    <t>光伏</t>
  </si>
  <si>
    <t>大股东破产清算，可能导致实控人变更</t>
  </si>
  <si>
    <t>美芝股份</t>
  </si>
  <si>
    <t>负得不多</t>
  </si>
  <si>
    <t>20251014，挂牌转让子公司51%股权，净资产-4400万，收入1.3亿。价格102万
20251230，转让完成
20260430，Q1大幅减亏</t>
  </si>
  <si>
    <t>建筑工程施工</t>
  </si>
  <si>
    <t>持续经营无保留</t>
  </si>
  <si>
    <t>法尔胜</t>
  </si>
  <si>
    <t>20251023，出售一个10%股权，7000万，回笼资金</t>
  </si>
  <si>
    <t>金属制品</t>
  </si>
  <si>
    <t>雪浪环境</t>
  </si>
  <si>
    <t>垃圾发电，固废处理</t>
  </si>
  <si>
    <t>惠天热电</t>
  </si>
  <si>
    <t>2024年就差点负了，靠大股东输血了好几亿</t>
  </si>
  <si>
    <t>供暖供气</t>
  </si>
  <si>
    <t>蓝丰生化</t>
  </si>
  <si>
    <t>20250904，大股东豁免债务2300万</t>
  </si>
  <si>
    <t>科恒股份</t>
  </si>
  <si>
    <t>20251127，一个子公司的债务转股权，化解了2亿债务，那净资产应该正了</t>
  </si>
  <si>
    <t>正极材料</t>
  </si>
  <si>
    <t>皇庭国际</t>
  </si>
  <si>
    <t>2022年的债务重组终止了</t>
  </si>
  <si>
    <t>物业管理</t>
  </si>
  <si>
    <t>无法表示意见
主要还是经营不确定</t>
  </si>
  <si>
    <t>标准无保留</t>
  </si>
  <si>
    <t>津投城开</t>
  </si>
  <si>
    <t>2025年打算跟大股东置换热力资产的，后改为出售房地产资产</t>
  </si>
  <si>
    <t>房地产开发</t>
  </si>
  <si>
    <t>春兴精工</t>
  </si>
  <si>
    <t>发泡材料
无实控人</t>
  </si>
  <si>
    <t>京投发展</t>
  </si>
  <si>
    <t>ST金鸿</t>
  </si>
  <si>
    <t>2017年替一个关联公司担保了1.9亿贷款，20251211约定分两期代偿总3600万债务。首期付款1000万后，豁免债权中9000万本金以及利息。剩余担保责任还有1个亿。
部分债务违约</t>
  </si>
  <si>
    <t>中设股份</t>
  </si>
  <si>
    <t>2025年10月收购一个子公司51%股权，6000万，年收入3亿，净利润2000万，已经完成。</t>
  </si>
  <si>
    <t>假ST，可能立案调查，有财报追溯</t>
  </si>
  <si>
    <t>强调无保留</t>
  </si>
  <si>
    <t>莫高股份</t>
  </si>
  <si>
    <t>Q1收入大增，1亿</t>
  </si>
  <si>
    <t>准油股份</t>
  </si>
  <si>
    <t>Q1收入大增，0.5亿</t>
  </si>
  <si>
    <t>天然气采掘服务，当红</t>
  </si>
  <si>
    <t>西安旅游</t>
  </si>
  <si>
    <t>正向大股东发行股票，等深交所受理</t>
  </si>
  <si>
    <t>东珠生态</t>
  </si>
  <si>
    <t>Q1收入利润大幅下滑，无新签合同</t>
  </si>
  <si>
    <t>有业绩调整，可能立案调查</t>
  </si>
  <si>
    <t>强调有保留</t>
  </si>
  <si>
    <t>数源科技</t>
  </si>
  <si>
    <t>Q1无改善</t>
  </si>
  <si>
    <t>园区产业类
	立案调查</t>
  </si>
  <si>
    <t>GQY视讯</t>
  </si>
  <si>
    <t>收入不足1亿</t>
  </si>
  <si>
    <t>Q1收入大增</t>
  </si>
  <si>
    <t>可能立案调查，有业绩追溯</t>
  </si>
  <si>
    <t>净资产负，收入不足3亿</t>
  </si>
  <si>
    <t>奥特迅</t>
  </si>
  <si>
    <t>Q1收入略增</t>
  </si>
  <si>
    <t xml:space="preserve">电力用直流和交流一体化不间
断电源设备	</t>
  </si>
  <si>
    <t>顾地科技</t>
  </si>
  <si>
    <t>房地产管道</t>
  </si>
  <si>
    <t>亚士创能</t>
  </si>
  <si>
    <t>Q1收入也大幅下滑</t>
  </si>
  <si>
    <t>房地产涂料
大股东有部分股份被拍卖
2026年可能收入不足</t>
  </si>
  <si>
    <t>长江投资</t>
  </si>
  <si>
    <t>物流及仓储服务
这个应该好增收
巩固现有业务基础上，稳妥推进新项目投资和新业务培育，持续提升新业务收入占比，增强持续经营能力。</t>
  </si>
  <si>
    <t>广农糖业</t>
  </si>
  <si>
    <t>大股东给钱就好了</t>
  </si>
  <si>
    <t>否定</t>
  </si>
  <si>
    <t>三六五网</t>
  </si>
  <si>
    <t>Q1收入增加，净利润转正</t>
  </si>
  <si>
    <t>谢恺二级市场增持5%
房地产营销</t>
  </si>
  <si>
    <t>八一钢铁</t>
  </si>
  <si>
    <t>20260605公告转让净资产负的焦煤子公司给大股东，价格13亿；同时发行股票</t>
  </si>
  <si>
    <t>帅丰电器</t>
  </si>
  <si>
    <t>20260626收购杭州惠嘉信息科技有限公司，电力设备公司
Q1收入大幅下滑</t>
  </si>
  <si>
    <t>法院</t>
  </si>
  <si>
    <t>被债权人申报</t>
  </si>
  <si>
    <t>临时管理人</t>
  </si>
  <si>
    <t>债权申报</t>
  </si>
  <si>
    <t>招募产业投资人</t>
  </si>
  <si>
    <t>确定投资人</t>
  </si>
  <si>
    <t>签署重整协议</t>
  </si>
  <si>
    <t>中间进展</t>
  </si>
  <si>
    <t>是否立案调查</t>
  </si>
  <si>
    <t>批准时带星</t>
  </si>
  <si>
    <t>法院批准受理重整</t>
  </si>
  <si>
    <t>重整债权申报</t>
  </si>
  <si>
    <t>重整计划批准</t>
  </si>
  <si>
    <t>转增股本实施</t>
  </si>
  <si>
    <t>刚兑上限</t>
  </si>
  <si>
    <t>批准受理后走势</t>
  </si>
  <si>
    <t>批准时市值</t>
  </si>
  <si>
    <t>除权后下跌</t>
  </si>
  <si>
    <t>ST中装</t>
  </si>
  <si>
    <t>深圳中院</t>
  </si>
  <si>
    <t>20250307，康恒环境，净资产116亿，净利润13亿，生活垃圾发电。转增10亿股，1.55元
产投3.04亿股，占16%</t>
  </si>
  <si>
    <t>下跌</t>
  </si>
  <si>
    <t>十堰中院</t>
  </si>
  <si>
    <t>上海市锦天城律师事务所</t>
  </si>
  <si>
    <t>24家报名，20250506四川嘉道博文生态科技有限公司、十堰市昊炜生物科技发展有限公司</t>
  </si>
  <si>
    <t>20250508
转增5.2亿，2.42/股。
嘉道博文：5.9亿
昊伟生物：2500万
抵债价格：不低于10元</t>
  </si>
  <si>
    <t>必须在2025年底之前重整完成，否则就要退市
审计都OK的
股价一直跌，是不是因为重大的诉讼一直没停。
可能被立案调查</t>
  </si>
  <si>
    <t>重庆五中院</t>
  </si>
  <si>
    <t>冀衡集团药业的</t>
  </si>
  <si>
    <t>1.53元，转赠2.5亿股
1.6亿给投资人</t>
  </si>
  <si>
    <t>北京一中院</t>
  </si>
  <si>
    <t>20241107北京大成律师事务所</t>
  </si>
  <si>
    <t xml:space="preserve">15家产投、25家财投。20250319，北京华著科技有限公司，智算中心 </t>
  </si>
  <si>
    <t>20250319
财投8亿，2.6亿股，后修改为4元一股，因此估计大涨
产投：2.3元，1.5亿股，3.4亿</t>
  </si>
  <si>
    <t>嘉寓股份</t>
  </si>
  <si>
    <t>20240718北京市海问律师事务所</t>
  </si>
  <si>
    <t>20240913北京道荣合利科技集团有限公司和北京久银投资控股股份有限公司组成的联合体</t>
  </si>
  <si>
    <t>20241021，原财务投资人全部退出，引入新财务投资人，且减少财务投资份额
20241114，产业投资人解除重整协议，理由是预计公司无法在可见时间内完成前置审批</t>
  </si>
  <si>
    <t>六安中院</t>
  </si>
  <si>
    <t>20240731金寨县人民政府组建的清算小组</t>
  </si>
  <si>
    <t>20241128
浙江众凌科技有限公司和合肥威迪变色玻璃有限公司联合体，半导体的</t>
  </si>
  <si>
    <t>转赠4亿股
财投价3.87</t>
  </si>
  <si>
    <t>中途有财投退出，重新引入</t>
  </si>
  <si>
    <t>ST交投</t>
  </si>
  <si>
    <t>昆明中院</t>
  </si>
  <si>
    <t>20250605上海市通力律师事务所（主办机构）与国浩律师（昆明）事务所（辅助机构），临时管理人负责人为刘嘉诚律师。</t>
  </si>
  <si>
    <t>20250606-20240705</t>
  </si>
  <si>
    <t>20250614
要求产投资金总额超500亿，净额200亿，这典型的量身定制</t>
  </si>
  <si>
    <t>大股东自己重整自己，真恶心10转14.5共2.6亿股</t>
  </si>
  <si>
    <t>产投：3.87元，3500万股
财投：4.67元，1.68亿股</t>
  </si>
  <si>
    <t>必须在2025年底之前重整完成，否则就要退市
审计都OK的</t>
  </si>
  <si>
    <t>张家界</t>
  </si>
  <si>
    <t>张家界中院</t>
  </si>
  <si>
    <t>张家界旅游集团有限公司清算组</t>
  </si>
  <si>
    <t>电广传媒和芒果超媒等财投，没有产投，所以原来的还是大股东</t>
  </si>
  <si>
    <t>财投，3.96元，3.225亿股
财投2，7.3元，0.41亿股</t>
  </si>
  <si>
    <t>有棵树</t>
  </si>
  <si>
    <t>长沙中院</t>
  </si>
  <si>
    <t>有棵树科技股份有限公司清算组</t>
  </si>
  <si>
    <t>46家，产投3家</t>
  </si>
  <si>
    <t>20241116，深圳市天行云供应链、福建纵腾网络有限公司
1.85亿转增股票，3.6亿，单价1.95。2.3亿股留给财投。7000万抵债，10元。刚兑上限100万。</t>
  </si>
  <si>
    <t>20241212，与财投签署协议</t>
  </si>
  <si>
    <t>上涨</t>
  </si>
  <si>
    <t>福州中院</t>
  </si>
  <si>
    <t>合力泰科技股份有限公司清算组</t>
  </si>
  <si>
    <t>没有，不需要</t>
  </si>
  <si>
    <t>马鞍山中院</t>
  </si>
  <si>
    <t>傲农生物</t>
  </si>
  <si>
    <t>漳州中院</t>
  </si>
  <si>
    <t>横盘</t>
  </si>
  <si>
    <t>宁波中院</t>
  </si>
  <si>
    <t>20250509厦门建发物产有限公司联合体</t>
  </si>
  <si>
    <t>产投：1.85元，2亿股
财投：2.1元，1亿股</t>
  </si>
  <si>
    <t>洪涛股份</t>
  </si>
  <si>
    <t>20240731不予受理</t>
  </si>
  <si>
    <t>金科股份</t>
  </si>
  <si>
    <t>龙口法院</t>
  </si>
  <si>
    <t>20240802，招募条件里就感觉是因人而设，提前已经有沟通了</t>
  </si>
  <si>
    <t>20240828石药集团</t>
  </si>
  <si>
    <t>20250429 石药集团，8.7亿股，1元/股，石药5.26亿股</t>
  </si>
  <si>
    <t>20241129，新余领九投资管理中心</t>
  </si>
  <si>
    <t>20250228，7.3亿股，1.47元</t>
  </si>
  <si>
    <t>开元教育</t>
  </si>
  <si>
    <t>上海市方达律师事务所</t>
  </si>
  <si>
    <t>20241105深圳嘉道功程股权投资基金</t>
  </si>
  <si>
    <t>20241105，6亿股，1.15元</t>
  </si>
  <si>
    <t>石嘴山中院</t>
  </si>
  <si>
    <t>20241228湖南醇投实业发展有限公司</t>
  </si>
  <si>
    <t>产投：1.12元，3.5亿股
财投：1.6，5.2亿股</t>
  </si>
  <si>
    <t>东方集团</t>
  </si>
  <si>
    <t>哈尔滨中院</t>
  </si>
  <si>
    <t>14家</t>
  </si>
  <si>
    <t>被立案调查，可能触发重大违法退市</t>
  </si>
  <si>
    <t>花王</t>
  </si>
  <si>
    <t>镇江中院</t>
  </si>
  <si>
    <t>20230130金华辰顺浩景企业管理合伙企业</t>
  </si>
  <si>
    <t>等了太久才批准所以大涨</t>
  </si>
  <si>
    <t>南京中院</t>
  </si>
  <si>
    <t>20240222曲靖高新技术产业开发区</t>
  </si>
  <si>
    <t>为什么后面又大跌呢</t>
  </si>
  <si>
    <t>是，还有否定内控帽子没摘</t>
  </si>
  <si>
    <t>酒泉中院</t>
  </si>
  <si>
    <t>欧昊集团，4.96,3亿</t>
  </si>
  <si>
    <t>金通灵</t>
  </si>
  <si>
    <t>南通中院</t>
  </si>
  <si>
    <t>汇通达网络股份有限公司，香港上市</t>
  </si>
  <si>
    <t>20250906
1.3996元，7亿股，10亿元</t>
  </si>
  <si>
    <t>无资金占用，有一个投资者虚假陈述纠纷</t>
  </si>
  <si>
    <t>襄阳中院</t>
  </si>
  <si>
    <t>20250423九州通</t>
  </si>
  <si>
    <t>20250424
九州通1.62元，4.35亿股，7亿
天津信美1.62元，1.21股，2亿
财投1，2.08元，0.42亿股，0.88亿
财投2，2.08元，0.96亿股，2亿元
财投3，2.08元，0.32亿股，0.67亿元
财投4，2.08元，0.54亿股，1.2亿元
财投5，2.08元，0.6亿股，1.2亿元
财投6，2.08元，0.18亿股，0.37亿元</t>
  </si>
  <si>
    <t>必须在2025年底之前重整完成，否则就要退市
审计都OK的
20250726，跟京汉控股的官司输了，很可能被动形成控股股东担保从而导致资金占用，资金占用不能及时消除会影响重整受理</t>
  </si>
  <si>
    <t>乌鲁木齐中院</t>
  </si>
  <si>
    <t>北京市金杜律师事务所和新疆巨臣律师事务所</t>
  </si>
  <si>
    <t>20250701新疆商贸物流（集团）有限公司</t>
  </si>
  <si>
    <t>20250827，转赠17.94亿股
产投1.3元，5亿股，6.5亿元</t>
  </si>
  <si>
    <t>华闻集团</t>
  </si>
  <si>
    <t>海口中院</t>
  </si>
  <si>
    <t>华闻集团清算组担</t>
  </si>
  <si>
    <t>20250506海南联合及海南国资运营</t>
  </si>
  <si>
    <t>20250506，5亿股，1.22元</t>
  </si>
  <si>
    <t>还可以拖到明年</t>
  </si>
  <si>
    <t>西藏发展</t>
  </si>
  <si>
    <t>拉萨中院</t>
  </si>
  <si>
    <t>上海锦天城律师事务所</t>
  </si>
  <si>
    <t>20230927西藏盛邦发展有限公司，这个就是现在大股东啊。公司历史问题太混乱了。</t>
  </si>
  <si>
    <t>20231117被立案调查，已经处罚，存在资金占用
20231219，大股东豁免了1.9亿债务所以净资产转正
20250115，大股东又捐赠了1.8亿。到目前，还有原大股东资金占用问题未解决。</t>
  </si>
  <si>
    <t>香雪制药</t>
  </si>
  <si>
    <t>广州中院</t>
  </si>
  <si>
    <t>京市金杜(广州)律师事务所</t>
  </si>
  <si>
    <t>瑞和股份</t>
  </si>
  <si>
    <t>佛山市贝思特会计师事务所有限公司</t>
  </si>
  <si>
    <t>深圳市槟城电子股份有限公司，半导体元器件</t>
  </si>
  <si>
    <t>20260515
转赠5.6亿股
产投，2.4亿股，3.9元，9亿
财投，2.3亿股，3.9元
债权人，0.8亿股</t>
  </si>
  <si>
    <t>可能要放到明年去了，因为目前还没有戴星，明年肯定戴星了</t>
  </si>
  <si>
    <t>纳川股份</t>
  </si>
  <si>
    <t>泉州中院</t>
  </si>
  <si>
    <t>纳川管材科技股份有限公司清算组</t>
  </si>
  <si>
    <t>1.25元，2.7亿元，还有另外两个一致行动人2.2亿元</t>
  </si>
  <si>
    <t>高鸿网络</t>
  </si>
  <si>
    <t>贵阳中院</t>
  </si>
  <si>
    <t>20240730被立案调查
20250808触及重大违法退市</t>
  </si>
  <si>
    <t>六师中院</t>
  </si>
  <si>
    <t>20250912，8.5亿股，1.81元，新业集团5亿配2.7亿股。财投2.52元，2.85亿股，剩下的债转股</t>
  </si>
  <si>
    <t>重整前本来要发行股份购买新业集团下的新疆新业能源化工有限责任公司的，后来终止了，因这个是借壳上市，估计太难了，放弃了。化工2024收入25亿，净利润5亿。目前先重整保壳，然后再择机注入资产</t>
  </si>
  <si>
    <t>抚州中院</t>
  </si>
  <si>
    <t xml:space="preserve">
必须重整成功，否则退市</t>
  </si>
  <si>
    <t>兰州中院</t>
  </si>
  <si>
    <t>清算组</t>
  </si>
  <si>
    <t>20250909北京星箭长空测控技术股份有限公司</t>
  </si>
  <si>
    <t>20250913，4亿，1.6亿股，产投2.4元，财投2.65元</t>
  </si>
  <si>
    <t>原实控人跟现实控人打架，后和解。转让股份，用钱堵嘴。</t>
  </si>
  <si>
    <t>惠程信息</t>
  </si>
  <si>
    <t>20250902植恩生物技术股份有限公司，净资产16亿，净利润4000万，收入11亿</t>
  </si>
  <si>
    <t>20250911
转赠3.7亿股
产投2.3亿股，1.735元，4亿元
财投0.57亿股，1.835元，1亿元</t>
  </si>
  <si>
    <t>获债权人豁免1.3亿债务
20250929，确认债权7.6亿</t>
  </si>
  <si>
    <t>星星科技</t>
  </si>
  <si>
    <t>萍乡中院</t>
  </si>
  <si>
    <t>萍乡市人民政府有关部门人员组成的清算组，上海市锦天城律师事务所</t>
  </si>
  <si>
    <t>,20250826</t>
  </si>
  <si>
    <t>20220712浙江立马科技有限公司
承诺24月内注入部分电动车资产，36月内全部注入
12月内在萍乡建设电动车制造集群，三年内净利润不低于1.2亿</t>
  </si>
  <si>
    <t>转赠13.1亿股
产投6亿股，0.75元，4.5亿元
财投1.5亿股，1.5元，2.25亿元</t>
  </si>
  <si>
    <t>20210821被实施退市风险，因为财务纠正后2020年净资产为负
20211204大股东捐赠资产
20211221大股东豁免债务25亿
20211130重大子公司破产清算减少大量债务
经过上面几个手段，净资产终于转正了
20210929被立案调查
20221118处罚落地，2019和2020严重造假</t>
  </si>
  <si>
    <t>该案例只有保壳阶段有利润</t>
  </si>
  <si>
    <t>中安科</t>
  </si>
  <si>
    <t>武汉中原</t>
  </si>
  <si>
    <t>公司清算组</t>
  </si>
  <si>
    <t>武汉融晶</t>
  </si>
  <si>
    <t>转赠15.26亿股
产投：</t>
  </si>
  <si>
    <t>成都中院</t>
  </si>
  <si>
    <t>北京金杜（成都）律师事务所</t>
  </si>
  <si>
    <t>20250911联合体</t>
  </si>
  <si>
    <t>10转6，转增5.2亿股
产投：5.65元，0.97亿股，5.48亿
产投：6.73元,0,97亿股，6亿</t>
  </si>
  <si>
    <t>启迪环境</t>
  </si>
  <si>
    <t>宜昌中院</t>
  </si>
  <si>
    <t>赛为</t>
  </si>
  <si>
    <t>深圳市正源清算事务有限公司</t>
  </si>
  <si>
    <t>天宜新材</t>
  </si>
  <si>
    <t>北京市海问律师事务所</t>
  </si>
  <si>
    <t>东方时尚</t>
  </si>
  <si>
    <t>复利产业发展</t>
  </si>
  <si>
    <t>1.34元，5亿股，6.7亿元</t>
  </si>
  <si>
    <t>立案调查落地，否定内控，主要是之前的资金占用，已解决
有可转债</t>
  </si>
  <si>
    <t>沐邦股份</t>
  </si>
  <si>
    <t>南昌中院</t>
  </si>
  <si>
    <t>立案调查，否定内控
经营资金占用9000万</t>
  </si>
  <si>
    <t>无锡中院</t>
  </si>
  <si>
    <t>20251231，大股东代还银行的1.5亿借款</t>
  </si>
  <si>
    <t>华夏幸福</t>
  </si>
  <si>
    <t>廊坊中院</t>
  </si>
  <si>
    <t>仕净科技</t>
  </si>
  <si>
    <t>苏州中院</t>
  </si>
  <si>
    <t>徽宁芯破产清算事务所</t>
  </si>
  <si>
    <t>意向投资人最近一个会计年度合并口径的资产总额应不低于人民币 40 亿元，且净资产不低于人民币 10 亿元。</t>
  </si>
  <si>
    <t>美克家居</t>
  </si>
  <si>
    <t>北京金杜（海口）律师事务所和新疆巨臣律师事务所</t>
  </si>
  <si>
    <t>同德化工</t>
  </si>
  <si>
    <t>忻州中院</t>
  </si>
  <si>
    <t>意向投资人最近一个会计年度经审计的合并口径净资产不低于人民币 30 亿元，净利润不低于人民币 5 亿元。</t>
  </si>
  <si>
    <t>易华录</t>
  </si>
  <si>
    <t>北京市金杜律师事务所</t>
  </si>
  <si>
    <t>华谊兄弟</t>
  </si>
  <si>
    <t>金华中院</t>
  </si>
  <si>
    <t>北京市中伦（上海）律师事务所、浙江智仁律师事务所</t>
  </si>
  <si>
    <t>亿晶光电</t>
  </si>
  <si>
    <t>常州中院</t>
  </si>
  <si>
    <t>宁波瑞廉（实控郑华玲）+ 中润光能（光伏产业协同方）</t>
  </si>
  <si>
    <t>20260427，转增 15.98 亿股，1.86 元，23.34 亿
产投 4.55 亿股
财投 7.93 亿股
债权人 3.50 亿股</t>
  </si>
  <si>
    <t>浙江京衡律师事务所、北京金杜（杭州）律师事务所</t>
  </si>
  <si>
    <t>美年大健康</t>
  </si>
  <si>
    <t>20260415，转赠6.5亿股，3.23元,21亿
产投1.8亿股
财投3.9亿股
债权人0.8亿股</t>
  </si>
  <si>
    <t>正平</t>
  </si>
  <si>
    <t>西宁中院</t>
  </si>
  <si>
    <t>北京市金杜律师事务所、西宁青石清算事务经纪有限公司</t>
  </si>
  <si>
    <t>龙大肉食</t>
  </si>
  <si>
    <t>庭外重组</t>
  </si>
  <si>
    <t>庭外重组转重整</t>
  </si>
  <si>
    <t>泉为</t>
  </si>
  <si>
    <t>东莞中院</t>
  </si>
  <si>
    <t>广东尚宽律师事务所</t>
  </si>
  <si>
    <t>20230130，金华辰顺浩景企业管理合伙企业</t>
  </si>
  <si>
    <t>10转11.55</t>
  </si>
  <si>
    <t>受理前解决的资金占用问题</t>
  </si>
  <si>
    <t>20240513，首文科集团</t>
  </si>
  <si>
    <t>20241107，8亿元，8亿股</t>
  </si>
  <si>
    <t>中国通脉</t>
  </si>
  <si>
    <t>长春中院</t>
  </si>
  <si>
    <t>中利集团</t>
  </si>
  <si>
    <t xml:space="preserve">20241205国联基金联合体,0.66元9亿股，6.28亿
</t>
  </si>
  <si>
    <t>20241109豁免15亿债务</t>
  </si>
  <si>
    <t>仁东控股</t>
  </si>
  <si>
    <t>ST旭蓝</t>
  </si>
  <si>
    <t>资金占用未完成</t>
  </si>
  <si>
    <t>ST东方</t>
  </si>
  <si>
    <t>吉药控股</t>
  </si>
  <si>
    <t>通化中院</t>
  </si>
  <si>
    <t>14家，四环开源佰学联合体</t>
  </si>
  <si>
    <t>20250305，终结。
触发了退市风险</t>
  </si>
  <si>
    <t>青岛中院</t>
  </si>
  <si>
    <t>广田集团</t>
  </si>
  <si>
    <t>正邦科技</t>
  </si>
  <si>
    <t>武汉中院</t>
  </si>
  <si>
    <t>金一文化</t>
  </si>
  <si>
    <t>京蓝科技</t>
  </si>
  <si>
    <t>洲际油气</t>
  </si>
  <si>
    <t>西宁特钢</t>
  </si>
  <si>
    <t>湘潭中院</t>
  </si>
  <si>
    <t>凯撒旅游</t>
  </si>
  <si>
    <t>三亚中院</t>
  </si>
  <si>
    <t>沈阳商城</t>
  </si>
  <si>
    <t>沈阳中院</t>
  </si>
  <si>
    <t>是，收入不达标还是退市了</t>
  </si>
  <si>
    <t>全筑股份</t>
  </si>
  <si>
    <t>上海三中院</t>
  </si>
  <si>
    <t>盈新发展</t>
  </si>
  <si>
    <t>豆神教育</t>
  </si>
  <si>
    <t>大位科技</t>
  </si>
  <si>
    <t>揭阳中院</t>
  </si>
  <si>
    <t>东方海洋</t>
  </si>
  <si>
    <t>莱山区法院</t>
  </si>
  <si>
    <t>中捷资源</t>
  </si>
  <si>
    <t>台州中院</t>
  </si>
  <si>
    <t>是，还有财务类帽子没摘</t>
  </si>
  <si>
    <t>ST 泛海</t>
  </si>
  <si>
    <t>不具备重整可能</t>
  </si>
  <si>
    <t>ST 柏龙</t>
  </si>
  <si>
    <t>ST 爱迪</t>
  </si>
  <si>
    <t>龙岩中院</t>
  </si>
  <si>
    <t>ST 新纺</t>
  </si>
  <si>
    <t>南阳中院</t>
  </si>
  <si>
    <t>ST 太安</t>
  </si>
  <si>
    <t>汕头中院</t>
  </si>
  <si>
    <t>ST 新纶</t>
  </si>
  <si>
    <t>ST 美尚</t>
  </si>
  <si>
    <t>ST 联络</t>
  </si>
  <si>
    <t>杭州中院</t>
  </si>
  <si>
    <t>迪马</t>
  </si>
  <si>
    <t>融发核电</t>
  </si>
  <si>
    <t>方正科技</t>
  </si>
  <si>
    <t>安控科技</t>
  </si>
  <si>
    <t>宜宾中院</t>
  </si>
  <si>
    <t>尤夫股份</t>
  </si>
  <si>
    <t>湖州中院</t>
  </si>
  <si>
    <t>雪莱特</t>
  </si>
  <si>
    <t>佛山中院</t>
  </si>
  <si>
    <t>天马股份</t>
  </si>
  <si>
    <t>衢州中院</t>
  </si>
  <si>
    <t>博天环境</t>
  </si>
  <si>
    <t>奥瑞德</t>
  </si>
  <si>
    <t>ST 凯乐</t>
  </si>
  <si>
    <t>荆州中院</t>
  </si>
  <si>
    <t>中天金融</t>
  </si>
  <si>
    <t>搜于特</t>
  </si>
  <si>
    <t>ST 宏图</t>
  </si>
  <si>
    <t>ST 弘高</t>
  </si>
  <si>
    <t>北京三中院</t>
  </si>
  <si>
    <t>ST 天润</t>
  </si>
  <si>
    <t>ST 紫鑫</t>
  </si>
  <si>
    <t>ST 奇信</t>
  </si>
  <si>
    <t>新余中院</t>
  </si>
  <si>
    <t>ST 和佳</t>
  </si>
  <si>
    <t>珠海中院</t>
  </si>
  <si>
    <t>ST 蓝盾</t>
  </si>
  <si>
    <t>华昌达</t>
  </si>
  <si>
    <t>桂林中院</t>
  </si>
  <si>
    <t>华谊嘉信</t>
  </si>
  <si>
    <t>供销大集</t>
  </si>
  <si>
    <t>海南高院</t>
  </si>
  <si>
    <t>海航控股</t>
  </si>
  <si>
    <t>康美药业</t>
  </si>
  <si>
    <t>海航基础</t>
  </si>
  <si>
    <t>凯瑞德</t>
  </si>
  <si>
    <t>荆门中院</t>
  </si>
  <si>
    <t>广州浪琴</t>
  </si>
  <si>
    <t>赫美集团</t>
  </si>
  <si>
    <t>众泰汽车</t>
  </si>
  <si>
    <t>实达集团</t>
  </si>
  <si>
    <t>索菱股份</t>
  </si>
  <si>
    <t>天津松江</t>
  </si>
  <si>
    <t>天津第二中院</t>
  </si>
  <si>
    <t>华英农业</t>
  </si>
  <si>
    <t>信阳中院</t>
  </si>
  <si>
    <t>雅博股份</t>
  </si>
  <si>
    <t>枣庄中院</t>
  </si>
  <si>
    <t>恒康医疗</t>
  </si>
  <si>
    <t>陇南中院</t>
  </si>
  <si>
    <t>ST 腾邦</t>
  </si>
  <si>
    <t>ST 拉夏</t>
  </si>
  <si>
    <t>ST 猛狮</t>
  </si>
  <si>
    <t>ST 中天</t>
  </si>
  <si>
    <t>ST 新光</t>
  </si>
  <si>
    <t>ST 众应</t>
  </si>
  <si>
    <t>转股后参考价</t>
  </si>
  <si>
    <t>如果股权登记日收盘价高于转赠股本平均价，则按参考价调整</t>
  </si>
  <si>
    <t>可参考花王的除权</t>
  </si>
  <si>
    <t>除权参考价</t>
  </si>
  <si>
    <t>股权登记日收盘价</t>
  </si>
  <si>
    <t>平均价</t>
  </si>
  <si>
    <t>股票抵债金额</t>
  </si>
  <si>
    <t>支付现金</t>
  </si>
  <si>
    <t>抵债消耗的股本数</t>
  </si>
  <si>
    <t>重整受让股本数</t>
  </si>
  <si>
    <t>转赠前总股本</t>
  </si>
  <si>
    <t>金刚</t>
  </si>
  <si>
    <t>交投</t>
  </si>
  <si>
    <t>三圣</t>
  </si>
  <si>
    <t>炼石</t>
  </si>
  <si>
    <t>张股</t>
  </si>
  <si>
    <t>美谷</t>
  </si>
  <si>
    <t>金额</t>
  </si>
  <si>
    <t>沪深300</t>
  </si>
  <si>
    <t>月份</t>
  </si>
  <si>
    <t>ST组合</t>
  </si>
  <si>
    <t>转债组合</t>
  </si>
  <si>
    <t>ST组合折算收益</t>
  </si>
  <si>
    <t>转债组合折算收益</t>
  </si>
  <si>
    <t>打新总收益</t>
  </si>
  <si>
    <t>超市策略总收益</t>
  </si>
  <si>
    <t>当月总计</t>
  </si>
  <si>
    <t>ST收益</t>
  </si>
  <si>
    <t>转债收益</t>
  </si>
  <si>
    <t>打新收益</t>
  </si>
  <si>
    <t>超市策略</t>
  </si>
  <si>
    <t>合计</t>
  </si>
  <si>
    <t>持仓不动收益</t>
  </si>
  <si>
    <t>差额</t>
  </si>
  <si>
    <t>雪大师初资产</t>
  </si>
  <si>
    <t>雪大师末资产</t>
  </si>
  <si>
    <t>雪大师实际</t>
  </si>
  <si>
    <t>雪大师不动</t>
  </si>
  <si>
    <t>羊哥初资产</t>
  </si>
  <si>
    <t>羊哥末资产</t>
  </si>
  <si>
    <t>羊哥实际</t>
  </si>
  <si>
    <t>羊哥不动</t>
  </si>
  <si>
    <t>柳药转债</t>
  </si>
  <si>
    <t>2025</t>
  </si>
  <si>
    <t>小狮子12支</t>
  </si>
  <si>
    <t>202509</t>
  </si>
  <si>
    <t>转债轮动20支</t>
  </si>
  <si>
    <t>202510</t>
  </si>
  <si>
    <t>万孚转债</t>
  </si>
  <si>
    <t>202511</t>
  </si>
  <si>
    <t>恒逸转债</t>
  </si>
  <si>
    <t>202512</t>
  </si>
  <si>
    <t>美锦转债</t>
  </si>
  <si>
    <t>2026</t>
  </si>
  <si>
    <t>鲁泰转债</t>
  </si>
  <si>
    <t>202601</t>
  </si>
  <si>
    <t>中国国航</t>
  </si>
  <si>
    <t>202602</t>
  </si>
  <si>
    <t>南航转债</t>
  </si>
  <si>
    <t>202603</t>
  </si>
  <si>
    <t>太阳纸业</t>
  </si>
  <si>
    <t>202604</t>
  </si>
  <si>
    <t>中国海油</t>
  </si>
  <si>
    <t>202605</t>
  </si>
  <si>
    <t>金煤科技</t>
  </si>
  <si>
    <t>202606</t>
  </si>
  <si>
    <t>恒逸石化</t>
  </si>
  <si>
    <t>202607</t>
  </si>
  <si>
    <t>宏达股份</t>
  </si>
  <si>
    <t>202608</t>
  </si>
  <si>
    <t>低波策略</t>
  </si>
  <si>
    <t>202609</t>
  </si>
  <si>
    <t>青岛港</t>
  </si>
  <si>
    <t>202610</t>
  </si>
  <si>
    <t>江阴银行</t>
  </si>
  <si>
    <t>豆粕ETF</t>
  </si>
  <si>
    <t>浙能电力</t>
  </si>
  <si>
    <t>神马电力</t>
  </si>
  <si>
    <t>剩饭策略</t>
  </si>
  <si>
    <t>云天化</t>
  </si>
  <si>
    <t>天齐锂业</t>
  </si>
  <si>
    <t>华虹公司</t>
  </si>
  <si>
    <t>苏轴股份</t>
  </si>
  <si>
    <t>认沽期权</t>
  </si>
  <si>
    <t>MO2603沽6900</t>
  </si>
  <si>
    <t>MO2603沽6200</t>
  </si>
  <si>
    <t>认购期权</t>
  </si>
  <si>
    <t>MO2603购8400</t>
  </si>
  <si>
    <t>溢价率</t>
  </si>
  <si>
    <t>强赎空间</t>
  </si>
  <si>
    <t>满足强赎天数</t>
  </si>
  <si>
    <t>市价</t>
  </si>
  <si>
    <t>证券代码</t>
  </si>
  <si>
    <t>证券名称</t>
  </si>
  <si>
    <t>到期价格</t>
  </si>
  <si>
    <t>到期收益率</t>
  </si>
  <si>
    <t>正股涨幅</t>
  </si>
  <si>
    <t>涨幅</t>
  </si>
  <si>
    <t>转股价格</t>
  </si>
  <si>
    <t>强赎价格</t>
  </si>
  <si>
    <t>正股价格</t>
  </si>
  <si>
    <t>下修价格</t>
  </si>
  <si>
    <t>到期日期</t>
  </si>
  <si>
    <t>余额</t>
  </si>
  <si>
    <t>下修倒计时</t>
  </si>
  <si>
    <t>强赎状态</t>
  </si>
  <si>
    <t>连续日</t>
  </si>
  <si>
    <t>重数</t>
  </si>
  <si>
    <t>三房转债</t>
  </si>
  <si>
    <t>闻泰转债</t>
  </si>
  <si>
    <t>镇洋转债</t>
  </si>
  <si>
    <t>天业转债</t>
  </si>
  <si>
    <t>天23转债</t>
  </si>
  <si>
    <t>晶能转债</t>
  </si>
  <si>
    <t>太能转债</t>
  </si>
  <si>
    <t>通裕转债</t>
  </si>
  <si>
    <t>金埔转债</t>
  </si>
  <si>
    <t>苏利转债</t>
  </si>
  <si>
    <t>花园转债</t>
  </si>
  <si>
    <t>汇通转债</t>
  </si>
  <si>
    <t>芳源转债</t>
  </si>
  <si>
    <t>垒知转债</t>
  </si>
  <si>
    <t>共同转债</t>
  </si>
  <si>
    <t>上声转债</t>
  </si>
  <si>
    <t>万讯转债</t>
  </si>
  <si>
    <t>晓鸣转债</t>
  </si>
  <si>
    <t>绿动转债</t>
  </si>
  <si>
    <t>申昊转债</t>
  </si>
  <si>
    <t>伟22转债</t>
  </si>
  <si>
    <t>东亚转债</t>
  </si>
  <si>
    <t>富瀚转债</t>
  </si>
  <si>
    <t>宝莱转债</t>
  </si>
  <si>
    <t>正川转债</t>
  </si>
  <si>
    <t>科顺转债</t>
  </si>
  <si>
    <t>力合转债</t>
  </si>
  <si>
    <t>小熊转债</t>
  </si>
  <si>
    <t>晶澳转债</t>
  </si>
  <si>
    <t>福22转债</t>
  </si>
  <si>
    <t>贵燃转债</t>
  </si>
  <si>
    <t>艾迪转债</t>
  </si>
  <si>
    <t>漱玉转债</t>
  </si>
  <si>
    <t>宇邦转债</t>
  </si>
  <si>
    <t>三角转债</t>
  </si>
  <si>
    <t>百润转债</t>
  </si>
  <si>
    <t>神马转债</t>
  </si>
  <si>
    <t>双良转债</t>
  </si>
  <si>
    <t>东宝转债</t>
  </si>
  <si>
    <t>百洋转债</t>
  </si>
  <si>
    <t>立昂转债</t>
  </si>
  <si>
    <t>瑞科转债</t>
  </si>
  <si>
    <t>丽岛转债</t>
  </si>
  <si>
    <t>永贵转债</t>
  </si>
  <si>
    <t>健帆转债</t>
  </si>
  <si>
    <t>国泰转债</t>
  </si>
  <si>
    <t>温氏转债</t>
  </si>
  <si>
    <t>金田转债</t>
  </si>
  <si>
    <t>立高转债</t>
  </si>
  <si>
    <t>康医转债</t>
  </si>
  <si>
    <t>裕兴转债</t>
  </si>
  <si>
    <t>百畅转债</t>
  </si>
  <si>
    <t>兴瑞转债</t>
  </si>
  <si>
    <t>泰福转债</t>
  </si>
  <si>
    <t>正元转02</t>
  </si>
  <si>
    <t>欧晶转债</t>
  </si>
  <si>
    <t>博俊转债</t>
  </si>
  <si>
    <t>亚科转债</t>
  </si>
  <si>
    <t>易瑞转债</t>
  </si>
  <si>
    <t>阳谷转债</t>
  </si>
  <si>
    <t>聚隆转债</t>
  </si>
  <si>
    <t>星球转债</t>
  </si>
  <si>
    <t>皖天转债</t>
  </si>
  <si>
    <t>广核转债</t>
  </si>
  <si>
    <t>泰瑞转债</t>
  </si>
  <si>
    <t>绿茵转债</t>
  </si>
  <si>
    <t>海顺转债</t>
  </si>
  <si>
    <t>永吉转债</t>
  </si>
  <si>
    <t>友发转债</t>
  </si>
  <si>
    <t>科利转债</t>
  </si>
  <si>
    <t>台21转债</t>
  </si>
  <si>
    <t>新乳转债</t>
  </si>
  <si>
    <t>卫宁转债</t>
  </si>
  <si>
    <t>转股零股模拟</t>
  </si>
  <si>
    <t>成本</t>
  </si>
  <si>
    <t>数量</t>
  </si>
  <si>
    <t>转债价格</t>
  </si>
  <si>
    <t>转股价</t>
  </si>
  <si>
    <t>现金退</t>
  </si>
  <si>
    <t>股数</t>
  </si>
  <si>
    <t>股价</t>
  </si>
  <si>
    <t>可得</t>
  </si>
  <si>
    <t>利润</t>
  </si>
  <si>
    <t>收益率</t>
  </si>
  <si>
    <t>溢价率变化模拟</t>
  </si>
  <si>
    <t>分红</t>
  </si>
  <si>
    <t>原溢价率</t>
  </si>
  <si>
    <t>新溢价率</t>
  </si>
  <si>
    <t>南京银行</t>
  </si>
  <si>
    <t>转股价&lt;股价时，分红后，转股价值提升，溢价率降低</t>
  </si>
  <si>
    <t>齐鲁转债</t>
  </si>
  <si>
    <t>增发股票后转股价调整公式，增发股票越多，增发价越低，转股价值提升幅度越大</t>
  </si>
  <si>
    <t>调整前转股价</t>
  </si>
  <si>
    <t>增发新股价</t>
  </si>
  <si>
    <t>原股本</t>
  </si>
  <si>
    <t>增发数量</t>
  </si>
  <si>
    <t>增发率</t>
  </si>
  <si>
    <t>新转股价</t>
  </si>
  <si>
    <t>新强赎价</t>
  </si>
  <si>
    <t>转股价变化率</t>
  </si>
  <si>
    <t>晨丰转债</t>
  </si>
  <si>
    <t>跟中辰的基本面差不多</t>
  </si>
  <si>
    <t>永东转2</t>
  </si>
  <si>
    <t>浦发转债</t>
  </si>
  <si>
    <t>汽零</t>
  </si>
  <si>
    <t>化工</t>
  </si>
  <si>
    <t>工程机械</t>
  </si>
  <si>
    <t>酒</t>
  </si>
  <si>
    <t>粮食</t>
  </si>
  <si>
    <t>消费</t>
  </si>
  <si>
    <t>旅游</t>
  </si>
  <si>
    <t>钢铁</t>
  </si>
  <si>
    <t>有色</t>
  </si>
  <si>
    <t>红利</t>
  </si>
  <si>
    <t>基建</t>
  </si>
  <si>
    <t>证券</t>
  </si>
  <si>
    <t>家电</t>
  </si>
  <si>
    <t>畜牧</t>
  </si>
  <si>
    <t>电网设备</t>
  </si>
  <si>
    <t>储能电池</t>
  </si>
  <si>
    <t>绿电</t>
  </si>
  <si>
    <t>医疗</t>
  </si>
  <si>
    <t>中药</t>
  </si>
  <si>
    <t>医药</t>
  </si>
  <si>
    <t>生物医药</t>
  </si>
  <si>
    <t>电力</t>
  </si>
  <si>
    <t>汽车</t>
  </si>
  <si>
    <t>软件</t>
  </si>
  <si>
    <t>游戏</t>
  </si>
  <si>
    <t>传媒</t>
  </si>
  <si>
    <t>上证</t>
  </si>
  <si>
    <t>深圳</t>
  </si>
  <si>
    <t>创业板</t>
  </si>
  <si>
    <t>北交所</t>
  </si>
  <si>
    <t>上证50</t>
  </si>
  <si>
    <t>中证500</t>
  </si>
  <si>
    <t>中证1000</t>
  </si>
  <si>
    <t>可转债等权</t>
  </si>
  <si>
    <t>ST</t>
  </si>
  <si>
    <t>融资板块</t>
  </si>
  <si>
    <t>铁哥</t>
  </si>
  <si>
    <t>羊哥</t>
  </si>
  <si>
    <t>雪哥</t>
  </si>
  <si>
    <t>光头哥</t>
  </si>
  <si>
    <t>中证1000超额</t>
  </si>
  <si>
    <t>2025年汇总</t>
  </si>
  <si>
    <t>2026年汇总</t>
  </si>
  <si>
    <t>&lt;-50%</t>
  </si>
  <si>
    <t>&lt;-40%</t>
  </si>
  <si>
    <t>&lt;-30%</t>
  </si>
  <si>
    <t>&lt;-20%</t>
  </si>
  <si>
    <t>&lt;0%</t>
  </si>
  <si>
    <t>&lt;20%</t>
  </si>
  <si>
    <t>&lt;50%</t>
  </si>
  <si>
    <t>&lt;100%</t>
  </si>
  <si>
    <t>&lt;200%</t>
  </si>
  <si>
    <t>&lt;500%</t>
  </si>
  <si>
    <t>&lt;1000%</t>
  </si>
  <si>
    <t>&lt;10000%</t>
  </si>
  <si>
    <t>总股票数</t>
  </si>
  <si>
    <t>下跌20%比例</t>
  </si>
  <si>
    <t>下跌比例</t>
  </si>
  <si>
    <t>涨超100比例</t>
  </si>
  <si>
    <t>微盘收益</t>
  </si>
  <si>
    <t>微盘β</t>
  </si>
  <si>
    <t>微盘α</t>
  </si>
  <si>
    <t>平均市值</t>
  </si>
  <si>
    <t>年份2</t>
  </si>
  <si>
    <t>涨超500</t>
  </si>
  <si>
    <t>牛市统计</t>
  </si>
  <si>
    <t>2020牛</t>
  </si>
  <si>
    <t>2025牛</t>
  </si>
  <si>
    <t>之前数据可能不准</t>
  </si>
  <si>
    <t>指数</t>
  </si>
  <si>
    <t>涨跌</t>
  </si>
  <si>
    <t>温度</t>
  </si>
  <si>
    <t>平均价格</t>
  </si>
  <si>
    <t>价格中位数</t>
  </si>
  <si>
    <t>转股价值中位数</t>
  </si>
  <si>
    <t>平均双低</t>
  </si>
  <si>
    <t>平均溢价率</t>
  </si>
  <si>
    <t>溢价率中位数</t>
  </si>
  <si>
    <t>平均收益率</t>
  </si>
  <si>
    <t>成交额</t>
  </si>
  <si>
    <t>剩余规模</t>
  </si>
  <si>
    <t>换手率</t>
  </si>
  <si>
    <t>&lt;90</t>
  </si>
  <si>
    <t>90-100</t>
  </si>
  <si>
    <t>100-110</t>
  </si>
  <si>
    <t>110-120</t>
  </si>
  <si>
    <t>120-130</t>
  </si>
  <si>
    <t>&gt;=130</t>
  </si>
  <si>
    <t>1 ↓ -2.87%</t>
  </si>
  <si>
    <t>0</t>
  </si>
  <si>
    <t>13 ↑ +0.31%</t>
  </si>
  <si>
    <t>52 ↑ +0.44%</t>
  </si>
  <si>
    <t>88 ↑ +0.26%</t>
  </si>
  <si>
    <t>156 ↓ -1.10%</t>
  </si>
  <si>
    <t>1 ↑ +1.43%</t>
  </si>
  <si>
    <t>1 ↑ +1.14%</t>
  </si>
  <si>
    <t>13 ↑ +0.03%</t>
  </si>
  <si>
    <t>56 ↑ +0.19%</t>
  </si>
  <si>
    <t>87 ↑ +0.40%</t>
  </si>
  <si>
    <t>152 ↓ -0.05%</t>
  </si>
  <si>
    <t>1 ↑ +0.95%</t>
  </si>
  <si>
    <t>1 ↓ -1.80%</t>
  </si>
  <si>
    <t>12 ↓ -0.38%</t>
  </si>
  <si>
    <t>61 ↑ +0.00%</t>
  </si>
  <si>
    <t>86 ↓ -0.03%</t>
  </si>
  <si>
    <t>150 ↓ -1.03%</t>
  </si>
  <si>
    <t>1 ↑ +0.90%</t>
  </si>
  <si>
    <t>11 ↑ +0.68%</t>
  </si>
  <si>
    <t>65 ↓ -0.81%</t>
  </si>
  <si>
    <t>82 ↓ -0.86%</t>
  </si>
  <si>
    <t>152 ↓ -2.28%</t>
  </si>
  <si>
    <t>1 ↓ -0.01%</t>
  </si>
  <si>
    <t>1 ↓ -0.60%</t>
  </si>
  <si>
    <t>10 ↓ -0.36%</t>
  </si>
  <si>
    <t>57 ↓ -0.50%</t>
  </si>
  <si>
    <t>80 ↓ -0.76%</t>
  </si>
  <si>
    <t>161 ↓ -0.32%</t>
  </si>
  <si>
    <t>1 ↓ -0.52%</t>
  </si>
  <si>
    <t>1 ↓ -1.13%</t>
  </si>
  <si>
    <t>9 ↓ -0.01%</t>
  </si>
  <si>
    <t>54 ↓ -0.53%</t>
  </si>
  <si>
    <t>77 ↓ -0.39%</t>
  </si>
  <si>
    <t>168 ↓ -0.48%</t>
  </si>
  <si>
    <t>1 ↑ +0.93%</t>
  </si>
  <si>
    <t>1 ↑ +2.22%</t>
  </si>
  <si>
    <t>9 ↑ +0.01%</t>
  </si>
  <si>
    <t>48 ↓ -0.06%</t>
  </si>
  <si>
    <t>79 ↑ +0.20%</t>
  </si>
  <si>
    <t>172 ↑ +0.47%</t>
  </si>
  <si>
    <t>1 ↑ +0.12%</t>
  </si>
  <si>
    <t>1 ↑ +4.21%</t>
  </si>
  <si>
    <t>8 ↓ -0.03%</t>
  </si>
  <si>
    <t>49 ↑ +0.09%</t>
  </si>
  <si>
    <t>80 ↑ +0.34%</t>
  </si>
  <si>
    <t>171 ↑ +1.36%</t>
  </si>
  <si>
    <t>2 ↓ -0.34%</t>
  </si>
  <si>
    <t>7 ↓ -0.28%</t>
  </si>
  <si>
    <t>52 ↓ -0.25%</t>
  </si>
  <si>
    <t>82 ↓ -0.13%</t>
  </si>
  <si>
    <t>167 ↑ +0.05%</t>
  </si>
  <si>
    <t>2 ↑ +0.08%</t>
  </si>
  <si>
    <t>7 ↓ -0.05%</t>
  </si>
  <si>
    <t>48 ↑ +0.06%</t>
  </si>
  <si>
    <t>86 ↑ +0.33%</t>
  </si>
  <si>
    <t>167 ↑ +1.42%</t>
  </si>
  <si>
    <t>2 ↓ -0.23%</t>
  </si>
  <si>
    <t>6 ↓ -0.06%</t>
  </si>
  <si>
    <t>51 ↓ -0.46%</t>
  </si>
  <si>
    <t>86 ↓ -0.54%</t>
  </si>
  <si>
    <t>165 ↓ -0.62%</t>
  </si>
  <si>
    <t>2 ↑ +1.38%</t>
  </si>
  <si>
    <t>6 ↓ -0.11%</t>
  </si>
  <si>
    <t>49 ↑ +0.32%</t>
  </si>
  <si>
    <t>84 ↑ +0.70%</t>
  </si>
  <si>
    <t>169 ↑ +0.84%</t>
  </si>
  <si>
    <t>2 ↓ -0.07%</t>
  </si>
  <si>
    <t>6 ↓ -0.03%</t>
  </si>
  <si>
    <t>56 ↓ -0.16%</t>
  </si>
  <si>
    <t>83 ↓ -0.26%</t>
  </si>
  <si>
    <t>164 ↓ -0.51%</t>
  </si>
  <si>
    <t>2 ↑ +0.03%</t>
  </si>
  <si>
    <t>6 ↓ -0.26%</t>
  </si>
  <si>
    <t>53 ↓ -0.52%</t>
  </si>
  <si>
    <t>85 ↓ -0.70%</t>
  </si>
  <si>
    <t>164 ↓ -0.90%</t>
  </si>
  <si>
    <t>2 ↑ +0.23%</t>
  </si>
  <si>
    <t>6 ↓ -0.22%</t>
  </si>
  <si>
    <t>49 ↓ -0.51%</t>
  </si>
  <si>
    <t>82 ↓ -0.68%</t>
  </si>
  <si>
    <t>170 ↓ -0.89%</t>
  </si>
  <si>
    <t>2 ↑ +0.50%</t>
  </si>
  <si>
    <t>5 ↓ -0.20%</t>
  </si>
  <si>
    <t>43 ↓ -0.01%</t>
  </si>
  <si>
    <t>85 ↑ +0.13%</t>
  </si>
  <si>
    <t>174 ↓ -0.46%</t>
  </si>
  <si>
    <t>2 ↑ +1.50%</t>
  </si>
  <si>
    <t>5 ↓ -0.01%</t>
  </si>
  <si>
    <t>45 ↓ -0.11%</t>
  </si>
  <si>
    <t>84 ↓ -0.15%</t>
  </si>
  <si>
    <t>173 ↑ +1.46%</t>
  </si>
  <si>
    <t>2 ↑ +0.43%</t>
  </si>
  <si>
    <t>5 ↑ +0.13%</t>
  </si>
  <si>
    <t>44 ↑ +0.08%</t>
  </si>
  <si>
    <t>83 ↓ -0.08%</t>
  </si>
  <si>
    <t>174 ↓ -0.82%</t>
  </si>
  <si>
    <t>2 ↑ +1.67%</t>
  </si>
  <si>
    <t>5 ↓ -0.06%</t>
  </si>
  <si>
    <t>43 ↓ -0.32%</t>
  </si>
  <si>
    <t>81 ↓ -0.50%</t>
  </si>
  <si>
    <t>178 ↓ -0.96%</t>
  </si>
  <si>
    <t>2 ↓ -1.38%</t>
  </si>
  <si>
    <t>5 ↓ -0.02%</t>
  </si>
  <si>
    <t>40 ↓ -0.20%</t>
  </si>
  <si>
    <t>80 ↓ -0.39%</t>
  </si>
  <si>
    <t>181 ↓ -1.27%</t>
  </si>
  <si>
    <t>2 ↑ +1.03%</t>
  </si>
  <si>
    <t>5 ↓ -0.19%</t>
  </si>
  <si>
    <t>38 ↑ +0.03%</t>
  </si>
  <si>
    <t>78 ↓ -0.16%</t>
  </si>
  <si>
    <t>185 ↓ -0.71%</t>
  </si>
  <si>
    <t>2 ↓ -0.66%</t>
  </si>
  <si>
    <t>5 ↓ -0.29%</t>
  </si>
  <si>
    <t>37 ↓ -0.63%</t>
  </si>
  <si>
    <t>78 ↓ -0.45%</t>
  </si>
  <si>
    <t>187 ↑ +0.21%</t>
  </si>
  <si>
    <t>2 ↑ +0.71%</t>
  </si>
  <si>
    <t>5 ↑ +0.45%</t>
  </si>
  <si>
    <t>36 ↓ -0.12%</t>
  </si>
  <si>
    <t>76 ↓ -0.09%</t>
  </si>
  <si>
    <t>191 ↓ -0.27%</t>
  </si>
  <si>
    <t>2 ↑ +2.24%</t>
  </si>
  <si>
    <t>5 ↑ +0.03%</t>
  </si>
  <si>
    <t>36 ↑ +0.13%</t>
  </si>
  <si>
    <t>73 ↑ +0.13%</t>
  </si>
  <si>
    <t>194 ↑ +1.27%</t>
  </si>
  <si>
    <t>2 ↑ +1.47%</t>
  </si>
  <si>
    <t>6 ↓ -0.13%</t>
  </si>
  <si>
    <t>36 ↑ +0.12%</t>
  </si>
  <si>
    <t>77 ↑ +0.32%</t>
  </si>
  <si>
    <t>189 ↑ +0.28%</t>
  </si>
  <si>
    <t>2 ↑ +0.61%</t>
  </si>
  <si>
    <t>6 ↑ +0.65%</t>
  </si>
  <si>
    <t>36 ↑ +0.26%</t>
  </si>
  <si>
    <t>79 ↑ +0.74%</t>
  </si>
  <si>
    <t>187 ↑ +1.32%</t>
  </si>
  <si>
    <t>2 ↓ -1.90%</t>
  </si>
  <si>
    <t>6 ↑ +0.03%</t>
  </si>
  <si>
    <t>39 ↓ -0.15%</t>
  </si>
  <si>
    <t>84 ↓ -0.19%</t>
  </si>
  <si>
    <t>179 ↓ -0.56%</t>
  </si>
  <si>
    <t>2 ↑ +0.23%</t>
  </si>
  <si>
    <t>6 ↓ -0.02%</t>
  </si>
  <si>
    <t>37 ↓ -0.21%</t>
  </si>
  <si>
    <t>83 ↓ -0.22%</t>
  </si>
  <si>
    <t>182 ↑ +0.05%</t>
  </si>
  <si>
    <t>2 ↑ +0.92%</t>
  </si>
  <si>
    <t>6 ↑ +0.02%</t>
  </si>
  <si>
    <t>35 ↑ +0.03%</t>
  </si>
  <si>
    <t>82 ↑ +0.20%</t>
  </si>
  <si>
    <t>185 ↓ -0.04%</t>
  </si>
  <si>
    <t>2 ↓ -0.81%</t>
  </si>
  <si>
    <t>7 ↓ -0.17%</t>
  </si>
  <si>
    <t>37 ↓ -0.16%</t>
  </si>
  <si>
    <t>85 ↓ -0.81%</t>
  </si>
  <si>
    <t>178 ↓ -2.21%</t>
  </si>
  <si>
    <t>2 ↓ -0.36%</t>
  </si>
  <si>
    <t>8 ↓ -0.08%</t>
  </si>
  <si>
    <t>36 ↓ -0.24%</t>
  </si>
  <si>
    <t>74 ↓ -0.23%</t>
  </si>
  <si>
    <t>188 ↓ -0.62%</t>
  </si>
  <si>
    <t>2 ↑ +0.86%</t>
  </si>
  <si>
    <t>8 ↓ -0.02%</t>
  </si>
  <si>
    <t>33 ↑ +0.17%</t>
  </si>
  <si>
    <t>76 ↑ +0.53%</t>
  </si>
  <si>
    <t>188 ↑ +1.54%</t>
  </si>
  <si>
    <t>2 ↓ -0.29%</t>
  </si>
  <si>
    <t>9 ↑ +0.04%</t>
  </si>
  <si>
    <t>36 ↓ -0.31%</t>
  </si>
  <si>
    <t>80 ↓ -0.09%</t>
  </si>
  <si>
    <t>181 ↓ -0.02%</t>
  </si>
  <si>
    <t>2 ↓ -1.35%</t>
  </si>
  <si>
    <t>9 ↑ +0.03%</t>
  </si>
  <si>
    <t>34 ↓ -0.71%</t>
  </si>
  <si>
    <t>81 ↓ -0.92%</t>
  </si>
  <si>
    <t>179 ↓ -1.50%</t>
  </si>
  <si>
    <t>2 ↓ -0.23%</t>
  </si>
  <si>
    <t>9 ↓ -0.11%</t>
  </si>
  <si>
    <t>26 ↓ -0.42%</t>
  </si>
  <si>
    <t>77 ↓ -0.39%</t>
  </si>
  <si>
    <t>190 ↓ -0.33%</t>
  </si>
  <si>
    <t>2 ↓ -0.44%</t>
  </si>
  <si>
    <t>8 ↑ +0.17%</t>
  </si>
  <si>
    <t>26 ↓ -0.50%</t>
  </si>
  <si>
    <t>75 ↓ -0.27%</t>
  </si>
  <si>
    <t>193 ↓ -0.88%</t>
  </si>
  <si>
    <t>8 ↓ -0.09%</t>
  </si>
  <si>
    <t>23 ↓ -0.16%</t>
  </si>
  <si>
    <t>77 ↓ -0.20%</t>
  </si>
  <si>
    <t>194 ↓ -0.19%</t>
  </si>
  <si>
    <t>2 ↓ -1.26%</t>
  </si>
  <si>
    <t>8 ↓ -0.14%</t>
  </si>
  <si>
    <t>24 ↓ -0.03%</t>
  </si>
  <si>
    <t>72 ↓ -0.31%</t>
  </si>
  <si>
    <t>198 ↑ +0.15%</t>
  </si>
  <si>
    <t>2 ↓ -1.04%</t>
  </si>
  <si>
    <t>8 ↓ -0.16%</t>
  </si>
  <si>
    <t>24 ↓ -0.37%</t>
  </si>
  <si>
    <t>70 ↓ -0.40%</t>
  </si>
  <si>
    <t>200 ↓ -0.08%</t>
  </si>
  <si>
    <t>2 ↑ +2.17%</t>
  </si>
  <si>
    <t>7 ↓ -0.08%</t>
  </si>
  <si>
    <t>26 ↓ -0.12%</t>
  </si>
  <si>
    <t>68 ↑ +0.01%</t>
  </si>
  <si>
    <t>200 ↑ +1.71%</t>
  </si>
  <si>
    <t>2 ↓ -1.36%</t>
  </si>
  <si>
    <t>27 ↓ -0.39%</t>
  </si>
  <si>
    <t>71 ↑ +0.36%</t>
  </si>
  <si>
    <t>196 ↑ +1.89%</t>
  </si>
  <si>
    <t>2 ↑ +1.96%</t>
  </si>
  <si>
    <t>6 ↑ +0.14%</t>
  </si>
  <si>
    <t>24 ↓ -0.71%</t>
  </si>
  <si>
    <t>77 ↑ +0.09%</t>
  </si>
  <si>
    <t>193 ↓ -0.31%</t>
  </si>
  <si>
    <t>2 ↑ +0.24%</t>
  </si>
  <si>
    <t>6 ↓ -0.10%</t>
  </si>
  <si>
    <t>23 ↑ +0.10%</t>
  </si>
  <si>
    <t>82 ↑ +0.34%</t>
  </si>
  <si>
    <t>189 ↑ +2.03%</t>
  </si>
  <si>
    <t>2 ↓ -0.98%</t>
  </si>
  <si>
    <t>6 ↓ -0.41%</t>
  </si>
  <si>
    <t>23 ↓ -0.10%</t>
  </si>
  <si>
    <t>88 ↓ -0.27%</t>
  </si>
  <si>
    <t>183 ↓ -0.73%</t>
  </si>
  <si>
    <t>2 ↓ -1.50%</t>
  </si>
  <si>
    <t>5 ↑ +0.07%</t>
  </si>
  <si>
    <t>23 ↑ +0.21%</t>
  </si>
  <si>
    <t>88 ↑ +0.83%</t>
  </si>
  <si>
    <t>184 ↑ +1.25%</t>
  </si>
  <si>
    <t>2 ↓ -1.92%</t>
  </si>
  <si>
    <t>5 ↓ -0.28%</t>
  </si>
  <si>
    <t>27 ↓ -0.26%</t>
  </si>
  <si>
    <t>92 ↓ -0.44%</t>
  </si>
  <si>
    <t>176 ↓ -2.00%</t>
  </si>
  <si>
    <t>2 ↓ -0.64%</t>
  </si>
  <si>
    <t>5 ↑ +0.22%</t>
  </si>
  <si>
    <t>26 ↑ +0.45%</t>
  </si>
  <si>
    <t>93 ↑ +0.89%</t>
  </si>
  <si>
    <t>178 ↑ +2.34%</t>
  </si>
  <si>
    <t>2 ↓ -2.06%</t>
  </si>
  <si>
    <t>5 ↓ -0.52%</t>
  </si>
  <si>
    <t>31 ↓ -0.57%</t>
  </si>
  <si>
    <t>100 ↓ -0.66%</t>
  </si>
  <si>
    <t>168 ↓ -0.79%</t>
  </si>
  <si>
    <t>2 ↑ +3.26%</t>
  </si>
  <si>
    <t>5 ↑ +0.28%</t>
  </si>
  <si>
    <t>28 ↓ -0.17%</t>
  </si>
  <si>
    <t>94 ↑ +0.44%</t>
  </si>
  <si>
    <t>178 ↑ +0.71%</t>
  </si>
  <si>
    <t>2 ↓ -0.32%</t>
  </si>
  <si>
    <t>6 ↑ +0.06%</t>
  </si>
  <si>
    <t>31 ↓ -0.00%</t>
  </si>
  <si>
    <t>95 ↑ +0.07%</t>
  </si>
  <si>
    <t>174 ↓ -1.00%</t>
  </si>
  <si>
    <t>2 ↑ +0.28%</t>
  </si>
  <si>
    <t>7 ↑ +0.58%</t>
  </si>
  <si>
    <t>28 ↑ +0.14%</t>
  </si>
  <si>
    <t>97 ↑ +0.44%</t>
  </si>
  <si>
    <t>175 ↑ +2.88%</t>
  </si>
  <si>
    <t>2 ↓ -0.91%</t>
  </si>
  <si>
    <t>9 ↑ +0.05%</t>
  </si>
  <si>
    <t>34 ↓ -0.81%</t>
  </si>
  <si>
    <t>93 ↑ +0.52%</t>
  </si>
  <si>
    <t>173 ↓ -0.90%</t>
  </si>
  <si>
    <t>2 ↓ -1.78%</t>
  </si>
  <si>
    <t>11 ↑ +0.21%</t>
  </si>
  <si>
    <t>34 ↓ -0.29%</t>
  </si>
  <si>
    <t>98 ↓ -0.55%</t>
  </si>
  <si>
    <t>165 ↓ -1.82%</t>
  </si>
  <si>
    <t>2 ↑ +1.33%</t>
  </si>
  <si>
    <t>1 ↑ +0.04%</t>
  </si>
  <si>
    <t>11 ↓ -0.78%</t>
  </si>
  <si>
    <t>30 ↓ -0.29%</t>
  </si>
  <si>
    <t>93 ↑ +0.10%</t>
  </si>
  <si>
    <t>172 ↓ -0.81%</t>
  </si>
  <si>
    <t>2 ↑ +1.42%</t>
  </si>
  <si>
    <t>1 ↑ +1.85%</t>
  </si>
  <si>
    <t>10 ↓ -0.86%</t>
  </si>
  <si>
    <t>31 ↑ +0.15%</t>
  </si>
  <si>
    <t>93 ↑ +0.32%</t>
  </si>
  <si>
    <t>170 ↓ -0.68%</t>
  </si>
  <si>
    <t>1 ↑ +1.35%</t>
  </si>
  <si>
    <t>8 ↑ +0.27%</t>
  </si>
  <si>
    <t>35 ↑ +0.40%</t>
  </si>
  <si>
    <t>95 ↑ +1.06%</t>
  </si>
  <si>
    <t>165 ↑ +1.68%</t>
  </si>
  <si>
    <t>2 ↓ -1.31%</t>
  </si>
  <si>
    <t>1 ↓ -0.64%</t>
  </si>
  <si>
    <t>9 ↓ -0.14%</t>
  </si>
  <si>
    <t>45 ↓ -0.66%</t>
  </si>
  <si>
    <t>99 ↓ -0.89%</t>
  </si>
  <si>
    <t>151 ↓ -2.75%</t>
  </si>
  <si>
    <t>1 ↑ +3.85%</t>
  </si>
  <si>
    <t>2 ↑ +2.16%</t>
  </si>
  <si>
    <t>8 ↑ +0.38%</t>
  </si>
  <si>
    <t>39 ↑ +0.12%</t>
  </si>
  <si>
    <t>91 ↑ +0.39%</t>
  </si>
  <si>
    <t>163 ↓ -0.50%</t>
  </si>
  <si>
    <t>2 ↓ -1.06%</t>
  </si>
  <si>
    <t>1 ↓ -0.09%</t>
  </si>
  <si>
    <t>9 ↑ +0.69%</t>
  </si>
  <si>
    <t>42 ↓ -0.20%</t>
  </si>
  <si>
    <t>96 ↓ -0.11%</t>
  </si>
  <si>
    <t>154 ↑ +1.44%</t>
  </si>
  <si>
    <t>2 ↑ +1.30%</t>
  </si>
  <si>
    <t>1 ↑ +0.51%</t>
  </si>
  <si>
    <t>9 ↑ +0.45%</t>
  </si>
  <si>
    <t>39 ↑ +0.09%</t>
  </si>
  <si>
    <t>97 ↑ +0.05%</t>
  </si>
  <si>
    <t>156 ↓ -1.14%</t>
  </si>
  <si>
    <t>3 ↓ -4.06%</t>
  </si>
  <si>
    <t>2 ↑ +0.01%</t>
  </si>
  <si>
    <t>8 ↓ -0.21%</t>
  </si>
  <si>
    <t>46 ↓ -0.64%</t>
  </si>
  <si>
    <t>89 ↓ -0.78%</t>
  </si>
  <si>
    <t>156 ↓ -1.34%</t>
  </si>
  <si>
    <t>3 ↑ +6.43%</t>
  </si>
  <si>
    <t>2 ↑ +0.04%</t>
  </si>
  <si>
    <t>8 ↑ +0.52%</t>
  </si>
  <si>
    <t>38 ↑ +0.37%</t>
  </si>
  <si>
    <t>87 ↓ -0.03%</t>
  </si>
  <si>
    <t>166 ↓ -0.31%</t>
  </si>
  <si>
    <t>2 ↑ +2.52%</t>
  </si>
  <si>
    <t>3 ↑ +2.53%</t>
  </si>
  <si>
    <t>8 ↑ +0.55%</t>
  </si>
  <si>
    <t>41 ↑ +0.57%</t>
  </si>
  <si>
    <t>82 ↑ +1.08%</t>
  </si>
  <si>
    <t>169 ↑ +0.73%</t>
  </si>
  <si>
    <t>2 ↑ +2.38%</t>
  </si>
  <si>
    <t>4 ↓ -0.42%</t>
  </si>
  <si>
    <t>8 ↓ -0.18%</t>
  </si>
  <si>
    <t>52 ↑ +0.13%</t>
  </si>
  <si>
    <t>84 ↑ +0.21%</t>
  </si>
  <si>
    <t>156 ↓ -0.75%</t>
  </si>
  <si>
    <t>2 ↑ +0.59%</t>
  </si>
  <si>
    <t>4 ↑ +1.98%</t>
  </si>
  <si>
    <t>8 ↑ +0.04%</t>
  </si>
  <si>
    <t>57 ↑ +0.83%</t>
  </si>
  <si>
    <t>84 ↑ +1.04%</t>
  </si>
  <si>
    <t>152 ↑ +0.69%</t>
  </si>
  <si>
    <t>2 ↑ +2.85%</t>
  </si>
  <si>
    <t>4 ↓ -0.55%</t>
  </si>
  <si>
    <t>10 ↑ +0.06%</t>
  </si>
  <si>
    <t>65 ↓ -0.03%</t>
  </si>
  <si>
    <t>76 ↑ +0.63%</t>
  </si>
  <si>
    <t>150 ↑ +3.23%</t>
  </si>
  <si>
    <t>3 ↑ +3.46%</t>
  </si>
  <si>
    <t>3 ↑ +3.59%</t>
  </si>
  <si>
    <t>10 ↓ -0.35%</t>
  </si>
  <si>
    <t>64 ↓ -0.26%</t>
  </si>
  <si>
    <t>86 ↓ -0.25%</t>
  </si>
  <si>
    <t>141 ↓ -0.08%</t>
  </si>
  <si>
    <t>4 ↓ -0.94%</t>
  </si>
  <si>
    <t>2 ↑ +0.57%</t>
  </si>
  <si>
    <t>10 ↓ -0.70%</t>
  </si>
  <si>
    <t>59 ↓ -0.52%</t>
  </si>
  <si>
    <t>91 ↓ -0.97%</t>
  </si>
  <si>
    <t>140 ↓ -1.40%</t>
  </si>
  <si>
    <t>5 ↓ -5.27%</t>
  </si>
  <si>
    <t>1 ↓ -3.25%</t>
  </si>
  <si>
    <t>9 ↓ -0.16%</t>
  </si>
  <si>
    <t>53 ↓ -0.84%</t>
  </si>
  <si>
    <t>89 ↓ -1.06%</t>
  </si>
  <si>
    <t>150 ↓ -1.11%</t>
  </si>
  <si>
    <t>4 ↓ -3.04%</t>
  </si>
  <si>
    <t>2 ↓ -2.20%</t>
  </si>
  <si>
    <t>9 ↓ -0.10%</t>
  </si>
  <si>
    <t>44 ↓ -0.52%</t>
  </si>
  <si>
    <t>90 ↓ -0.75%</t>
  </si>
  <si>
    <t>158 ↑ +0.88%</t>
  </si>
  <si>
    <t>2 ↑ +1.74%</t>
  </si>
  <si>
    <t>3 ↓ -0.33%</t>
  </si>
  <si>
    <t>10 ↓ -0.26%</t>
  </si>
  <si>
    <t>41 ↓ -0.27%</t>
  </si>
  <si>
    <t>85 ↓ -0.10%</t>
  </si>
  <si>
    <t>167 ↓ -1.24%</t>
  </si>
  <si>
    <t>2 ↓ -3.73%</t>
  </si>
  <si>
    <t>3 ↓ -1.06%</t>
  </si>
  <si>
    <t>10 ↓ -0.42%</t>
  </si>
  <si>
    <t>38 ↑ +0.13%</t>
  </si>
  <si>
    <t>84 ↓ -0.15%</t>
  </si>
  <si>
    <t>171 ↑ +0.06%</t>
  </si>
  <si>
    <t>2 ↓ -5.67%</t>
  </si>
  <si>
    <t>3 ↓ -0.27%</t>
  </si>
  <si>
    <t>10 ↓ -0.79%</t>
  </si>
  <si>
    <t>39 ↓ -0.58%</t>
  </si>
  <si>
    <t>83 ↓ -1.01%</t>
  </si>
  <si>
    <t>171 ↓ -0.64%</t>
  </si>
  <si>
    <t>2 ↑ +4.01%</t>
  </si>
  <si>
    <t>3 ↑ +1.93%</t>
  </si>
  <si>
    <t>38 ↓ -0.56%</t>
  </si>
  <si>
    <t>78 ↓ -0.79%</t>
  </si>
  <si>
    <t>180 ↓ -0.33%</t>
  </si>
  <si>
    <t>3 ↑ +3.52%</t>
  </si>
  <si>
    <t>2 ↑ +0.09%</t>
  </si>
  <si>
    <t>9 ↑ +0.16%</t>
  </si>
  <si>
    <t>73 ↑ +0.20%</t>
  </si>
  <si>
    <t>194 ↑ +1.15%</t>
  </si>
  <si>
    <t>3 ↑ +1.68%</t>
  </si>
  <si>
    <t>2 ↓ -0.10%</t>
  </si>
  <si>
    <t>8 ↓ -0.40%</t>
  </si>
  <si>
    <t>32 ↑ +0.23%</t>
  </si>
  <si>
    <t>72 ↑ +0.50%</t>
  </si>
  <si>
    <t>194 ↑ +2.70%</t>
  </si>
  <si>
    <t>3 ↑ +1.56%</t>
  </si>
  <si>
    <t>2 ↑ +0.66%</t>
  </si>
  <si>
    <t>8 ↑ +0.20%</t>
  </si>
  <si>
    <t>36 ↑ +0.25%</t>
  </si>
  <si>
    <t>77 ↑ +0.78%</t>
  </si>
  <si>
    <t>185 ↑ +1.19%</t>
  </si>
  <si>
    <t>3 ↓ -1.10%</t>
  </si>
  <si>
    <t>2 ↑ +0.13%</t>
  </si>
  <si>
    <t>9 ↓ -0.05%</t>
  </si>
  <si>
    <t>41 ↑ +0.04%</t>
  </si>
  <si>
    <t>86 ↓ -0.00%</t>
  </si>
  <si>
    <t>172 ↑ +0.40%</t>
  </si>
  <si>
    <t>3 ↓ -0.97%</t>
  </si>
  <si>
    <t>2 ↓ -0.95%</t>
  </si>
  <si>
    <t>9 ↓ -0.18%</t>
  </si>
  <si>
    <t>41 ↓ -1.02%</t>
  </si>
  <si>
    <t>85 ↓ -0.99%</t>
  </si>
  <si>
    <t>175 ↓ -1.91%</t>
  </si>
  <si>
    <t>4 ↓ -0.44%</t>
  </si>
  <si>
    <t>1 ↓ -0.69%</t>
  </si>
  <si>
    <t>8 ↓ -0.05%</t>
  </si>
  <si>
    <t>35 ↓ -0.12%</t>
  </si>
  <si>
    <t>74 ↑ +0.39%</t>
  </si>
  <si>
    <t>195 ↑ +2.32%</t>
  </si>
  <si>
    <t>3 ↓ -0.47%</t>
  </si>
  <si>
    <t>2 ↓ -1.09%</t>
  </si>
  <si>
    <t>9 ↓ -0.53%</t>
  </si>
  <si>
    <t>38 ↓ -0.31%</t>
  </si>
  <si>
    <t>80 ↓ -0.44%</t>
  </si>
  <si>
    <t>185 ↓ -1.68%</t>
  </si>
  <si>
    <t>3 ↓ -0.48%</t>
  </si>
  <si>
    <t>2 ↓ -0.22%</t>
  </si>
  <si>
    <t>7 ↑ +0.07%</t>
  </si>
  <si>
    <t>40 ↓ -0.04%</t>
  </si>
  <si>
    <t>70 ↑ +0.37%</t>
  </si>
  <si>
    <t>195 ↓ -0.59%</t>
  </si>
  <si>
    <t>3 ↓ -1.86%</t>
  </si>
  <si>
    <t>2 ↓ -0.37%</t>
  </si>
  <si>
    <t>8 ↓ -0.19%</t>
  </si>
  <si>
    <t>37 ↓ -0.56%</t>
  </si>
  <si>
    <t>74 ↓ -0.85%</t>
  </si>
  <si>
    <t>195 ↓ -0.48%</t>
  </si>
  <si>
    <t>2 ↓ -0.83%</t>
  </si>
  <si>
    <t>3 ↓ -1.66%</t>
  </si>
  <si>
    <t>7 ↓ -0.13%</t>
  </si>
  <si>
    <t>33 ↓ -0.21%</t>
  </si>
  <si>
    <t>70 ↓ -0.34%</t>
  </si>
  <si>
    <t>204 ↓ -0.27%</t>
  </si>
  <si>
    <t>2 ↑ +1.10%</t>
  </si>
  <si>
    <t>3 ↑ +1.83%</t>
  </si>
  <si>
    <t>6 ↓ -0.24%</t>
  </si>
  <si>
    <t>32 ↓ -0.46%</t>
  </si>
  <si>
    <t>70 ↓ -0.18%</t>
  </si>
  <si>
    <t>206 ↑ +0.71%</t>
  </si>
  <si>
    <t>2 ↑ +5.39%</t>
  </si>
  <si>
    <t>3 ↑ +4.20%</t>
  </si>
  <si>
    <t>30 ↑ +0.54%</t>
  </si>
  <si>
    <t>73 ↑ +0.99%</t>
  </si>
  <si>
    <t>206 ↑ +0.84%</t>
  </si>
  <si>
    <t>3 ↑ +3.18%</t>
  </si>
  <si>
    <t>2 ↑ +1.12%</t>
  </si>
  <si>
    <t>6 ↑ +0.01%</t>
  </si>
  <si>
    <t>38 ↓ -0.25%</t>
  </si>
  <si>
    <t>77 ↓ -0.79%</t>
  </si>
  <si>
    <t>194 ↓ -2.35%</t>
  </si>
  <si>
    <t>4 ↑ +4.87%</t>
  </si>
  <si>
    <t>1 ↑ +1.17%</t>
  </si>
  <si>
    <t>6 ↓ -0.01%</t>
  </si>
  <si>
    <t>37 ↑ +0.20%</t>
  </si>
  <si>
    <t>68 ↑ +0.32%</t>
  </si>
  <si>
    <t>206 ↑ +1.44%</t>
  </si>
  <si>
    <t>4 ↓ -1.54%</t>
  </si>
  <si>
    <t>1 ↓ -2.44%</t>
  </si>
  <si>
    <t>36 ↓ -0.70%</t>
  </si>
  <si>
    <t>77 ↓ -0.98%</t>
  </si>
  <si>
    <t>199 ↓ -1.19%</t>
  </si>
  <si>
    <t>3 ↓ -2.98%</t>
  </si>
  <si>
    <t>2 ↓ -1.65%</t>
  </si>
  <si>
    <t>30 ↓ -0.47%</t>
  </si>
  <si>
    <t>75 ↓ -0.94%</t>
  </si>
  <si>
    <t>208 ↓ -0.58%</t>
  </si>
  <si>
    <t>3 ↓ -3.64%</t>
  </si>
  <si>
    <t>2 ↑ +1.72%</t>
  </si>
  <si>
    <t>28 ↓ -0.20%</t>
  </si>
  <si>
    <t>64 ↓ -0.49%</t>
  </si>
  <si>
    <t>224 ↑ +0.47%</t>
  </si>
  <si>
    <t>4 ↑ +0.12%</t>
  </si>
  <si>
    <t>8 ↑ +0.12%</t>
  </si>
  <si>
    <t>27 ↓ -0.24%</t>
  </si>
  <si>
    <t>62 ↓ -0.18%</t>
  </si>
  <si>
    <t>228 ↑ +1.20%</t>
  </si>
  <si>
    <t>4 ↓ -2.23%</t>
  </si>
  <si>
    <t>1 ↓ -0.88%</t>
  </si>
  <si>
    <t>7 ↓ -0.02%</t>
  </si>
  <si>
    <t>26 ↓ -0.79%</t>
  </si>
  <si>
    <t>65 ↓ -0.95%</t>
  </si>
  <si>
    <t>226 ↓ -1.63%</t>
  </si>
  <si>
    <t>4 ↓ -0.12%</t>
  </si>
  <si>
    <t>8 ↑ +0.05%</t>
  </si>
  <si>
    <t>22 ↓ -0.73%</t>
  </si>
  <si>
    <t>59 ↓ -0.39%</t>
  </si>
  <si>
    <t>236 ↓ -0.34%</t>
  </si>
  <si>
    <t>4 ↑ +2.98%</t>
  </si>
  <si>
    <t>1 ↓ -0.80%</t>
  </si>
  <si>
    <t>7 ↑ +0.04%</t>
  </si>
  <si>
    <t>20 ↑ +0.51%</t>
  </si>
  <si>
    <t>58 ↑ +1.18%</t>
  </si>
  <si>
    <t>238 ↑ +2.13%</t>
  </si>
  <si>
    <t>4 ↓ -3.97%</t>
  </si>
  <si>
    <t>9 ↑ +0.06%</t>
  </si>
  <si>
    <t>23 ↓ -0.58%</t>
  </si>
  <si>
    <t>64 ↓ -0.55%</t>
  </si>
  <si>
    <t>230 ↑ +0.37%</t>
  </si>
  <si>
    <t>4 ↓ -1.79%</t>
  </si>
  <si>
    <t>1 ↓ -1.64%</t>
  </si>
  <si>
    <t>7 ↑ +0.01%</t>
  </si>
  <si>
    <t>21 ↓ -0.34%</t>
  </si>
  <si>
    <t>64 ↓ -0.56%</t>
  </si>
  <si>
    <t>233 ↓ -0.54%</t>
  </si>
  <si>
    <t>4 ↓ -0.32%</t>
  </si>
  <si>
    <t>19 ↓ -0.99%</t>
  </si>
  <si>
    <t>56 ↓ -1.31%</t>
  </si>
  <si>
    <t>244 ↓ -1.58%</t>
  </si>
  <si>
    <t>4 ↑ +1.67%</t>
  </si>
  <si>
    <t>8 ↓ -0.03%</t>
  </si>
  <si>
    <t>15 ↓ -0.58%</t>
  </si>
  <si>
    <t>47 ↓ -0.13%</t>
  </si>
  <si>
    <t>257 ↑ +0.75%</t>
  </si>
  <si>
    <t>4 ↓ -3.38%</t>
  </si>
  <si>
    <t>8 ↓ -0.32%</t>
  </si>
  <si>
    <t>14 ↓ -0.65%</t>
  </si>
  <si>
    <t>51 ↓ -0.93%</t>
  </si>
  <si>
    <t>255 ↓ -1.55%</t>
  </si>
  <si>
    <t>4 ↓ -0.84%</t>
  </si>
  <si>
    <t>14 ↑ +0.02%</t>
  </si>
  <si>
    <t>41 ↑ +0.22%</t>
  </si>
  <si>
    <t>263 ↑ +0.65%</t>
  </si>
  <si>
    <t>4 ↑ +2.14%</t>
  </si>
  <si>
    <t>8 ↑ +0.77%</t>
  </si>
  <si>
    <t>12 ↓ -0.01%</t>
  </si>
  <si>
    <t>50 ↓ -0.21%</t>
  </si>
  <si>
    <t>256 ↑ +0.38%</t>
  </si>
  <si>
    <t>4 ↑ +2.81%</t>
  </si>
  <si>
    <t>1 ↓ -7.66%</t>
  </si>
  <si>
    <t>7 ↓ -0.01%</t>
  </si>
  <si>
    <t>11 ↑ +0.15%</t>
  </si>
  <si>
    <t>50 ↑ +0.07%</t>
  </si>
  <si>
    <t>258 ↑ +0.85%</t>
  </si>
  <si>
    <t>3 ↓ -11.20%</t>
  </si>
  <si>
    <t>1 ↑ +2.62%</t>
  </si>
  <si>
    <t>8 ↓ -1.00%</t>
  </si>
  <si>
    <t>13 ↑ +0.24%</t>
  </si>
  <si>
    <t>50 ↑ +0.67%</t>
  </si>
  <si>
    <t>256 ↑ +2.09%</t>
  </si>
  <si>
    <t>2 ↓ -12.63%</t>
  </si>
  <si>
    <t>14 ↓ -0.45%</t>
  </si>
  <si>
    <t>58 ↓ -0.39%</t>
  </si>
  <si>
    <t>249 ↑ +0.08%</t>
  </si>
  <si>
    <t>1 ↓ -4.43%</t>
  </si>
  <si>
    <t>1 ↓ -0.68%</t>
  </si>
  <si>
    <t>13 ↓ -0.02%</t>
  </si>
  <si>
    <t>62 ↑ +0.52%</t>
  </si>
  <si>
    <t>247 ↑ +1.14%</t>
  </si>
  <si>
    <t>1 ↓ -3.27%</t>
  </si>
  <si>
    <t>2 ↓ -1.51%</t>
  </si>
  <si>
    <t>8 ↓ -0.10%</t>
  </si>
  <si>
    <t>14 ↓ -0.34%</t>
  </si>
  <si>
    <t>66 ↓ -0.35%</t>
  </si>
  <si>
    <t>242 ↓ -1.26%</t>
  </si>
  <si>
    <t>3 ↑ +1.18%</t>
  </si>
  <si>
    <t>8 ↓ -0.11%</t>
  </si>
  <si>
    <t>14 ↓ -0.14%</t>
  </si>
  <si>
    <t>62 ↓ -0.01%</t>
  </si>
  <si>
    <t>247 ↑ +0.82%</t>
  </si>
  <si>
    <t>1 ↑ +0.81%</t>
  </si>
  <si>
    <t>2 ↓ -0.55%</t>
  </si>
  <si>
    <t>8 ↑ +0.41%</t>
  </si>
  <si>
    <t>14 ↓ -0.08%</t>
  </si>
  <si>
    <t>64 ↓ -0.28%</t>
  </si>
  <si>
    <t>245 ↓ -0.53%</t>
  </si>
  <si>
    <t>1 ↓ -3.20%</t>
  </si>
  <si>
    <t>2 ↓ -0.62%</t>
  </si>
  <si>
    <t>14 ↓ -0.17%</t>
  </si>
  <si>
    <t>63 ↓ -0.35%</t>
  </si>
  <si>
    <t>248 ↓ -0.80%</t>
  </si>
  <si>
    <t>3 ↑ +0.25%</t>
  </si>
  <si>
    <t>7 ↑ +0.05%</t>
  </si>
  <si>
    <t>15 ↓ -0.37%</t>
  </si>
  <si>
    <t>56 ↑ +0.13%</t>
  </si>
  <si>
    <t>255 ↑ +1.03%</t>
  </si>
  <si>
    <t>3 ↓ -3.11%</t>
  </si>
  <si>
    <t>13 ↓ -0.28%</t>
  </si>
  <si>
    <t>64 ↓ -0.16%</t>
  </si>
  <si>
    <t>248 ↓ -0.40%</t>
  </si>
  <si>
    <t>3 ↓ -1.01%</t>
  </si>
  <si>
    <t>13 ↓ -0.16%</t>
  </si>
  <si>
    <t>62 ↑ +0.04%</t>
  </si>
  <si>
    <t>253 ↑ +0.44%</t>
  </si>
  <si>
    <t>3 ↓ -3.39%</t>
  </si>
  <si>
    <t>12 ↓ -0.13%</t>
  </si>
  <si>
    <t>63 ↑ +0.23%</t>
  </si>
  <si>
    <t>253 ↑ +0.37%</t>
  </si>
  <si>
    <t>1 ↑ +8.18%</t>
  </si>
  <si>
    <t>11 ↓ -0.34%</t>
  </si>
  <si>
    <t>12 ↑ +0.40%</t>
  </si>
  <si>
    <t>64 ↑ +0.62%</t>
  </si>
  <si>
    <t>251 ↑ +2.04%</t>
  </si>
  <si>
    <t>1 ↑ +0.18%</t>
  </si>
  <si>
    <t>10 ↓ -0.16%</t>
  </si>
  <si>
    <t>13 ↓ -0.09%</t>
  </si>
  <si>
    <t>71 ↓ -0.08%</t>
  </si>
  <si>
    <t>244 ↑ +0.37%</t>
  </si>
  <si>
    <t>1 ↑ +0.94%</t>
  </si>
  <si>
    <t>10 ↓ -0.20%</t>
  </si>
  <si>
    <t>13 ↑ +0.21%</t>
  </si>
  <si>
    <t>71 ↑ +0.54%</t>
  </si>
  <si>
    <t>243 ↑ +1.25%</t>
  </si>
  <si>
    <t>1 ↓ -0.75%</t>
  </si>
  <si>
    <t>10 ↓ -0.34%</t>
  </si>
  <si>
    <t>13 ↓ -0.42%</t>
  </si>
  <si>
    <t>79 ↓ -0.39%</t>
  </si>
  <si>
    <t>235 ↓ -0.65%</t>
  </si>
  <si>
    <t>1 ↓ -0.53%</t>
  </si>
  <si>
    <t>9 ↓ -0.13%</t>
  </si>
  <si>
    <t>13 ↓ -0.34%</t>
  </si>
  <si>
    <t>76 ↓ -0.13%</t>
  </si>
  <si>
    <t>240 ↓ -0.11%</t>
  </si>
  <si>
    <t>1 ↓ -2.22%</t>
  </si>
  <si>
    <t>10 ↓ -0.61%</t>
  </si>
  <si>
    <t>14 ↓ -0.41%</t>
  </si>
  <si>
    <t>74 ↓ -0.54%</t>
  </si>
  <si>
    <t>241 ↓ -0.22%</t>
  </si>
  <si>
    <t>1 ↑ +0.84%</t>
  </si>
  <si>
    <t>10 ↑ +0.81%</t>
  </si>
  <si>
    <t>13 ↑ +0.80%</t>
  </si>
  <si>
    <t>69 ↑ +1.93%</t>
  </si>
  <si>
    <t>247 ↑ +4.04%</t>
  </si>
  <si>
    <t>1 ↑ +2.54%</t>
  </si>
  <si>
    <t>9 ↑ +1.06%</t>
  </si>
  <si>
    <t>18 ↑ +0.33%</t>
  </si>
  <si>
    <t>84 ↑ +0.48%</t>
  </si>
  <si>
    <t>227 ↑ +0.62%</t>
  </si>
  <si>
    <t>1 ↑ +1.02%</t>
  </si>
  <si>
    <t>1 ↓ -0.77%</t>
  </si>
  <si>
    <t>9 ↓ -0.35%</t>
  </si>
  <si>
    <t>20 ↓ -0.48%</t>
  </si>
  <si>
    <t>90 ↓ -0.01%</t>
  </si>
  <si>
    <t>222 ↑ +0.38%</t>
  </si>
  <si>
    <t>2 ↓ -12.32%</t>
  </si>
  <si>
    <t>1 ↓ -6.99%</t>
  </si>
  <si>
    <t>9 ↓ -0.68%</t>
  </si>
  <si>
    <t>21 ↓ -0.51%</t>
  </si>
  <si>
    <t>93 ↓ -0.82%</t>
  </si>
  <si>
    <t>219 ↓ -1.83%</t>
  </si>
  <si>
    <t>1 ↑ +0.52%</t>
  </si>
  <si>
    <t>11 ↑ +0.67%</t>
  </si>
  <si>
    <t>18 ↑ +0.81%</t>
  </si>
  <si>
    <t>82 ↑ +1.59%</t>
  </si>
  <si>
    <t>236 ↑ +2.64%</t>
  </si>
  <si>
    <t>2 ↓ -5.33%</t>
  </si>
  <si>
    <t>11 ↓ -0.90%</t>
  </si>
  <si>
    <t>27 ↓ -0.53%</t>
  </si>
  <si>
    <t>99 ↓ -0.67%</t>
  </si>
  <si>
    <t>210 ↓ -1.93%</t>
  </si>
  <si>
    <t>2 ↓ -4.09%</t>
  </si>
  <si>
    <t>11 ↓ -0.38%</t>
  </si>
  <si>
    <t>23 ↓ -0.61%</t>
  </si>
  <si>
    <t>94 ↓ -0.91%</t>
  </si>
  <si>
    <t>218 ↓ -0.84%</t>
  </si>
  <si>
    <t>12 ↓ -0.08%</t>
  </si>
  <si>
    <t>20 ↑ +0.12%</t>
  </si>
  <si>
    <t>84 ↑ +0.36%</t>
  </si>
  <si>
    <t>233 ↑ +0.95%</t>
  </si>
  <si>
    <t>13 ↓ -0.91%</t>
  </si>
  <si>
    <t>22 ↓ -0.88%</t>
  </si>
  <si>
    <t>89 ↓ -1.08%</t>
  </si>
  <si>
    <t>226 ↓ -1.92%</t>
  </si>
  <si>
    <t>13 ↑ +0.04%</t>
  </si>
  <si>
    <t>20 ↑ +0.71%</t>
  </si>
  <si>
    <t>79 ↑ +0.87%</t>
  </si>
  <si>
    <t>241 ↑ +1.35%</t>
  </si>
  <si>
    <t>13 ↑ +0.43%</t>
  </si>
  <si>
    <t>24 ↑ +0.66%</t>
  </si>
  <si>
    <t>83 ↑ +1.94%</t>
  </si>
  <si>
    <t>234 ↑ +3.38%</t>
  </si>
  <si>
    <t>1 ↓ -3.00%</t>
  </si>
  <si>
    <t>14 ↓ -1.53%</t>
  </si>
  <si>
    <t>34 ↓ -0.98%</t>
  </si>
  <si>
    <t>104 ↓ -1.25%</t>
  </si>
  <si>
    <t>203 ↓ -1.60%</t>
  </si>
  <si>
    <t>11 ↓ -1.26%</t>
  </si>
  <si>
    <t>29 ↓ -1.05%</t>
  </si>
  <si>
    <t>92 ↓ -0.94%</t>
  </si>
  <si>
    <t>223 ↓ -1.01%</t>
  </si>
  <si>
    <t>11 ↓ -0.70%</t>
  </si>
  <si>
    <t>25 ↓ -1.91%</t>
  </si>
  <si>
    <t>84 ↓ -1.29%</t>
  </si>
  <si>
    <t>238 ↓ -2.34%</t>
  </si>
  <si>
    <t>10 ↓ -0.04%</t>
  </si>
  <si>
    <t>16 ↑ +0.08%</t>
  </si>
  <si>
    <t>80 ↑ +0.54%</t>
  </si>
  <si>
    <t>253 ↑ +1.85%</t>
  </si>
  <si>
    <t>19 ↓ -0.65%</t>
  </si>
  <si>
    <t>86 ↓ -1.44%</t>
  </si>
  <si>
    <t>247 ↓ -2.33%</t>
  </si>
  <si>
    <t>10 ↑ +0.27%</t>
  </si>
  <si>
    <t>16 ↓ -0.19%</t>
  </si>
  <si>
    <t>75 ↓ -0.32%</t>
  </si>
  <si>
    <t>259 ↓ -0.05%</t>
  </si>
  <si>
    <t>10 ↓ -0.07%</t>
  </si>
  <si>
    <t>13 ↓ -0.71%</t>
  </si>
  <si>
    <t>72 ↓ -0.55%</t>
  </si>
  <si>
    <t>265 ↓ -1.53%</t>
  </si>
  <si>
    <t>10 ↓ -0.06%</t>
  </si>
  <si>
    <t>12 ↓ -0.28%</t>
  </si>
  <si>
    <t>65 ↓ -0.75%</t>
  </si>
  <si>
    <t>272 ↓ -1.72%</t>
  </si>
  <si>
    <t>11 ↑ +0.08%</t>
  </si>
  <si>
    <t>14 ↓ -0.18%</t>
  </si>
  <si>
    <t>52 ↑ +0.02%</t>
  </si>
  <si>
    <t>284 ↑ +0.06%</t>
  </si>
  <si>
    <t>11 ↓ -0.35%</t>
  </si>
  <si>
    <t>14 ↑ +0.31%</t>
  </si>
  <si>
    <t>56 ↑ +0.58%</t>
  </si>
  <si>
    <t>279 ↑ +1.46%</t>
  </si>
  <si>
    <t>15 ↑ +0.24%</t>
  </si>
  <si>
    <t>59 ↓ -0.47%</t>
  </si>
  <si>
    <t>276 ↓ -0.46%</t>
  </si>
  <si>
    <t>14 ↑ +0.10%</t>
  </si>
  <si>
    <t>63 ↑ +0.59%</t>
  </si>
  <si>
    <t>275 ↑ +0.36%</t>
  </si>
  <si>
    <t>11 ↑ +0.01%</t>
  </si>
  <si>
    <t>17 ↓ -0.08%</t>
  </si>
  <si>
    <t>66 ↓ -0.03%</t>
  </si>
  <si>
    <t>270 ↑ +0.04%</t>
  </si>
  <si>
    <t>11 ↓ -0.14%</t>
  </si>
  <si>
    <t>17 ↓ -0.65%</t>
  </si>
  <si>
    <t>68 ↓ -0.35%</t>
  </si>
  <si>
    <t>268 ↓ -0.16%</t>
  </si>
  <si>
    <t>11 ↓ -1.18%</t>
  </si>
  <si>
    <t>16 ↓ -1.23%</t>
  </si>
  <si>
    <t>63 ↓ -1.12%</t>
  </si>
  <si>
    <t>275 ↓ -2.69%</t>
  </si>
  <si>
    <t>8 ↓ -0.04%</t>
  </si>
  <si>
    <t>15 ↓ -0.51%</t>
  </si>
  <si>
    <t>57 ↓ -0.46%</t>
  </si>
  <si>
    <t>288 ↓ -0.40%</t>
  </si>
  <si>
    <t>14 ↑ +0.27%</t>
  </si>
  <si>
    <t>55 ↑ +0.09%</t>
  </si>
  <si>
    <t>292 ↓ -0.27%</t>
  </si>
  <si>
    <t>7 ↓ -0.66%</t>
  </si>
  <si>
    <t>14 ↓ -1.27%</t>
  </si>
  <si>
    <t>59 ↓ -0.83%</t>
  </si>
  <si>
    <t>289 ↓ -1.04%</t>
  </si>
  <si>
    <t>6 ↓ -0.07%</t>
  </si>
  <si>
    <t>12 ↑ +0.14%</t>
  </si>
  <si>
    <t>46 ↑ +0.01%</t>
  </si>
  <si>
    <t>305 ↑ +0.28%</t>
  </si>
  <si>
    <t>13 ↓ -0.81%</t>
  </si>
  <si>
    <t>53 ↑ +0.56%</t>
  </si>
  <si>
    <t>298 ↑ +1.18%</t>
  </si>
  <si>
    <t>6 ↑ +0.07%</t>
  </si>
  <si>
    <t>70 ↓ -0.28%</t>
  </si>
  <si>
    <t>282 ↓ -0.71%</t>
  </si>
  <si>
    <t>7 ↓ -0.07%</t>
  </si>
  <si>
    <t>12 ↓ -0.33%</t>
  </si>
  <si>
    <t>62 ↓ -0.27%</t>
  </si>
  <si>
    <t>289 ↑ +0.63%</t>
  </si>
  <si>
    <t>11 ↑ +0.37%</t>
  </si>
  <si>
    <t>57 ↑ +0.08%</t>
  </si>
  <si>
    <t>294 ↑ +0.04%</t>
  </si>
  <si>
    <t>6 ↓ -0.09%</t>
  </si>
  <si>
    <t>61 ↑ +0.04%</t>
  </si>
  <si>
    <t>290 ↓ -0.04%</t>
  </si>
  <si>
    <t>8 ↑ +0.16%</t>
  </si>
  <si>
    <t>12 ↑ +0.59%</t>
  </si>
  <si>
    <t>61 ↑ +0.84%</t>
  </si>
  <si>
    <t>292 ↑ +1.67%</t>
  </si>
  <si>
    <t>15 ↑ +0.21%</t>
  </si>
  <si>
    <t>66 ↑ +0.37%</t>
  </si>
  <si>
    <t>284 ↑ +1.16%</t>
  </si>
  <si>
    <t>9 ↓ -0.21%</t>
  </si>
  <si>
    <t>15 ↓ -0.41%</t>
  </si>
  <si>
    <t>70 ↓ -0.44%</t>
  </si>
  <si>
    <t>279 ↓ -0.96%</t>
  </si>
  <si>
    <t>8 ↑ +0.13%</t>
  </si>
  <si>
    <t>13 ↓ -0.08%</t>
  </si>
  <si>
    <t>65 ↑ +0.35%</t>
  </si>
  <si>
    <t>287 ↓ -0.67%</t>
  </si>
  <si>
    <t>9 ↑ +0.42%</t>
  </si>
  <si>
    <t>14 ↑ +0.41%</t>
  </si>
  <si>
    <t>70 ↑ +1.35%</t>
  </si>
  <si>
    <t>280 ↑ +3.58%</t>
  </si>
  <si>
    <t>9 ↓ -0.64%</t>
  </si>
  <si>
    <t>17 ↓ -2.63%</t>
  </si>
  <si>
    <t>87 ↓ -1.55%</t>
  </si>
  <si>
    <t>263 ↓ -2.96%</t>
  </si>
  <si>
    <t>8 ↓ -0.26%</t>
  </si>
  <si>
    <t>11 ↓ -0.55%</t>
  </si>
  <si>
    <t>75 ↓ -1.03%</t>
  </si>
  <si>
    <t>280 ↓ -1.91%</t>
  </si>
  <si>
    <t>13 ↓ -0.30%</t>
  </si>
  <si>
    <t>62 ↓ -0.22%</t>
  </si>
  <si>
    <t>293 ↓ -0.83%</t>
  </si>
  <si>
    <t>12 ↑ +0.55%</t>
  </si>
  <si>
    <t>60 ↑ +0.65%</t>
  </si>
  <si>
    <t>295 ↑ +0.64%</t>
  </si>
  <si>
    <t>12 ↓ -1.15%</t>
  </si>
  <si>
    <t>69 ↓ -0.10%</t>
  </si>
  <si>
    <t>287 ↑ +0.45%</t>
  </si>
  <si>
    <t>5 ↓ -0.31%</t>
  </si>
  <si>
    <t>14 ↓ -0.58%</t>
  </si>
  <si>
    <t>66 ↓ -0.61%</t>
  </si>
  <si>
    <t>289 ↓ -1.75%</t>
  </si>
  <si>
    <t>11 ↑ +0.39%</t>
  </si>
  <si>
    <t>59 ↑ +0.74%</t>
  </si>
  <si>
    <t>301 ↑ +1.31%</t>
  </si>
  <si>
    <t>7 ↑ +0.25%</t>
  </si>
  <si>
    <t>10 ↑ +0.40%</t>
  </si>
  <si>
    <t>68 ↑ +0.81%</t>
  </si>
  <si>
    <t>292 ↑ +1.19%</t>
  </si>
  <si>
    <t>7 ↑ +0.08%</t>
  </si>
  <si>
    <t>76 ↑ +0.38%</t>
  </si>
  <si>
    <t>281 ↑ +1.64%</t>
  </si>
  <si>
    <t>7 ↓ -0.19%</t>
  </si>
  <si>
    <t>13 ↑ +0.07%</t>
  </si>
  <si>
    <t>80 ↑ +0.01%</t>
  </si>
  <si>
    <t>277 ↓ -1.25%</t>
  </si>
  <si>
    <t>7 ↓ -0.04%</t>
  </si>
  <si>
    <t>13 ↑ +0.36%</t>
  </si>
  <si>
    <t>79 ↑ +0.40%</t>
  </si>
  <si>
    <t>279 ↑ +0.67%</t>
  </si>
  <si>
    <t>18 ↓ -0.46%</t>
  </si>
  <si>
    <t>78 ↑ +0.09%</t>
  </si>
  <si>
    <t>276 ↑ +0.97%</t>
  </si>
  <si>
    <t>6 ↓ -0.15%</t>
  </si>
  <si>
    <t>15 ↓ -0.15%</t>
  </si>
  <si>
    <t>85 ↑ +0.06%</t>
  </si>
  <si>
    <t>273 ↑ +0.16%</t>
  </si>
  <si>
    <t>5 ↑ +0.02%</t>
  </si>
  <si>
    <t>18 ↓ -0.09%</t>
  </si>
  <si>
    <t>85 ↑ +0.02%</t>
  </si>
  <si>
    <t>270 ↑ +0.49%</t>
  </si>
  <si>
    <t>5 ↓ -0.21%</t>
  </si>
  <si>
    <t>17 ↓ -0.77%</t>
  </si>
  <si>
    <t>87 ↓ -0.92%</t>
  </si>
  <si>
    <t>270 ↓ -1.47%</t>
  </si>
  <si>
    <t>6 ↑ +0.25%</t>
  </si>
  <si>
    <t>14 ↑ +0.46%</t>
  </si>
  <si>
    <t>82 ↑ +0.65%</t>
  </si>
  <si>
    <t>278 ↑ +2.12%</t>
  </si>
  <si>
    <t>7 ↑ +0.21%</t>
  </si>
  <si>
    <t>14 ↑ +0.50%</t>
  </si>
  <si>
    <t>89 ↑ +0.51%</t>
  </si>
  <si>
    <t>270 ↑ +1.39%</t>
  </si>
  <si>
    <t>8 ↑ +0.09%</t>
  </si>
  <si>
    <t>17 ↑ +0.14%</t>
  </si>
  <si>
    <t>91 ↑ +0.16%</t>
  </si>
  <si>
    <t>264 ↑ +0.94%</t>
  </si>
  <si>
    <t>9 ↓ -0.24%</t>
  </si>
  <si>
    <t>16 ↓ -0.07%</t>
  </si>
  <si>
    <t>96 ↑ +0.09%</t>
  </si>
  <si>
    <t>259 ↑ +0.73%</t>
  </si>
  <si>
    <t>8 ↑ +0.50%</t>
  </si>
  <si>
    <t>19 ↑ +0.78%</t>
  </si>
  <si>
    <t>92 ↑ +0.96%</t>
  </si>
  <si>
    <t>262 ↑ +1.58%</t>
  </si>
  <si>
    <t>8 ↑ +0.46%</t>
  </si>
  <si>
    <t>27 ↑ +0.69%</t>
  </si>
  <si>
    <t>98 ↑ +0.98%</t>
  </si>
  <si>
    <t>248 ↑ +2.02%</t>
  </si>
  <si>
    <t>32 ↑ +0.18%</t>
  </si>
  <si>
    <t>108 ↑ +0.19%</t>
  </si>
  <si>
    <t>230 ↑ +0.22%</t>
  </si>
  <si>
    <t>36 ↓ -0.06%</t>
  </si>
  <si>
    <t>107 ↑ +0.04%</t>
  </si>
  <si>
    <t>227 ↑ +0.29%</t>
  </si>
  <si>
    <t>9 ↓ -0.19%</t>
  </si>
  <si>
    <t>35 ↓ -0.33%</t>
  </si>
  <si>
    <t>112 ↓ -0.36%</t>
  </si>
  <si>
    <t>224 ↓ -0.36%</t>
  </si>
  <si>
    <t>10 ↓ -0.01%</t>
  </si>
  <si>
    <t>30 ↑ +0.03%</t>
  </si>
  <si>
    <t>111 ↑ +0.00%</t>
  </si>
  <si>
    <t>229 ↓ -0.38%</t>
  </si>
  <si>
    <t>11 ↑ +0.54%</t>
  </si>
  <si>
    <t>29 ↑ +0.31%</t>
  </si>
  <si>
    <t>107 ↑ +0.39%</t>
  </si>
  <si>
    <t>233 ↑ +1.38%</t>
  </si>
  <si>
    <t>11 ↑ +0.29%</t>
  </si>
  <si>
    <t>33 ↑ +0.08%</t>
  </si>
  <si>
    <t>109 ↑ +0.45%</t>
  </si>
  <si>
    <t>226 ↑ +1.47%</t>
  </si>
  <si>
    <t>11 ↓ -0.31%</t>
  </si>
  <si>
    <t>33 ↓ -0.40%</t>
  </si>
  <si>
    <t>122 ↓ -0.44%</t>
  </si>
  <si>
    <t>213 ↓ -0.38%</t>
  </si>
  <si>
    <t>11 ↑ +0.09%</t>
  </si>
  <si>
    <t>34 ↓ -0.03%</t>
  </si>
  <si>
    <t>117 ↑ +0.24%</t>
  </si>
  <si>
    <t>219 ↑ +0.95%</t>
  </si>
  <si>
    <t>35 ↑ +0.30%</t>
  </si>
  <si>
    <t>123 ↑ +0.41%</t>
  </si>
  <si>
    <t>213 ↑ +0.60%</t>
  </si>
  <si>
    <t>1 ↑ +1.76%</t>
  </si>
  <si>
    <t>10 ↑ +0.33%</t>
  </si>
  <si>
    <t>124 ↑ +0.24%</t>
  </si>
  <si>
    <t>208 ↑ +0.34%</t>
  </si>
  <si>
    <t>1 ↓ -0.47%</t>
  </si>
  <si>
    <t>11 ↓ -0.04%</t>
  </si>
  <si>
    <t>40 ↑ +0.22%</t>
  </si>
  <si>
    <t>131 ↑ +0.51%</t>
  </si>
  <si>
    <t>202 ↑ +1.42%</t>
  </si>
  <si>
    <t>1 ↓ -2.75%</t>
  </si>
  <si>
    <t>12 ↓ -0.57%</t>
  </si>
  <si>
    <t>43 ↓ -0.34%</t>
  </si>
  <si>
    <t>139 ↓ -0.57%</t>
  </si>
  <si>
    <t>192 ↓ -1.24%</t>
  </si>
  <si>
    <t>40 ↓ -0.15%</t>
  </si>
  <si>
    <t>131 ↓ -0.09%</t>
  </si>
  <si>
    <t>206 ↓ -0.32%</t>
  </si>
  <si>
    <t>11 ↓ -0.48%</t>
  </si>
  <si>
    <t>44 ↓ -0.15%</t>
  </si>
  <si>
    <t>128 ↓ -0.01%</t>
  </si>
  <si>
    <t>205 ↑ +0.77%</t>
  </si>
  <si>
    <t>9 ↓ -0.80%</t>
  </si>
  <si>
    <t>47 ↓ -0.48%</t>
  </si>
  <si>
    <t>128 ↓ -0.52%</t>
  </si>
  <si>
    <t>205 ↓ -0.60%</t>
  </si>
  <si>
    <t>44 ↑ +0.20%</t>
  </si>
  <si>
    <t>123 ↑ +0.23%</t>
  </si>
  <si>
    <t>214 ↑ +0.54%</t>
  </si>
  <si>
    <t>8 ↓ -0.39%</t>
  </si>
  <si>
    <t>48 ↓ -0.44%</t>
  </si>
  <si>
    <t>128 ↓ -0.43%</t>
  </si>
  <si>
    <t>208 ↓ -0.93%</t>
  </si>
  <si>
    <t>8 ↓ -0.31%</t>
  </si>
  <si>
    <t>43 ↑ +0.02%</t>
  </si>
  <si>
    <t>127 ↑ +0.12%</t>
  </si>
  <si>
    <t>217 ↑ +1.06%</t>
  </si>
  <si>
    <t>8 ↑ +0.25%</t>
  </si>
  <si>
    <t>45 ↑ +0.65%</t>
  </si>
  <si>
    <t>125 ↑ +0.87%</t>
  </si>
  <si>
    <t>217 ↑ +1.43%</t>
  </si>
  <si>
    <t>8 ↓ -0.24%</t>
  </si>
  <si>
    <t>55 ↓ -0.30%</t>
  </si>
  <si>
    <t>132 ↓ -0.31%</t>
  </si>
  <si>
    <t>200 ↓ -0.04%</t>
  </si>
  <si>
    <t>53 ↓ -0.21%</t>
  </si>
  <si>
    <t>130 ↓ -0.09%</t>
  </si>
  <si>
    <t>204 ↓ -0.34%</t>
  </si>
  <si>
    <t>49 ↓ -0.25%</t>
  </si>
  <si>
    <t>132 ↓ -0.40%</t>
  </si>
  <si>
    <t>206 ↓ -0.80%</t>
  </si>
  <si>
    <t>8 ↑ +0.02%</t>
  </si>
  <si>
    <t>45 ↑ +0.11%</t>
  </si>
  <si>
    <t>126 ↑ +0.03%</t>
  </si>
  <si>
    <t>216 ↑ +0.09%</t>
  </si>
  <si>
    <t>47 ↑ +0.39%</t>
  </si>
  <si>
    <t>125 ↑ +0.60%</t>
  </si>
  <si>
    <t>214 ↑ +1.05%</t>
  </si>
  <si>
    <t>55 ↓ -0.43%</t>
  </si>
  <si>
    <t>127 ↓ -0.43%</t>
  </si>
  <si>
    <t>205 ↓ -0.58%</t>
  </si>
  <si>
    <t>44 ↓ -0.57%</t>
  </si>
  <si>
    <t>129 ↓ -0.69%</t>
  </si>
  <si>
    <t>214 ↓ -1.11%</t>
  </si>
  <si>
    <t>9 ↑ +0.20%</t>
  </si>
  <si>
    <t>125 ↑ +0.14%</t>
  </si>
  <si>
    <t>227 ↑ +0.43%</t>
  </si>
  <si>
    <t>9 ↓ -0.37%</t>
  </si>
  <si>
    <t>128 ↑ +0.14%</t>
  </si>
  <si>
    <t>220 ↑ +1.07%</t>
  </si>
  <si>
    <t>9 ↓ -0.81%</t>
  </si>
  <si>
    <t>33 ↓ -0.84%</t>
  </si>
  <si>
    <t>140 ↓ -0.80%</t>
  </si>
  <si>
    <t>215 ↓ -1.50%</t>
  </si>
  <si>
    <t>8 ↓ -0.15%</t>
  </si>
  <si>
    <t>31 ↓ -0.10%</t>
  </si>
  <si>
    <t>126 ↓ -0.07%</t>
  </si>
  <si>
    <t>233 ↓ -0.26%</t>
  </si>
  <si>
    <t>7 ↓ -0.11%</t>
  </si>
  <si>
    <t>31 ↑ +0.03%</t>
  </si>
  <si>
    <t>129 ↑ +0.14%</t>
  </si>
  <si>
    <t>231 ↑ +0.09%</t>
  </si>
  <si>
    <t>7 ↓ -0.06%</t>
  </si>
  <si>
    <t>32 ↓ -0.86%</t>
  </si>
  <si>
    <t>129 ↓ -0.32%</t>
  </si>
  <si>
    <t>230 ↓ -0.62%</t>
  </si>
  <si>
    <t>7 ↓ -0.38%</t>
  </si>
  <si>
    <t>27 ↓ -0.49%</t>
  </si>
  <si>
    <t>131 ↓ -0.41%</t>
  </si>
  <si>
    <t>235 ↑ +0.02%</t>
  </si>
  <si>
    <t>5 ↓ -0.32%</t>
  </si>
  <si>
    <t>23 ↓ -0.09%</t>
  </si>
  <si>
    <t>122 ↓ -0.29%</t>
  </si>
  <si>
    <t>250 ↓ -0.93%</t>
  </si>
  <si>
    <t>6 ↑ +0.20%</t>
  </si>
  <si>
    <t>19 ↑ +0.27%</t>
  </si>
  <si>
    <t>122 ↑ +0.62%</t>
  </si>
  <si>
    <t>253 ↑ +1.47%</t>
  </si>
  <si>
    <t>5 ↓ -0.17%</t>
  </si>
  <si>
    <t>29 ↑ +0.12%</t>
  </si>
  <si>
    <t>121 ↓ -0.20%</t>
  </si>
  <si>
    <t>245 ↓ -0.41%</t>
  </si>
  <si>
    <t>6 ↓ -0.18%</t>
  </si>
  <si>
    <t>27 ↓ -0.27%</t>
  </si>
  <si>
    <t>122 ↓ -0.06%</t>
  </si>
  <si>
    <t>245 ↓ -0.03%</t>
  </si>
  <si>
    <t>5 ↑ +0.44%</t>
  </si>
  <si>
    <t>29 ↑ +0.59%</t>
  </si>
  <si>
    <t>126 ↑ +0.68%</t>
  </si>
  <si>
    <t>242 ↑ +0.44%</t>
  </si>
  <si>
    <t>5 ↓ -0.05%</t>
  </si>
  <si>
    <t>36 ↑ +0.22%</t>
  </si>
  <si>
    <t>123 ↑ +0.16%</t>
  </si>
  <si>
    <t>238 ↓ -0.32%</t>
  </si>
  <si>
    <t>5 ↑ +0.82%</t>
  </si>
  <si>
    <t>42 ↑ +0.27%</t>
  </si>
  <si>
    <t>117 ↑ +0.23%</t>
  </si>
  <si>
    <t>237 ↑ +0.92%</t>
  </si>
  <si>
    <t>43 ↑ +0.28%</t>
  </si>
  <si>
    <t>124 ↑ +0.36%</t>
  </si>
  <si>
    <t>227 ↑ +0.99%</t>
  </si>
  <si>
    <t>50 ↓ -0.44%</t>
  </si>
  <si>
    <t>126 ↓ -0.51%</t>
  </si>
  <si>
    <t>220 ↓ -1.24%</t>
  </si>
  <si>
    <t>40 ↑ +0.17%</t>
  </si>
  <si>
    <t>123 ↑ +0.11%</t>
  </si>
  <si>
    <t>232 ↑ +0.05%</t>
  </si>
  <si>
    <t>6 ↑ +0.08%</t>
  </si>
  <si>
    <t>44 ↑ +0.10%</t>
  </si>
  <si>
    <t>122 ↑ +0.33%</t>
  </si>
  <si>
    <t>229 ↑ +0.66%</t>
  </si>
  <si>
    <t>6 ↓ -0.45%</t>
  </si>
  <si>
    <t>49 ↓ -0.57%</t>
  </si>
  <si>
    <t>127 ↓ -0.70%</t>
  </si>
  <si>
    <t>219 ↓ -1.12%</t>
  </si>
  <si>
    <t>5 ↑ +0.01%</t>
  </si>
  <si>
    <t>43 ↑ +0.23%</t>
  </si>
  <si>
    <t>119 ↑ +0.26%</t>
  </si>
  <si>
    <t>237 ↑ +0.95%</t>
  </si>
  <si>
    <t>49 ↓ -0.34%</t>
  </si>
  <si>
    <t>124 ↓ -0.40%</t>
  </si>
  <si>
    <t>226 ↓ -0.25%</t>
  </si>
  <si>
    <t>5 ↑ +0.29%</t>
  </si>
  <si>
    <t>47 ↑ +0.46%</t>
  </si>
  <si>
    <t>118 ↑ +0.51%</t>
  </si>
  <si>
    <t>235 ↑ +0.81%</t>
  </si>
  <si>
    <t>51 ↑ +0.08%</t>
  </si>
  <si>
    <t>124 ↑ +0.27%</t>
  </si>
  <si>
    <t>227 ↑ +1.66%</t>
  </si>
  <si>
    <t>5 ↓ -0.09%</t>
  </si>
  <si>
    <t>55 ↑ +0.13%</t>
  </si>
  <si>
    <t>136 ↑ +0.21%</t>
  </si>
  <si>
    <t>211 ↓ -0.14%</t>
  </si>
  <si>
    <t>5 ↑ +0.26%</t>
  </si>
  <si>
    <t>63 ↓ -0.25%</t>
  </si>
  <si>
    <t>132 ↓ -0.27%</t>
  </si>
  <si>
    <t>208 ↓ -0.62%</t>
  </si>
  <si>
    <t>5 ↑ +0.33%</t>
  </si>
  <si>
    <t>57 ↑ +0.59%</t>
  </si>
  <si>
    <t>130 ↑ +0.86%</t>
  </si>
  <si>
    <t>216 ↑ +1.77%</t>
  </si>
  <si>
    <t>5 ↑ +0.21%</t>
  </si>
  <si>
    <t>71 ↑ +0.17%</t>
  </si>
  <si>
    <t>134 ↑ +0.25%</t>
  </si>
  <si>
    <t>198 ↑ +0.55%</t>
  </si>
  <si>
    <t>5 ↓ -0.03%</t>
  </si>
  <si>
    <t>78 ↓ -0.35%</t>
  </si>
  <si>
    <t>128 ↓ -0.71%</t>
  </si>
  <si>
    <t>198 ↓ -1.54%</t>
  </si>
  <si>
    <t>69 ↓ -0.31%</t>
  </si>
  <si>
    <t>122 ↓ -0.65%</t>
  </si>
  <si>
    <t>213 ↓ -1.80%</t>
  </si>
  <si>
    <t>58 ↑ +0.05%</t>
  </si>
  <si>
    <t>120 ↑ +0.23%</t>
  </si>
  <si>
    <t>227 ↑ +1.01%</t>
  </si>
  <si>
    <t>5 ↓ -0.12%</t>
  </si>
  <si>
    <t>61 ↓ -0.35%</t>
  </si>
  <si>
    <t>127 ↓ -0.66%</t>
  </si>
  <si>
    <t>219 ↓ -1.91%</t>
  </si>
  <si>
    <t>6 ↓ -3.06%</t>
  </si>
  <si>
    <t>55 ↓ -0.37%</t>
  </si>
  <si>
    <t>118 ↓ -0.44%</t>
  </si>
  <si>
    <t>234 ↓ -0.30%</t>
  </si>
  <si>
    <t>5 ↑ +0.00%</t>
  </si>
  <si>
    <t>46 ↑ +0.11%</t>
  </si>
  <si>
    <t>120 ↓ -0.05%</t>
  </si>
  <si>
    <t>241 ↓ -0.86%</t>
  </si>
  <si>
    <t>5 ↑ +0.06%</t>
  </si>
  <si>
    <t>51 ↑ +0.09%</t>
  </si>
  <si>
    <t>112 ↑ +0.21%</t>
  </si>
  <si>
    <t>247 ↑ +0.78%</t>
  </si>
  <si>
    <t>6 ↑ +0.11%</t>
  </si>
  <si>
    <t>51 ↑ +0.25%</t>
  </si>
  <si>
    <t>117 ↑ +0.33%</t>
  </si>
  <si>
    <t>243 ↑ +0.91%</t>
  </si>
  <si>
    <t>6 ↑ +0.18%</t>
  </si>
  <si>
    <t>57 ↑ +0.48%</t>
  </si>
  <si>
    <t>120 ↑ +0.74%</t>
  </si>
  <si>
    <t>235 ↑ +1.48%</t>
  </si>
  <si>
    <t>70 ↓ -0.05%</t>
  </si>
  <si>
    <t>127 ↓ -0.20%</t>
  </si>
  <si>
    <t>216 ↓ -0.77%</t>
  </si>
  <si>
    <t>70 ↑ +0.21%</t>
  </si>
  <si>
    <t>128 ↑ +0.30%</t>
  </si>
  <si>
    <t>217 ↑ +0.40%</t>
  </si>
  <si>
    <t>7 ↑ +0.24%</t>
  </si>
  <si>
    <t>72 ↑ +0.59%</t>
  </si>
  <si>
    <t>128 ↑ +1.07%</t>
  </si>
  <si>
    <t>216 ↑ +1.95%</t>
  </si>
  <si>
    <t>7 ↓ -0.12%</t>
  </si>
  <si>
    <t>87 ↑ +0.01%</t>
  </si>
  <si>
    <t>130 ↓ -0.11%</t>
  </si>
  <si>
    <t>201 ↓ -0.42%</t>
  </si>
  <si>
    <t>7 ↓ -0.42%</t>
  </si>
  <si>
    <t>86 ↓ -0.66%</t>
  </si>
  <si>
    <t>129 ↓ -0.67%</t>
  </si>
  <si>
    <t>204 ↓ -0.11%</t>
  </si>
  <si>
    <t>5 ↓ -0.49%</t>
  </si>
  <si>
    <t>79 ↓ -0.30%</t>
  </si>
  <si>
    <t>134 ↓ -0.46%</t>
  </si>
  <si>
    <t>209 ↓ -1.04%</t>
  </si>
  <si>
    <t>5 ↓ -0.27%</t>
  </si>
  <si>
    <t>73 ↓ -0.57%</t>
  </si>
  <si>
    <t>138 ↓ -0.85%</t>
  </si>
  <si>
    <t>212 ↓ -0.64%</t>
  </si>
  <si>
    <t>5 ↓ -0.01%</t>
  </si>
  <si>
    <t>61 ↑ +0.25%</t>
  </si>
  <si>
    <t>121 ↑ +0.47%</t>
  </si>
  <si>
    <t>242 ↑ +1.04%</t>
  </si>
  <si>
    <t>5 ↓ -0.41%</t>
  </si>
  <si>
    <t>69 ↓ -0.45%</t>
  </si>
  <si>
    <t>123 ↓ -0.13%</t>
  </si>
  <si>
    <t>234 ↑ +0.53%</t>
  </si>
  <si>
    <t>3 ↓ -0.59%</t>
  </si>
  <si>
    <t>61 ↓ -0.66%</t>
  </si>
  <si>
    <t>132 ↓ -0.74%</t>
  </si>
  <si>
    <t>236 ↓ -0.90%</t>
  </si>
  <si>
    <t>3 ↑ +0.02%</t>
  </si>
  <si>
    <t>51 ↓ -0.08%</t>
  </si>
  <si>
    <t>128 ↑ +0.05%</t>
  </si>
  <si>
    <t>251 ↑ +0.54%</t>
  </si>
  <si>
    <t>3 ↑ +0.51%</t>
  </si>
  <si>
    <t>47 ↑ +0.61%</t>
  </si>
  <si>
    <t>133 ↑ +0.94%</t>
  </si>
  <si>
    <t>253 ↑ +2.08%</t>
  </si>
  <si>
    <t>5 ↓ -0.47%</t>
  </si>
  <si>
    <t>63 ↓ -0.61%</t>
  </si>
  <si>
    <t>137 ↓ -0.72%</t>
  </si>
  <si>
    <t>229 ↓ -0.84%</t>
  </si>
  <si>
    <t>4 ↓ -0.43%</t>
  </si>
  <si>
    <t>47 ↓ -0.77%</t>
  </si>
  <si>
    <t>139 ↓ -1.15%</t>
  </si>
  <si>
    <t>244 ↓ -1.40%</t>
  </si>
  <si>
    <t>3 ↑ +0.91%</t>
  </si>
  <si>
    <t>42 ↑ +0.40%</t>
  </si>
  <si>
    <t>130 ↑ +0.68%</t>
  </si>
  <si>
    <t>260 ↑ +1.08%</t>
  </si>
  <si>
    <t>4 ↑ +0.85%</t>
  </si>
  <si>
    <t>52 ↑ +1.42%</t>
  </si>
  <si>
    <t>127 ↑ +2.00%</t>
  </si>
  <si>
    <t>252 ↑ +3.25%</t>
  </si>
  <si>
    <t>4 ↑ +0.53%</t>
  </si>
  <si>
    <t>79 ↑ +0.28%</t>
  </si>
  <si>
    <t>158 ↓ -0.01%</t>
  </si>
  <si>
    <t>193 ↓ -1.41%</t>
  </si>
  <si>
    <t>1 ↓ -0.48%</t>
  </si>
  <si>
    <t>7 ↓ -0.44%</t>
  </si>
  <si>
    <t>80 ↑ +0.10%</t>
  </si>
  <si>
    <t>150 ↑ +0.29%</t>
  </si>
  <si>
    <t>198 ↓ -0.01%</t>
  </si>
  <si>
    <t>6 ↓ -0.71%</t>
  </si>
  <si>
    <t>92 ↓ -0.48%</t>
  </si>
  <si>
    <t>140 ↓ -0.68%</t>
  </si>
  <si>
    <t>199 ↓ -2.08%</t>
  </si>
  <si>
    <t>1 ↑ +3.38%</t>
  </si>
  <si>
    <t>5 ↓ -0.93%</t>
  </si>
  <si>
    <t>78 ↓ -0.82%</t>
  </si>
  <si>
    <t>142 ↓ -0.84%</t>
  </si>
  <si>
    <t>212 ↑ +0.14%</t>
  </si>
  <si>
    <t>1 ↑ +0.86%</t>
  </si>
  <si>
    <t>3 ↓ -0.41%</t>
  </si>
  <si>
    <t>68 ↓ -0.49%</t>
  </si>
  <si>
    <t>138 ↓ -0.59%</t>
  </si>
  <si>
    <t>228 ↓ -0.82%</t>
  </si>
  <si>
    <t>1 ↓ -3.76%</t>
  </si>
  <si>
    <t>3 ↓ -0.39%</t>
  </si>
  <si>
    <t>61 ↓ -0.03%</t>
  </si>
  <si>
    <t>133 ↓ -0.01%</t>
  </si>
  <si>
    <t>242 ↑ +0.05%</t>
  </si>
  <si>
    <t>1 ↓ -1.78%</t>
  </si>
  <si>
    <t>3 ↓ -2.12%</t>
  </si>
  <si>
    <t>58 ↓ -2.81%</t>
  </si>
  <si>
    <t>136 ↓ -3.13%</t>
  </si>
  <si>
    <t>241 ↓ -3.41%</t>
  </si>
  <si>
    <t>1 ↑ +0.48%</t>
  </si>
  <si>
    <t>2 ↑ +0.15%</t>
  </si>
  <si>
    <t>27 ↑ +0.00%</t>
  </si>
  <si>
    <t>117 ↑ +0.09%</t>
  </si>
  <si>
    <t>292 ↓ -0.14%</t>
  </si>
  <si>
    <t>1 ↓ -1.37%</t>
  </si>
  <si>
    <t>2 ↑ +0.40%</t>
  </si>
  <si>
    <t>27 ↓ -0.05%</t>
  </si>
  <si>
    <t>124 ↑ +0.12%</t>
  </si>
  <si>
    <t>289 ↑ +0.80%</t>
  </si>
  <si>
    <t>1 ↓ -9.80%</t>
  </si>
  <si>
    <t>2 ↑ +0.30%</t>
  </si>
  <si>
    <t>29 ↑ +0.56%</t>
  </si>
  <si>
    <t>126 ↑ +0.63%</t>
  </si>
  <si>
    <t>287 ↑ +1.08%</t>
  </si>
  <si>
    <t>4 ↑ +2.00%</t>
  </si>
  <si>
    <t>36 ↑ +0.78%</t>
  </si>
  <si>
    <t>130 ↑ +0.47%</t>
  </si>
  <si>
    <t>275 ↑ +0.29%</t>
  </si>
  <si>
    <t>3 ↑ +0.08%</t>
  </si>
  <si>
    <t>41 ↑ +0.30%</t>
  </si>
  <si>
    <t>133 ↑ +0.25%</t>
  </si>
  <si>
    <t>268 ↑ +0.39%</t>
  </si>
  <si>
    <t>1 ↑ +0.38%</t>
  </si>
  <si>
    <t>2 ↑ +0.48%</t>
  </si>
  <si>
    <t>45 ↑ +0.25%</t>
  </si>
  <si>
    <t>129 ↑ +0.11%</t>
  </si>
  <si>
    <t>272 ↑ +0.51%</t>
  </si>
  <si>
    <t>1 ↓ -0.04%</t>
  </si>
  <si>
    <t>4 ↑ +0.78%</t>
  </si>
  <si>
    <t>48 ↑ +0.46%</t>
  </si>
  <si>
    <t>134 ↑ +0.81%</t>
  </si>
  <si>
    <t>261 ↑ +1.53%</t>
  </si>
  <si>
    <t>2 ↑ +0.56%</t>
  </si>
  <si>
    <t>3 ↓ -1.67%</t>
  </si>
  <si>
    <t>62 ↑ +0.38%</t>
  </si>
  <si>
    <t>133 ↑ +0.79%</t>
  </si>
  <si>
    <t>250 ↑ +1.85%</t>
  </si>
  <si>
    <t>2 ↓ -1.56%</t>
  </si>
  <si>
    <t>3 ↓ -0.42%</t>
  </si>
  <si>
    <t>73 ↓ -0.27%</t>
  </si>
  <si>
    <t>137 ↓ -0.74%</t>
  </si>
  <si>
    <t>236 ↓ -0.76%</t>
  </si>
  <si>
    <t>1 ↓ -1.20%</t>
  </si>
  <si>
    <t>3 ↑ +0.23%</t>
  </si>
  <si>
    <t>68 ↑ +0.17%</t>
  </si>
  <si>
    <t>128 ↑ +0.44%</t>
  </si>
  <si>
    <t>252 ↑ +1.48%</t>
  </si>
  <si>
    <t>1 ↑ +1.18%</t>
  </si>
  <si>
    <t>4 ↓ -0.35%</t>
  </si>
  <si>
    <t>75 ↓ -0.10%</t>
  </si>
  <si>
    <t>134 ↓ -0.32%</t>
  </si>
  <si>
    <t>240 ↓ -0.45%</t>
  </si>
  <si>
    <t>1 ↓ -4.09%</t>
  </si>
  <si>
    <t>4 ↑ +0.09%</t>
  </si>
  <si>
    <t>70 ↑ +0.30%</t>
  </si>
  <si>
    <t>132 ↑ +0.55%</t>
  </si>
  <si>
    <t>247 ↑ +1.64%</t>
  </si>
  <si>
    <t>1 ↑ +1.29%</t>
  </si>
  <si>
    <t>3 ↑ +0.11%</t>
  </si>
  <si>
    <t>79 ↑ +0.14%</t>
  </si>
  <si>
    <t>136 ↑ +0.14%</t>
  </si>
  <si>
    <t>237 ↑ +0.14%</t>
  </si>
  <si>
    <t>1 ↓ -0.81%</t>
  </si>
  <si>
    <t>4 ↑ +0.33%</t>
  </si>
  <si>
    <t>78 ↑ +0.14%</t>
  </si>
  <si>
    <t>141 ↓ -0.17%</t>
  </si>
  <si>
    <t>232 ↓ -0.23%</t>
  </si>
  <si>
    <t>2 ↑ +1.51%</t>
  </si>
  <si>
    <t>2 ↑ +0.32%</t>
  </si>
  <si>
    <t>81 ↑ +0.41%</t>
  </si>
  <si>
    <t>134 ↑ +0.46%</t>
  </si>
  <si>
    <t>239 ↑ +1.05%</t>
  </si>
  <si>
    <t>2 ↑ +1.06%</t>
  </si>
  <si>
    <t>85 ↑ +0.65%</t>
  </si>
  <si>
    <t>142 ↑ +0.77%</t>
  </si>
  <si>
    <t>227 ↑ +0.91%</t>
  </si>
  <si>
    <t>2 ↑ +0.93%</t>
  </si>
  <si>
    <t>5 ↑ +0.13%</t>
  </si>
  <si>
    <t>93 ↑ +0.47%</t>
  </si>
  <si>
    <t>153 ↑ +0.81%</t>
  </si>
  <si>
    <t>207 ↑ +1.71%</t>
  </si>
  <si>
    <t>2 ↑ +0.58%</t>
  </si>
  <si>
    <t>8 ↑ +0.18%</t>
  </si>
  <si>
    <t>103 ↑ +0.21%</t>
  </si>
  <si>
    <t>153 ↑ +0.34%</t>
  </si>
  <si>
    <t>194 ↑ +0.49%</t>
  </si>
  <si>
    <t>2 ↓ -0.79%</t>
  </si>
  <si>
    <t>105 ↓ -0.82%</t>
  </si>
  <si>
    <t>154 ↓ -0.93%</t>
  </si>
  <si>
    <t>189 ↓ -0.88%</t>
  </si>
  <si>
    <t>2 ↓ -0.04%</t>
  </si>
  <si>
    <t>4 ↑ +0.11%</t>
  </si>
  <si>
    <t>95 ↓ -0.00%</t>
  </si>
  <si>
    <t>155 ↑ +0.02%</t>
  </si>
  <si>
    <t>205 ↓ -0.32%</t>
  </si>
  <si>
    <t>2 ↓ -0.03%</t>
  </si>
  <si>
    <t>4 ↑ +0.05%</t>
  </si>
  <si>
    <t>99 ↓ -0.16%</t>
  </si>
  <si>
    <t>153 ↑ +0.04%</t>
  </si>
  <si>
    <t>203 ↑ +0.76%</t>
  </si>
  <si>
    <t>2 ↓ -0.46%</t>
  </si>
  <si>
    <t>5 ↓ -0.66%</t>
  </si>
  <si>
    <t>101 ↓ -0.90%</t>
  </si>
  <si>
    <t>156 ↓ -0.79%</t>
  </si>
  <si>
    <t>199 ↓ -0.26%</t>
  </si>
  <si>
    <t>2 ↓ -0.58%</t>
  </si>
  <si>
    <t>4 ↓ -0.09%</t>
  </si>
  <si>
    <t>79 ↑ +0.03%</t>
  </si>
  <si>
    <t>164 ↑ +0.06%</t>
  </si>
  <si>
    <t>214 ↑ +0.32%</t>
  </si>
  <si>
    <t>2 ↑ +2.05%</t>
  </si>
  <si>
    <t>4 ↑ +0.48%</t>
  </si>
  <si>
    <t>82 ↑ +0.78%</t>
  </si>
  <si>
    <t>159 ↑ +0.90%</t>
  </si>
  <si>
    <t>217 ↑ +1.15%</t>
  </si>
  <si>
    <t>2 ↑ +3.29%</t>
  </si>
  <si>
    <t>4 ↓ -0.07%</t>
  </si>
  <si>
    <t>96 ↓ -0.10%</t>
  </si>
  <si>
    <t>167 ↓ -0.33%</t>
  </si>
  <si>
    <t>196 ↓ -0.37%</t>
  </si>
  <si>
    <t>1 ↑ +0.05%</t>
  </si>
  <si>
    <t>4 ↑ +0.17%</t>
  </si>
  <si>
    <t>90 ↑ +0.43%</t>
  </si>
  <si>
    <t>164 ↑ +0.38%</t>
  </si>
  <si>
    <t>204 ↑ +0.58%</t>
  </si>
  <si>
    <t>1 ↑ +0.08%</t>
  </si>
  <si>
    <t>1 ↑ +1.57%</t>
  </si>
  <si>
    <t>7 ↑ +0.80%</t>
  </si>
  <si>
    <t>100 ↑ +0.73%</t>
  </si>
  <si>
    <t>159 ↑ +0.84%</t>
  </si>
  <si>
    <t>197 ↑ +1.33%</t>
  </si>
  <si>
    <t>1 ↓ -0.03%</t>
  </si>
  <si>
    <t>1 ↓ -0.40%</t>
  </si>
  <si>
    <t>11 ↑ +0.16%</t>
  </si>
  <si>
    <t>112 ↑ +0.17%</t>
  </si>
  <si>
    <t>161 ↑ +0.29%</t>
  </si>
  <si>
    <t>179 ↑ +0.25%</t>
  </si>
  <si>
    <t>1 ↑ +0.59%</t>
  </si>
  <si>
    <t>1 ↑ +0.83%</t>
  </si>
  <si>
    <t>13 ↑ +0.64%</t>
  </si>
  <si>
    <t>113 ↑ +0.68%</t>
  </si>
  <si>
    <t>164 ↑ +0.88%</t>
  </si>
  <si>
    <t>174 ↑ +1.65%</t>
  </si>
  <si>
    <t>1 ↑ +0.14%</t>
  </si>
  <si>
    <t>1 ↑ +0.54%</t>
  </si>
  <si>
    <t>17 ↑ +0.51%</t>
  </si>
  <si>
    <t>164 ↑ +0.48%</t>
  </si>
  <si>
    <t>161 ↑ +0.94%</t>
  </si>
  <si>
    <t>1 ↓ -1.28%</t>
  </si>
  <si>
    <t>1 ↓ -2.15%</t>
  </si>
  <si>
    <t>19 ↓ -0.51%</t>
  </si>
  <si>
    <t>130 ↓ -0.43%</t>
  </si>
  <si>
    <t>169 ↓ -0.46%</t>
  </si>
  <si>
    <t>146 ↓ -0.33%</t>
  </si>
  <si>
    <t>1 ↓ -0.07%</t>
  </si>
  <si>
    <t>1 ↑ +1.01%</t>
  </si>
  <si>
    <t>18 ↓ -0.52%</t>
  </si>
  <si>
    <t>120 ↓ -0.52%</t>
  </si>
  <si>
    <t>173 ↓ -0.26%</t>
  </si>
  <si>
    <t>155 ↑ +0.14%</t>
  </si>
  <si>
    <t>1 ↑ +0.01%</t>
  </si>
  <si>
    <t>1 ↑ +0.41%</t>
  </si>
  <si>
    <t>13 ↑ +0.20%</t>
  </si>
  <si>
    <t>119 ↑ +0.14%</t>
  </si>
  <si>
    <t>179 ↑ +0.19%</t>
  </si>
  <si>
    <t>155 ↑ +0.38%</t>
  </si>
  <si>
    <t>1 ↑ +0.25%</t>
  </si>
  <si>
    <t>1 ↑ +0.22%</t>
  </si>
  <si>
    <t>15 ↑ +0.54%</t>
  </si>
  <si>
    <t>129 ↑ +0.40%</t>
  </si>
  <si>
    <t>166 ↑ +0.26%</t>
  </si>
  <si>
    <t>154 ↑ +0.16%</t>
  </si>
  <si>
    <t>1 ↓ -0.25%</t>
  </si>
  <si>
    <t>20 ↓ -0.15%</t>
  </si>
  <si>
    <t>127 ↓ -0.28%</t>
  </si>
  <si>
    <t>168 ↓ -0.36%</t>
  </si>
  <si>
    <t>149 ↓ -0.51%</t>
  </si>
  <si>
    <t>1 ↑ +0.26%</t>
  </si>
  <si>
    <t>15 ↑ +0.56%</t>
  </si>
  <si>
    <t>129 ↑ +0.68%</t>
  </si>
  <si>
    <t>165 ↑ +0.80%</t>
  </si>
  <si>
    <t>155 ↑ +1.01%</t>
  </si>
  <si>
    <t>1 0.00%</t>
  </si>
  <si>
    <t>1 ↑ +2.04%</t>
  </si>
  <si>
    <t>20 ↑ +0.04%</t>
  </si>
  <si>
    <t>135 ↓ -0.18%</t>
  </si>
  <si>
    <t>165 ↓ -0.21%</t>
  </si>
  <si>
    <t>146 ↓ -0.03%</t>
  </si>
  <si>
    <t>1 ↑ +2.98%</t>
  </si>
  <si>
    <t>16 ↑ +0.24%</t>
  </si>
  <si>
    <t>136 ↓ -0.05%</t>
  </si>
  <si>
    <t>169 ↓ -0.20%</t>
  </si>
  <si>
    <t>143 ↓ -0.58%</t>
  </si>
  <si>
    <t>1 ↑ +0.42%</t>
  </si>
  <si>
    <t>1 ↑ +1.12%</t>
  </si>
  <si>
    <t>18 ↑ +0.47%</t>
  </si>
  <si>
    <t>132 ↑ +0.46%</t>
  </si>
  <si>
    <t>164 ↑ +0.64%</t>
  </si>
  <si>
    <t>150 ↑ +0.83%</t>
  </si>
  <si>
    <t>2 ↓ -0.59%</t>
  </si>
  <si>
    <t>22 ↑ +0.25%</t>
  </si>
  <si>
    <t>139 ↓ -0.29%</t>
  </si>
  <si>
    <t>168 ↓ -0.64%</t>
  </si>
  <si>
    <t>135 ↓ -1.10%</t>
  </si>
  <si>
    <t>2 ↑ +0.42%</t>
  </si>
  <si>
    <t>22 ↑ +0.09%</t>
  </si>
  <si>
    <t>130 ↑ +0.29%</t>
  </si>
  <si>
    <t>159 ↑ +0.48%</t>
  </si>
  <si>
    <t>154 ↑ +0.73%</t>
  </si>
  <si>
    <t>2 ↑ +0.35%</t>
  </si>
  <si>
    <t>24 ↑ +0.17%</t>
  </si>
  <si>
    <t>138 ↑ +0.20%</t>
  </si>
  <si>
    <t>159 ↑ +0.60%</t>
  </si>
  <si>
    <t>144 ↑ +1.17%</t>
  </si>
  <si>
    <t>2 ↑ +1.15%</t>
  </si>
  <si>
    <t>26 ↑ +0.58%</t>
  </si>
  <si>
    <t>142 ↑ +0.26%</t>
  </si>
  <si>
    <t>165 ↑ +0.37%</t>
  </si>
  <si>
    <t>133 ↑ +0.37%</t>
  </si>
  <si>
    <t>1 ↑ +1.00%</t>
  </si>
  <si>
    <t>28 ↑ +0.27%</t>
  </si>
  <si>
    <t>146 ↓ -0.11%</t>
  </si>
  <si>
    <t>165 ↓ -0.27%</t>
  </si>
  <si>
    <t>126 ↓ -0.27%</t>
  </si>
  <si>
    <t>2 ↑ +0.20%</t>
  </si>
  <si>
    <t>1 ↑ +0.10%</t>
  </si>
  <si>
    <t>32 ↑ +0.55%</t>
  </si>
  <si>
    <t>136 ↑ +0.64%</t>
  </si>
  <si>
    <t>164 ↑ +0.73%</t>
  </si>
  <si>
    <t>133 ↑ +1.31%</t>
  </si>
  <si>
    <t>3 ↑ +0.99%</t>
  </si>
  <si>
    <t>35 ↑ +0.36%</t>
  </si>
  <si>
    <t>151 ↑ +0.53%</t>
  </si>
  <si>
    <t>156 ↑ +0.83%</t>
  </si>
  <si>
    <t>121 ↑ +1.98%</t>
  </si>
  <si>
    <t>4 ↓ -0.14%</t>
  </si>
  <si>
    <t>36 ↑ +0.18%</t>
  </si>
  <si>
    <t>164 ↑ +0.39%</t>
  </si>
  <si>
    <t>110 ↑ +0.76%</t>
  </si>
  <si>
    <t>5 ↓ -0.16%</t>
  </si>
  <si>
    <t>37 ↑ +0.12%</t>
  </si>
  <si>
    <t>181 ↓ -0.03%</t>
  </si>
  <si>
    <t>143 ↓ -0.26%</t>
  </si>
  <si>
    <t>100 ↓ -0.80%</t>
  </si>
  <si>
    <t>2 ↓ -0.85%</t>
  </si>
  <si>
    <t>4 ↓ -0.50%</t>
  </si>
  <si>
    <t>39 ↓ -0.22%</t>
  </si>
  <si>
    <t>179 ↓ -0.48%</t>
  </si>
  <si>
    <t>140 ↓ -0.51%</t>
  </si>
  <si>
    <t>105 ↓ -1.06%</t>
  </si>
  <si>
    <t>2 ↑ +0.06%</t>
  </si>
  <si>
    <t>34 ↓ -0.11%</t>
  </si>
  <si>
    <t>166 ↓ -0.09%</t>
  </si>
  <si>
    <t>155 ↓ -0.15%</t>
  </si>
  <si>
    <t>108 ↑ +0.50%</t>
  </si>
  <si>
    <t>2 ↓ -0.68%</t>
  </si>
  <si>
    <t>4 ↑ +0.52%</t>
  </si>
  <si>
    <t>33 ↑ +0.15%</t>
  </si>
  <si>
    <t>164 ↓ -0.03%</t>
  </si>
  <si>
    <t>153 ↑ +0.02%</t>
  </si>
  <si>
    <t>112 ↓ -0.43%</t>
  </si>
  <si>
    <t>2 ↑ +0.10%</t>
  </si>
  <si>
    <t>36 ↑ +0.19%</t>
  </si>
  <si>
    <t>160 ↑ +0.26%</t>
  </si>
  <si>
    <t>152 ↑ +0.26%</t>
  </si>
  <si>
    <t>115 ↑ +0.96%</t>
  </si>
  <si>
    <t>37 ↓ -0.31%</t>
  </si>
  <si>
    <t>166 ↓ -0.44%</t>
  </si>
  <si>
    <t>148 ↓ -0.74%</t>
  </si>
  <si>
    <t>111 ↓ -1.37%</t>
  </si>
  <si>
    <t>2 ↓ -0.77%</t>
  </si>
  <si>
    <t>36 ↓ -0.16%</t>
  </si>
  <si>
    <t>153 ↓ -0.07%</t>
  </si>
  <si>
    <t>149 ↓ -0.08%</t>
  </si>
  <si>
    <t>2 ↓ -0.49%</t>
  </si>
  <si>
    <t>5 ↑ +0.64%</t>
  </si>
  <si>
    <t>33 ↑ +0.33%</t>
  </si>
  <si>
    <t>158 ↑ +0.24%</t>
  </si>
  <si>
    <t>151 ↑ +0.31%</t>
  </si>
  <si>
    <t>121 ↑ +0.45%</t>
  </si>
  <si>
    <t>2 ↓ -0.20%</t>
  </si>
  <si>
    <t>6 ↑ +0.00%</t>
  </si>
  <si>
    <t>34 ↓ -0.20%</t>
  </si>
  <si>
    <t>163 ↓ -0.40%</t>
  </si>
  <si>
    <t>150 ↓ -0.55%</t>
  </si>
  <si>
    <t>115 ↓ -0.72%</t>
  </si>
  <si>
    <t>2 ↑ +0.52%</t>
  </si>
  <si>
    <t>6 ↑ +0.71%</t>
  </si>
  <si>
    <t>33 ↑ +0.27%</t>
  </si>
  <si>
    <t>158 ↑ +0.42%</t>
  </si>
  <si>
    <t>145 ↑ +0.41%</t>
  </si>
  <si>
    <t>126 ↑ +1.13%</t>
  </si>
  <si>
    <t>6 ↑ +0.47%</t>
  </si>
  <si>
    <t>165 ↑ +0.10%</t>
  </si>
  <si>
    <t>146 ↑ +0.04%</t>
  </si>
  <si>
    <t>117 ↓ -0.15%</t>
  </si>
  <si>
    <t>2 ↓ -0.43%</t>
  </si>
  <si>
    <t>6 ↑ +0.21%</t>
  </si>
  <si>
    <t>36 ↑ +0.08%</t>
  </si>
  <si>
    <t>164 ↑ +0.22%</t>
  </si>
  <si>
    <t>145 ↑ +0.35%</t>
  </si>
  <si>
    <t>118 ↑ +1.19%</t>
  </si>
  <si>
    <t>2 ↑ +1.38%</t>
  </si>
  <si>
    <t>6 ↑ +0.51%</t>
  </si>
  <si>
    <t>38 ↑ +0.20%</t>
  </si>
  <si>
    <t>164 ↑ +0.43%</t>
  </si>
  <si>
    <t>147 ↑ +0.59%</t>
  </si>
  <si>
    <t>113 ↑ +1.45%</t>
  </si>
  <si>
    <t>2 ↑ +1.27%</t>
  </si>
  <si>
    <t>8 ↑ +0.29%</t>
  </si>
  <si>
    <t>37 ↑ +0.29%</t>
  </si>
  <si>
    <t>178 ↑ +0.38%</t>
  </si>
  <si>
    <t>139 ↑ +0.16%</t>
  </si>
  <si>
    <t>107 ↑ +0.45%</t>
  </si>
  <si>
    <t>2 ↓ -0.35%</t>
  </si>
  <si>
    <t>43 ↑ +0.09%</t>
  </si>
  <si>
    <t>177 ↓ -0.18%</t>
  </si>
  <si>
    <t>136 ↓ -0.37%</t>
  </si>
  <si>
    <t>105 ↓ -0.64%</t>
  </si>
  <si>
    <t>2 ↑ +0.73%</t>
  </si>
  <si>
    <t>8 ↑ +0.67%</t>
  </si>
  <si>
    <t>42 ↑ +0.33%</t>
  </si>
  <si>
    <t>172 ↑ +0.58%</t>
  </si>
  <si>
    <t>136 ↑ +0.85%</t>
  </si>
  <si>
    <t>111 ↑ +1.30%</t>
  </si>
  <si>
    <t>8 ↓ -0.25%</t>
  </si>
  <si>
    <t>45 ↑ +0.01%</t>
  </si>
  <si>
    <t>126 ↓ -0.00%</t>
  </si>
  <si>
    <t>105 ↑ +0.08%</t>
  </si>
  <si>
    <t>8 ↓ -0.35%</t>
  </si>
  <si>
    <t>44 ↓ -0.18%</t>
  </si>
  <si>
    <t>190 ↓ -0.31%</t>
  </si>
  <si>
    <t>127 ↓ -0.45%</t>
  </si>
  <si>
    <t>100 ↓ -0.57%</t>
  </si>
  <si>
    <t>2 ↑ +0.03%</t>
  </si>
  <si>
    <t>8 ↓ -0.20%</t>
  </si>
  <si>
    <t>43 ↓ -0.09%</t>
  </si>
  <si>
    <t>181 ↓ -0.12%</t>
  </si>
  <si>
    <t>131 ↓ -0.17%</t>
  </si>
  <si>
    <t>106 ↑ +0.20%</t>
  </si>
  <si>
    <t>180 ↓ -0.24%</t>
  </si>
  <si>
    <t>131 ↓ -0.33%</t>
  </si>
  <si>
    <t>109 ↓ -0.03%</t>
  </si>
  <si>
    <t>7 ↓ -0.94%</t>
  </si>
  <si>
    <t>40 ↓ -0.33%</t>
  </si>
  <si>
    <t>178 ↓ -0.53%</t>
  </si>
  <si>
    <t>132 ↓ -0.71%</t>
  </si>
  <si>
    <t>112 ↓ -0.93%</t>
  </si>
  <si>
    <t>3 ↓ -2.01%</t>
  </si>
  <si>
    <t>6 ↑ +0.15%</t>
  </si>
  <si>
    <t>41 ↑ +0.07%</t>
  </si>
  <si>
    <t>167 ↑ +0.05%</t>
  </si>
  <si>
    <t>134 ↑ +0.03%</t>
  </si>
  <si>
    <t>121 ↓ -0.70%</t>
  </si>
  <si>
    <t>8 ↑ +0.44%</t>
  </si>
  <si>
    <t>40 ↑ +0.20%</t>
  </si>
  <si>
    <t>167 ↑ +0.26%</t>
  </si>
  <si>
    <t>132 ↑ +0.39%</t>
  </si>
  <si>
    <t>124 ↑ +0.69%</t>
  </si>
  <si>
    <t>2 ↓ -0.69%</t>
  </si>
  <si>
    <t>42 ↑ +0.30%</t>
  </si>
  <si>
    <t>172 ↑ +0.18%</t>
  </si>
  <si>
    <t>135 ↑ +0.23%</t>
  </si>
  <si>
    <t>114 ↑ +0.15%</t>
  </si>
  <si>
    <t>2 ↑ +0.95%</t>
  </si>
  <si>
    <t>9 ↑ +0.33%</t>
  </si>
  <si>
    <t>180 ↑ +0.12%</t>
  </si>
  <si>
    <t>126 ↑ +0.23%</t>
  </si>
  <si>
    <t>116 ↑ +0.67%</t>
  </si>
  <si>
    <t>3 ↓ -1.23%</t>
  </si>
  <si>
    <t>8 ↓ -0.22%</t>
  </si>
  <si>
    <t>42 ↓ -0.18%</t>
  </si>
  <si>
    <t>178 ↓ -0.24%</t>
  </si>
  <si>
    <t>135 ↓ -0.59%</t>
  </si>
  <si>
    <t>109 ↓ -0.81%</t>
  </si>
  <si>
    <t>2 ↑ +3.87%</t>
  </si>
  <si>
    <t>9 ↑ +0.24%</t>
  </si>
  <si>
    <t>39 ↓ -0.21%</t>
  </si>
  <si>
    <t>173 ↓ -0.22%</t>
  </si>
  <si>
    <t>133 ↓ -0.31%</t>
  </si>
  <si>
    <t>119 ↓ -0.26%</t>
  </si>
  <si>
    <t>3 ↑ +1.49%</t>
  </si>
  <si>
    <t>39 ↑ +0.23%</t>
  </si>
  <si>
    <t>171 ↓ -0.03%</t>
  </si>
  <si>
    <t>131 ↓ -0.08%</t>
  </si>
  <si>
    <t>3 ↑ +0.64%</t>
  </si>
  <si>
    <t>8 ↑ +0.75%</t>
  </si>
  <si>
    <t>42 ↑ +0.39%</t>
  </si>
  <si>
    <t>164 ↑ +0.57%</t>
  </si>
  <si>
    <t>135 ↑ +0.64%</t>
  </si>
  <si>
    <t>123 ↑ +1.40%</t>
  </si>
  <si>
    <t>3 ↓ -0.04%</t>
  </si>
  <si>
    <t>8 ↑ +0.07%</t>
  </si>
  <si>
    <t>43 ↓ -0.13%</t>
  </si>
  <si>
    <t>172 ↓ -0.24%</t>
  </si>
  <si>
    <t>136 ↓ -0.61%</t>
  </si>
  <si>
    <t>113 ↓ -1.30%</t>
  </si>
  <si>
    <t>3 ↑ +1.05%</t>
  </si>
  <si>
    <t>8 ↑ +0.51%</t>
  </si>
  <si>
    <t>44 ↑ +0.41%</t>
  </si>
  <si>
    <t>169 ↑ +0.45%</t>
  </si>
  <si>
    <t>129 ↑ +0.69%</t>
  </si>
  <si>
    <t>122 ↑ +1.31%</t>
  </si>
  <si>
    <t>8 ↑ +0.06%</t>
  </si>
  <si>
    <t>47 ↑ +0.04%</t>
  </si>
  <si>
    <t>173 ↑ +0.05%</t>
  </si>
  <si>
    <t>129 ↓ -0.09%</t>
  </si>
  <si>
    <t>116 ↑ +0.15%</t>
  </si>
  <si>
    <t>3 ↑ +0.80%</t>
  </si>
  <si>
    <t>8 ↑ +0.95%</t>
  </si>
  <si>
    <t>50 ↑ +0.53%</t>
  </si>
  <si>
    <t>168 ↑ +0.82%</t>
  </si>
  <si>
    <t>128 ↑ +1.37%</t>
  </si>
  <si>
    <t>118 ↑ +2.18%</t>
  </si>
  <si>
    <t>3 ↓ -1.52%</t>
  </si>
  <si>
    <t>9 ↑ +0.01%</t>
  </si>
  <si>
    <t>59 ↓ -0.05%</t>
  </si>
  <si>
    <t>181 ↑ +0.16%</t>
  </si>
  <si>
    <t>128 ↑ +0.36%</t>
  </si>
  <si>
    <t>92 ↑ +1.18%</t>
  </si>
  <si>
    <t>3 ↓ -0.07%</t>
  </si>
  <si>
    <t>57 ↑ +0.21%</t>
  </si>
  <si>
    <t>192 ↑ +0.42%</t>
  </si>
  <si>
    <t>122 ↑ +0.53%</t>
  </si>
  <si>
    <t>92 ↑ +1.59%</t>
  </si>
  <si>
    <t>3 ↓ -6.74%</t>
  </si>
  <si>
    <t>9 ↓ -1.12%</t>
  </si>
  <si>
    <t>195 ↓ -0.90%</t>
  </si>
  <si>
    <t>129 ↓ -0.71%</t>
  </si>
  <si>
    <t>76 ↓ -0.94%</t>
  </si>
  <si>
    <t>2 ↑ +1.71%</t>
  </si>
  <si>
    <t>9 ↑ +0.39%</t>
  </si>
  <si>
    <t>53 ↑ +0.14%</t>
  </si>
  <si>
    <t>188 ↑ +0.17%</t>
  </si>
  <si>
    <t>127 ↑ +0.23%</t>
  </si>
  <si>
    <t>93 ↑ +0.48%</t>
  </si>
  <si>
    <t>2 ↓ -1.73%</t>
  </si>
  <si>
    <t>9 ↓ -0.17%</t>
  </si>
  <si>
    <t>58 ↓ -0.12%</t>
  </si>
  <si>
    <t>187 ↓ -0.45%</t>
  </si>
  <si>
    <t>125 ↓ -0.52%</t>
  </si>
  <si>
    <t>91 ↓ -0.89%</t>
  </si>
  <si>
    <t>2 ↑ +0.29%</t>
  </si>
  <si>
    <t>9 ↑ +0.61%</t>
  </si>
  <si>
    <t>56 ↑ +0.32%</t>
  </si>
  <si>
    <t>177 ↑ +0.42%</t>
  </si>
  <si>
    <t>126 ↑ +0.80%</t>
  </si>
  <si>
    <t>101 ↑ +1.31%</t>
  </si>
  <si>
    <t>2 ↑ +0.47%</t>
  </si>
  <si>
    <t>9 ↓ -0.04%</t>
  </si>
  <si>
    <t>56 ↑ +0.16%</t>
  </si>
  <si>
    <t>189 ↑ +0.29%</t>
  </si>
  <si>
    <t>129 ↑ +0.33%</t>
  </si>
  <si>
    <t>86 ↑ +0.30%</t>
  </si>
  <si>
    <t>2 ↑ +0.41%</t>
  </si>
  <si>
    <t>9 0.00%</t>
  </si>
  <si>
    <t>59 ↑ +0.13%</t>
  </si>
  <si>
    <t>196 ↑ +0.53%</t>
  </si>
  <si>
    <t>127 ↑ +0.72%</t>
  </si>
  <si>
    <t>80 ↑ +2.45%</t>
  </si>
  <si>
    <t>10 ↑ +0.25%</t>
  </si>
  <si>
    <t>68 ↓ -0.11%</t>
  </si>
  <si>
    <t>197 ↓ -0.04%</t>
  </si>
  <si>
    <t>125 ↓ -0.05%</t>
  </si>
  <si>
    <t>71 ↓ -0.12%</t>
  </si>
  <si>
    <t>2 ↑ +1.68%</t>
  </si>
  <si>
    <t>67 ↑ +0.27%</t>
  </si>
  <si>
    <t>200 ↑ +0.29%</t>
  </si>
  <si>
    <t>122 ↑ +0.18%</t>
  </si>
  <si>
    <t>75 ↑ +0.07%</t>
  </si>
  <si>
    <t>2 ↓ -0.53%</t>
  </si>
  <si>
    <t>11 ↓ -1.14%</t>
  </si>
  <si>
    <t>73 ↓ -0.50%</t>
  </si>
  <si>
    <t>194 ↓ -0.67%</t>
  </si>
  <si>
    <t>118 ↓ -0.83%</t>
  </si>
  <si>
    <t>76 ↓ -1.69%</t>
  </si>
  <si>
    <t>8 ↓ -0.47%</t>
  </si>
  <si>
    <t>63 ↓ -0.36%</t>
  </si>
  <si>
    <t>198 ↓ -0.55%</t>
  </si>
  <si>
    <t>121 ↓ -0.54%</t>
  </si>
  <si>
    <t>82 ↓ -0.58%</t>
  </si>
  <si>
    <t>8 ↑ +0.26%</t>
  </si>
  <si>
    <t>62 ↑ +0.03%</t>
  </si>
  <si>
    <t>179 ↑ +0.34%</t>
  </si>
  <si>
    <t>133 ↑ +0.42%</t>
  </si>
  <si>
    <t>91 ↑ +0.93%</t>
  </si>
  <si>
    <t>2 ↓ -0.05%</t>
  </si>
  <si>
    <t>8 ↓ -0.49%</t>
  </si>
  <si>
    <t>62 ↓ -0.31%</t>
  </si>
  <si>
    <t>193 ↓ -0.41%</t>
  </si>
  <si>
    <t>126 ↓ -0.48%</t>
  </si>
  <si>
    <t>84 ↑ +0.43%</t>
  </si>
  <si>
    <t>2 ↑ +1.83%</t>
  </si>
  <si>
    <t>8 ↓ -1.48%</t>
  </si>
  <si>
    <t>62 ↑ +0.60%</t>
  </si>
  <si>
    <t>183 ↑ +0.96%</t>
  </si>
  <si>
    <t>133 ↑ +1.51%</t>
  </si>
  <si>
    <t>88 ↑ +2.75%</t>
  </si>
  <si>
    <t>3 ↑ +1.36%</t>
  </si>
  <si>
    <t>7 ↑ +0.99%</t>
  </si>
  <si>
    <t>71 ↑ +0.63%</t>
  </si>
  <si>
    <t>200 ↑ +1.24%</t>
  </si>
  <si>
    <t>117 ↑ +1.52%</t>
  </si>
  <si>
    <t>79 ↑ +2.60%</t>
  </si>
  <si>
    <t>84 ↑ +0.37%</t>
  </si>
  <si>
    <t>216 ↑ +0.98%</t>
  </si>
  <si>
    <t>102 ↑ +1.63%</t>
  </si>
  <si>
    <t>61 ↑ +2.01%</t>
  </si>
  <si>
    <t>4 ↓ -6.39%</t>
  </si>
  <si>
    <t>6 ↓ -4.49%</t>
  </si>
  <si>
    <t>104 ↓ -4.00%</t>
  </si>
  <si>
    <t>229 ↓ -4.67%</t>
  </si>
  <si>
    <t>78 ↓ -5.49%</t>
  </si>
  <si>
    <t>55 ↓ -10.67%</t>
  </si>
  <si>
    <t>2 ↓ -0.02%</t>
  </si>
  <si>
    <t>5 ↑ +0.10%</t>
  </si>
  <si>
    <t>40 ↓ -0.13%</t>
  </si>
  <si>
    <t>181 ↓ -0.42%</t>
  </si>
  <si>
    <t>138 ↓ -0.78%</t>
  </si>
  <si>
    <t>110 ↓ -1.29%</t>
  </si>
  <si>
    <t>3 ↑ +0.50%</t>
  </si>
  <si>
    <t>4 ↓ -0.10%</t>
  </si>
  <si>
    <t>42 ↑ +0.07%</t>
  </si>
  <si>
    <t>168 ↑ +0.20%</t>
  </si>
  <si>
    <t>140 ↑ +0.25%</t>
  </si>
  <si>
    <t>122 ↑ +0.92%</t>
  </si>
  <si>
    <t>3 ↑ +0.09%</t>
  </si>
  <si>
    <t>4 ↑ +0.50%</t>
  </si>
  <si>
    <t>44 ↑ +0.30%</t>
  </si>
  <si>
    <t>172 ↑ +0.49%</t>
  </si>
  <si>
    <t>139 ↑ +0.57%</t>
  </si>
  <si>
    <t>118 ↑ +0.40%</t>
  </si>
  <si>
    <t>3 ↑ +1.31%</t>
  </si>
  <si>
    <t>4 ↓ -0.47%</t>
  </si>
  <si>
    <t>45 ↓ -0.58%</t>
  </si>
  <si>
    <t>180 ↓ -0.54%</t>
  </si>
  <si>
    <t>137 ↓ -0.46%</t>
  </si>
  <si>
    <t>111 ↓ -0.04%</t>
  </si>
  <si>
    <t>3 ↓ -1.29%</t>
  </si>
  <si>
    <t>3 ↓ -0.31%</t>
  </si>
  <si>
    <t>41 ↓ -0.15%</t>
  </si>
  <si>
    <t>139 ↓ -0.60%</t>
  </si>
  <si>
    <t>115 ↓ -1.02%</t>
  </si>
  <si>
    <t>3 ↑ +0.94%</t>
  </si>
  <si>
    <t>3 ↓ -0.46%</t>
  </si>
  <si>
    <t>43 ↑ +0.04%</t>
  </si>
  <si>
    <t>170 ↓ -0.07%</t>
  </si>
  <si>
    <t>139 ↓ -0.14%</t>
  </si>
  <si>
    <t>126 ↑ +0.19%</t>
  </si>
  <si>
    <t>3 ↑ +2.08%</t>
  </si>
  <si>
    <t>164 ↑ +0.42%</t>
  </si>
  <si>
    <t>146 ↑ +0.47%</t>
  </si>
  <si>
    <t>128 ↑ +1.03%</t>
  </si>
  <si>
    <t>3 ↓ -0.54%</t>
  </si>
  <si>
    <t>3 ↑ +0.58%</t>
  </si>
  <si>
    <t>41 ↑ +0.40%</t>
  </si>
  <si>
    <t>180 ↑ +0.45%</t>
  </si>
  <si>
    <t>142 ↑ +0.25%</t>
  </si>
  <si>
    <t>118 ↓ -0.35%</t>
  </si>
  <si>
    <t>3 ↓ -0.72%</t>
  </si>
  <si>
    <t>3 ↓ -1.42%</t>
  </si>
  <si>
    <t>48 ↓ -0.56%</t>
  </si>
  <si>
    <t>181 ↓ -0.74%</t>
  </si>
  <si>
    <t>130 ↓ -0.71%</t>
  </si>
  <si>
    <t>123 ↓ -1.41%</t>
  </si>
  <si>
    <t>5 ↓ -0.34%</t>
  </si>
  <si>
    <t>43 ↓ -0.74%</t>
  </si>
  <si>
    <t>170 ↓ -0.92%</t>
  </si>
  <si>
    <t>140 ↓ -1.46%</t>
  </si>
  <si>
    <t>130 ↓ -2.16%</t>
  </si>
  <si>
    <t>2 ↑ +0.25%</t>
  </si>
  <si>
    <t>156 ↓ -0.23%</t>
  </si>
  <si>
    <t>136 ↓ -0.18%</t>
  </si>
  <si>
    <t>156 ↓ -0.29%</t>
  </si>
  <si>
    <t>5 ↓ -0.67%</t>
  </si>
  <si>
    <t>33 ↓ -0.51%</t>
  </si>
  <si>
    <t>152 ↓ -0.69%</t>
  </si>
  <si>
    <t>140 ↓ -0.87%</t>
  </si>
  <si>
    <t>159 ↓ -0.88%</t>
  </si>
  <si>
    <t>2 ↑ +0.78%</t>
  </si>
  <si>
    <t>30 ↓ -0.07%</t>
  </si>
  <si>
    <t>137 ↓ -0.07%</t>
  </si>
  <si>
    <t>142 ↑ +0.07%</t>
  </si>
  <si>
    <t>175 ↑ +0.76%</t>
  </si>
  <si>
    <t>2 ↓ -0.70%</t>
  </si>
  <si>
    <t>5 ↓ -0.26%</t>
  </si>
  <si>
    <t>27 ↑ +0.18%</t>
  </si>
  <si>
    <t>144 ↑ +0.25%</t>
  </si>
  <si>
    <t>146 ↑ +0.30%</t>
  </si>
  <si>
    <t>168 ↑ +0.60%</t>
  </si>
  <si>
    <t>5 ↑ +0.99%</t>
  </si>
  <si>
    <t>28 ↑ +0.33%</t>
  </si>
  <si>
    <t>150 ↑ +0.56%</t>
  </si>
  <si>
    <t>147 ↑ +0.77%</t>
  </si>
  <si>
    <t>159 ↑ +1.39%</t>
  </si>
  <si>
    <t>2 ↓ -0.99%</t>
  </si>
  <si>
    <t>5 ↓ -1.14%</t>
  </si>
  <si>
    <t>36 ↓ -0.03%</t>
  </si>
  <si>
    <t>156 ↓ -0.43%</t>
  </si>
  <si>
    <t>148 ↓ -0.65%</t>
  </si>
  <si>
    <t>145 ↓ -2.03%</t>
  </si>
  <si>
    <t>2 ↑ +2.67%</t>
  </si>
  <si>
    <t>5 ↑ +4.25%</t>
  </si>
  <si>
    <t>33 ↓ -0.02%</t>
  </si>
  <si>
    <t>150 ↑ +0.04%</t>
  </si>
  <si>
    <t>144 ↑ +0.10%</t>
  </si>
  <si>
    <t>157 ↑ +0.97%</t>
  </si>
  <si>
    <t>3 ↑ +7.86%</t>
  </si>
  <si>
    <t>4 ↑ +0.24%</t>
  </si>
  <si>
    <t>33 ↓ -0.25%</t>
  </si>
  <si>
    <t>155 ↓ -0.45%</t>
  </si>
  <si>
    <t>143 ↓ -0.85%</t>
  </si>
  <si>
    <t>154 ↓ -0.51%</t>
  </si>
  <si>
    <t>4 ↑ +3.24%</t>
  </si>
  <si>
    <t>4 ↑ +0.16%</t>
  </si>
  <si>
    <t>31 ↑ +0.34%</t>
  </si>
  <si>
    <t>140 ↑ +0.31%</t>
  </si>
  <si>
    <t>142 ↑ +0.09%</t>
  </si>
  <si>
    <t>172 ↑ +0.24%</t>
  </si>
  <si>
    <t>4 ↑ +1.62%</t>
  </si>
  <si>
    <t>5 ↑ +0.24%</t>
  </si>
  <si>
    <t>34 ↑ +0.20%</t>
  </si>
  <si>
    <t>142 ↑ +0.11%</t>
  </si>
  <si>
    <t>139 ↑ +0.04%</t>
  </si>
  <si>
    <t>170 ↑ +0.07%</t>
  </si>
  <si>
    <t>4 ↓ -0.45%</t>
  </si>
  <si>
    <t>5 ↑ +0.47%</t>
  </si>
  <si>
    <t>33 ↑ +0.34%</t>
  </si>
  <si>
    <t>142 ↑ +0.63%</t>
  </si>
  <si>
    <t>140 ↑ +1.05%</t>
  </si>
  <si>
    <t>170 ↑ +2.28%</t>
  </si>
  <si>
    <t>4 ↑ +0.72%</t>
  </si>
  <si>
    <t>4 ↓ -0.36%</t>
  </si>
  <si>
    <t>36 ↓ -0.04%</t>
  </si>
  <si>
    <t>167 ↑ +0.03%</t>
  </si>
  <si>
    <t>134 ↑ +0.40%</t>
  </si>
  <si>
    <t>150 ↑ +1.23%</t>
  </si>
  <si>
    <t>4 ↓ -0.05%</t>
  </si>
  <si>
    <t>4 ↓ -0.30%</t>
  </si>
  <si>
    <t>35 ↓ -0.06%</t>
  </si>
  <si>
    <t>176 ↑ +0.33%</t>
  </si>
  <si>
    <t>136 ↑ +0.56%</t>
  </si>
  <si>
    <t>140 ↑ +1.27%</t>
  </si>
  <si>
    <t>4 ↓ -1.06%</t>
  </si>
  <si>
    <t>39 ↓ -0.18%</t>
  </si>
  <si>
    <t>182 ↓ -0.37%</t>
  </si>
  <si>
    <t>135 ↓ -0.39%</t>
  </si>
  <si>
    <t>132 ↓ -0.33%</t>
  </si>
  <si>
    <t>3 ↓ -0.63%</t>
  </si>
  <si>
    <t>5 ↓ -0.89%</t>
  </si>
  <si>
    <t>35 ↓ -0.57%</t>
  </si>
  <si>
    <t>175 ↓ -1.16%</t>
  </si>
  <si>
    <t>139 ↓ -1.44%</t>
  </si>
  <si>
    <t>139 ↓ -3.54%</t>
  </si>
  <si>
    <t>3 ↓ -0.70%</t>
  </si>
  <si>
    <t>5 ↓ -0.53%</t>
  </si>
  <si>
    <t>31 ↓ -0.24%</t>
  </si>
  <si>
    <t>145 ↓ -0.27%</t>
  </si>
  <si>
    <t>146 ↓ -0.41%</t>
  </si>
  <si>
    <t>168 ↓ -1.15%</t>
  </si>
  <si>
    <t>3 ↑ +0.14%</t>
  </si>
  <si>
    <t>5 ↑ +1.01%</t>
  </si>
  <si>
    <t>29 ↑ +0.65%</t>
  </si>
  <si>
    <t>142 ↑ +0.72%</t>
  </si>
  <si>
    <t>144 ↑ +0.85%</t>
  </si>
  <si>
    <t>177 ↑ +0.96%</t>
  </si>
  <si>
    <t>4 ↑ +0.31%</t>
  </si>
  <si>
    <t>5 ↓ -0.18%</t>
  </si>
  <si>
    <t>31 ↓ -0.31%</t>
  </si>
  <si>
    <t>158 ↓ -0.17%</t>
  </si>
  <si>
    <t>137 ↓ -0.02%</t>
  </si>
  <si>
    <t>165 ↑ +0.56%</t>
  </si>
  <si>
    <t>3 ↓ -0.68%</t>
  </si>
  <si>
    <t>6 ↓ -1.05%</t>
  </si>
  <si>
    <t>29 ↑ +0.14%</t>
  </si>
  <si>
    <t>159 ↑ +0.01%</t>
  </si>
  <si>
    <t>145 ↓ -0.21%</t>
  </si>
  <si>
    <t>158 ↓ -0.20%</t>
  </si>
  <si>
    <t>3 ↓ -0.01%</t>
  </si>
  <si>
    <t>3 ↑ +0.70%</t>
  </si>
  <si>
    <t>33 ↑ +0.23%</t>
  </si>
  <si>
    <t>158 ↑ +0.31%</t>
  </si>
  <si>
    <t>138 ↑ +0.64%</t>
  </si>
  <si>
    <t>166 ↑ +2.14%</t>
  </si>
  <si>
    <t>5 ↑ +0.18%</t>
  </si>
  <si>
    <t>34 ↑ +0.06%</t>
  </si>
  <si>
    <t>167 ↑ +0.34%</t>
  </si>
  <si>
    <t>140 ↑ +0.55%</t>
  </si>
  <si>
    <t>152 ↑ +1.03%</t>
  </si>
  <si>
    <t>3 ↑ +0.57%</t>
  </si>
  <si>
    <t>5 ↑ +0.48%</t>
  </si>
  <si>
    <t>38 ↑ +0.79%</t>
  </si>
  <si>
    <t>176 ↑ +0.68%</t>
  </si>
  <si>
    <t>146 ↑ +2.53%</t>
  </si>
  <si>
    <t>5 ↓ -0.75%</t>
  </si>
  <si>
    <t>47 ↓ -0.51%</t>
  </si>
  <si>
    <t>180 ↓ -0.74%</t>
  </si>
  <si>
    <t>138 ↓ -0.86%</t>
  </si>
  <si>
    <t>128 ↓ -1.36%</t>
  </si>
  <si>
    <t>3 ↑ +0.16%</t>
  </si>
  <si>
    <t>5 ↑ +0.42%</t>
  </si>
  <si>
    <t>41 ↑ +0.09%</t>
  </si>
  <si>
    <t>166 ↑ +0.20%</t>
  </si>
  <si>
    <t>146 ↑ +0.21%</t>
  </si>
  <si>
    <t>140 ↑ +0.95%</t>
  </si>
  <si>
    <t>3 ↓ -1.07%</t>
  </si>
  <si>
    <t>4 ↓ -0.39%</t>
  </si>
  <si>
    <t>46 ↓ -0.22%</t>
  </si>
  <si>
    <t>166 ↑ +0.01%</t>
  </si>
  <si>
    <t>141 ↑ +0.33%</t>
  </si>
  <si>
    <t>141 ↑ +0.53%</t>
  </si>
  <si>
    <t>3 ↑ +0.52%</t>
  </si>
  <si>
    <t>45 ↑ +0.02%</t>
  </si>
  <si>
    <t>172 ↓ -0.03%</t>
  </si>
  <si>
    <t>137 ↓ -0.41%</t>
  </si>
  <si>
    <t>139 ↓ -1.06%</t>
  </si>
  <si>
    <t>3 ↓ -0.32%</t>
  </si>
  <si>
    <t>5 ↑ +0.49%</t>
  </si>
  <si>
    <t>43 ↑ +0.31%</t>
  </si>
  <si>
    <t>170 ↑ +0.20%</t>
  </si>
  <si>
    <t>133 ↑ +0.28%</t>
  </si>
  <si>
    <t>147 ↑ +1.16%</t>
  </si>
  <si>
    <t>3 ↑ +0.79%</t>
  </si>
  <si>
    <t>6 ↓ -0.03%</t>
  </si>
  <si>
    <t>44 ↓ -0.21%</t>
  </si>
  <si>
    <t>177 ↓ -0.22%</t>
  </si>
  <si>
    <t>135 ↓ -0.52%</t>
  </si>
  <si>
    <t>137 ↓ -0.18%</t>
  </si>
  <si>
    <t>6 ↑ +0.75%</t>
  </si>
  <si>
    <t>46 ↑ +0.41%</t>
  </si>
  <si>
    <t>167 ↑ +0.39%</t>
  </si>
  <si>
    <t>133 ↑ +0.24%</t>
  </si>
  <si>
    <t>146 ↑ +0.51%</t>
  </si>
  <si>
    <t>4 ↑ +3.11%</t>
  </si>
  <si>
    <t>6 ↑ +0.87%</t>
  </si>
  <si>
    <t>50 ↑ +0.66%</t>
  </si>
  <si>
    <t>168 ↑ +0.51%</t>
  </si>
  <si>
    <t>129 ↑ +0.55%</t>
  </si>
  <si>
    <t>143 ↑ +0.16%</t>
  </si>
  <si>
    <t>4 ↑ +0.44%</t>
  </si>
  <si>
    <t>7 ↑ +0.47%</t>
  </si>
  <si>
    <t>55 ↑ +0.41%</t>
  </si>
  <si>
    <t>173 ↑ +0.62%</t>
  </si>
  <si>
    <t>116 ↑ +0.94%</t>
  </si>
  <si>
    <t>145 ↑ +2.32%</t>
  </si>
  <si>
    <t>4 ↑ +0.63%</t>
  </si>
  <si>
    <t>7 ↑ +0.43%</t>
  </si>
  <si>
    <t>61 ↑ +0.23%</t>
  </si>
  <si>
    <t>179 ↑ +0.35%</t>
  </si>
  <si>
    <t>127 ↑ +0.59%</t>
  </si>
  <si>
    <t>123 ↑ +1.57%</t>
  </si>
  <si>
    <t>4 ↑ +0.14%</t>
  </si>
  <si>
    <t>7 ↓ -0.61%</t>
  </si>
  <si>
    <t>63 ↓ -0.27%</t>
  </si>
  <si>
    <t>183 ↓ -0.58%</t>
  </si>
  <si>
    <t>130 ↓ -0.69%</t>
  </si>
  <si>
    <t>114 ↓ -1.77%</t>
  </si>
  <si>
    <t>4 ↓ -1.65%</t>
  </si>
  <si>
    <t>60 ↑ +0.28%</t>
  </si>
  <si>
    <t>176 ↑ +0.34%</t>
  </si>
  <si>
    <t>132 ↑ +0.65%</t>
  </si>
  <si>
    <t>121 ↑ +1.53%</t>
  </si>
  <si>
    <t>4 ↑ +0.04%</t>
  </si>
  <si>
    <t>8 ↑ +0.21%</t>
  </si>
  <si>
    <t>63 ↑ +0.09%</t>
  </si>
  <si>
    <t>183 ↓ -0.00%</t>
  </si>
  <si>
    <t>136 ↓ -0.14%</t>
  </si>
  <si>
    <t>109 ↓ -0.50%</t>
  </si>
  <si>
    <t>4 ↓ -0.17%</t>
  </si>
  <si>
    <t>8 ↓ -0.28%</t>
  </si>
  <si>
    <t>67 ↓ -0.10%</t>
  </si>
  <si>
    <t>179 ↓ -0.16%</t>
  </si>
  <si>
    <t>129 ↓ -0.07%</t>
  </si>
  <si>
    <t>116 ↓ -0.32%</t>
  </si>
  <si>
    <t>4 ↑ +0.29%</t>
  </si>
  <si>
    <t>61 ↑ +0.05%</t>
  </si>
  <si>
    <t>184 ↑ +0.11%</t>
  </si>
  <si>
    <t>126 ↑ +0.22%</t>
  </si>
  <si>
    <t>118 ↑ +0.90%</t>
  </si>
  <si>
    <t>9 ↑ +0.47%</t>
  </si>
  <si>
    <t>68 ↑ +0.37%</t>
  </si>
  <si>
    <t>179 ↑ +0.48%</t>
  </si>
  <si>
    <t>132 ↑ +0.58%</t>
  </si>
  <si>
    <t>110 ↑ +1.02%</t>
  </si>
  <si>
    <t>4 ↓ -3.08%</t>
  </si>
  <si>
    <t>10 ↑ +0.04%</t>
  </si>
  <si>
    <t>70 ↑ +0.17%</t>
  </si>
  <si>
    <t>188 ↑ +0.36%</t>
  </si>
  <si>
    <t>125 ↑ +0.62%</t>
  </si>
  <si>
    <t>107 ↑ +0.53%</t>
  </si>
  <si>
    <t>4 ↓ -1.17%</t>
  </si>
  <si>
    <t>74 ↓ -0.17%</t>
  </si>
  <si>
    <t>193 ↓ -0.13%</t>
  </si>
  <si>
    <t>127 ↓ -0.21%</t>
  </si>
  <si>
    <t>96 ↓ -0.20%</t>
  </si>
  <si>
    <t>4 ↑ +1.60%</t>
  </si>
  <si>
    <t>75 ↑ +0.29%</t>
  </si>
  <si>
    <t>191 ↑ +0.20%</t>
  </si>
  <si>
    <t>124 ↑ +0.11%</t>
  </si>
  <si>
    <t>100 ↓ -0.32%</t>
  </si>
  <si>
    <t>4 ↑ +2.10%</t>
  </si>
  <si>
    <t>11 ↑ +2.60%</t>
  </si>
  <si>
    <t>78 ↑ +0.98%</t>
  </si>
  <si>
    <t>186 ↑ +1.05%</t>
  </si>
  <si>
    <t>123 ↑ +1.62%</t>
  </si>
  <si>
    <t>101 ↑ +2.33%</t>
  </si>
  <si>
    <t>5 ↑ +1.92%</t>
  </si>
  <si>
    <t>14 ↑ +0.11%</t>
  </si>
  <si>
    <t>94 ↓ -0.02%</t>
  </si>
  <si>
    <t>191 ↓ -0.12%</t>
  </si>
  <si>
    <t>116 ↓ -0.13%</t>
  </si>
  <si>
    <t>84 ↑ +0.01%</t>
  </si>
  <si>
    <t>6 ↓ -0.81%</t>
  </si>
  <si>
    <t>13 ↓ -0.78%</t>
  </si>
  <si>
    <t>90 ↓ -0.20%</t>
  </si>
  <si>
    <t>197 ↓ -0.35%</t>
  </si>
  <si>
    <t>109 ↓ -0.42%</t>
  </si>
  <si>
    <t>90 ↓ -1.16%</t>
  </si>
  <si>
    <t>6 ↑ +2.62%</t>
  </si>
  <si>
    <t>11 ↑ +0.65%</t>
  </si>
  <si>
    <t>87 ↑ +0.50%</t>
  </si>
  <si>
    <t>194 ↑ +0.28%</t>
  </si>
  <si>
    <t>114 ↑ +0.52%</t>
  </si>
  <si>
    <t>93 ↑ +0.68%</t>
  </si>
  <si>
    <t>6 ↓ -4.26%</t>
  </si>
  <si>
    <t>16 ↓ -0.17%</t>
  </si>
  <si>
    <t>87 ↓ -0.09%</t>
  </si>
  <si>
    <t>197 ↓ -0.21%</t>
  </si>
  <si>
    <t>110 ↓ -0.24%</t>
  </si>
  <si>
    <t>89 ↑ +0.47%</t>
  </si>
  <si>
    <t>6 ↓ -1.15%</t>
  </si>
  <si>
    <t>14 ↑ +0.94%</t>
  </si>
  <si>
    <t>89 ↑ +0.65%</t>
  </si>
  <si>
    <t>188 ↑ +0.94%</t>
  </si>
  <si>
    <t>122 ↑ +1.48%</t>
  </si>
  <si>
    <t>86 ↑ +1.93%</t>
  </si>
  <si>
    <t>7 ↓ -3.78%</t>
  </si>
  <si>
    <t>15 ↓ -1.64%</t>
  </si>
  <si>
    <t>106 ↓ -0.43%</t>
  </si>
  <si>
    <t>195 ↓ -0.18%</t>
  </si>
  <si>
    <t>106 ↓ -0.29%</t>
  </si>
  <si>
    <t>77 ↓ -0.45%</t>
  </si>
  <si>
    <t>5 ↓ -1.49%</t>
  </si>
  <si>
    <t>12 ↓ -0.82%</t>
  </si>
  <si>
    <t>107 ↓ -0.21%</t>
  </si>
  <si>
    <t>195 ↓ -0.34%</t>
  </si>
  <si>
    <t>110 ↓ -0.71%</t>
  </si>
  <si>
    <t>78 ↓ -1.82%</t>
  </si>
  <si>
    <t>5 ↓ -0.80%</t>
  </si>
  <si>
    <t>11 ↓ -0.64%</t>
  </si>
  <si>
    <t>101 ↓ -0.43%</t>
  </si>
  <si>
    <t>192 ↓ -0.66%</t>
  </si>
  <si>
    <t>113 ↓ -1.02%</t>
  </si>
  <si>
    <t>85 ↓ -0.28%</t>
  </si>
  <si>
    <t>4 ↓ -1.39%</t>
  </si>
  <si>
    <t>93 ↓ -0.47%</t>
  </si>
  <si>
    <t>185 ↓ -0.76%</t>
  </si>
  <si>
    <t>121 ↓ -1.16%</t>
  </si>
  <si>
    <t>94 ↓ -2.29%</t>
  </si>
  <si>
    <t>4 ↓ -0.22%</t>
  </si>
  <si>
    <t>8 ↓ -0.48%</t>
  </si>
  <si>
    <t>83 ↓ -0.24%</t>
  </si>
  <si>
    <t>182 ↓ -0.32%</t>
  </si>
  <si>
    <t>123 ↓ -0.17%</t>
  </si>
  <si>
    <t>107 ↓ -0.56%</t>
  </si>
  <si>
    <t>4 ↑ +0.80%</t>
  </si>
  <si>
    <t>8 ↑ +0.65%</t>
  </si>
  <si>
    <t>82 ↑ +0.42%</t>
  </si>
  <si>
    <t>178 ↑ +0.54%</t>
  </si>
  <si>
    <t>123 ↑ +0.29%</t>
  </si>
  <si>
    <t>112 ↑ +0.10%</t>
  </si>
  <si>
    <t>4 ↑ +0.54%</t>
  </si>
  <si>
    <t>12 ↑ +0.29%</t>
  </si>
  <si>
    <t>85 ↑ +0.23%</t>
  </si>
  <si>
    <t>181 ↑ +0.26%</t>
  </si>
  <si>
    <t>117 ↑ +0.72%</t>
  </si>
  <si>
    <t>108 ↑ +1.57%</t>
  </si>
  <si>
    <t>5 ↓ -1.63%</t>
  </si>
  <si>
    <t>10 ↓ -0.91%</t>
  </si>
  <si>
    <t>91 ↓ -0.47%</t>
  </si>
  <si>
    <t>185 ↓ -0.57%</t>
  </si>
  <si>
    <t>121 ↓ -0.48%</t>
  </si>
  <si>
    <t>96 ↓ -0.66%</t>
  </si>
  <si>
    <t>9 ↑ +0.00%</t>
  </si>
  <si>
    <t>86 ↑ +0.22%</t>
  </si>
  <si>
    <t>182 ↑ +0.33%</t>
  </si>
  <si>
    <t>129 ↑ +0.66%</t>
  </si>
  <si>
    <t>98 ↑ +0.57%</t>
  </si>
  <si>
    <t>4 ↓ -0.77%</t>
  </si>
  <si>
    <t>10 ↓ -1.72%</t>
  </si>
  <si>
    <t>88 ↓ -0.87%</t>
  </si>
  <si>
    <t>193 ↓ -0.96%</t>
  </si>
  <si>
    <t>124 ↓ -1.25%</t>
  </si>
  <si>
    <t>90 ↓ -1.43%</t>
  </si>
  <si>
    <t>3 ↑ +1.85%</t>
  </si>
  <si>
    <t>9 ↑ +0.79%</t>
  </si>
  <si>
    <t>81 ↑ +0.52%</t>
  </si>
  <si>
    <t>173 ↑ +0.65%</t>
  </si>
  <si>
    <t>134 ↑ +0.62%</t>
  </si>
  <si>
    <t>112 ↑ +1.47%</t>
  </si>
  <si>
    <t>3 ↓ -3.60%</t>
  </si>
  <si>
    <t>10 ↓ -0.45%</t>
  </si>
  <si>
    <t>84 ↓ -0.39%</t>
  </si>
  <si>
    <t>184 ↓ -0.16%</t>
  </si>
  <si>
    <t>127 ↓ -0.08%</t>
  </si>
  <si>
    <t>103 ↑ +0.36%</t>
  </si>
  <si>
    <t>3 ↓ -2.39%</t>
  </si>
  <si>
    <t>10 ↑ +0.56%</t>
  </si>
  <si>
    <t>86 ↑ +0.28%</t>
  </si>
  <si>
    <t>175 ↑ +0.39%</t>
  </si>
  <si>
    <t>139 ↑ +0.65%</t>
  </si>
  <si>
    <t>98 ↑ +1.68%</t>
  </si>
  <si>
    <t>3 ↓ -3.23%</t>
  </si>
  <si>
    <t>10 ↓ -1.97%</t>
  </si>
  <si>
    <t>91 ↓ -1.19%</t>
  </si>
  <si>
    <t>185 ↓ -1.03%</t>
  </si>
  <si>
    <t>131 ↓ -1.19%</t>
  </si>
  <si>
    <t>92 ↓ -1.40%</t>
  </si>
  <si>
    <t>1 ↓ -4.32%</t>
  </si>
  <si>
    <t>7 ↓ -2.19%</t>
  </si>
  <si>
    <t>69 ↓ -1.16%</t>
  </si>
  <si>
    <t>186 ↓ -1.17%</t>
  </si>
  <si>
    <t>144 ↓ -1.05%</t>
  </si>
  <si>
    <t>106 ↓ -0.63%</t>
  </si>
  <si>
    <t>1 ↓ -1.03%</t>
  </si>
  <si>
    <t>5 ↓ -0.97%</t>
  </si>
  <si>
    <t>62 ↓ -0.46%</t>
  </si>
  <si>
    <t>169 ↓ -0.59%</t>
  </si>
  <si>
    <t>150 ↓ -0.85%</t>
  </si>
  <si>
    <t>129 ↓ -0.96%</t>
  </si>
  <si>
    <t>1 ↑ +0.58%</t>
  </si>
  <si>
    <t>4 ↑ +2.25%</t>
  </si>
  <si>
    <t>56 ↑ +1.01%</t>
  </si>
  <si>
    <t>173 ↑ +0.79%</t>
  </si>
  <si>
    <t>133 ↑ +0.88%</t>
  </si>
  <si>
    <t>152 ↑ +0.98%</t>
  </si>
  <si>
    <t>1 ↑ +0.64%</t>
  </si>
  <si>
    <t>8 ↑ +2.13%</t>
  </si>
  <si>
    <t>64 ↑ +1.21%</t>
  </si>
  <si>
    <t>174 ↑ +1.04%</t>
  </si>
  <si>
    <t>141 ↑ +0.96%</t>
  </si>
  <si>
    <t>132 ↑ +1.28%</t>
  </si>
  <si>
    <t>2 ↓ -0.27%</t>
  </si>
  <si>
    <t>10 ↑ +0.38%</t>
  </si>
  <si>
    <t>75 ↑ +0.88%</t>
  </si>
  <si>
    <t>181 ↑ +0.84%</t>
  </si>
  <si>
    <t>138 ↑ +0.62%</t>
  </si>
  <si>
    <t>115 ↑ +0.39%</t>
  </si>
  <si>
    <t>2 ↑ +1.61%</t>
  </si>
  <si>
    <t>14 ↑ +0.39%</t>
  </si>
  <si>
    <t>181 ↑ +0.07%</t>
  </si>
  <si>
    <t>127 ↑ +0.02%</t>
  </si>
  <si>
    <t>114 ↑ +0.46%</t>
  </si>
  <si>
    <t>2 ↑ +1.16%</t>
  </si>
  <si>
    <t>14 ↑ +0.76%</t>
  </si>
  <si>
    <t>84 ↑ +0.45%</t>
  </si>
  <si>
    <t>184 ↑ +0.54%</t>
  </si>
  <si>
    <t>126 ↑ +0.48%</t>
  </si>
  <si>
    <t>112 ↑ +0.69%</t>
  </si>
  <si>
    <t>16 ↑ +0.82%</t>
  </si>
  <si>
    <t>91 ↑ +0.43%</t>
  </si>
  <si>
    <t>178 ↑ +0.40%</t>
  </si>
  <si>
    <t>131 ↑ +0.71%</t>
  </si>
  <si>
    <t>105 ↑ +1.31%</t>
  </si>
  <si>
    <t>4 ↓ -1.13%</t>
  </si>
  <si>
    <t>14 ↓ -1.28%</t>
  </si>
  <si>
    <t>99 ↓ -0.56%</t>
  </si>
  <si>
    <t>182 ↓ -0.74%</t>
  </si>
  <si>
    <t>123 ↓ -1.00%</t>
  </si>
  <si>
    <t>100 ↓ -0.38%</t>
  </si>
  <si>
    <t>3 ↓ -0.51%</t>
  </si>
  <si>
    <t>95 ↑ +0.10%</t>
  </si>
  <si>
    <t>175 ↑ +0.13%</t>
  </si>
  <si>
    <t>127 ↑ +0.04%</t>
  </si>
  <si>
    <t>112 ↑ +0.20%</t>
  </si>
  <si>
    <t>3 ↑ +2.86%</t>
  </si>
  <si>
    <t>13 ↑ +1.21%</t>
  </si>
  <si>
    <t>94 ↑ +0.86%</t>
  </si>
  <si>
    <t>179 ↑ +0.65%</t>
  </si>
  <si>
    <t>123 ↑ +0.85%</t>
  </si>
  <si>
    <t>113 ↑ +1.41%</t>
  </si>
  <si>
    <t>17 ↑ +1.38%</t>
  </si>
  <si>
    <t>101 ↑ +0.68%</t>
  </si>
  <si>
    <t>190 ↑ +0.61%</t>
  </si>
  <si>
    <t>113 ↑ +0.77%</t>
  </si>
  <si>
    <t>102 ↑ +1.73%</t>
  </si>
  <si>
    <t>4 ↑ +0.74%</t>
  </si>
  <si>
    <t>21 ↑ +0.82%</t>
  </si>
  <si>
    <t>110 ↑ +0.47%</t>
  </si>
  <si>
    <t>186 ↑ +0.38%</t>
  </si>
  <si>
    <t>118 ↑ +0.11%</t>
  </si>
  <si>
    <t>89 ↑ +0.10%</t>
  </si>
  <si>
    <t>5 ↓ -0.99%</t>
  </si>
  <si>
    <t>22 ↑ +0.39%</t>
  </si>
  <si>
    <t>115 ↑ +0.38%</t>
  </si>
  <si>
    <t>184 ↑ +0.65%</t>
  </si>
  <si>
    <t>109 ↑ +1.06%</t>
  </si>
  <si>
    <t>94 ↑ +1.97%</t>
  </si>
  <si>
    <t>5 ↑ +2.32%</t>
  </si>
  <si>
    <t>25 ↓ -0.09%</t>
  </si>
  <si>
    <t>129 ↓ -0.13%</t>
  </si>
  <si>
    <t>180 ↓ -0.21%</t>
  </si>
  <si>
    <t>81 ↓ -1.46%</t>
  </si>
  <si>
    <t>27 ↑ +0.59%</t>
  </si>
  <si>
    <t>127 ↑ +0.13%</t>
  </si>
  <si>
    <t>177 ↑ +0.05%</t>
  </si>
  <si>
    <t>102 ↑ +0.29%</t>
  </si>
  <si>
    <t>92 ↑ +0.80%</t>
  </si>
  <si>
    <t>5 ↓ -1.61%</t>
  </si>
  <si>
    <t>28 ↓ -0.66%</t>
  </si>
  <si>
    <t>126 ↓ -0.75%</t>
  </si>
  <si>
    <t>176 ↓ -0.99%</t>
  </si>
  <si>
    <t>107 ↓ -1.57%</t>
  </si>
  <si>
    <t>91 ↓ -1.89%</t>
  </si>
  <si>
    <t>4 ↑ +0.93%</t>
  </si>
  <si>
    <t>26 ↑ +0.55%</t>
  </si>
  <si>
    <t>114 ↑ +0.26%</t>
  </si>
  <si>
    <t>176 ↑ +0.05%</t>
  </si>
  <si>
    <t>109 ↑ +0.08%</t>
  </si>
  <si>
    <t>104 ↓ -0.46%</t>
  </si>
  <si>
    <t>6 ↑ +2.53%</t>
  </si>
  <si>
    <t>29 ↑ +1.10%</t>
  </si>
  <si>
    <t>111 ↑ +0.76%</t>
  </si>
  <si>
    <t>179 ↑ +0.84%</t>
  </si>
  <si>
    <t>103 ↑ +1.04%</t>
  </si>
  <si>
    <t>105 ↑ +1.94%</t>
  </si>
  <si>
    <t>7 ↓ -0.87%</t>
  </si>
  <si>
    <t>32 ↑ +0.03%</t>
  </si>
  <si>
    <t>118 ↑ +0.62%</t>
  </si>
  <si>
    <t>176 ↑ +1.00%</t>
  </si>
  <si>
    <t>107 ↑ +1.40%</t>
  </si>
  <si>
    <t>91 ↑ +2.01%</t>
  </si>
  <si>
    <t>7 ↓ -2.44%</t>
  </si>
  <si>
    <t>31 ↓ -1.20%</t>
  </si>
  <si>
    <t>132 ↓ -0.90%</t>
  </si>
  <si>
    <t>185 ↓ -0.89%</t>
  </si>
  <si>
    <t>94 ↓ -1.43%</t>
  </si>
  <si>
    <t>83 ↓ -1.47%</t>
  </si>
  <si>
    <t>7 ↑ +0.66%</t>
  </si>
  <si>
    <t>26 ↓ -0.74%</t>
  </si>
  <si>
    <t>123 ↓ -0.43%</t>
  </si>
  <si>
    <t>186 ↓ -0.78%</t>
  </si>
  <si>
    <t>95 ↓ -0.69%</t>
  </si>
  <si>
    <t>96 ↓ -1.17%</t>
  </si>
  <si>
    <t>6 ↓ -0.79%</t>
  </si>
  <si>
    <t>23 ↓ -0.88%</t>
  </si>
  <si>
    <t>116 ↓ -0.93%</t>
  </si>
  <si>
    <t>178 ↓ -1.22%</t>
  </si>
  <si>
    <t>109 ↓ -1.58%</t>
  </si>
  <si>
    <t>101 ↓ -1.63%</t>
  </si>
  <si>
    <t>5 ↓ -0.22%</t>
  </si>
  <si>
    <t>18 ↓ -0.19%</t>
  </si>
  <si>
    <t>105 ↓ -0.18%</t>
  </si>
  <si>
    <t>171 ↓ -0.24%</t>
  </si>
  <si>
    <t>115 ↓ -0.23%</t>
  </si>
  <si>
    <t>119 ↑ +0.62%</t>
  </si>
  <si>
    <t>21 ↑ +0.26%</t>
  </si>
  <si>
    <t>96 ↓ -0.25%</t>
  </si>
  <si>
    <t>172 ↓ -0.39%</t>
  </si>
  <si>
    <t>118 ↓ -0.84%</t>
  </si>
  <si>
    <t>123 ↓ -0.54%</t>
  </si>
  <si>
    <t>5 ↑ +1.36%</t>
  </si>
  <si>
    <t>21 ↑ +1.02%</t>
  </si>
  <si>
    <t>90 ↑ +0.68%</t>
  </si>
  <si>
    <t>165 ↑ +1.21%</t>
  </si>
  <si>
    <t>119 ↑ +1.71%</t>
  </si>
  <si>
    <t>131 ↑ +2.38%</t>
  </si>
  <si>
    <t>6 ↓ -1.02%</t>
  </si>
  <si>
    <t>23 ↓ -0.26%</t>
  </si>
  <si>
    <t>98 ↓ -0.24%</t>
  </si>
  <si>
    <t>185 ↓ -0.35%</t>
  </si>
  <si>
    <t>109 ↓ -0.27%</t>
  </si>
  <si>
    <t>110 ↑ +0.79%</t>
  </si>
  <si>
    <t>8 ↑ +0.66%</t>
  </si>
  <si>
    <t>20 ↑ +0.78%</t>
  </si>
  <si>
    <t>100 ↑ +0.86%</t>
  </si>
  <si>
    <t>178 ↑ +0.96%</t>
  </si>
  <si>
    <t>116 ↑ +0.96%</t>
  </si>
  <si>
    <t>110 ↑ +1.47%</t>
  </si>
  <si>
    <t>9 ↓ -0.29%</t>
  </si>
  <si>
    <t>21 ↓ -0.11%</t>
  </si>
  <si>
    <t>119 ↓ -0.09%</t>
  </si>
  <si>
    <t>178 ↑ +0.13%</t>
  </si>
  <si>
    <t>108 ↑ +0.07%</t>
  </si>
  <si>
    <t>98 ↑ +0.93%</t>
  </si>
  <si>
    <t>9 ↑ +1.87%</t>
  </si>
  <si>
    <t>20 ↑ +0.74%</t>
  </si>
  <si>
    <t>121 ↑ +0.78%</t>
  </si>
  <si>
    <t>173 ↑ +1.02%</t>
  </si>
  <si>
    <t>111 ↑ +1.37%</t>
  </si>
  <si>
    <t>98 ↑ +1.83%</t>
  </si>
  <si>
    <t>9 ↑ +1.27%</t>
  </si>
  <si>
    <t>25 ↑ +0.39%</t>
  </si>
  <si>
    <t>140 ↑ +0.56%</t>
  </si>
  <si>
    <t>176 ↑ +0.75%</t>
  </si>
  <si>
    <t>100 ↑ +1.31%</t>
  </si>
  <si>
    <t>82 ↑ +1.30%</t>
  </si>
  <si>
    <t>9 ↓ -2.10%</t>
  </si>
  <si>
    <t>32 ↓ -0.40%</t>
  </si>
  <si>
    <t>142 ↓ -0.28%</t>
  </si>
  <si>
    <t>182 ↓ -0.67%</t>
  </si>
  <si>
    <t>93 ↓ -1.26%</t>
  </si>
  <si>
    <t>74 ↓ -2.16%</t>
  </si>
  <si>
    <t>8 ↑ +3.30%</t>
  </si>
  <si>
    <t>30 ↑ +0.75%</t>
  </si>
  <si>
    <t>144 ↑ +0.41%</t>
  </si>
  <si>
    <t>170 ↑ +0.43%</t>
  </si>
  <si>
    <t>90 ↑ +0.51%</t>
  </si>
  <si>
    <t>89 ↑ +0.72%</t>
  </si>
  <si>
    <t>8 ↓ -1.02%</t>
  </si>
  <si>
    <t>34 ↓ -0.40%</t>
  </si>
  <si>
    <t>147 ↓ -0.44%</t>
  </si>
  <si>
    <t>167 ↓ -0.45%</t>
  </si>
  <si>
    <t>90 ↓ -0.49%</t>
  </si>
  <si>
    <t>85 ↑ +0.37%</t>
  </si>
  <si>
    <t>8 ↓ -3.24%</t>
  </si>
  <si>
    <t>32 ↓ -1.44%</t>
  </si>
  <si>
    <t>133 ↓ -0.95%</t>
  </si>
  <si>
    <t>176 ↓ -1.12%</t>
  </si>
  <si>
    <t>96 ↓ -1.52%</t>
  </si>
  <si>
    <t>87 ↓ -1.96%</t>
  </si>
  <si>
    <t>7 ↑ +3.89%</t>
  </si>
  <si>
    <t>23 ↑ +0.91%</t>
  </si>
  <si>
    <t>131 ↑ +0.65%</t>
  </si>
  <si>
    <t>160 ↑ +0.67%</t>
  </si>
  <si>
    <t>114 ↑ +0.69%</t>
  </si>
  <si>
    <t>98 ↑ +1.25%</t>
  </si>
  <si>
    <t>7 ↑ +6.66%</t>
  </si>
  <si>
    <t>32 ↑ +1.75%</t>
  </si>
  <si>
    <t>131 ↑ +1.06%</t>
  </si>
  <si>
    <t>172 ↑ +0.94%</t>
  </si>
  <si>
    <t>95 ↑ +1.29%</t>
  </si>
  <si>
    <t>97 ↑ +0.81%</t>
  </si>
  <si>
    <t>9 ↓ -0.55%</t>
  </si>
  <si>
    <t>40 ↓ -0.68%</t>
  </si>
  <si>
    <t>138 ↓ -0.82%</t>
  </si>
  <si>
    <t>178 ↓ -0.84%</t>
  </si>
  <si>
    <t>86 ↓ -0.96%</t>
  </si>
  <si>
    <t>84 ↓ -0.57%</t>
  </si>
  <si>
    <t>10 ↑ +3.13%</t>
  </si>
  <si>
    <t>36 ↑ +1.04%</t>
  </si>
  <si>
    <t>123 ↑ +0.45%</t>
  </si>
  <si>
    <t>175 ↑ +0.47%</t>
  </si>
  <si>
    <t>99 ↑ +0.23%</t>
  </si>
  <si>
    <t>92 ↑ +0.14%</t>
  </si>
  <si>
    <t>11 ↑ +2.13%</t>
  </si>
  <si>
    <t>39 ↑ +0.78%</t>
  </si>
  <si>
    <t>129 ↑ +0.24%</t>
  </si>
  <si>
    <t>175 ↑ +0.20%</t>
  </si>
  <si>
    <t>89 ↓ -0.02%</t>
  </si>
  <si>
    <t>92 ↑ +0.30%</t>
  </si>
  <si>
    <t>12 ↑ +3.22%</t>
  </si>
  <si>
    <t>44 ↑ +1.35%</t>
  </si>
  <si>
    <t>129 ↑ +0.89%</t>
  </si>
  <si>
    <t>170 ↑ +0.72%</t>
  </si>
  <si>
    <t>88 ↑ +0.71%</t>
  </si>
  <si>
    <t>92 ↑ +2.12%</t>
  </si>
  <si>
    <t>14 ↑ +0.95%</t>
  </si>
  <si>
    <t>47 ↑ +0.65%</t>
  </si>
  <si>
    <t>140 ↑ +1.03%</t>
  </si>
  <si>
    <t>160 ↑ +1.20%</t>
  </si>
  <si>
    <t>90 ↑ +2.00%</t>
  </si>
  <si>
    <t>84 ↑ +2.22%</t>
  </si>
  <si>
    <t>16 ↑ +0.20%</t>
  </si>
  <si>
    <t>50 ↑ +0.05%</t>
  </si>
  <si>
    <t>157 ↑ +0.03%</t>
  </si>
  <si>
    <t>166 ↓ -0.03%</t>
  </si>
  <si>
    <t>77 ↑ +0.22%</t>
  </si>
  <si>
    <t>69 ↑ +0.03%</t>
  </si>
  <si>
    <t>53 ↑ +0.41%</t>
  </si>
  <si>
    <t>156 ↑ +0.41%</t>
  </si>
  <si>
    <t>167 ↑ +0.43%</t>
  </si>
  <si>
    <t>73 ↑ +0.46%</t>
  </si>
  <si>
    <t>70 ↑ +0.38%</t>
  </si>
  <si>
    <t>18 ↑ +0.58%</t>
  </si>
  <si>
    <t>55 ↑ +0.32%</t>
  </si>
  <si>
    <t>159 ↓ -0.01%</t>
  </si>
  <si>
    <t>169 ↓ -0.12%</t>
  </si>
  <si>
    <t>71 ↓ -0.52%</t>
  </si>
  <si>
    <t>63 ↓ -0.07%</t>
  </si>
  <si>
    <t>20 ↑ +1.67%</t>
  </si>
  <si>
    <t>57 ↑ +1.33%</t>
  </si>
  <si>
    <t>149 ↑ +1.26%</t>
  </si>
  <si>
    <t>167 ↑ +1.76%</t>
  </si>
  <si>
    <t>74 ↑ +2.42%</t>
  </si>
  <si>
    <t>68 ↑ +3.36%</t>
  </si>
  <si>
    <t>24 ↓ -2.23%</t>
  </si>
  <si>
    <t>72 ↓ -1.81%</t>
  </si>
  <si>
    <t>157 ↓ -1.32%</t>
  </si>
  <si>
    <t>164 ↓ -1.71%</t>
  </si>
  <si>
    <t>62 ↓ -2.21%</t>
  </si>
  <si>
    <t>56 ↓ -1.72%</t>
  </si>
  <si>
    <t>55 ↑ +0.52%</t>
  </si>
  <si>
    <t>154 ↑ +0.08%</t>
  </si>
  <si>
    <t>161 ↑ +0.14%</t>
  </si>
  <si>
    <t>86 ↑ +0.04%</t>
  </si>
  <si>
    <t>62 ↓ -0.04%</t>
  </si>
  <si>
    <t>18 ↓ -5.20%</t>
  </si>
  <si>
    <t>56 ↓ -3.67%</t>
  </si>
  <si>
    <t>156 ↓ -3.58%</t>
  </si>
  <si>
    <t>160 ↓ -4.42%</t>
  </si>
  <si>
    <t>77 ↓ -5.84%</t>
  </si>
  <si>
    <t>68 ↓ -4.21%</t>
  </si>
  <si>
    <t>13 ↑ +4.55%</t>
  </si>
  <si>
    <t>34 ↑ +2.11%</t>
  </si>
  <si>
    <t>112 ↑ +2.12%</t>
  </si>
  <si>
    <t>152 ↑ +2.60%</t>
  </si>
  <si>
    <t>107 ↑ +3.52%</t>
  </si>
  <si>
    <t>116 ↑ +6.32%</t>
  </si>
  <si>
    <t>15 ↑ +5.38%</t>
  </si>
  <si>
    <t>56 ↑ +2.81%</t>
  </si>
  <si>
    <t>129 ↑ +2.14%</t>
  </si>
  <si>
    <t>166 ↑ +2.68%</t>
  </si>
  <si>
    <t>100 ↑ +3.65%</t>
  </si>
  <si>
    <t>70 ↑ +4.72%</t>
  </si>
  <si>
    <t>21 ↑ +3.67%</t>
  </si>
  <si>
    <t>73 ↑ +2.18%</t>
  </si>
  <si>
    <t>147 ↑ +1.58%</t>
  </si>
  <si>
    <t>182 ↑ +1.51%</t>
  </si>
  <si>
    <t>63 ↑ +1.48%</t>
  </si>
  <si>
    <t>50 ↑ +1.86%</t>
  </si>
  <si>
    <t>37 ↑ +1.70%</t>
  </si>
  <si>
    <t>79 ↑ +1.39%</t>
  </si>
  <si>
    <t>162 ↑ +1.33%</t>
  </si>
  <si>
    <t>165 ↑ +1.71%</t>
  </si>
  <si>
    <t>51 ↑ +1.83%</t>
  </si>
  <si>
    <t>42 ↑ +2.00%</t>
  </si>
  <si>
    <t>43 ↑ +0.86%</t>
  </si>
  <si>
    <t>86 ↑ +0.94%</t>
  </si>
  <si>
    <t>186 ↑ +0.39%</t>
  </si>
  <si>
    <t>147 ↑ +0.41%</t>
  </si>
  <si>
    <t>39 ↑ +0.51%</t>
  </si>
  <si>
    <t>35 ↑ +0.27%</t>
  </si>
  <si>
    <t>47 ↑ +2.18%</t>
  </si>
  <si>
    <t>89 ↑ +2.04%</t>
  </si>
  <si>
    <t>194 ↑ +1.93%</t>
  </si>
  <si>
    <t>134 ↑ +2.46%</t>
  </si>
  <si>
    <t>36 ↑ +2.91%</t>
  </si>
  <si>
    <t>36 ↑ +2.70%</t>
  </si>
  <si>
    <t>62 ↓ -0.29%</t>
  </si>
  <si>
    <t>103 ↓ -0.23%</t>
  </si>
  <si>
    <t>210 ↓ -0.03%</t>
  </si>
  <si>
    <t>105 ↑ +0.09%</t>
  </si>
  <si>
    <t>26 ↓ -0.06%</t>
  </si>
  <si>
    <t>30 ↑ +0.09%</t>
  </si>
  <si>
    <t>60 ↓ -0.71%</t>
  </si>
  <si>
    <t>102 ↓ -0.62%</t>
  </si>
  <si>
    <t>213 ↓ -0.44%</t>
  </si>
  <si>
    <t>105 ↓ -0.40%</t>
  </si>
  <si>
    <t>26 ↓ -0.03%</t>
  </si>
  <si>
    <t>30 ↓ -0.50%</t>
  </si>
  <si>
    <t>53 ↑ +0.61%</t>
  </si>
  <si>
    <t>103 ↑ +0.67%</t>
  </si>
  <si>
    <t>212 ↑ +0.71%</t>
  </si>
  <si>
    <t>104 ↑ +0.83%</t>
  </si>
  <si>
    <t>32 ↑ +1.20%</t>
  </si>
  <si>
    <t>32 ↑ +1.54%</t>
  </si>
  <si>
    <t>59 ↓ -1.50%</t>
  </si>
  <si>
    <t>105 ↓ -0.72%</t>
  </si>
  <si>
    <t>219 ↓ -0.42%</t>
  </si>
  <si>
    <t>102 ↓ -0.33%</t>
  </si>
  <si>
    <t>22 ↓ -0.45%</t>
  </si>
  <si>
    <t>29 ↑ +1.16%</t>
  </si>
  <si>
    <t>51 ↓ -0.94%</t>
  </si>
  <si>
    <t>102 ↓ -0.57%</t>
  </si>
  <si>
    <t>218 ↓ -0.47%</t>
  </si>
  <si>
    <t>108 ↓ -0.52%</t>
  </si>
  <si>
    <t>29 ↓ -0.90%</t>
  </si>
  <si>
    <t>28 ↓ -3.00%</t>
  </si>
  <si>
    <t>46 ↓ -0.11%</t>
  </si>
  <si>
    <t>101 ↓ -0.24%</t>
  </si>
  <si>
    <t>219 ↓ -0.20%</t>
  </si>
  <si>
    <t>107 ↓ -0.15%</t>
  </si>
  <si>
    <t>30 ↓ -0.58%</t>
  </si>
  <si>
    <t>32 ↓ -0.10%</t>
  </si>
  <si>
    <t>46 ↓ -0.18%</t>
  </si>
  <si>
    <t>100 ↓ -0.28%</t>
  </si>
  <si>
    <t>209 ↓ -0.15%</t>
  </si>
  <si>
    <t>115 ↓ -0.36%</t>
  </si>
  <si>
    <t>32 ↓ -0.38%</t>
  </si>
  <si>
    <t>33 ↓ -0.61%</t>
  </si>
  <si>
    <t>43 ↓ -1.09%</t>
  </si>
  <si>
    <t>99 ↓ -0.70%</t>
  </si>
  <si>
    <t>213 ↓ -0.46%</t>
  </si>
  <si>
    <t>111 ↓ -0.25%</t>
  </si>
  <si>
    <t>34 ↓ -0.05%</t>
  </si>
  <si>
    <t>34 ↓ -1.22%</t>
  </si>
  <si>
    <t>41 ↓ -0.58%</t>
  </si>
  <si>
    <t>95 ↓ -0.43%</t>
  </si>
  <si>
    <t>206 ↓ -0.36%</t>
  </si>
  <si>
    <t>121 ↓ -0.35%</t>
  </si>
  <si>
    <t>34 ↓ -0.21%</t>
  </si>
  <si>
    <t>40 ↓ -0.49%</t>
  </si>
  <si>
    <t>93 ↓ -0.41%</t>
  </si>
  <si>
    <t>209 ↓ -0.43%</t>
  </si>
  <si>
    <t>122 ↓ -0.59%</t>
  </si>
  <si>
    <t>34 ↓ -0.96%</t>
  </si>
  <si>
    <t>36 ↓ -0.84%</t>
  </si>
  <si>
    <t>37 ↑ +1.87%</t>
  </si>
  <si>
    <t>86 ↑ +1.03%</t>
  </si>
  <si>
    <t>203 ↑ +0.77%</t>
  </si>
  <si>
    <t>129 ↑ +0.53%</t>
  </si>
  <si>
    <t>37 ↑ +1.36%</t>
  </si>
  <si>
    <t>47 ↑ +0.45%</t>
  </si>
  <si>
    <t>93 ↑ +0.24%</t>
  </si>
  <si>
    <t>198 ↑ +0.17%</t>
  </si>
  <si>
    <t>122 ↓ -0.07%</t>
  </si>
  <si>
    <t>36 ↓ -0.35%</t>
  </si>
  <si>
    <t>37 ↑ +0.72%</t>
  </si>
  <si>
    <t>47 ↑ +0.37%</t>
  </si>
  <si>
    <t>95 ↑ +0.43%</t>
  </si>
  <si>
    <t>197 ↑ +0.16%</t>
  </si>
  <si>
    <t>121 ↑ +0.30%</t>
  </si>
  <si>
    <t>34 ↑ +0.22%</t>
  </si>
  <si>
    <t>37 ↑ +0.13%</t>
  </si>
  <si>
    <t>49 ↓ -0.65%</t>
  </si>
  <si>
    <t>97 ↓ -0.68%</t>
  </si>
  <si>
    <t>199 ↓ -0.85%</t>
  </si>
  <si>
    <t>114 ↓ -1.01%</t>
  </si>
  <si>
    <t>35 ↓ -1.01%</t>
  </si>
  <si>
    <t>36 ↓ -0.76%</t>
  </si>
  <si>
    <t>48 ↑ +1.79%</t>
  </si>
  <si>
    <t>92 ↑ +1.34%</t>
  </si>
  <si>
    <t>179 ↑ +1.02%</t>
  </si>
  <si>
    <t>132 ↑ +1.12%</t>
  </si>
  <si>
    <t>39 ↑ +1.20%</t>
  </si>
  <si>
    <t>40 ↑ +1.13%</t>
  </si>
  <si>
    <t>54 ↑ +1.09%</t>
  </si>
  <si>
    <t>97 ↑ +1.03%</t>
  </si>
  <si>
    <t>191 ↑ +0.99%</t>
  </si>
  <si>
    <t>116 ↑ +1.10%</t>
  </si>
  <si>
    <t>36 ↑ +1.36%</t>
  </si>
  <si>
    <t>36 ↑ +0.64%</t>
  </si>
  <si>
    <t>59 ↓ -0.06%</t>
  </si>
  <si>
    <t>103 ↑ +0.33%</t>
  </si>
  <si>
    <t>202 ↑ +0.20%</t>
  </si>
  <si>
    <t>101 ↑ +0.22%</t>
  </si>
  <si>
    <t>32 ↑ +0.38%</t>
  </si>
  <si>
    <t>59 ↓ -0.12%</t>
  </si>
  <si>
    <t>102 ↓ -0.48%</t>
  </si>
  <si>
    <t>206 ↓ -0.45%</t>
  </si>
  <si>
    <t>98 ↓ -0.64%</t>
  </si>
  <si>
    <t>34 ↓ -1.09%</t>
  </si>
  <si>
    <t>29 ↑ +0.35%</t>
  </si>
  <si>
    <t>58 ↑ +1.10%</t>
  </si>
  <si>
    <t>102 ↑ +1.79%</t>
  </si>
  <si>
    <t>200 ↑ +1.27%</t>
  </si>
  <si>
    <t>100 ↑ +1.08%</t>
  </si>
  <si>
    <t>34 ↑ +0.81%</t>
  </si>
  <si>
    <t>34 ↓ -0.38%</t>
  </si>
  <si>
    <t>73 ↓ -0.01%</t>
  </si>
  <si>
    <t>109 ↓ -0.00%</t>
  </si>
  <si>
    <t>204 ↑ +0.04%</t>
  </si>
  <si>
    <t>82 ↑ +0.36%</t>
  </si>
  <si>
    <t>28 ↑ +0.50%</t>
  </si>
  <si>
    <t>32 ↑ +0.67%</t>
  </si>
  <si>
    <t>73 ↓ -0.69%</t>
  </si>
  <si>
    <t>105 ↓ -0.66%</t>
  </si>
  <si>
    <t>205 ↓ -0.46%</t>
  </si>
  <si>
    <t>89 ↓ -0.52%</t>
  </si>
  <si>
    <t>23 ↓ -0.57%</t>
  </si>
  <si>
    <t>32 ↑ +0.69%</t>
  </si>
  <si>
    <t>70 ↑ +0.41%</t>
  </si>
  <si>
    <t>95 ↑ +0.28%</t>
  </si>
  <si>
    <t>212 ↑ +0.32%</t>
  </si>
  <si>
    <t>89 ↑ +0.14%</t>
  </si>
  <si>
    <t>26 ↑ +0.49%</t>
  </si>
  <si>
    <t>35 ↑ +1.13%</t>
  </si>
  <si>
    <t>71 ↓ -1.06%</t>
  </si>
  <si>
    <t>101 ↓ -1.41%</t>
  </si>
  <si>
    <t>206 ↓ -1.29%</t>
  </si>
  <si>
    <t>92 ↓ -0.99%</t>
  </si>
  <si>
    <t>26 ↓ -1.33%</t>
  </si>
  <si>
    <t>31 ↓ -0.70%</t>
  </si>
  <si>
    <t>65 ↑ +0.58%</t>
  </si>
  <si>
    <t>206 ↑ +0.39%</t>
  </si>
  <si>
    <t>99 ↑ +0.47%</t>
  </si>
  <si>
    <t>36 ↑ +0.39%</t>
  </si>
  <si>
    <t>35 ↑ +0.17%</t>
  </si>
  <si>
    <t>65 ↓ -2.02%</t>
  </si>
  <si>
    <t>89 ↓ -2.22%</t>
  </si>
  <si>
    <t>212 ↓ -1.44%</t>
  </si>
  <si>
    <t>95 ↓ -1.25%</t>
  </si>
  <si>
    <t>32 ↓ -1.40%</t>
  </si>
  <si>
    <t>34 ↓ -1.13%</t>
  </si>
  <si>
    <t>56 ↓ -0.41%</t>
  </si>
  <si>
    <t>80 ↓ -0.98%</t>
  </si>
  <si>
    <t>197 ↓ -0.53%</t>
  </si>
  <si>
    <t>119 ↓ -0.42%</t>
  </si>
  <si>
    <t>37 ↑ +0.48%</t>
  </si>
  <si>
    <t>51 ↓ -0.43%</t>
  </si>
  <si>
    <t>76 ↓ -0.74%</t>
  </si>
  <si>
    <t>191 ↓ -0.47%</t>
  </si>
  <si>
    <t>130 ↓ -0.44%</t>
  </si>
  <si>
    <t>36 ↓ -0.09%</t>
  </si>
  <si>
    <t>41 ↑ +0.26%</t>
  </si>
  <si>
    <t>47 ↑ +0.12%</t>
  </si>
  <si>
    <t>73 ↓ -0.20%</t>
  </si>
  <si>
    <t>189 ↓ -0.05%</t>
  </si>
  <si>
    <t>137 ↑ +0.01%</t>
  </si>
  <si>
    <t>40 ↑ +0.23%</t>
  </si>
  <si>
    <t>39 ↑ +0.81%</t>
  </si>
  <si>
    <t>46 ↓ -0.13%</t>
  </si>
  <si>
    <t>75 ↓ -0.38%</t>
  </si>
  <si>
    <t>188 ↓ -0.41%</t>
  </si>
  <si>
    <t>139 ↓ -0.47%</t>
  </si>
  <si>
    <t>37 ↓ -0.34%</t>
  </si>
  <si>
    <t>40 ↓ -0.19%</t>
  </si>
  <si>
    <t>49 ↑ +0.21%</t>
  </si>
  <si>
    <t>70 ↓ -0.17%</t>
  </si>
  <si>
    <t>180 ↓ -0.14%</t>
  </si>
  <si>
    <t>147 ↓ -0.09%</t>
  </si>
  <si>
    <t>40 ↓ -0.34%</t>
  </si>
  <si>
    <t>46 ↑ +0.20%</t>
  </si>
  <si>
    <t>73 ↓ -0.12%</t>
  </si>
  <si>
    <t>176 ↓ -0.17%</t>
  </si>
  <si>
    <t>150 ↓ -0.28%</t>
  </si>
  <si>
    <t>44 ↑ +0.06%</t>
  </si>
  <si>
    <t>37 ↓ -1.00%</t>
  </si>
  <si>
    <t>44 ↓ -0.47%</t>
  </si>
  <si>
    <t>70 ↓ -0.02%</t>
  </si>
  <si>
    <t>178 ↑ +0.11%</t>
  </si>
  <si>
    <t>149 ↑ +0.30%</t>
  </si>
  <si>
    <t>49 ↑ +0.80%</t>
  </si>
  <si>
    <t>37 ↑ +1.38%</t>
  </si>
  <si>
    <t>72 ↑ +0.26%</t>
  </si>
  <si>
    <t>185 ↑ +0.40%</t>
  </si>
  <si>
    <t>147 ↑ +0.50%</t>
  </si>
  <si>
    <t>42 ↑ +0.57%</t>
  </si>
  <si>
    <t>37 ↑ +0.54%</t>
  </si>
  <si>
    <t>47 ↓ -1.25%</t>
  </si>
  <si>
    <t>71 ↓ -0.98%</t>
  </si>
  <si>
    <t>190 ↓ -1.06%</t>
  </si>
  <si>
    <t>144 ↓ -1.40%</t>
  </si>
  <si>
    <t>37 ↓ -1.31%</t>
  </si>
  <si>
    <t>38 ↓ -1.68%</t>
  </si>
  <si>
    <t>40 ↓ -0.58%</t>
  </si>
  <si>
    <t>71 ↓ -0.63%</t>
  </si>
  <si>
    <t>177 ↓ -0.43%</t>
  </si>
  <si>
    <t>146 ↓ -0.57%</t>
  </si>
  <si>
    <t>54 ↓ -0.99%</t>
  </si>
  <si>
    <t>38 ↓ -0.28%</t>
  </si>
  <si>
    <t>38 ↑ +0.30%</t>
  </si>
  <si>
    <t>64 ↑ +0.15%</t>
  </si>
  <si>
    <t>176 ↑ +0.10%</t>
  </si>
  <si>
    <t>150 ↓ -0.03%</t>
  </si>
  <si>
    <t>57 ↑ +0.20%</t>
  </si>
  <si>
    <t>41 ↑ +0.39%</t>
  </si>
  <si>
    <t>40 ↑ +1.07%</t>
  </si>
  <si>
    <t>62 ↑ +1.41%</t>
  </si>
  <si>
    <t>174 ↑ +1.15%</t>
  </si>
  <si>
    <t>153 ↑ +1.88%</t>
  </si>
  <si>
    <t>56 ↑ +1.76%</t>
  </si>
  <si>
    <t>41 ↑ +1.52%</t>
  </si>
  <si>
    <t>49 ↓ -0.08%</t>
  </si>
  <si>
    <t>69 ↓ -0.20%</t>
  </si>
  <si>
    <t>194 ↓ -0.10%</t>
  </si>
  <si>
    <t>132 ↓ -0.19%</t>
  </si>
  <si>
    <t>44 ↓ -0.01%</t>
  </si>
  <si>
    <t>38 ↑ +0.90%</t>
  </si>
  <si>
    <t>49 ↑ +0.34%</t>
  </si>
  <si>
    <t>68 ↓ -0.24%</t>
  </si>
  <si>
    <t>187 ↓ -0.29%</t>
  </si>
  <si>
    <t>141 ↓ -0.27%</t>
  </si>
  <si>
    <t>45 ↑ +0.17%</t>
  </si>
  <si>
    <t>36 ↓ -0.21%</t>
  </si>
  <si>
    <t>50 ↑ +0.79%</t>
  </si>
  <si>
    <t>64 ↑ +1.58%</t>
  </si>
  <si>
    <t>183 ↑ +1.31%</t>
  </si>
  <si>
    <t>148 ↑ +1.76%</t>
  </si>
  <si>
    <t>44 ↑ +2.05%</t>
  </si>
  <si>
    <t>35 ↑ +1.40%</t>
  </si>
  <si>
    <t>76 ↑ +0.28%</t>
  </si>
  <si>
    <t>199 ↑ +0.16%</t>
  </si>
  <si>
    <t>128 ↓ -0.00%</t>
  </si>
  <si>
    <t>35 ↑ +0.04%</t>
  </si>
  <si>
    <t>32 ↓ -0.26%</t>
  </si>
  <si>
    <t>54 ↓ -1.44%</t>
  </si>
  <si>
    <t>78 ↓ -1.88%</t>
  </si>
  <si>
    <t>202 ↓ -1.35%</t>
  </si>
  <si>
    <t>124 ↓ -1.33%</t>
  </si>
  <si>
    <t>34 ↓ -1.07%</t>
  </si>
  <si>
    <t>32 ↓ -0.27%</t>
  </si>
  <si>
    <t>46 ↓ -0.95%</t>
  </si>
  <si>
    <t>64 ↓ -1.24%</t>
  </si>
  <si>
    <t>194 ↓ -1.08%</t>
  </si>
  <si>
    <t>145 ↓ -1.38%</t>
  </si>
  <si>
    <t>43 ↓ -2.15%</t>
  </si>
  <si>
    <t>33 ↓ -2.77%</t>
  </si>
  <si>
    <t>40 ↑ +0.45%</t>
  </si>
  <si>
    <t>63 ↑ +0.01%</t>
  </si>
  <si>
    <t>175 ↓ -0.47%</t>
  </si>
  <si>
    <t>154 ↓ -0.53%</t>
  </si>
  <si>
    <t>51 ↓ -0.89%</t>
  </si>
  <si>
    <t>42 ↓ -1.04%</t>
  </si>
  <si>
    <t>39 ↓ -0.47%</t>
  </si>
  <si>
    <t>60 ↑ +0.50%</t>
  </si>
  <si>
    <t>166 ↑ +0.28%</t>
  </si>
  <si>
    <t>158 ↑ +0.30%</t>
  </si>
  <si>
    <t>59 ↑ +0.02%</t>
  </si>
  <si>
    <t>42 ↓ -0.08%</t>
  </si>
  <si>
    <t>42 ↓ -1.45%</t>
  </si>
  <si>
    <t>60 ↓ -0.52%</t>
  </si>
  <si>
    <t>174 ↓ -0.18%</t>
  </si>
  <si>
    <t>147 ↓ -0.02%</t>
  </si>
  <si>
    <t>57 ↑ +0.01%</t>
  </si>
  <si>
    <t>44 ↑ +0.39%</t>
  </si>
  <si>
    <t>39 ↓ -1.92%</t>
  </si>
  <si>
    <t>58 ↓ -0.95%</t>
  </si>
  <si>
    <t>179 ↓ -0.64%</t>
  </si>
  <si>
    <t>149 ↓ -0.91%</t>
  </si>
  <si>
    <t>59 ↓ -0.97%</t>
  </si>
  <si>
    <t>41 ↓ -0.32%</t>
  </si>
  <si>
    <t>37 ↓ -0.30%</t>
  </si>
  <si>
    <t>55 ↓ -0.06%</t>
  </si>
  <si>
    <t>164 ↓ -0.21%</t>
  </si>
  <si>
    <t>159 ↓ -0.07%</t>
  </si>
  <si>
    <t>64 ↑ +0.09%</t>
  </si>
  <si>
    <t>47 ↑ +0.49%</t>
  </si>
  <si>
    <t>32 ↓ -1.60%</t>
  </si>
  <si>
    <t>55 ↓ -0.59%</t>
  </si>
  <si>
    <t>167 ↓ -0.73%</t>
  </si>
  <si>
    <t>158 ↓ -0.94%</t>
  </si>
  <si>
    <t>71 ↓ -0.91%</t>
  </si>
  <si>
    <t>45 ↑ +0.53%</t>
  </si>
  <si>
    <t>33 ↓ -0.82%</t>
  </si>
  <si>
    <t>49 ↓ -0.40%</t>
  </si>
  <si>
    <t>152 ↓ -0.22%</t>
  </si>
  <si>
    <t>172 ↓ -0.40%</t>
  </si>
  <si>
    <t>66 ↓ -0.47%</t>
  </si>
  <si>
    <t>56 ↓ -1.27%</t>
  </si>
  <si>
    <t>32 ↑ +4.73%</t>
  </si>
  <si>
    <t>52 ↑ +1.05%</t>
  </si>
  <si>
    <t>147 ↑ +0.57%</t>
  </si>
  <si>
    <t>167 ↑ +0.92%</t>
  </si>
  <si>
    <t>73 ↑ +1.32%</t>
  </si>
  <si>
    <t>58 ↑ +1.16%</t>
  </si>
  <si>
    <t>36 ↓ -1.30%</t>
  </si>
  <si>
    <t>52 ↓ -0.22%</t>
  </si>
  <si>
    <t>164 ↓ -0.18%</t>
  </si>
  <si>
    <t>161 ↓ -0.15%</t>
  </si>
  <si>
    <t>65 ↓ -0.43%</t>
  </si>
  <si>
    <t>50 ↓ -0.49%</t>
  </si>
  <si>
    <t>32 ↓ -1.10%</t>
  </si>
  <si>
    <t>50 ↑ +0.33%</t>
  </si>
  <si>
    <t>170 ↑ +0.57%</t>
  </si>
  <si>
    <t>155 ↑ +1.04%</t>
  </si>
  <si>
    <t>70 ↑ +1.69%</t>
  </si>
  <si>
    <t>50 ↑ +2.57%</t>
  </si>
  <si>
    <t>34 ↓ -3.02%</t>
  </si>
  <si>
    <t>48 ↓ -1.35%</t>
  </si>
  <si>
    <t>188 ↓ -1.10%</t>
  </si>
  <si>
    <t>152 ↓ -1.46%</t>
  </si>
  <si>
    <t>66 ↓ -1.29%</t>
  </si>
  <si>
    <t>40 ↓ -0.30%</t>
  </si>
  <si>
    <t>29 ↓ -0.01%</t>
  </si>
  <si>
    <t>49 ↑ +0.33%</t>
  </si>
  <si>
    <t>155 ↑ +0.46%</t>
  </si>
  <si>
    <t>170 ↑ +0.63%</t>
  </si>
  <si>
    <t>79 ↑ +0.53%</t>
  </si>
  <si>
    <t>45 ↑ +0.18%</t>
  </si>
  <si>
    <t>30 ↓ -2.81%</t>
  </si>
  <si>
    <t>50 ↓ -1.40%</t>
  </si>
  <si>
    <t>162 ↓ -0.93%</t>
  </si>
  <si>
    <t>171 ↓ -1.00%</t>
  </si>
  <si>
    <t>71 ↓ -1.09%</t>
  </si>
  <si>
    <t>43 ↓ -0.22%</t>
  </si>
  <si>
    <t>25 ↓ -0.30%</t>
  </si>
  <si>
    <t>51 ↓ -0.17%</t>
  </si>
  <si>
    <t>147 ↓ -0.56%</t>
  </si>
  <si>
    <t>180 ↓ -0.82%</t>
  </si>
  <si>
    <t>80 ↓ -1.11%</t>
  </si>
  <si>
    <t>44 ↓ -0.13%</t>
  </si>
  <si>
    <t>21 ↑ +7.90%</t>
  </si>
  <si>
    <t>52 ↑ +1.51%</t>
  </si>
  <si>
    <t>138 ↑ +0.04%</t>
  </si>
  <si>
    <t>177 ↓ -0.35%</t>
  </si>
  <si>
    <t>88 ↓ -0.09%</t>
  </si>
  <si>
    <t>53 ↓ -0.43%</t>
  </si>
  <si>
    <t>29 ↑ +2.01%</t>
  </si>
  <si>
    <t>46 ↑ +0.33%</t>
  </si>
  <si>
    <t>177 ↑ +0.26%</t>
  </si>
  <si>
    <t>86 ↑ +0.36%</t>
  </si>
  <si>
    <t>58 ↑ +0.98%</t>
  </si>
  <si>
    <t>30 ↑ +0.33%</t>
  </si>
  <si>
    <t>48 ↑ +0.48%</t>
  </si>
  <si>
    <t>134 ↑ +0.32%</t>
  </si>
  <si>
    <t>176 ↑ +0.18%</t>
  </si>
  <si>
    <t>83 ↑ +0.85%</t>
  </si>
  <si>
    <t>59 ↑ +0.58%</t>
  </si>
  <si>
    <t>34 ↓ -0.64%</t>
  </si>
  <si>
    <t>47 ↓ -1.13%</t>
  </si>
  <si>
    <t>138 ↓ -0.34%</t>
  </si>
  <si>
    <t>179 ↓ -0.54%</t>
  </si>
  <si>
    <t>81 ↓ -0.47%</t>
  </si>
  <si>
    <t>51 ↓ -1.30%</t>
  </si>
  <si>
    <t>31 ↑ +8.67%</t>
  </si>
  <si>
    <t>46 ↑ +4.51%</t>
  </si>
  <si>
    <t>137 ↑ +1.90%</t>
  </si>
  <si>
    <t>168 ↑ +1.52%</t>
  </si>
  <si>
    <t>92 ↑ +1.67%</t>
  </si>
  <si>
    <t>56 ↑ +1.54%</t>
  </si>
  <si>
    <t>45 ↑ +1.71%</t>
  </si>
  <si>
    <t>50 ↑ +0.83%</t>
  </si>
  <si>
    <t>151 ↑ +0.52%</t>
  </si>
  <si>
    <t>163 ↑ +0.67%</t>
  </si>
  <si>
    <t>74 ↑ +0.45%</t>
  </si>
  <si>
    <t>48 ↓ -0.13%</t>
  </si>
  <si>
    <t>49 ↓ -4.81%</t>
  </si>
  <si>
    <t>48 ↓ -2.91%</t>
  </si>
  <si>
    <t>161 ↓ -1.79%</t>
  </si>
  <si>
    <t>161 ↓ -1.90%</t>
  </si>
  <si>
    <t>67 ↓ -1.82%</t>
  </si>
  <si>
    <t>45 ↓ -1.37%</t>
  </si>
  <si>
    <t>38 ↓ -4.34%</t>
  </si>
  <si>
    <t>39 ↓ -2.01%</t>
  </si>
  <si>
    <t>144 ↓ -0.72%</t>
  </si>
  <si>
    <t>174 ↓ -0.46%</t>
  </si>
  <si>
    <t>60 ↓ -0.02%</t>
  </si>
  <si>
    <t>34 ↓ -4.17%</t>
  </si>
  <si>
    <t>31 ↓ -2.42%</t>
  </si>
  <si>
    <t>136 ↓ -1.23%</t>
  </si>
  <si>
    <t>186 ↓ -1.20%</t>
  </si>
  <si>
    <t>85 ↓ -1.48%</t>
  </si>
  <si>
    <t>60 ↓ -0.81%</t>
  </si>
  <si>
    <t>26 ↓ -0.80%</t>
  </si>
  <si>
    <t>33 ↓ -0.89%</t>
  </si>
  <si>
    <t>123 ↓ -0.40%</t>
  </si>
  <si>
    <t>180 ↓ -0.48%</t>
  </si>
  <si>
    <t>102 ↓ -0.55%</t>
  </si>
  <si>
    <t>68 ↓ -0.30%</t>
  </si>
  <si>
    <t>26 ↓ -0.61%</t>
  </si>
  <si>
    <t>29 ↓ -0.79%</t>
  </si>
  <si>
    <t>124 ↓ -0.00%</t>
  </si>
  <si>
    <t>174 ↑ +0.17%</t>
  </si>
  <si>
    <t>105 ↑ +0.41%</t>
  </si>
  <si>
    <t>74 ↑ +0.40%</t>
  </si>
  <si>
    <t>25 ↓ -1.72%</t>
  </si>
  <si>
    <t>28 ↓ -1.63%</t>
  </si>
  <si>
    <t>127 ↓ -0.37%</t>
  </si>
  <si>
    <t>178 ↓ -0.38%</t>
  </si>
  <si>
    <t>108 ↓ -0.31%</t>
  </si>
  <si>
    <t>66 ↑ +0.26%</t>
  </si>
  <si>
    <t>21 ↓ -2.83%</t>
  </si>
  <si>
    <t>27 ↓ -0.89%</t>
  </si>
  <si>
    <t>174 ↓ -0.02%</t>
  </si>
  <si>
    <t>108 ↑ +0.10%</t>
  </si>
  <si>
    <t>75 ↑ +0.25%</t>
  </si>
  <si>
    <t>19 ↓ -0.36%</t>
  </si>
  <si>
    <t>29 ↓ -0.29%</t>
  </si>
  <si>
    <t>123 ↓ -0.30%</t>
  </si>
  <si>
    <t>182 ↓ -0.23%</t>
  </si>
  <si>
    <t>111 ↓ -0.60%</t>
  </si>
  <si>
    <t>68 ↓ -0.89%</t>
  </si>
  <si>
    <t>20 ↑ +1.58%</t>
  </si>
  <si>
    <t>26 ↑ +0.23%</t>
  </si>
  <si>
    <t>119 ↑ +0.37%</t>
  </si>
  <si>
    <t>181 ↑ +0.31%</t>
  </si>
  <si>
    <t>109 ↑ +0.32%</t>
  </si>
  <si>
    <t>77 ↑ +0.80%</t>
  </si>
  <si>
    <t>20 ↓ -0.53%</t>
  </si>
  <si>
    <t>27 ↑ +0.26%</t>
  </si>
  <si>
    <t>184 ↑ +0.38%</t>
  </si>
  <si>
    <t>105 ↑ +0.61%</t>
  </si>
  <si>
    <t>73 ↑ +0.95%</t>
  </si>
  <si>
    <t>19 ↑ +0.59%</t>
  </si>
  <si>
    <t>28 ↑ +0.56%</t>
  </si>
  <si>
    <t>132 ↑ +0.15%</t>
  </si>
  <si>
    <t>179 ↑ +0.37%</t>
  </si>
  <si>
    <t>109 ↑ +0.42%</t>
  </si>
  <si>
    <t>65 ↑ +0.85%</t>
  </si>
  <si>
    <t>20 ↓ -3.87%</t>
  </si>
  <si>
    <t>28 ↓ -1.31%</t>
  </si>
  <si>
    <t>140 ↓ -0.69%</t>
  </si>
  <si>
    <t>179 ↓ -0.76%</t>
  </si>
  <si>
    <t>105 ↓ -0.68%</t>
  </si>
  <si>
    <t>61 ↓ -1.40%</t>
  </si>
  <si>
    <t>15 ↑ +1.46%</t>
  </si>
  <si>
    <t>28 ↓ -0.61%</t>
  </si>
  <si>
    <t>129 ↓ -0.34%</t>
  </si>
  <si>
    <t>182 ↓ -0.34%</t>
  </si>
  <si>
    <t>110 ↓ -0.37%</t>
  </si>
  <si>
    <t>69 ↓ -0.23%</t>
  </si>
  <si>
    <t>16 ↓ -2.10%</t>
  </si>
  <si>
    <t>27 ↓ -0.32%</t>
  </si>
  <si>
    <t>126 ↓ -0.24%</t>
  </si>
  <si>
    <t>177 ↑ +0.15%</t>
  </si>
  <si>
    <t>116 ↑ +0.16%</t>
  </si>
  <si>
    <t>72 ↓ -0.21%</t>
  </si>
  <si>
    <t>14 ↓ -6.46%</t>
  </si>
  <si>
    <t>27 ↓ -3.01%</t>
  </si>
  <si>
    <t>122 ↓ -1.07%</t>
  </si>
  <si>
    <t>191 ↓ -0.93%</t>
  </si>
  <si>
    <t>107 ↓ -0.78%</t>
  </si>
  <si>
    <t>74 ↓ -0.10%</t>
  </si>
  <si>
    <t>7 ↓ -4.13%</t>
  </si>
  <si>
    <t>26 ↓ -0.67%</t>
  </si>
  <si>
    <t>110 ↓ -0.18%</t>
  </si>
  <si>
    <t>186 ↑ +0.01%</t>
  </si>
  <si>
    <t>128 ↑ +0.22%</t>
  </si>
  <si>
    <t>78 ↑ +1.39%</t>
  </si>
  <si>
    <t>7 ↑ +0.78%</t>
  </si>
  <si>
    <t>23 ↓ -0.05%</t>
  </si>
  <si>
    <t>114 ↑ +0.08%</t>
  </si>
  <si>
    <t>192 ↑ +0.37%</t>
  </si>
  <si>
    <t>120 ↑ +0.00%</t>
  </si>
  <si>
    <t>79 ↑ +0.04%</t>
  </si>
  <si>
    <t>6 ↓ -5.93%</t>
  </si>
  <si>
    <t>26 ↓ -0.76%</t>
  </si>
  <si>
    <t>116 ↓ -0.01%</t>
  </si>
  <si>
    <t>190 ↑ +0.03%</t>
  </si>
  <si>
    <t>118 ↓ -0.08%</t>
  </si>
  <si>
    <t>79 ↑ +0.56%</t>
  </si>
  <si>
    <t>5 ↓ -2.07%</t>
  </si>
  <si>
    <t>28 ↑ +0.09%</t>
  </si>
  <si>
    <t>120 ↓ -0.14%</t>
  </si>
  <si>
    <t>185 ↓ -0.16%</t>
  </si>
  <si>
    <t>118 ↓ -0.38%</t>
  </si>
  <si>
    <t>79 ↑ +0.18%</t>
  </si>
  <si>
    <t>5 ↑ +1.70%</t>
  </si>
  <si>
    <t>27 ↓ -0.22%</t>
  </si>
  <si>
    <t>116 ↑ +0.02%</t>
  </si>
  <si>
    <t>189 ↑ +0.17%</t>
  </si>
  <si>
    <t>118 ↑ +0.60%</t>
  </si>
  <si>
    <t>80 ↑ +0.72%</t>
  </si>
  <si>
    <t>5 ↑ +1.17%</t>
  </si>
  <si>
    <t>25 ↓ -0.24%</t>
  </si>
  <si>
    <t>123 ↓ -0.08%</t>
  </si>
  <si>
    <t>192 ↓ -0.14%</t>
  </si>
  <si>
    <t>116 ↓ -0.17%</t>
  </si>
  <si>
    <t>74 ↑ +0.07%</t>
  </si>
  <si>
    <t>5 ↓ -4.17%</t>
  </si>
  <si>
    <t>26 ↓ -1.20%</t>
  </si>
  <si>
    <t>114 ↓ -0.61%</t>
  </si>
  <si>
    <t>198 ↓ -0.82%</t>
  </si>
  <si>
    <t>119 ↓ -0.93%</t>
  </si>
  <si>
    <t>73 ↓ -0.82%</t>
  </si>
  <si>
    <t>4 ↓ -4.56%</t>
  </si>
  <si>
    <t>22 ↑ +0.10%</t>
  </si>
  <si>
    <t>99 ↑ +0.12%</t>
  </si>
  <si>
    <t>203 ↑ +0.07%</t>
  </si>
  <si>
    <t>131 ↑ +0.01%</t>
  </si>
  <si>
    <t>77 ↓ -0.03%</t>
  </si>
  <si>
    <t>23 ↓ -0.47%</t>
  </si>
  <si>
    <t>105 ↓ -0.25%</t>
  </si>
  <si>
    <t>200 ↓ -0.39%</t>
  </si>
  <si>
    <t>123 ↓ -0.41%</t>
  </si>
  <si>
    <t>82 ↓ -0.36%</t>
  </si>
  <si>
    <t>23 ↑ +0.40%</t>
  </si>
  <si>
    <t>197 ↑ +0.38%</t>
  </si>
  <si>
    <t>121 ↑ +0.58%</t>
  </si>
  <si>
    <t>90 ↑ +1.30%</t>
  </si>
  <si>
    <t>3 ↑ +0.36%</t>
  </si>
  <si>
    <t>23 ↑ +0.30%</t>
  </si>
  <si>
    <t>114 ↑ +0.12%</t>
  </si>
  <si>
    <t>188 ↑ +0.20%</t>
  </si>
  <si>
    <t>84 ↓ -0.31%</t>
  </si>
  <si>
    <t>4 ↑ +0.28%</t>
  </si>
  <si>
    <t>196 ↑ +0.18%</t>
  </si>
  <si>
    <t>119 ↑ +0.08%</t>
  </si>
  <si>
    <t>82 ↑ +0.02%</t>
  </si>
  <si>
    <t>4 ↑ +0.23%</t>
  </si>
  <si>
    <t>26 ↑ +0.03%</t>
  </si>
  <si>
    <t>113 ↓ -0.14%</t>
  </si>
  <si>
    <t>113 ↓ -0.46%</t>
  </si>
  <si>
    <t>81 ↓ -0.39%</t>
  </si>
  <si>
    <t>4 ↑ +0.82%</t>
  </si>
  <si>
    <t>26 ↑ +0.15%</t>
  </si>
  <si>
    <t>108 ↑ +0.05%</t>
  </si>
  <si>
    <t>195 ↑ +0.21%</t>
  </si>
  <si>
    <t>119 ↑ +0.51%</t>
  </si>
  <si>
    <t>83 ↑ +0.34%</t>
  </si>
  <si>
    <t>3 ↓ -0.82%</t>
  </si>
  <si>
    <t>108 ↓ -0.14%</t>
  </si>
  <si>
    <t>196 ↓ -0.48%</t>
  </si>
  <si>
    <t>119 ↓ -0.58%</t>
  </si>
  <si>
    <t>81 ↑ +0.08%</t>
  </si>
  <si>
    <t>27 ↑ +0.12%</t>
  </si>
  <si>
    <t>107 ↑ +0.10%</t>
  </si>
  <si>
    <t>124 ↑ +0.00%</t>
  </si>
  <si>
    <t>83 ↓ -0.29%</t>
  </si>
  <si>
    <t>2 ↑ +0.05%</t>
  </si>
  <si>
    <t>26 ↑ +1.35%</t>
  </si>
  <si>
    <t>114 ↑ +0.76%</t>
  </si>
  <si>
    <t>182 ↑ +0.81%</t>
  </si>
  <si>
    <t>124 ↑ +1.01%</t>
  </si>
  <si>
    <t>86 ↑ +1.64%</t>
  </si>
  <si>
    <t>4 ↑ +0.07%</t>
  </si>
  <si>
    <t>33 ↑ +0.05%</t>
  </si>
  <si>
    <t>122 ↓ -0.14%</t>
  </si>
  <si>
    <t>182 ↓ -0.52%</t>
  </si>
  <si>
    <t>118 ↓ -0.74%</t>
  </si>
  <si>
    <t>75 ↑ +0.40%</t>
  </si>
  <si>
    <t>34 ↑ +0.85%</t>
  </si>
  <si>
    <t>112 ↑ +0.61%</t>
  </si>
  <si>
    <t>184 ↑ +0.55%</t>
  </si>
  <si>
    <t>116 ↑ +0.59%</t>
  </si>
  <si>
    <t>84 ↑ +0.32%</t>
  </si>
  <si>
    <t>5 ↑ +1.86%</t>
  </si>
  <si>
    <t>40 ↑ +0.65%</t>
  </si>
  <si>
    <t>125 ↑ +0.83%</t>
  </si>
  <si>
    <t>176 ↑ +1.18%</t>
  </si>
  <si>
    <t>109 ↑ +1.25%</t>
  </si>
  <si>
    <t>80 ↑ +2.42%</t>
  </si>
  <si>
    <t>6 ↑ +0.96%</t>
  </si>
  <si>
    <t>42 ↓ -0.23%</t>
  </si>
  <si>
    <t>144 ↑ +0.15%</t>
  </si>
  <si>
    <t>176 ↑ +0.28%</t>
  </si>
  <si>
    <t>92 ↑ +0.05%</t>
  </si>
  <si>
    <t>74 ↓ -0.34%</t>
  </si>
  <si>
    <t>6 ↑ +1.14%</t>
  </si>
  <si>
    <t>45 ↑ +0.52%</t>
  </si>
  <si>
    <t>148 ↑ +0.32%</t>
  </si>
  <si>
    <t>172 ↑ +0.56%</t>
  </si>
  <si>
    <t>93 ↑ +0.72%</t>
  </si>
  <si>
    <t>71 ↑ +0.97%</t>
  </si>
  <si>
    <t>8 ↑ +0.15%</t>
  </si>
  <si>
    <t>43 ↑ +0.56%</t>
  </si>
  <si>
    <t>155 ↑ +0.51%</t>
  </si>
  <si>
    <t>173 ↑ +0.87%</t>
  </si>
  <si>
    <t>85 ↑ +1.19%</t>
  </si>
  <si>
    <t>71 ↑ +1.56%</t>
  </si>
  <si>
    <t>9 ↑ +1.69%</t>
  </si>
  <si>
    <t>42 ↑ +0.68%</t>
  </si>
  <si>
    <t>174 ↑ +0.26%</t>
  </si>
  <si>
    <t>165 ↑ +0.13%</t>
  </si>
  <si>
    <t>81 ↑ +0.10%</t>
  </si>
  <si>
    <t>64 ↓ -0.73%</t>
  </si>
  <si>
    <t>11 ↑ +0.38%</t>
  </si>
  <si>
    <t>174 ↑ +0.35%</t>
  </si>
  <si>
    <t>165 ↑ +0.77%</t>
  </si>
  <si>
    <t>80 ↑ +1.42%</t>
  </si>
  <si>
    <t>63 ↑ +1.59%</t>
  </si>
  <si>
    <t>11 ↓ -0.45%</t>
  </si>
  <si>
    <t>43 ↓ -0.07%</t>
  </si>
  <si>
    <t>177 ↑ +0.04%</t>
  </si>
  <si>
    <t>177 ↑ +0.31%</t>
  </si>
  <si>
    <t>69 ↑ +0.22%</t>
  </si>
  <si>
    <t>58 ↓ -0.05%</t>
  </si>
  <si>
    <t>12 ↓ -0.53%</t>
  </si>
  <si>
    <t>41 ↓ -0.86%</t>
  </si>
  <si>
    <t>184 ↓ -0.29%</t>
  </si>
  <si>
    <t>175 ↓ -0.58%</t>
  </si>
  <si>
    <t>65 ↓ -0.54%</t>
  </si>
  <si>
    <t>57 ↓ -1.27%</t>
  </si>
  <si>
    <t>42 ↓ -0.11%</t>
  </si>
  <si>
    <t>177 ↓ -0.13%</t>
  </si>
  <si>
    <t>68 ↓ -0.64%</t>
  </si>
  <si>
    <t>62 ↓ -0.60%</t>
  </si>
  <si>
    <t>10 ↓ -1.11%</t>
  </si>
  <si>
    <t>42 ↑ +0.00%</t>
  </si>
  <si>
    <t>169 ↑ +0.30%</t>
  </si>
  <si>
    <t>73 ↑ +0.06%</t>
  </si>
  <si>
    <t>65 ↑ +0.77%</t>
  </si>
  <si>
    <t>9 ↑ +0.73%</t>
  </si>
  <si>
    <t>44 ↑ +0.93%</t>
  </si>
  <si>
    <t>179 ↑ +0.85%</t>
  </si>
  <si>
    <t>167 ↑ +1.73%</t>
  </si>
  <si>
    <t>73 ↑ +2.33%</t>
  </si>
  <si>
    <t>64 ↑ +3.21%</t>
  </si>
  <si>
    <t>11 ↓ -3.43%</t>
  </si>
  <si>
    <t>46 ↓ -2.02%</t>
  </si>
  <si>
    <t>201 ↓ -1.38%</t>
  </si>
  <si>
    <t>168 ↓ -1.61%</t>
  </si>
  <si>
    <t>57 ↓ -1.62%</t>
  </si>
  <si>
    <t>53 ↓ -1.42%</t>
  </si>
  <si>
    <t>5 ↓ -4.87%</t>
  </si>
  <si>
    <t>38 ↓ -2.20%</t>
  </si>
  <si>
    <t>179 ↓ -1.05%</t>
  </si>
  <si>
    <t>183 ↓ -1.58%</t>
  </si>
  <si>
    <t>70 ↓ -1.87%</t>
  </si>
  <si>
    <t>61 ↓ -0.76%</t>
  </si>
  <si>
    <t>34 ↑ +0.30%</t>
  </si>
  <si>
    <t>162 ↑ +0.19%</t>
  </si>
  <si>
    <t>176 ↑ +0.17%</t>
  </si>
  <si>
    <t>89 ↑ +0.38%</t>
  </si>
  <si>
    <t>72 ↑ +0.06%</t>
  </si>
  <si>
    <t>3 ↓ -0.09%</t>
  </si>
  <si>
    <t>34 ↑ +0.54%</t>
  </si>
  <si>
    <t>167 ↑ +0.07%</t>
  </si>
  <si>
    <t>178 ↑ +0.30%</t>
  </si>
  <si>
    <t>82 ↑ +0.39%</t>
  </si>
  <si>
    <t>72 ↑ +0.75%</t>
  </si>
  <si>
    <t>4 ↓ -1.25%</t>
  </si>
  <si>
    <t>32 ↓ -0.54%</t>
  </si>
  <si>
    <t>168 ↓ -0.31%</t>
  </si>
  <si>
    <t>182 ↓ -0.43%</t>
  </si>
  <si>
    <t>84 ↓ -0.65%</t>
  </si>
  <si>
    <t>66 ↓ -0.78%</t>
  </si>
  <si>
    <t>4 ↑ +1.27%</t>
  </si>
  <si>
    <t>30 ↑ +0.38%</t>
  </si>
  <si>
    <t>163 ↑ +0.47%</t>
  </si>
  <si>
    <t>185 ↑ +0.72%</t>
  </si>
  <si>
    <t>87 ↑ +0.86%</t>
  </si>
  <si>
    <t>68 ↑ +0.77%</t>
  </si>
  <si>
    <t>4 ↓ -1.84%</t>
  </si>
  <si>
    <t>34 ↓ -0.86%</t>
  </si>
  <si>
    <t>174 ↓ -0.52%</t>
  </si>
  <si>
    <t>177 ↓ -0.71%</t>
  </si>
  <si>
    <t>84 ↓ -0.87%</t>
  </si>
  <si>
    <t>65 ↓ -0.94%</t>
  </si>
  <si>
    <t>4 ↓ -0.65%</t>
  </si>
  <si>
    <t>170 ↑ +0.14%</t>
  </si>
  <si>
    <t>174 ↑ +0.07%</t>
  </si>
  <si>
    <t>91 ↓ -0.30%</t>
  </si>
  <si>
    <t>70 ↓ -0.36%</t>
  </si>
  <si>
    <t>29 ↓ -0.08%</t>
  </si>
  <si>
    <t>172 ↑ +0.07%</t>
  </si>
  <si>
    <t>169 ↑ +0.09%</t>
  </si>
  <si>
    <t>90 ↓ -0.25%</t>
  </si>
  <si>
    <t>74 ↓ -0.41%</t>
  </si>
  <si>
    <t>4 ↑ +1.74%</t>
  </si>
  <si>
    <t>29 ↑ +0.37%</t>
  </si>
  <si>
    <t>174 ↑ +0.54%</t>
  </si>
  <si>
    <t>168 ↑ +1.09%</t>
  </si>
  <si>
    <t>87 ↑ +1.30%</t>
  </si>
  <si>
    <t>76 ↑ +1.75%</t>
  </si>
  <si>
    <t>4 ↓ -0.98%</t>
  </si>
  <si>
    <t>31 ↓ -0.14%</t>
  </si>
  <si>
    <t>182 ↑ +0.15%</t>
  </si>
  <si>
    <t>176 ↑ +0.51%</t>
  </si>
  <si>
    <t>84 ↑ +1.07%</t>
  </si>
  <si>
    <t>61 ↑ +0.67%</t>
  </si>
  <si>
    <t>4 ↓ -0.79%</t>
  </si>
  <si>
    <t>34 ↓ -0.06%</t>
  </si>
  <si>
    <t>191 ↑ +0.31%</t>
  </si>
  <si>
    <t>174 ↑ +0.72%</t>
  </si>
  <si>
    <t>77 ↑ +1.08%</t>
  </si>
  <si>
    <t>60 ↑ +1.87%</t>
  </si>
  <si>
    <t>4 ↓ -1.89%</t>
  </si>
  <si>
    <t>32 ↓ -0.90%</t>
  </si>
  <si>
    <t>210 ↓ -0.65%</t>
  </si>
  <si>
    <t>166 ↓ -1.25%</t>
  </si>
  <si>
    <t>72 ↓ -1.83%</t>
  </si>
  <si>
    <t>55 ↓ -1.52%</t>
  </si>
  <si>
    <t>3 ↓ -1.43%</t>
  </si>
  <si>
    <t>31 ↓ -0.55%</t>
  </si>
  <si>
    <t>192 ↓ -0.25%</t>
  </si>
  <si>
    <t>164 ↓ -0.46%</t>
  </si>
  <si>
    <t>82 ↓ -0.07%</t>
  </si>
  <si>
    <t>69 ↓ -0.41%</t>
  </si>
  <si>
    <t>2 ↓ -1.18%</t>
  </si>
  <si>
    <t>29 ↓ -0.69%</t>
  </si>
  <si>
    <t>180 ↓ -0.52%</t>
  </si>
  <si>
    <t>175 ↓ -0.56%</t>
  </si>
  <si>
    <t>86 ↓ -0.74%</t>
  </si>
  <si>
    <t>69 ↑ +0.07%</t>
  </si>
  <si>
    <t>24 ↓ -0.48%</t>
  </si>
  <si>
    <t>176 ↓ -0.46%</t>
  </si>
  <si>
    <t>177 ↓ -0.57%</t>
  </si>
  <si>
    <t>91 ↓ -0.53%</t>
  </si>
  <si>
    <t>71 ↑ +0.16%</t>
  </si>
  <si>
    <t>22 ↓ -0.04%</t>
  </si>
  <si>
    <t>169 ↑ +0.04%</t>
  </si>
  <si>
    <t>179 ↓ -0.13%</t>
  </si>
  <si>
    <t>95 ↓ -0.16%</t>
  </si>
  <si>
    <t>74 ↑ +0.47%</t>
  </si>
  <si>
    <t>2 ↑ +1.31%</t>
  </si>
  <si>
    <t>22 ↑ +0.31%</t>
  </si>
  <si>
    <t>170 ↑ +0.38%</t>
  </si>
  <si>
    <t>174 ↑ +0.59%</t>
  </si>
  <si>
    <t>98 ↑ +0.63%</t>
  </si>
  <si>
    <t>76 ↑ +0.92%</t>
  </si>
  <si>
    <t>2 ↓ -0.30%</t>
  </si>
  <si>
    <t>27 ↑ +0.46%</t>
  </si>
  <si>
    <t>170 ↑ +0.27%</t>
  </si>
  <si>
    <t>176 ↑ +0.20%</t>
  </si>
  <si>
    <t>72 ↑ +0.10%</t>
  </si>
  <si>
    <t>2 ↓ -1.77%</t>
  </si>
  <si>
    <t>30 ↑ +0.58%</t>
  </si>
  <si>
    <t>180 ↑ +0.48%</t>
  </si>
  <si>
    <t>164 ↑ +0.80%</t>
  </si>
  <si>
    <t>90 ↑ +1.12%</t>
  </si>
  <si>
    <t>76 ↑ +1.55%</t>
  </si>
  <si>
    <t>2 ↑ +3.48%</t>
  </si>
  <si>
    <t>34 ↑ +0.29%</t>
  </si>
  <si>
    <t>191 ↑ +0.14%</t>
  </si>
  <si>
    <t>171 ↑ +0.58%</t>
  </si>
  <si>
    <t>76 ↑ +0.70%</t>
  </si>
  <si>
    <t>68 ↑ +1.01%</t>
  </si>
  <si>
    <t>2 ↑ +0.99%</t>
  </si>
  <si>
    <t>35 ↓ -0.36%</t>
  </si>
  <si>
    <t>197 ↓ -0.20%</t>
  </si>
  <si>
    <t>168 ↓ -0.33%</t>
  </si>
  <si>
    <t>79 ↓ -0.34%</t>
  </si>
  <si>
    <t>61 ↑ +0.39%</t>
  </si>
  <si>
    <t>2 ↓ -0.51%</t>
  </si>
  <si>
    <t>35 ↓ -0.11%</t>
  </si>
  <si>
    <t>193 ↓ -0.02%</t>
  </si>
  <si>
    <t>171 ↑ +0.15%</t>
  </si>
  <si>
    <t>74 ↑ +0.30%</t>
  </si>
  <si>
    <t>67 ↑ +0.10%</t>
  </si>
  <si>
    <t>2 ↑ +0.33%</t>
  </si>
  <si>
    <t>34 ↑ +0.49%</t>
  </si>
  <si>
    <t>194 ↑ +0.24%</t>
  </si>
  <si>
    <t>174 ↑ +0.37%</t>
  </si>
  <si>
    <t>76 ↑ +0.34%</t>
  </si>
  <si>
    <t>63 ↑ +0.17%</t>
  </si>
  <si>
    <t>2 ↓ -0.14%</t>
  </si>
  <si>
    <t>35 ↑ +0.48%</t>
  </si>
  <si>
    <t>204 ↑ +0.49%</t>
  </si>
  <si>
    <t>170 ↑ +0.91%</t>
  </si>
  <si>
    <t>69 ↑ +0.67%</t>
  </si>
  <si>
    <t>63 ↑ +1.04%</t>
  </si>
  <si>
    <t>2 ↑ +1.34%</t>
  </si>
  <si>
    <t>40 ↓ -0.17%</t>
  </si>
  <si>
    <t>219 ↑ +0.18%</t>
  </si>
  <si>
    <t>155 ↑ +0.34%</t>
  </si>
  <si>
    <t>70 ↑ +0.57%</t>
  </si>
  <si>
    <t>58 ↑ +1.64%</t>
  </si>
  <si>
    <t>2 ↓ -0.41%</t>
  </si>
  <si>
    <t>35 ↓ -0.54%</t>
  </si>
  <si>
    <t>232 ↓ -0.37%</t>
  </si>
  <si>
    <t>157 ↓ -0.29%</t>
  </si>
  <si>
    <t>62 ↓ -0.55%</t>
  </si>
  <si>
    <t>55 ↓ -0.49%</t>
  </si>
  <si>
    <t>2 ↓ -1.58%</t>
  </si>
  <si>
    <t>34 ↓ -0.41%</t>
  </si>
  <si>
    <t>216 ↑ +0.01%</t>
  </si>
  <si>
    <t>168 ↑ +0.12%</t>
  </si>
  <si>
    <t>67 ↑ +0.48%</t>
  </si>
  <si>
    <t>56 ↑ +0.44%</t>
  </si>
  <si>
    <t>2 ↓ -1.29%</t>
  </si>
  <si>
    <t>33 ↓ -0.70%</t>
  </si>
  <si>
    <t>216 ↓ -0.79%</t>
  </si>
  <si>
    <t>172 ↓ -0.94%</t>
  </si>
  <si>
    <t>66 ↓ -1.09%</t>
  </si>
  <si>
    <t>55 ↓ -0.01%</t>
  </si>
  <si>
    <t>26 ↓ -0.72%</t>
  </si>
  <si>
    <t>200 ↓ -0.55%</t>
  </si>
  <si>
    <t>182 ↓ -0.55%</t>
  </si>
  <si>
    <t>77 ↑ +0.00%</t>
  </si>
  <si>
    <t>25 ↑ +0.14%</t>
  </si>
  <si>
    <t>187 ↑ +0.16%</t>
  </si>
  <si>
    <t>190 ↑ +0.40%</t>
  </si>
  <si>
    <t>82 ↑ +0.73%</t>
  </si>
  <si>
    <t>58 ↑ +0.71%</t>
  </si>
  <si>
    <t>2 ↑ +3.27%</t>
  </si>
  <si>
    <t>25 ↑ +0.63%</t>
  </si>
  <si>
    <t>192 ↑ +0.69%</t>
  </si>
  <si>
    <t>197 ↑ +1.32%</t>
  </si>
  <si>
    <t>70 ↑ +1.76%</t>
  </si>
  <si>
    <t>58 ↑ +2.23%</t>
  </si>
  <si>
    <t>3 ↑ +0.38%</t>
  </si>
  <si>
    <t>29 ↓ -1.68%</t>
  </si>
  <si>
    <t>223 ↓ -1.65%</t>
  </si>
  <si>
    <t>183 ↓ -2.63%</t>
  </si>
  <si>
    <t>61 ↓ -2.92%</t>
  </si>
  <si>
    <t>45 ↓ -2.61%</t>
  </si>
  <si>
    <t>3 ↓ -8.31%</t>
  </si>
  <si>
    <t>19 ↑ +0.01%</t>
  </si>
  <si>
    <t>179 ↑ +0.20%</t>
  </si>
  <si>
    <t>192 ↑ +0.58%</t>
  </si>
  <si>
    <t>86 ↑ +0.97%</t>
  </si>
  <si>
    <t>66 ↑ +1.49%</t>
  </si>
  <si>
    <t>1 ↓ -1.61%</t>
  </si>
  <si>
    <t>22 ↓ -0.08%</t>
  </si>
  <si>
    <t>190 ↑ +0.10%</t>
  </si>
  <si>
    <t>191 ↑ +0.27%</t>
  </si>
  <si>
    <t>80 ↑ +0.23%</t>
  </si>
  <si>
    <t>59 ↓ -0.01%</t>
  </si>
  <si>
    <t>2 ↑ +1.28%</t>
  </si>
  <si>
    <t>21 ↑ +0.65%</t>
  </si>
  <si>
    <t>196 ↑ +0.28%</t>
  </si>
  <si>
    <t>185 ↑ +0.45%</t>
  </si>
  <si>
    <t>86 ↑ +0.48%</t>
  </si>
  <si>
    <t>54 ↑ +0.44%</t>
  </si>
  <si>
    <t>24 ↑ +0.22%</t>
  </si>
  <si>
    <t>185 ↑ +0.20%</t>
  </si>
  <si>
    <t>80 ↑ +0.67%</t>
  </si>
  <si>
    <t>3 ↑ +4.62%</t>
  </si>
  <si>
    <t>27 ↑ +1.33%</t>
  </si>
  <si>
    <t>201 ↑ +0.67%</t>
  </si>
  <si>
    <t>189 ↑ +0.78%</t>
  </si>
  <si>
    <t>73 ↑ +0.63%</t>
  </si>
  <si>
    <t>52 ↑ +0.96%</t>
  </si>
  <si>
    <t>4 ↑ +1.15%</t>
  </si>
  <si>
    <t>33 ↑ +1.04%</t>
  </si>
  <si>
    <t>211 ↑ +0.61%</t>
  </si>
  <si>
    <t>181 ↑ +1.04%</t>
  </si>
  <si>
    <t>66 ↑ +1.11%</t>
  </si>
  <si>
    <t>50 ↑ +1.11%</t>
  </si>
  <si>
    <t>5 ↑ +1.57%</t>
  </si>
  <si>
    <t>44 ↑ +0.87%</t>
  </si>
  <si>
    <t>226 ↑ +0.52%</t>
  </si>
  <si>
    <t>167 ↑ +0.87%</t>
  </si>
  <si>
    <t>53 ↑ +1.01%</t>
  </si>
  <si>
    <t>51 ↑ +2.43%</t>
  </si>
  <si>
    <t>5 ↑ +2.72%</t>
  </si>
  <si>
    <t>49 ↑ +1.75%</t>
  </si>
  <si>
    <t>251 ↑ +1.30%</t>
  </si>
  <si>
    <t>153 ↑ +1.81%</t>
  </si>
  <si>
    <t>49 ↑ +0.99%</t>
  </si>
  <si>
    <t>39 ↑ +1.48%</t>
  </si>
  <si>
    <t>6 ↓ -2.28%</t>
  </si>
  <si>
    <t>71 ↓ -1.24%</t>
  </si>
  <si>
    <t>267 ↓ -0.40%</t>
  </si>
  <si>
    <t>123 ↑ +0.04%</t>
  </si>
  <si>
    <t>41 ↑ +0.96%</t>
  </si>
  <si>
    <t>38 ↓ -0.60%</t>
  </si>
  <si>
    <t>5 ↑ +0.69%</t>
  </si>
  <si>
    <t>269 ↑ +1.31%</t>
  </si>
  <si>
    <t>144 ↑ +2.80%</t>
  </si>
  <si>
    <t>34 ↑ +3.87%</t>
  </si>
  <si>
    <t>39 ↑ +3.96%</t>
  </si>
  <si>
    <t>7 ↓ -4.62%</t>
  </si>
  <si>
    <t>72 ↓ -2.31%</t>
  </si>
  <si>
    <t>306 ↓ -1.47%</t>
  </si>
  <si>
    <t>105 ↓ -1.73%</t>
  </si>
  <si>
    <t>22 ↓ -2.20%</t>
  </si>
  <si>
    <t>33 ↓ -1.89%</t>
  </si>
  <si>
    <t>5 ↓ -0.61%</t>
  </si>
  <si>
    <t>45 ↓ -1.08%</t>
  </si>
  <si>
    <t>295 ↓ -0.78%</t>
  </si>
  <si>
    <t>139 ↓ -1.21%</t>
  </si>
  <si>
    <t>24 ↓ -0.66%</t>
  </si>
  <si>
    <t>37 ↓ -2.15%</t>
  </si>
  <si>
    <t>5 ↓ -2.40%</t>
  </si>
  <si>
    <t>33 ↓ -0.64%</t>
  </si>
  <si>
    <t>274 ↓ -0.05%</t>
  </si>
  <si>
    <t>158 ↑ +0.18%</t>
  </si>
  <si>
    <t>36 ↑ +1.48%</t>
  </si>
  <si>
    <t>4 ↓ -2.42%</t>
  </si>
  <si>
    <t>33 ↓ -1.24%</t>
  </si>
  <si>
    <t>277 ↓ -1.08%</t>
  </si>
  <si>
    <t>159 ↓ -1.67%</t>
  </si>
  <si>
    <t>35 ↓ -1.82%</t>
  </si>
  <si>
    <t>37 ↓ -2.36%</t>
  </si>
  <si>
    <t>2 ↓ -0.80%</t>
  </si>
  <si>
    <t>247 ↓ -0.82%</t>
  </si>
  <si>
    <t>184 ↓ -1.34%</t>
  </si>
  <si>
    <t>49 ↓ -1.48%</t>
  </si>
  <si>
    <t>40 ↓ -2.10%</t>
  </si>
  <si>
    <t>2 ↓ -0.74%</t>
  </si>
  <si>
    <t>14 ↓ -0.87%</t>
  </si>
  <si>
    <t>226 ↓ -0.96%</t>
  </si>
  <si>
    <t>190 ↓ -1.59%</t>
  </si>
  <si>
    <t>71 ↓ -1.93%</t>
  </si>
  <si>
    <t>43 ↓ -1.63%</t>
  </si>
  <si>
    <t>2 ↑ +1.50%</t>
  </si>
  <si>
    <t>10 ↑ +0.32%</t>
  </si>
  <si>
    <t>192 ↑ +0.09%</t>
  </si>
  <si>
    <t>203 ↑ +0.11%</t>
  </si>
  <si>
    <t>60 ↑ +0.07%</t>
  </si>
  <si>
    <t>2 ↑ +2.42%</t>
  </si>
  <si>
    <t>10 ↑ +1.47%</t>
  </si>
  <si>
    <t>195 ↑ +1.17%</t>
  </si>
  <si>
    <t>202 ↑ +2.06%</t>
  </si>
  <si>
    <t>82 ↑ +2.31%</t>
  </si>
  <si>
    <t>57 ↑ +1.97%</t>
  </si>
  <si>
    <t>19 ↓ -0.26%</t>
  </si>
  <si>
    <t>233 ↓ -0.36%</t>
  </si>
  <si>
    <t>57 ↓ -0.20%</t>
  </si>
  <si>
    <t>47 ↓ -0.23%</t>
  </si>
  <si>
    <t>17 ↓ -0.13%</t>
  </si>
  <si>
    <t>223 ↓ -0.03%</t>
  </si>
  <si>
    <t>194 ↑ +0.06%</t>
  </si>
  <si>
    <t>64 ↑ +0.55%</t>
  </si>
  <si>
    <t>47 ↑ +0.88%</t>
  </si>
  <si>
    <t>2 ↓ -2.21%</t>
  </si>
  <si>
    <t>16 ↓ -1.41%</t>
  </si>
  <si>
    <t>222 ↓ -1.51%</t>
  </si>
  <si>
    <t>200 ↓ -2.48%</t>
  </si>
  <si>
    <t>62 ↓ -3.15%</t>
  </si>
  <si>
    <t>45 ↓ -3.37%</t>
  </si>
  <si>
    <t>1 ↓ -0.36%</t>
  </si>
  <si>
    <t>11 ↑ +0.05%</t>
  </si>
  <si>
    <t>176 ↓ -0.10%</t>
  </si>
  <si>
    <t>204 ↓ -0.17%</t>
  </si>
  <si>
    <t>91 ↓ -0.15%</t>
  </si>
  <si>
    <t>63 ↓ -0.76%</t>
  </si>
  <si>
    <t>2 ↑ +9.41%</t>
  </si>
  <si>
    <t>10 ↓ -0.53%</t>
  </si>
  <si>
    <t>176 ↓ -0.22%</t>
  </si>
  <si>
    <t>202 ↓ -0.27%</t>
  </si>
  <si>
    <t>90 ↓ -0.21%</t>
  </si>
  <si>
    <t>2 ↑ +6.44%</t>
  </si>
  <si>
    <t>8 ↓ -0.78%</t>
  </si>
  <si>
    <t>170 ↓ -0.69%</t>
  </si>
  <si>
    <t>196 ↓ -1.33%</t>
  </si>
  <si>
    <t>105 ↓ -1.84%</t>
  </si>
  <si>
    <t>62 ↓ -2.10%</t>
  </si>
  <si>
    <t>2 ↓ -2.72%</t>
  </si>
  <si>
    <t>7 ↓ -0.41%</t>
  </si>
  <si>
    <t>151 ↓ -0.27%</t>
  </si>
  <si>
    <t>196 ↓ -0.55%</t>
  </si>
  <si>
    <t>111 ↓ -0.74%</t>
  </si>
  <si>
    <t>75 ↓ -0.76%</t>
  </si>
  <si>
    <t>2 ↓ -10.05%</t>
  </si>
  <si>
    <t>6 ↓ -0.26%</t>
  </si>
  <si>
    <t>148 ↓ -0.21%</t>
  </si>
  <si>
    <t>188 ↓ -0.28%</t>
  </si>
  <si>
    <t>115 ↓ -0.40%</t>
  </si>
  <si>
    <t>82 ↓ -0.24%</t>
  </si>
  <si>
    <t>2 ↓ -9.95%</t>
  </si>
  <si>
    <t>142 ↑ +0.20%</t>
  </si>
  <si>
    <t>182 ↑ +0.12%</t>
  </si>
  <si>
    <t>120 ↓ -0.12%</t>
  </si>
  <si>
    <t>89 ↓ -0.33%</t>
  </si>
  <si>
    <t>2 ↓ -8.65%</t>
  </si>
  <si>
    <t>6 ↑ +0.31%</t>
  </si>
  <si>
    <t>144 ↑ +0.42%</t>
  </si>
  <si>
    <t>179 ↑ +0.71%</t>
  </si>
  <si>
    <t>120 ↑ +0.97%</t>
  </si>
  <si>
    <t>88 ↑ +1.35%</t>
  </si>
  <si>
    <t>156 ↓ -0.01%</t>
  </si>
  <si>
    <t>186 ↓ -0.19%</t>
  </si>
  <si>
    <t>112 ↓ -0.50%</t>
  </si>
  <si>
    <t>78 ↓ -0.52%</t>
  </si>
  <si>
    <t>2 ↓ -5.60%</t>
  </si>
  <si>
    <t>6 ↑ +0.09%</t>
  </si>
  <si>
    <t>156 ↑ +0.14%</t>
  </si>
  <si>
    <t>180 ↑ +0.33%</t>
  </si>
  <si>
    <t>112 ↑ +0.42%</t>
  </si>
  <si>
    <t>84 ↑ +0.65%</t>
  </si>
  <si>
    <t>6 ↓ -0.46%</t>
  </si>
  <si>
    <t>156 ↓ -0.65%</t>
  </si>
  <si>
    <t>184 ↓ -1.04%</t>
  </si>
  <si>
    <t>113 ↓ -1.24%</t>
  </si>
  <si>
    <t>79 ↓ -1.35%</t>
  </si>
  <si>
    <t>2 ↓ -8.02%</t>
  </si>
  <si>
    <t>141 ↓ -0.22%</t>
  </si>
  <si>
    <t>175 ↓ -0.69%</t>
  </si>
  <si>
    <t>123 ↓ -0.82%</t>
  </si>
  <si>
    <t>93 ↓ -1.08%</t>
  </si>
  <si>
    <t>2 ↑ +0.39%</t>
  </si>
  <si>
    <t>5 ↑ +0.34%</t>
  </si>
  <si>
    <t>137 ↓ -0.24%</t>
  </si>
  <si>
    <t>167 ↓ -0.36%</t>
  </si>
  <si>
    <t>122 ↓ -0.31%</t>
  </si>
  <si>
    <t>108 ↓ -0.51%</t>
  </si>
  <si>
    <t>2 ↑ +7.17%</t>
  </si>
  <si>
    <t>133 ↓ -0.49%</t>
  </si>
  <si>
    <t>160 ↓ -0.61%</t>
  </si>
  <si>
    <t>130 ↓ -0.99%</t>
  </si>
  <si>
    <t>111 ↓ -0.98%</t>
  </si>
  <si>
    <t>2 ↑ +1.58%</t>
  </si>
  <si>
    <t>119 ↑ +0.11%</t>
  </si>
  <si>
    <t>158 ↑ +0.21%</t>
  </si>
  <si>
    <t>131 ↑ +0.20%</t>
  </si>
  <si>
    <t>126 ↑ +0.08%</t>
  </si>
  <si>
    <t>2 ↓ -1.23%</t>
  </si>
  <si>
    <t>6 ↑ +0.33%</t>
  </si>
  <si>
    <t>124 ↑ +0.59%</t>
  </si>
  <si>
    <t>160 ↑ +0.83%</t>
  </si>
  <si>
    <t>126 ↑ +1.16%</t>
  </si>
  <si>
    <t>123 ↑ +1.23%</t>
  </si>
  <si>
    <t>2 ↑ +3.94%</t>
  </si>
  <si>
    <t>7 ↑ +0.70%</t>
  </si>
  <si>
    <t>136 ↑ +1.09%</t>
  </si>
  <si>
    <t>166 ↑ +1.46%</t>
  </si>
  <si>
    <t>117 ↑ +1.42%</t>
  </si>
  <si>
    <t>112 ↑ +1.56%</t>
  </si>
  <si>
    <t>2 ↓ -3.03%</t>
  </si>
  <si>
    <t>12 ↑ +0.24%</t>
  </si>
  <si>
    <t>152 ↑ +0.21%</t>
  </si>
  <si>
    <t>173 ↑ +0.47%</t>
  </si>
  <si>
    <t>108 ↑ +0.54%</t>
  </si>
  <si>
    <t>93 ↑ +0.94%</t>
  </si>
  <si>
    <t>2 ↑ +9.78%</t>
  </si>
  <si>
    <t>11 ↓ -0.13%</t>
  </si>
  <si>
    <t>166 ↓ -0.40%</t>
  </si>
  <si>
    <t>173 ↓ -0.80%</t>
  </si>
  <si>
    <t>100 ↓ -1.21%</t>
  </si>
  <si>
    <t>88 ↓ -1.87%</t>
  </si>
  <si>
    <t>2 ↓ -3.87%</t>
  </si>
  <si>
    <t>13 ↓ -0.33%</t>
  </si>
  <si>
    <t>150 ↓ -0.17%</t>
  </si>
  <si>
    <t>168 ↓ -0.32%</t>
  </si>
  <si>
    <t>104 ↓ -0.18%</t>
  </si>
  <si>
    <t>2 ↓ -3.68%</t>
  </si>
  <si>
    <t>12 ↓ -0.30%</t>
  </si>
  <si>
    <t>145 ↓ -0.09%</t>
  </si>
  <si>
    <t>168 ↓ -0.07%</t>
  </si>
  <si>
    <t>106 ↓ -0.11%</t>
  </si>
  <si>
    <t>108 ↓ -0.69%</t>
  </si>
  <si>
    <t>2 ↓ -1.03%</t>
  </si>
  <si>
    <t>12 ↑ +0.19%</t>
  </si>
  <si>
    <t>143 ↑ +0.25%</t>
  </si>
  <si>
    <t>170 ↑ +0.49%</t>
  </si>
  <si>
    <t>113 ↑ +0.81%</t>
  </si>
  <si>
    <t>103 ↑ +0.80%</t>
  </si>
  <si>
    <t>14 ↓ -0.12%</t>
  </si>
  <si>
    <t>146 ↓ -0.29%</t>
  </si>
  <si>
    <t>180 ↓ -0.27%</t>
  </si>
  <si>
    <t>107 ↓ -0.34%</t>
  </si>
  <si>
    <t>95 ↓ -1.02%</t>
  </si>
  <si>
    <t>2 ↓ -2.33%</t>
  </si>
  <si>
    <t>14 ↓ -0.26%</t>
  </si>
  <si>
    <t>139 ↓ -0.27%</t>
  </si>
  <si>
    <t>176 ↓ -0.37%</t>
  </si>
  <si>
    <t>113 ↓ -0.36%</t>
  </si>
  <si>
    <t>100 ↓ -0.16%</t>
  </si>
  <si>
    <t>2 ↓ -2.18%</t>
  </si>
  <si>
    <t>140 ↓ -0.54%</t>
  </si>
  <si>
    <t>173 ↓ -0.76%</t>
  </si>
  <si>
    <t>118 ↓ -0.82%</t>
  </si>
  <si>
    <t>103 ↓ -0.57%</t>
  </si>
  <si>
    <t>6 ↓ -0.21%</t>
  </si>
  <si>
    <t>170 ↓ -0.33%</t>
  </si>
  <si>
    <t>124 ↓ -0.44%</t>
  </si>
  <si>
    <t>111 ↓ -0.70%</t>
  </si>
  <si>
    <t>2 ↑ +2.10%</t>
  </si>
  <si>
    <t>8 ↑ +0.10%</t>
  </si>
  <si>
    <t>125 ↓ -0.10%</t>
  </si>
  <si>
    <t>164 ↓ -0.15%</t>
  </si>
  <si>
    <t>129 ↓ -0.03%</t>
  </si>
  <si>
    <t>114 ↓ -0.60%</t>
  </si>
  <si>
    <t>2 ↓ -2.08%</t>
  </si>
  <si>
    <t>8 ↓ -0.23%</t>
  </si>
  <si>
    <t>125 ↓ -0.26%</t>
  </si>
  <si>
    <t>164 ↓ -0.39%</t>
  </si>
  <si>
    <t>130 ↓ -0.39%</t>
  </si>
  <si>
    <t>114 ↓ -0.68%</t>
  </si>
  <si>
    <t>2 ↑ +4.63%</t>
  </si>
  <si>
    <t>122 ↓ -0.03%</t>
  </si>
  <si>
    <t>161 ↓ -0.02%</t>
  </si>
  <si>
    <t>135 ↑ +0.14%</t>
  </si>
  <si>
    <t>116 ↑ +0.03%</t>
  </si>
  <si>
    <t>2 ↓ -3.07%</t>
  </si>
  <si>
    <t>121 ↓ -0.02%</t>
  </si>
  <si>
    <t>164 ↑ +0.18%</t>
  </si>
  <si>
    <t>131 ↑ +0.29%</t>
  </si>
  <si>
    <t>118 ↑ +0.57%</t>
  </si>
  <si>
    <t>121 ↑ +0.15%</t>
  </si>
  <si>
    <t>169 ↑ +0.08%</t>
  </si>
  <si>
    <t>134 ↓ -0.01%</t>
  </si>
  <si>
    <t>111 ↓ -0.09%</t>
  </si>
  <si>
    <t>2 ↑ +0.19%</t>
  </si>
  <si>
    <t>9 ↓ -0.06%</t>
  </si>
  <si>
    <t>125 ↓ -0.04%</t>
  </si>
  <si>
    <t>166 ↑ +0.02%</t>
  </si>
  <si>
    <t>129 ↑ +0.02%</t>
  </si>
  <si>
    <t>114 ↑ +0.19%</t>
  </si>
  <si>
    <t>2 ↓ -0.48%</t>
  </si>
  <si>
    <t>9 ↑ +0.12%</t>
  </si>
  <si>
    <t>126 ↑ +0.17%</t>
  </si>
  <si>
    <t>167 ↑ +0.01%</t>
  </si>
  <si>
    <t>125 ↑ +0.02%</t>
  </si>
  <si>
    <t>116 ↑ +0.45%</t>
  </si>
  <si>
    <t>125 ↓ -0.42%</t>
  </si>
  <si>
    <t>168 ↓ -0.68%</t>
  </si>
  <si>
    <t>123 ↓ -0.88%</t>
  </si>
  <si>
    <t>115 ↓ -0.63%</t>
  </si>
  <si>
    <t>2 ↓ -0.34%</t>
  </si>
  <si>
    <t>9 ↑ +0.44%</t>
  </si>
  <si>
    <t>162 ↓ -0.10%</t>
  </si>
  <si>
    <t>128 ↑ +0.02%</t>
  </si>
  <si>
    <t>122 ↑ +0.46%</t>
  </si>
  <si>
    <t>9 ↑ +0.09%</t>
  </si>
  <si>
    <t>120 ↑ +0.04%</t>
  </si>
  <si>
    <t>130 ↑ +0.28%</t>
  </si>
  <si>
    <t>123 ↑ +0.24%</t>
  </si>
  <si>
    <t>117 ↓ -0.20%</t>
  </si>
  <si>
    <t>169 ↓ -0.36%</t>
  </si>
  <si>
    <t>121 ↓ -0.37%</t>
  </si>
  <si>
    <t>126 ↓ -0.20%</t>
  </si>
  <si>
    <t>2 ↓ -0.21%</t>
  </si>
  <si>
    <t>115 ↓ -0.27%</t>
  </si>
  <si>
    <t>162 ↓ -0.26%</t>
  </si>
  <si>
    <t>128 ↓ -0.27%</t>
  </si>
  <si>
    <t>2 ↓ -0.06%</t>
  </si>
  <si>
    <t>10 ↓ -0.19%</t>
  </si>
  <si>
    <t>155 ↑ +0.31%</t>
  </si>
  <si>
    <t>137 ↑ +0.60%</t>
  </si>
  <si>
    <t>130 ↑ +0.67%</t>
  </si>
  <si>
    <t>10 ↓ -0.23%</t>
  </si>
  <si>
    <t>116 ↓ -0.03%</t>
  </si>
  <si>
    <t>167 ↑ +0.11%</t>
  </si>
  <si>
    <t>126 ↑ +0.54%</t>
  </si>
  <si>
    <t>125 ↑ +0.63%</t>
  </si>
  <si>
    <t>10 ↓ -0.12%</t>
  </si>
  <si>
    <t>117 ↓ -0.22%</t>
  </si>
  <si>
    <t>166 ↓ -0.59%</t>
  </si>
  <si>
    <t>130 ↓ -0.82%</t>
  </si>
  <si>
    <t>120 ↓ -0.56%</t>
  </si>
  <si>
    <t>2 ↓ -0.15%</t>
  </si>
  <si>
    <t>9 ↓ -0.02%</t>
  </si>
  <si>
    <t>160 ↓ -0.04%</t>
  </si>
  <si>
    <t>137 ↑ +0.11%</t>
  </si>
  <si>
    <t>127 ↑ +0.50%</t>
  </si>
  <si>
    <t>113 ↓ -0.54%</t>
  </si>
  <si>
    <t>157 ↓ -1.05%</t>
  </si>
  <si>
    <t>139 ↓ -1.31%</t>
  </si>
  <si>
    <t>127 ↓ -0.87%</t>
  </si>
  <si>
    <t>104 ↓ -0.03%</t>
  </si>
  <si>
    <t>150 ↓ -0.20%</t>
  </si>
  <si>
    <t>147 ↓ -0.55%</t>
  </si>
  <si>
    <t>137 ↓ -0.70%</t>
  </si>
  <si>
    <t>2 ↓ -0.13%</t>
  </si>
  <si>
    <t>8 ↑ +0.30%</t>
  </si>
  <si>
    <t>102 ↑ +0.04%</t>
  </si>
  <si>
    <t>140 ↑ +0.40%</t>
  </si>
  <si>
    <t>149 ↑ +0.65%</t>
  </si>
  <si>
    <t>143 ↑ +1.28%</t>
  </si>
  <si>
    <t>7 ↑ +0.12%</t>
  </si>
  <si>
    <t>103 ↓ -0.19%</t>
  </si>
  <si>
    <t>150 ↓ -0.10%</t>
  </si>
  <si>
    <t>149 ↓ -0.05%</t>
  </si>
  <si>
    <t>132 ↑ +0.45%</t>
  </si>
  <si>
    <t>2 ↓ -0.61%</t>
  </si>
  <si>
    <t>103 ↓ -0.33%</t>
  </si>
  <si>
    <t>148 ↓ -0.69%</t>
  </si>
  <si>
    <t>152 ↓ -0.93%</t>
  </si>
  <si>
    <t>132 ↓ -1.13%</t>
  </si>
  <si>
    <t>2 ↑ +0.26%</t>
  </si>
  <si>
    <t>7 ↑ +0.13%</t>
  </si>
  <si>
    <t>91 ↑ +0.11%</t>
  </si>
  <si>
    <t>146 ↑ +0.39%</t>
  </si>
  <si>
    <t>153 ↑ +0.61%</t>
  </si>
  <si>
    <t>145 ↑ +0.56%</t>
  </si>
  <si>
    <t>2 ↑ +0.02%</t>
  </si>
  <si>
    <t>7 ↓ -0.09%</t>
  </si>
  <si>
    <t>93 ↑ +0.09%</t>
  </si>
  <si>
    <t>157 ↑ +0.12%</t>
  </si>
  <si>
    <t>136 ↑ +0.99%</t>
  </si>
  <si>
    <t>94 ↑ +0.05%</t>
  </si>
  <si>
    <t>154 ↑ +0.13%</t>
  </si>
  <si>
    <t>157 ↑ +0.22%</t>
  </si>
  <si>
    <t>96 ↓ -0.19%</t>
  </si>
  <si>
    <t>160 ↓ -0.30%</t>
  </si>
  <si>
    <t>150 ↓ -0.13%</t>
  </si>
  <si>
    <t>127 ↓ -0.04%</t>
  </si>
  <si>
    <t>2 ↓ -0.88%</t>
  </si>
  <si>
    <t>91 ↓ -0.01%</t>
  </si>
  <si>
    <t>160 ↓ -0.15%</t>
  </si>
  <si>
    <t>153 ↓ -0.13%</t>
  </si>
  <si>
    <t>129 ↓ -0.56%</t>
  </si>
  <si>
    <t>160 ↓ -0.10%</t>
  </si>
  <si>
    <t>150 ↓ -0.12%</t>
  </si>
  <si>
    <t>133 ↑ +0.51%</t>
  </si>
  <si>
    <t>8 ↓ -0.07%</t>
  </si>
  <si>
    <t>88 ↑ +0.01%</t>
  </si>
  <si>
    <t>156 ↑ +0.21%</t>
  </si>
  <si>
    <t>152 ↑ +0.38%</t>
  </si>
  <si>
    <t>134 ↑ +0.80%</t>
  </si>
  <si>
    <t>91 ↑ +0.48%</t>
  </si>
  <si>
    <t>158 ↑ +1.02%</t>
  </si>
  <si>
    <t>151 ↑ +1.32%</t>
  </si>
  <si>
    <t>131 ↑ +1.79%</t>
  </si>
  <si>
    <t>2 ↓ -0.12%</t>
  </si>
  <si>
    <t>108 ↑ +0.32%</t>
  </si>
  <si>
    <t>169 ↑ +0.48%</t>
  </si>
  <si>
    <t>143 ↑ +1.00%</t>
  </si>
  <si>
    <t>111 ↑ +1.22%</t>
  </si>
  <si>
    <t>2 ↓ -0.33%</t>
  </si>
  <si>
    <t>8 ↓ -0.01%</t>
  </si>
  <si>
    <t>114 ↓ -0.16%</t>
  </si>
  <si>
    <t>185 ↓ -0.28%</t>
  </si>
  <si>
    <t>135 ↓ -0.47%</t>
  </si>
  <si>
    <t>96 ↓ -0.63%</t>
  </si>
  <si>
    <t>2 ↓ -0.86%</t>
  </si>
  <si>
    <t>7 ↓ -0.20%</t>
  </si>
  <si>
    <t>110 ↓ -0.32%</t>
  </si>
  <si>
    <t>182 ↓ -0.28%</t>
  </si>
  <si>
    <t>136 ↓ -0.27%</t>
  </si>
  <si>
    <t>103 ↓ -0.14%</t>
  </si>
  <si>
    <t>2 ↑ +1.82%</t>
  </si>
  <si>
    <t>6 ↓ -0.48%</t>
  </si>
  <si>
    <t>105 ↓ -0.30%</t>
  </si>
  <si>
    <t>183 ↓ -0.53%</t>
  </si>
  <si>
    <t>141 ↓ -0.79%</t>
  </si>
  <si>
    <t>104 ↓ -1.97%</t>
  </si>
  <si>
    <t>7 ↑ +0.32%</t>
  </si>
  <si>
    <t>97 ↑ +0.16%</t>
  </si>
  <si>
    <t>146 ↑ +0.33%</t>
  </si>
  <si>
    <t>114 ↑ +0.64%</t>
  </si>
  <si>
    <t>8 ↑ +0.56%</t>
  </si>
  <si>
    <t>101 ↑ +0.76%</t>
  </si>
  <si>
    <t>175 ↑ +1.11%</t>
  </si>
  <si>
    <t>148 ↑ +1.22%</t>
  </si>
  <si>
    <t>108 ↑ +1.25%</t>
  </si>
  <si>
    <t>2 ↓ -0.92%</t>
  </si>
  <si>
    <t>9 ↑ +0.08%</t>
  </si>
  <si>
    <t>120 ↓ -0.03%</t>
  </si>
  <si>
    <t>176 ↓ -0.04%</t>
  </si>
  <si>
    <t>137 ↑ +0.19%</t>
  </si>
  <si>
    <t>97 ↑ +0.64%</t>
  </si>
  <si>
    <t>2 ↑ +3.40%</t>
  </si>
  <si>
    <t>10 ↑ +0.66%</t>
  </si>
  <si>
    <t>114 ↑ +0.37%</t>
  </si>
  <si>
    <t>187 ↑ +0.56%</t>
  </si>
  <si>
    <t>131 ↑ +0.86%</t>
  </si>
  <si>
    <t>99 ↑ +1.61%</t>
  </si>
  <si>
    <t>2 ↓ -5.85%</t>
  </si>
  <si>
    <t>13 ↑ +0.84%</t>
  </si>
  <si>
    <t>125 ↑ +0.73%</t>
  </si>
  <si>
    <t>186 ↑ +1.39%</t>
  </si>
  <si>
    <t>122 ↑ +2.00%</t>
  </si>
  <si>
    <t>95 ↑ +2.27%</t>
  </si>
  <si>
    <t>1 ↓ -0.90%</t>
  </si>
  <si>
    <t>16 ↓ -0.04%</t>
  </si>
  <si>
    <t>145 ↓ -0.69%</t>
  </si>
  <si>
    <t>202 ↓ -1.31%</t>
  </si>
  <si>
    <t>104 ↓ -1.36%</t>
  </si>
  <si>
    <t>75 ↓ -1.82%</t>
  </si>
  <si>
    <t>2 ↑ +8.85%</t>
  </si>
  <si>
    <t>12 ↑ +0.04%</t>
  </si>
  <si>
    <t>129 ↓ -0.20%</t>
  </si>
  <si>
    <t>198 ↓ -0.50%</t>
  </si>
  <si>
    <t>110 ↓ -0.41%</t>
  </si>
  <si>
    <t>91 ↓ -0.91%</t>
  </si>
  <si>
    <t>2 ↑ +3.11%</t>
  </si>
  <si>
    <t>13 ↓ -0.31%</t>
  </si>
  <si>
    <t>124 ↓ -0.79%</t>
  </si>
  <si>
    <t>185 ↓ -0.88%</t>
  </si>
  <si>
    <t>121 ↓ -0.88%</t>
  </si>
  <si>
    <t>97 ↓ -1.50%</t>
  </si>
  <si>
    <t>2 ↓ -3.26%</t>
  </si>
  <si>
    <t>11 ↓ -2.26%</t>
  </si>
  <si>
    <t>108 ↓ -0.67%</t>
  </si>
  <si>
    <t>178 ↓ -1.06%</t>
  </si>
  <si>
    <t>137 ↓ -1.21%</t>
  </si>
  <si>
    <t>106 ↓ -1.25%</t>
  </si>
  <si>
    <t>2 ↓ -6.70%</t>
  </si>
  <si>
    <t>97 ↓ -0.26%</t>
  </si>
  <si>
    <t>171 ↓ -0.34%</t>
  </si>
  <si>
    <t>153 ↓ -0.33%</t>
  </si>
  <si>
    <t>113 ↓ -0.79%</t>
  </si>
  <si>
    <t>2 ↓ -3.52%</t>
  </si>
  <si>
    <t>5 ↓ -0.77%</t>
  </si>
  <si>
    <t>93 ↓ -0.46%</t>
  </si>
  <si>
    <t>170 ↓ -0.66%</t>
  </si>
  <si>
    <t>151 ↓ -0.79%</t>
  </si>
  <si>
    <t>121 ↓ -1.05%</t>
  </si>
  <si>
    <t>1 ↓ -0.72%</t>
  </si>
  <si>
    <t>5 ↓ -0.00%</t>
  </si>
  <si>
    <t>170 ↓ -0.27%</t>
  </si>
  <si>
    <t>153 ↓ -0.34%</t>
  </si>
  <si>
    <t>1 ↓ -8.93%</t>
  </si>
  <si>
    <t>5 ↓ -0.10%</t>
  </si>
  <si>
    <t>79 ↑ +0.01%</t>
  </si>
  <si>
    <t>168 ↑ +0.13%</t>
  </si>
  <si>
    <t>148 ↑ +0.18%</t>
  </si>
  <si>
    <t>138 ↑ +0.09%</t>
  </si>
  <si>
    <t>5 ↓ -0.04%</t>
  </si>
  <si>
    <t>79 ↓ -0.16%</t>
  </si>
  <si>
    <t>168 ↓ -0.10%</t>
  </si>
  <si>
    <t>151 ↓ -0.13%</t>
  </si>
  <si>
    <t>135 ↓ -0.40%</t>
  </si>
  <si>
    <t>6 ↑ +0.05%</t>
  </si>
  <si>
    <t>77 ↓ -0.17%</t>
  </si>
  <si>
    <t>172 ↓ -0.28%</t>
  </si>
  <si>
    <t>145 ↓ -0.41%</t>
  </si>
  <si>
    <t>139 ↓ -0.23%</t>
  </si>
  <si>
    <t>76 ↓ -0.22%</t>
  </si>
  <si>
    <t>169 ↓ -0.34%</t>
  </si>
  <si>
    <t>144 ↓ -0.17%</t>
  </si>
  <si>
    <t>144 ↑ +0.14%</t>
  </si>
  <si>
    <t>6 ↑ +0.40%</t>
  </si>
  <si>
    <t>70 ↑ +0.22%</t>
  </si>
  <si>
    <t>153 ↑ +0.69%</t>
  </si>
  <si>
    <t>142 ↑ +0.83%</t>
  </si>
  <si>
    <t>73 ↑ +0.03%</t>
  </si>
  <si>
    <t>174 ↑ +0.31%</t>
  </si>
  <si>
    <t>147 ↑ +0.33%</t>
  </si>
  <si>
    <t>136 ↑ +0.03%</t>
  </si>
  <si>
    <t>8 ↓ -0.51%</t>
  </si>
  <si>
    <t>77 ↓ -0.14%</t>
  </si>
  <si>
    <t>177 ↑ +0.00%</t>
  </si>
  <si>
    <t>132 ↓ -0.23%</t>
  </si>
  <si>
    <t>5 ↓ -1.09%</t>
  </si>
  <si>
    <t>77 ↓ -0.37%</t>
  </si>
  <si>
    <t>186 ↓ -0.22%</t>
  </si>
  <si>
    <t>130 ↑ +0.08%</t>
  </si>
  <si>
    <t>6 ↑ +0.29%</t>
  </si>
  <si>
    <t>68 ↑ +0.38%</t>
  </si>
  <si>
    <t>187 ↑ +0.64%</t>
  </si>
  <si>
    <t>146 ↑ +0.97%</t>
  </si>
  <si>
    <t>132 ↑ +1.73%</t>
  </si>
  <si>
    <t>6 ↓ -0.08%</t>
  </si>
  <si>
    <t>73 ↓ -0.16%</t>
  </si>
  <si>
    <t>199 ↓ -0.24%</t>
  </si>
  <si>
    <t>145 ↓ -0.42%</t>
  </si>
  <si>
    <t>116 ↓ -0.12%</t>
  </si>
  <si>
    <t>6 ↓ -0.00%</t>
  </si>
  <si>
    <t>74 ↓ -0.11%</t>
  </si>
  <si>
    <t>192 ↓ -0.17%</t>
  </si>
  <si>
    <t>145 ↓ -0.22%</t>
  </si>
  <si>
    <t>6 ↓ -0.06%</t>
  </si>
  <si>
    <t>71 ↓ -0.17%</t>
  </si>
  <si>
    <t>144 ↓ -0.42%</t>
  </si>
  <si>
    <t>128 ↓ -0.96%</t>
  </si>
  <si>
    <t>6 ↓ -0.04%</t>
  </si>
  <si>
    <t>71 ↑ +0.09%</t>
  </si>
  <si>
    <t>178 ↑ +0.19%</t>
  </si>
  <si>
    <t>151 ↑ +0.34%</t>
  </si>
  <si>
    <t>133 ↑ +0.70%</t>
  </si>
  <si>
    <t>6 ↓ -0.12%</t>
  </si>
  <si>
    <t>71 ↑ +0.14%</t>
  </si>
  <si>
    <t>187 ↑ +0.13%</t>
  </si>
  <si>
    <t>151 ↑ +0.18%</t>
  </si>
  <si>
    <t>124 ↑ +0.15%</t>
  </si>
  <si>
    <t>6 ↓ -0.19%</t>
  </si>
  <si>
    <t>74 ↓ -0.19%</t>
  </si>
  <si>
    <t>185 ↓ -0.42%</t>
  </si>
  <si>
    <t>153 ↓ -0.52%</t>
  </si>
  <si>
    <t>120 ↓ -0.74%</t>
  </si>
  <si>
    <t>71 ↓ -0.32%</t>
  </si>
  <si>
    <t>178 ↓ -0.50%</t>
  </si>
  <si>
    <t>154 ↓ -0.72%</t>
  </si>
  <si>
    <t>128 ↓ -1.20%</t>
  </si>
  <si>
    <t>69 ↑ +0.00%</t>
  </si>
  <si>
    <t>168 ↑ +0.03%</t>
  </si>
  <si>
    <t>134 ↓ -0.18%</t>
  </si>
  <si>
    <t>71 ↓ -0.06%</t>
  </si>
  <si>
    <t>148 ↑ +0.30%</t>
  </si>
  <si>
    <t>141 ↑ +0.58%</t>
  </si>
  <si>
    <t>5 ↑ +0.15%</t>
  </si>
  <si>
    <t>69 ↓ -0.11%</t>
  </si>
  <si>
    <t>173 ↓ -0.30%</t>
  </si>
  <si>
    <t>153 ↓ -0.29%</t>
  </si>
  <si>
    <t>133 ↓ -0.14%</t>
  </si>
  <si>
    <t>66 ↓ -0.84%</t>
  </si>
  <si>
    <t>171 ↓ -1.25%</t>
  </si>
  <si>
    <t>150 ↓ -1.50%</t>
  </si>
  <si>
    <t>140 ↓ -2.67%</t>
  </si>
  <si>
    <t>52 ↑ +0.01%</t>
  </si>
  <si>
    <t>165 ↓ -0.08%</t>
  </si>
  <si>
    <t>148 ↑ +0.01%</t>
  </si>
  <si>
    <t>161 ↑ +0.06%</t>
  </si>
  <si>
    <t>1 ↓ -0.27%</t>
  </si>
  <si>
    <t>165 ↓ -0.09%</t>
  </si>
  <si>
    <t>153 ↓ -0.16%</t>
  </si>
  <si>
    <t>156 ↓ -0.17%</t>
  </si>
  <si>
    <t>1 ↑ +1.30%</t>
  </si>
  <si>
    <t>5 ↑ +0.59%</t>
  </si>
  <si>
    <t>48 ↑ +0.28%</t>
  </si>
  <si>
    <t>164 ↑ +0.52%</t>
  </si>
  <si>
    <t>157 ↑ +0.55%</t>
  </si>
  <si>
    <t>156 ↑ +1.11%</t>
  </si>
  <si>
    <t>1 ↑ +1.03%</t>
  </si>
  <si>
    <t>5 ↑ +0.27%</t>
  </si>
  <si>
    <t>55 ↑ +0.21%</t>
  </si>
  <si>
    <t>164 ↑ +0.25%</t>
  </si>
  <si>
    <t>153 ↑ +0.36%</t>
  </si>
  <si>
    <t>152 ↓ -0.11%</t>
  </si>
  <si>
    <t>1 ↑ +0.07%</t>
  </si>
  <si>
    <t>5 ↓ -0.35%</t>
  </si>
  <si>
    <t>58 ↓ -0.03%</t>
  </si>
  <si>
    <t>170 ↓ -0.18%</t>
  </si>
  <si>
    <t>146 ↑ +0.27%</t>
  </si>
  <si>
    <t>1 ↑ +0.30%</t>
  </si>
  <si>
    <t>5 ↑ +0.32%</t>
  </si>
  <si>
    <t>55 ↑ +0.11%</t>
  </si>
  <si>
    <t>174 ↑ +0.09%</t>
  </si>
  <si>
    <t>145 ↑ +0.45%</t>
  </si>
  <si>
    <t>149 ↓ -0.09%</t>
  </si>
  <si>
    <t>52 ↑ +0.35%</t>
  </si>
  <si>
    <t>177 ↑ +0.81%</t>
  </si>
  <si>
    <t>149 ↑ +1.64%</t>
  </si>
  <si>
    <t>143 ↑ +1.91%</t>
  </si>
  <si>
    <t>1 ↑ +0.17%</t>
  </si>
  <si>
    <t>7 ↑ +0.19%</t>
  </si>
  <si>
    <t>58 ↑ +0.09%</t>
  </si>
  <si>
    <t>203 ↑ +0.22%</t>
  </si>
  <si>
    <t>140 ↑ +0.39%</t>
  </si>
  <si>
    <t>7 ↓ -0.18%</t>
  </si>
  <si>
    <t>60 ↓ -0.31%</t>
  </si>
  <si>
    <t>205 ↓ -0.47%</t>
  </si>
  <si>
    <t>138 ↓ -1.16%</t>
  </si>
  <si>
    <t>116 ↓ -1.47%</t>
  </si>
  <si>
    <t>1 ↑ +0.16%</t>
  </si>
  <si>
    <t>190 ↑ +0.27%</t>
  </si>
  <si>
    <t>143 ↑ +0.17%</t>
  </si>
  <si>
    <t>128 ↑ +0.77%</t>
  </si>
  <si>
    <t>1 ↓ -0.37%</t>
  </si>
  <si>
    <t>7 ↑ +0.06%</t>
  </si>
  <si>
    <t>56 ↓ -0.23%</t>
  </si>
  <si>
    <t>197 ↓ -0.56%</t>
  </si>
  <si>
    <t>138 ↓ -0.81%</t>
  </si>
  <si>
    <t>125 ↓ -1.55%</t>
  </si>
  <si>
    <t>1 ↓ -0.46%</t>
  </si>
  <si>
    <t>7 ↓ -0.31%</t>
  </si>
  <si>
    <t>57 ↓ -0.43%</t>
  </si>
  <si>
    <t>181 ↓ -0.63%</t>
  </si>
  <si>
    <t>139 ↓ -0.62%</t>
  </si>
  <si>
    <t>138 ↓ -0.31%</t>
  </si>
  <si>
    <t>1 ↑ +0.09%</t>
  </si>
  <si>
    <t>7 ↓ -0.16%</t>
  </si>
  <si>
    <t>49 ↓ -0.07%</t>
  </si>
  <si>
    <t>173 ↓ -0.31%</t>
  </si>
  <si>
    <t>151 ↓ -0.35%</t>
  </si>
  <si>
    <t>142 ↓ -0.05%</t>
  </si>
  <si>
    <t>1 ↓ -0.22%</t>
  </si>
  <si>
    <t>48 ↓ -0.05%</t>
  </si>
  <si>
    <t>174 ↓ -0.10%</t>
  </si>
  <si>
    <t>144 ↓ -0.23%</t>
  </si>
  <si>
    <t>146 ↓ -0.52%</t>
  </si>
  <si>
    <t>49 ↑ +0.07%</t>
  </si>
  <si>
    <t>170 ↑ +0.26%</t>
  </si>
  <si>
    <t>145 ↑ +0.60%</t>
  </si>
  <si>
    <t>147 ↑ +0.99%</t>
  </si>
  <si>
    <t>1 ↑ +0.27%</t>
  </si>
  <si>
    <t>7 ↑ +0.00%</t>
  </si>
  <si>
    <t>48 ↑ +0.02%</t>
  </si>
  <si>
    <t>180 ↓ -0.11%</t>
  </si>
  <si>
    <t>141 ↓ -0.24%</t>
  </si>
  <si>
    <t>141 ↓ -0.52%</t>
  </si>
  <si>
    <t>1 ↓ -0.29%</t>
  </si>
  <si>
    <t>48 ↓ -0.06%</t>
  </si>
  <si>
    <t>172 ↓ -0.22%</t>
  </si>
  <si>
    <t>139 ↓ -0.48%</t>
  </si>
  <si>
    <t>147 ↓ -0.71%</t>
  </si>
  <si>
    <t>1 ↓ -0.21%</t>
  </si>
  <si>
    <t>7 ↓ -0.21%</t>
  </si>
  <si>
    <t>48 ↓ -0.43%</t>
  </si>
  <si>
    <t>165 ↓ -0.32%</t>
  </si>
  <si>
    <t>133 ↓ -0.20%</t>
  </si>
  <si>
    <t>157 ↑ +0.01%</t>
  </si>
  <si>
    <t>1 ↓ -0.08%</t>
  </si>
  <si>
    <t>7 ↓ -0.39%</t>
  </si>
  <si>
    <t>44 ↓ -0.27%</t>
  </si>
  <si>
    <t>163 ↓ -0.21%</t>
  </si>
  <si>
    <t>138 ↓ -0.44%</t>
  </si>
  <si>
    <t>158 ↓ -0.41%</t>
  </si>
  <si>
    <t>6 ↑ +0.46%</t>
  </si>
  <si>
    <t>41 ↑ +0.24%</t>
  </si>
  <si>
    <t>159 ↑ +0.07%</t>
  </si>
  <si>
    <t>143 ↑ +0.08%</t>
  </si>
  <si>
    <t>157 ↓ -0.43%</t>
  </si>
  <si>
    <t>1 ↓ -1.14%</t>
  </si>
  <si>
    <t>47 ↑ +0.23%</t>
  </si>
  <si>
    <t>154 ↓ -0.15%</t>
  </si>
  <si>
    <t>142 ↓ -0.22%</t>
  </si>
  <si>
    <t>156 ↓ -0.40%</t>
  </si>
  <si>
    <t>1 ↓ -0.42%</t>
  </si>
  <si>
    <t>43 ↑ +0.01%</t>
  </si>
  <si>
    <t>148 ↓ -0.24%</t>
  </si>
  <si>
    <t>155 ↓ -0.13%</t>
  </si>
  <si>
    <t>7 ↑ +0.15%</t>
  </si>
  <si>
    <t>42 ↓ -0.34%</t>
  </si>
  <si>
    <t>152 ↓ -0.50%</t>
  </si>
  <si>
    <t>141 ↓ -0.58%</t>
  </si>
  <si>
    <t>161 ↓ -0.33%</t>
  </si>
  <si>
    <t>2 ↑ +0.74%</t>
  </si>
  <si>
    <t>37 ↑ +0.10%</t>
  </si>
  <si>
    <t>146 ↑ +0.05%</t>
  </si>
  <si>
    <t>147 ↓ -0.04%</t>
  </si>
  <si>
    <t>166 ↑ +0.60%</t>
  </si>
  <si>
    <t>37 ↑ +0.17%</t>
  </si>
  <si>
    <t>153 ↑ +0.18%</t>
  </si>
  <si>
    <t>163 ↑ +0.23%</t>
  </si>
  <si>
    <t>8 ↑ +0.11%</t>
  </si>
  <si>
    <t>40 ↓ -0.07%</t>
  </si>
  <si>
    <t>150 ↓ -0.05%</t>
  </si>
  <si>
    <t>157 ↑ +0.59%</t>
  </si>
  <si>
    <t>1 ↓ -0.14%</t>
  </si>
  <si>
    <t>9 ↑ +0.35%</t>
  </si>
  <si>
    <t>37 ↓ -0.17%</t>
  </si>
  <si>
    <t>148 ↓ -0.28%</t>
  </si>
  <si>
    <t>149 ↓ -0.41%</t>
  </si>
  <si>
    <t>157 ↓ -0.17%</t>
  </si>
  <si>
    <t>2 ↑ +2.29%</t>
  </si>
  <si>
    <t>35 ↑ +0.23%</t>
  </si>
  <si>
    <t>141 ↑ +0.26%</t>
  </si>
  <si>
    <t>153 ↑ +0.19%</t>
  </si>
  <si>
    <t>162 ↑ +0.88%</t>
  </si>
  <si>
    <t>3 ↑ +3.13%</t>
  </si>
  <si>
    <t>9 ↑ +0.19%</t>
  </si>
  <si>
    <t>37 ↑ +0.62%</t>
  </si>
  <si>
    <t>140 ↑ +0.65%</t>
  </si>
  <si>
    <t>154 ↑ +0.59%</t>
  </si>
  <si>
    <t>158 ↑ +0.62%</t>
  </si>
  <si>
    <t>4 ↓ -2.34%</t>
  </si>
  <si>
    <t>43 ↑ +0.18%</t>
  </si>
  <si>
    <t>139 ↓ -0.03%</t>
  </si>
  <si>
    <t>157 ↓ -0.14%</t>
  </si>
  <si>
    <t>149 ↓ -0.62%</t>
  </si>
  <si>
    <t>11 ↑ +0.23%</t>
  </si>
  <si>
    <t>45 ↑ +0.16%</t>
  </si>
  <si>
    <t>143 ↑ +0.07%</t>
  </si>
  <si>
    <t>143 ↓ -0.14%</t>
  </si>
  <si>
    <t>156 ↓ -0.60%</t>
  </si>
  <si>
    <t>47 ↑ +0.36%</t>
  </si>
  <si>
    <t>144 ↑ +0.72%</t>
  </si>
  <si>
    <t>138 ↑ +0.93%</t>
  </si>
  <si>
    <t>158 ↑ +1.55%</t>
  </si>
  <si>
    <t>12 ↑ +0.13%</t>
  </si>
  <si>
    <t>55 ↓ -0.20%</t>
  </si>
  <si>
    <t>149 ↓ -0.16%</t>
  </si>
  <si>
    <t>140 ↓ -0.23%</t>
  </si>
  <si>
    <t>146 ↓ -0.01%</t>
  </si>
  <si>
    <t>13 ↓ -0.44%</t>
  </si>
  <si>
    <t>51 ↓ -0.06%</t>
  </si>
  <si>
    <t>149 ↑ +0.02%</t>
  </si>
  <si>
    <t>140 ↓ -0.21%</t>
  </si>
  <si>
    <t>149 ↓ -0.21%</t>
  </si>
  <si>
    <t>2 ↑ +0.83%</t>
  </si>
  <si>
    <t>13 ↑ +0.29%</t>
  </si>
  <si>
    <t>154 ↓ -0.11%</t>
  </si>
  <si>
    <t>138 ↓ -0.35%</t>
  </si>
  <si>
    <t>150 ↓ -0.93%</t>
  </si>
  <si>
    <t>13 ↑ +0.41%</t>
  </si>
  <si>
    <t>49 ↑ +0.12%</t>
  </si>
  <si>
    <t>147 ↑ +0.02%</t>
  </si>
  <si>
    <t>3 ↑ +1.00%</t>
  </si>
  <si>
    <t>12 ↑ +0.27%</t>
  </si>
  <si>
    <t>50 ↑ +0.08%</t>
  </si>
  <si>
    <t>147 ↑ +0.14%</t>
  </si>
  <si>
    <t>137 ↑ +0.29%</t>
  </si>
  <si>
    <t>152 ↑ +0.60%</t>
  </si>
  <si>
    <t>51 ↓ -0.12%</t>
  </si>
  <si>
    <t>148 ↓ -0.33%</t>
  </si>
  <si>
    <t>134 ↓ -0.24%</t>
  </si>
  <si>
    <t>151 ↓ -0.80%</t>
  </si>
  <si>
    <t>3 ↓ -4.43%</t>
  </si>
  <si>
    <t>12 ↑ +0.12%</t>
  </si>
  <si>
    <t>49 ↑ +0.05%</t>
  </si>
  <si>
    <t>148 ↓ -0.02%</t>
  </si>
  <si>
    <t>130 ↓ -0.31%</t>
  </si>
  <si>
    <t>156 ↓ -0.64%</t>
  </si>
  <si>
    <t>13 ↓ -0.29%</t>
  </si>
  <si>
    <t>49 ↑ +0.22%</t>
  </si>
  <si>
    <t>149 ↑ +0.40%</t>
  </si>
  <si>
    <t>132 ↑ +0.62%</t>
  </si>
  <si>
    <t>153 ↑ +0.60%</t>
  </si>
  <si>
    <t>13 0.00%</t>
  </si>
  <si>
    <t>149 ↓ -0.22%</t>
  </si>
  <si>
    <t>143 ↓ -0.33%</t>
  </si>
  <si>
    <t>140 ↓ -0.59%</t>
  </si>
  <si>
    <t>2 ↓ -9.23%</t>
  </si>
  <si>
    <t>13 ↑ +0.11%</t>
  </si>
  <si>
    <t>147 ↑ +0.19%</t>
  </si>
  <si>
    <t>137 ↑ +0.47%</t>
  </si>
  <si>
    <t>149 ↑ +0.74%</t>
  </si>
  <si>
    <t>2 ↓ -38.27%</t>
  </si>
  <si>
    <t>13 ↓ -0.76%</t>
  </si>
  <si>
    <t>53 ↓ -0.03%</t>
  </si>
  <si>
    <t>147 ↑ +0.11%</t>
  </si>
  <si>
    <t>142 ↓ -0.16%</t>
  </si>
  <si>
    <t>141 ↓ -0.33%</t>
  </si>
  <si>
    <t>1 ↑ +0.33%</t>
  </si>
  <si>
    <t>12 ↑ +0.38%</t>
  </si>
  <si>
    <t>51 ↑ +0.17%</t>
  </si>
  <si>
    <t>151 ↓ -0.03%</t>
  </si>
  <si>
    <t>140 ↓ -0.12%</t>
  </si>
  <si>
    <t>139 ↓ -0.51%</t>
  </si>
  <si>
    <t>54 ↓ -0.04%</t>
  </si>
  <si>
    <t>133 ↓ -0.08%</t>
  </si>
  <si>
    <t>142 ↑ +0.23%</t>
  </si>
  <si>
    <t>1 ↓ -0.32%</t>
  </si>
  <si>
    <t>54 ↓ -0.06%</t>
  </si>
  <si>
    <t>134 ↓ -0.16%</t>
  </si>
  <si>
    <t>141 ↓ -0.26%</t>
  </si>
  <si>
    <t>13 ↑ +0.79%</t>
  </si>
  <si>
    <t>147 ↑ +0.07%</t>
  </si>
  <si>
    <t>133 ↑ +0.23%</t>
  </si>
  <si>
    <t>146 ↑ +0.49%</t>
  </si>
  <si>
    <t>2 ↑ +1.59%</t>
  </si>
  <si>
    <t>12 ↑ +0.57%</t>
  </si>
  <si>
    <t>53 ↑ +0.07%</t>
  </si>
  <si>
    <t>151 ↑ +0.24%</t>
  </si>
  <si>
    <t>133 ↑ +0.27%</t>
  </si>
  <si>
    <t>142 ↑ +0.68%</t>
  </si>
  <si>
    <t>2 ↑ +1.57%</t>
  </si>
  <si>
    <t>12 ↑ +1.12%</t>
  </si>
  <si>
    <t>56 ↑ +0.68%</t>
  </si>
  <si>
    <t>149 ↑ +0.39%</t>
  </si>
  <si>
    <t>146 ↑ +0.18%</t>
  </si>
  <si>
    <t>2 ↑ +2.46%</t>
  </si>
  <si>
    <t>13 ↑ +1.87%</t>
  </si>
  <si>
    <t>60 ↑ +0.02%</t>
  </si>
  <si>
    <t>151 ↑ +0.17%</t>
  </si>
  <si>
    <t>131 ↑ +0.43%</t>
  </si>
  <si>
    <t>137 ↑ +0.65%</t>
  </si>
  <si>
    <t>4 ↓ -3.78%</t>
  </si>
  <si>
    <t>11 ↓ -0.73%</t>
  </si>
  <si>
    <t>133 ↑ +0.04%</t>
  </si>
  <si>
    <t>129 ↓ -0.06%</t>
  </si>
  <si>
    <t>3 ↓ -2.04%</t>
  </si>
  <si>
    <t>12 ↓ -0.64%</t>
  </si>
  <si>
    <t>58 ↑ +0.08%</t>
  </si>
  <si>
    <t>161 ↑ +0.42%</t>
  </si>
  <si>
    <t>128 ↑ +0.84%</t>
  </si>
  <si>
    <t>132 ↑ +1.45%</t>
  </si>
  <si>
    <t>9 ↓ -0.46%</t>
  </si>
  <si>
    <t>61 ↓ -0.57%</t>
  </si>
  <si>
    <t>166 ↓ -0.71%</t>
  </si>
  <si>
    <t>121 ↓ -0.82%</t>
  </si>
  <si>
    <t>3 ↓ -0.58%</t>
  </si>
  <si>
    <t>10 ↓ -0.17%</t>
  </si>
  <si>
    <t>54 ↓ -0.20%</t>
  </si>
  <si>
    <t>161 ↓ -0.35%</t>
  </si>
  <si>
    <t>134 ↓ -0.62%</t>
  </si>
  <si>
    <t>133 ↓ -1.49%</t>
  </si>
  <si>
    <t>3 ↑ +0.15%</t>
  </si>
  <si>
    <t>10 ↓ -0.36%</t>
  </si>
  <si>
    <t>156 ↓ -0.21%</t>
  </si>
  <si>
    <t>135 ↓ -0.15%</t>
  </si>
  <si>
    <t>138 ↑ +0.01%</t>
  </si>
  <si>
    <t>3 ↑ +0.53%</t>
  </si>
  <si>
    <t>51 ↓ -0.34%</t>
  </si>
  <si>
    <t>156 ↓ -0.46%</t>
  </si>
  <si>
    <t>141 ↓ -0.37%</t>
  </si>
  <si>
    <t>134 ↑ +0.23%</t>
  </si>
  <si>
    <t>2 ↑ +1.05%</t>
  </si>
  <si>
    <t>11 ↑ +0.22%</t>
  </si>
  <si>
    <t>49 ↑ +0.06%</t>
  </si>
  <si>
    <t>148 ↑ +0.19%</t>
  </si>
  <si>
    <t>152 ↑ +0.14%</t>
  </si>
  <si>
    <t>134 ↑ +0.55%</t>
  </si>
  <si>
    <t>2 ↓ -1.19%</t>
  </si>
  <si>
    <t>11 ↓ -0.28%</t>
  </si>
  <si>
    <t>48 ↓ -0.04%</t>
  </si>
  <si>
    <t>148 ↑ +0.54%</t>
  </si>
  <si>
    <t>135 ↑ +0.87%</t>
  </si>
  <si>
    <t>2 ↑ +0.77%</t>
  </si>
  <si>
    <t>11 ↑ +0.70%</t>
  </si>
  <si>
    <t>51 ↓ -0.05%</t>
  </si>
  <si>
    <t>158 ↓ -0.07%</t>
  </si>
  <si>
    <t>144 ↑ +0.11%</t>
  </si>
  <si>
    <t>130 ↑ +0.76%</t>
  </si>
  <si>
    <t>4 ↑ +3.08%</t>
  </si>
  <si>
    <t>9 ↓ -0.84%</t>
  </si>
  <si>
    <t>48 ↑ +0.00%</t>
  </si>
  <si>
    <t>161 ↑ +0.01%</t>
  </si>
  <si>
    <t>145 ↑ +0.07%</t>
  </si>
  <si>
    <t>129 ↑ +0.73%</t>
  </si>
  <si>
    <t>4 ↑ +1.71%</t>
  </si>
  <si>
    <t>7 ↓ -0.49%</t>
  </si>
  <si>
    <t>50 ↑ +0.03%</t>
  </si>
  <si>
    <t>165 ↑ +0.30%</t>
  </si>
  <si>
    <t>130 ↑ +1.24%</t>
  </si>
  <si>
    <t>7 ↑ +0.18%</t>
  </si>
  <si>
    <t>178 ↑ +0.18%</t>
  </si>
  <si>
    <t>131 ↑ +0.47%</t>
  </si>
  <si>
    <t>127 ↑ +0.95%</t>
  </si>
  <si>
    <t>4 ↑ +0.15%</t>
  </si>
  <si>
    <t>7 ↓ -0.46%</t>
  </si>
  <si>
    <t>54 ↑ +0.00%</t>
  </si>
  <si>
    <t>179 ↑ +0.11%</t>
  </si>
  <si>
    <t>134 ↑ +0.08%</t>
  </si>
  <si>
    <t>4 ↑ +5.80%</t>
  </si>
  <si>
    <t>6 ↑ +0.79%</t>
  </si>
  <si>
    <t>53 ↓ -0.09%</t>
  </si>
  <si>
    <t>184 ↓ -0.10%</t>
  </si>
  <si>
    <t>4 ↑ +1.96%</t>
  </si>
  <si>
    <t>7 ↓ -0.15%</t>
  </si>
  <si>
    <t>49 ↓ -0.11%</t>
  </si>
  <si>
    <t>186 ↓ -0.40%</t>
  </si>
  <si>
    <t>130 ↓ -0.77%</t>
  </si>
  <si>
    <t>4 0.00%</t>
  </si>
  <si>
    <t>6 ↑ +0.53%</t>
  </si>
  <si>
    <t>51 ↓ -0.00%</t>
  </si>
  <si>
    <t>172 ↓ -0.16%</t>
  </si>
  <si>
    <t>135 ↓ -0.07%</t>
  </si>
  <si>
    <t>129 ↑ +0.19%</t>
  </si>
  <si>
    <t>8 ↑ +0.63%</t>
  </si>
  <si>
    <t>49 ↑ +0.45%</t>
  </si>
  <si>
    <t>167 ↑ +0.80%</t>
  </si>
  <si>
    <t>138 ↑ +0.95%</t>
  </si>
  <si>
    <t>131 ↑ +1.37%</t>
  </si>
  <si>
    <t>5 ↑ +1.08%</t>
  </si>
  <si>
    <t>54 ↑ +0.03%</t>
  </si>
  <si>
    <t>191 ↑ +0.15%</t>
  </si>
  <si>
    <t>116 ↑ +0.26%</t>
  </si>
  <si>
    <t>124 ↑ +0.87%</t>
  </si>
  <si>
    <t>5 ↓ -0.38%</t>
  </si>
  <si>
    <t>55 ↓ -0.14%</t>
  </si>
  <si>
    <t>121 ↓ -0.06%</t>
  </si>
  <si>
    <t>118 ↑ +0.46%</t>
  </si>
  <si>
    <t>4 ↓ -4.26%</t>
  </si>
  <si>
    <t>53 ↓ -0.04%</t>
  </si>
  <si>
    <t>192 ↓ -0.03%</t>
  </si>
  <si>
    <t>123 ↑ +0.14%</t>
  </si>
  <si>
    <t>118 ↑ +0.38%</t>
  </si>
  <si>
    <t>4 ↓ -2.94%</t>
  </si>
  <si>
    <t>8 ↓ -0.79%</t>
  </si>
  <si>
    <t>53 ↓ -0.15%</t>
  </si>
  <si>
    <t>195 ↓ -0.33%</t>
  </si>
  <si>
    <t>120 ↓ -0.36%</t>
  </si>
  <si>
    <t>118 ↑ +0.34%</t>
  </si>
  <si>
    <t>4 ↓ -1.23%</t>
  </si>
  <si>
    <t>51 ↑ +0.11%</t>
  </si>
  <si>
    <t>188 ↑ +0.33%</t>
  </si>
  <si>
    <t>130 ↑ +0.56%</t>
  </si>
  <si>
    <t>117 ↑ +0.87%</t>
  </si>
  <si>
    <t>3 ↑ +0.13%</t>
  </si>
  <si>
    <t>9 ↓ -0.20%</t>
  </si>
  <si>
    <t>54 ↓ -0.17%</t>
  </si>
  <si>
    <t>190 ↓ -0.08%</t>
  </si>
  <si>
    <t>127 ↑ +0.10%</t>
  </si>
  <si>
    <t>115 ↓ -0.11%</t>
  </si>
  <si>
    <t>3 ↓ -4.78%</t>
  </si>
  <si>
    <t>9 ↓ -0.50%</t>
  </si>
  <si>
    <t>50 ↓ -0.27%</t>
  </si>
  <si>
    <t>205 ↓ -0.28%</t>
  </si>
  <si>
    <t>116 ↓ -0.16%</t>
  </si>
  <si>
    <t>116 ↓ -0.23%</t>
  </si>
  <si>
    <t>8 ↓ -0.72%</t>
  </si>
  <si>
    <t>49 ↓ -0.28%</t>
  </si>
  <si>
    <t>202 ↓ -0.29%</t>
  </si>
  <si>
    <t>120 ↓ -0.40%</t>
  </si>
  <si>
    <t>117 ↓ -0.79%</t>
  </si>
  <si>
    <t>3 ↓ -6.58%</t>
  </si>
  <si>
    <t>48 ↑ +0.01%</t>
  </si>
  <si>
    <t>191 ↑ +0.16%</t>
  </si>
  <si>
    <t>123 ↑ +0.15%</t>
  </si>
  <si>
    <t>126 ↑ +0.18%</t>
  </si>
  <si>
    <t>3 ↓ -1.27%</t>
  </si>
  <si>
    <t>8 ↑ +1.42%</t>
  </si>
  <si>
    <t>198 ↑ +0.02%</t>
  </si>
  <si>
    <t>118 ↑ +0.13%</t>
  </si>
  <si>
    <t>122 ↑ +0.32%</t>
  </si>
  <si>
    <t>3 ↑ +1.94%</t>
  </si>
  <si>
    <t>8 ↑ +0.87%</t>
  </si>
  <si>
    <t>48 ↑ +0.15%</t>
  </si>
  <si>
    <t>203 ↑ +0.10%</t>
  </si>
  <si>
    <t>115 ↑ +0.13%</t>
  </si>
  <si>
    <t>120 ↑ +0.30%</t>
  </si>
  <si>
    <t>5 ↓ -3.58%</t>
  </si>
  <si>
    <t>8 ↑ +0.45%</t>
  </si>
  <si>
    <t>46 ↑ +0.27%</t>
  </si>
  <si>
    <t>202 ↑ +0.46%</t>
  </si>
  <si>
    <t>121 ↑ +0.62%</t>
  </si>
  <si>
    <t>114 ↑ +0.66%</t>
  </si>
  <si>
    <t>6 ↑ +3.10%</t>
  </si>
  <si>
    <t>8 ↑ +0.57%</t>
  </si>
  <si>
    <t>50 ↑ +0.14%</t>
  </si>
  <si>
    <t>208 ↑ +0.16%</t>
  </si>
  <si>
    <t>113 ↑ +0.17%</t>
  </si>
  <si>
    <t>110 ↑ +0.36%</t>
  </si>
  <si>
    <t>6 ↓ -2.22%</t>
  </si>
  <si>
    <t>8 ↓ -0.27%</t>
  </si>
  <si>
    <t>53 ↑ +0.05%</t>
  </si>
  <si>
    <t>212 ↑ +0.25%</t>
  </si>
  <si>
    <t>108 ↑ +0.74%</t>
  </si>
  <si>
    <t>108 ↑ +1.28%</t>
  </si>
  <si>
    <t>6 ↓ -6.67%</t>
  </si>
  <si>
    <t>8 ↓ -3.89%</t>
  </si>
  <si>
    <t>56 ↓ -1.42%</t>
  </si>
  <si>
    <t>215 ↓ -1.59%</t>
  </si>
  <si>
    <t>109 ↓ -1.67%</t>
  </si>
  <si>
    <t>102 ↓ -1.75%</t>
  </si>
  <si>
    <t>3 ↓ -9.99%</t>
  </si>
  <si>
    <t>7 ↓ -0.84%</t>
  </si>
  <si>
    <t>199 ↑ +0.31%</t>
  </si>
  <si>
    <t>123 ↑ +0.35%</t>
  </si>
  <si>
    <t>120 ↑ +0.55%</t>
  </si>
  <si>
    <t>3 ↓ -3.72%</t>
  </si>
  <si>
    <t>5 ↓ -0.24%</t>
  </si>
  <si>
    <t>44 ↓ -0.25%</t>
  </si>
  <si>
    <t>202 ↑ +0.07%</t>
  </si>
  <si>
    <t>124 ↑ +0.03%</t>
  </si>
  <si>
    <t>117 ↑ +0.65%</t>
  </si>
  <si>
    <t>3 ↓ -5.68%</t>
  </si>
  <si>
    <t>5 ↓ -1.02%</t>
  </si>
  <si>
    <t>44 ↓ -0.11%</t>
  </si>
  <si>
    <t>201 ↓ -0.52%</t>
  </si>
  <si>
    <t>126 ↓ -0.80%</t>
  </si>
  <si>
    <t>113 ↓ -1.03%</t>
  </si>
  <si>
    <t>3 ↑ +3.86%</t>
  </si>
  <si>
    <t>44 ↑ +0.16%</t>
  </si>
  <si>
    <t>190 ↑ +0.15%</t>
  </si>
  <si>
    <t>130 ↑ +0.27%</t>
  </si>
  <si>
    <t>119 ↑ +0.30%</t>
  </si>
  <si>
    <t>3 ↓ -12.07%</t>
  </si>
  <si>
    <t>7 ↓ -2.71%</t>
  </si>
  <si>
    <t>44 ↓ -0.19%</t>
  </si>
  <si>
    <t>194 ↓ -0.75%</t>
  </si>
  <si>
    <t>129 ↓ -1.08%</t>
  </si>
  <si>
    <t>114 ↓ -1.43%</t>
  </si>
  <si>
    <t>6 ↑ +0.24%</t>
  </si>
  <si>
    <t>45 ↓ -0.36%</t>
  </si>
  <si>
    <t>180 ↓ -0.38%</t>
  </si>
  <si>
    <t>132 ↓ -0.41%</t>
  </si>
  <si>
    <t>124 ↓ -0.07%</t>
  </si>
  <si>
    <t>3 ↑ +2.62%</t>
  </si>
  <si>
    <t>44 ↑ +0.35%</t>
  </si>
  <si>
    <t>164 ↑ +0.33%</t>
  </si>
  <si>
    <t>144 ↑ +0.46%</t>
  </si>
  <si>
    <t>130 ↑ +0.92%</t>
  </si>
  <si>
    <t>3 ↑ +0.67%</t>
  </si>
  <si>
    <t>6 ↑ +0.13%</t>
  </si>
  <si>
    <t>45 ↑ +0.24%</t>
  </si>
  <si>
    <t>168 ↑ +0.33%</t>
  </si>
  <si>
    <t>146 ↑ +0.45%</t>
  </si>
  <si>
    <t>121 ↑ +0.65%</t>
  </si>
  <si>
    <t>3 ↓ -5.94%</t>
  </si>
  <si>
    <t>46 ↑ +0.37%</t>
  </si>
  <si>
    <t>182 ↑ +0.75%</t>
  </si>
  <si>
    <t>132 ↑ +1.25%</t>
  </si>
  <si>
    <t>119 ↑ +1.36%</t>
  </si>
  <si>
    <t>2 ↓ -1.30%</t>
  </si>
  <si>
    <t>6 ↓ -0.38%</t>
  </si>
  <si>
    <t>50 ↓ -0.19%</t>
  </si>
  <si>
    <t>203 ↓ -0.60%</t>
  </si>
  <si>
    <t>115 ↓ -0.43%</t>
  </si>
  <si>
    <t>108 ↓ -0.84%</t>
  </si>
  <si>
    <t>2 ↓ -1.91%</t>
  </si>
  <si>
    <t>7 ↑ +0.48%</t>
  </si>
  <si>
    <t>49 ↓ -0.45%</t>
  </si>
  <si>
    <t>187 ↓ -0.64%</t>
  </si>
  <si>
    <t>127 ↓ -1.02%</t>
  </si>
  <si>
    <t>114 ↓ -1.10%</t>
  </si>
  <si>
    <t>3 ↓ -2.71%</t>
  </si>
  <si>
    <t>6 ↓ -0.35%</t>
  </si>
  <si>
    <t>45 ↓ -0.51%</t>
  </si>
  <si>
    <t>167 ↓ -0.97%</t>
  </si>
  <si>
    <t>141 ↓ -1.35%</t>
  </si>
  <si>
    <t>122 ↓ -2.37%</t>
  </si>
  <si>
    <t>2 ↓ -1.76%</t>
  </si>
  <si>
    <t>7 ↓ -0.14%</t>
  </si>
  <si>
    <t>42 ↓ -0.43%</t>
  </si>
  <si>
    <t>148 ↓ -0.64%</t>
  </si>
  <si>
    <t>140 ↓ -0.83%</t>
  </si>
  <si>
    <t>141 ↓ -0.62%</t>
  </si>
  <si>
    <t>2 ↓ -1.70%</t>
  </si>
  <si>
    <t>7 ↓ -0.03%</t>
  </si>
  <si>
    <t>37 ↓ -0.37%</t>
  </si>
  <si>
    <t>139 ↓ -0.33%</t>
  </si>
  <si>
    <t>147 ↓ -0.42%</t>
  </si>
  <si>
    <t>148 ↓ -0.52%</t>
  </si>
  <si>
    <t>1 ↓ -0.63%</t>
  </si>
  <si>
    <t>33 ↑ +0.02%</t>
  </si>
  <si>
    <t>136 ↓ -0.01%</t>
  </si>
  <si>
    <t>144 ↑ +0.01%</t>
  </si>
  <si>
    <t>157 ↓ -0.25%</t>
  </si>
  <si>
    <t>1 ↑ +0.32%</t>
  </si>
  <si>
    <t>8 ↓ -0.06%</t>
  </si>
  <si>
    <t>31 ↑ +0.13%</t>
  </si>
  <si>
    <t>141 ↑ +0.22%</t>
  </si>
  <si>
    <t>139 ↑ +0.03%</t>
  </si>
  <si>
    <t>160 ↑ +0.20%</t>
  </si>
  <si>
    <t>1 ↓ -2.98%</t>
  </si>
  <si>
    <t>33 ↑ +0.09%</t>
  </si>
  <si>
    <t>139 ↑ +0.48%</t>
  </si>
  <si>
    <t>156 ↑ +0.93%</t>
  </si>
  <si>
    <t>1 ↑ +7.34%</t>
  </si>
  <si>
    <t>35 ↓ -0.04%</t>
  </si>
  <si>
    <t>143 ↓ -0.21%</t>
  </si>
  <si>
    <t>141 ↓ -0.38%</t>
  </si>
  <si>
    <t>151 ↓ -0.66%</t>
  </si>
  <si>
    <t>1 ↓ -2.91%</t>
  </si>
  <si>
    <t>34 ↓ -0.01%</t>
  </si>
  <si>
    <t>143 ↑ +0.10%</t>
  </si>
  <si>
    <t>139 ↑ +0.08%</t>
  </si>
  <si>
    <t>154 ↑ +0.63%</t>
  </si>
  <si>
    <t>1 ↓ -2.43%</t>
  </si>
  <si>
    <t>35 ↓ -0.08%</t>
  </si>
  <si>
    <t>138 ↓ -0.33%</t>
  </si>
  <si>
    <t>151 ↓ -0.65%</t>
  </si>
  <si>
    <t>8 ↓ -0.30%</t>
  </si>
  <si>
    <t>34 ↓ -0.10%</t>
  </si>
  <si>
    <t>134 ↓ -0.17%</t>
  </si>
  <si>
    <t>142 ↓ -0.48%</t>
  </si>
  <si>
    <t>158 ↓ -0.77%</t>
  </si>
  <si>
    <t>1 ↑ +0.24%</t>
  </si>
  <si>
    <t>135 ↑ +0.40%</t>
  </si>
  <si>
    <t>133 ↑ +0.50%</t>
  </si>
  <si>
    <t>169 ↑ +0.76%</t>
  </si>
  <si>
    <t>139 ↑ +0.01%</t>
  </si>
  <si>
    <t>162 ↑ +0.31%</t>
  </si>
  <si>
    <t>1 ↑ +1.13%</t>
  </si>
  <si>
    <t>8 ↑ +0.34%</t>
  </si>
  <si>
    <t>37 ↑ +0.00%</t>
  </si>
  <si>
    <t>141 ↓ -0.15%</t>
  </si>
  <si>
    <t>130 ↓ -0.26%</t>
  </si>
  <si>
    <t>161 ↓ -0.29%</t>
  </si>
  <si>
    <t>1 ↓ -4.52%</t>
  </si>
  <si>
    <t>36 ↑ +0.23%</t>
  </si>
  <si>
    <t>130 ↑ +0.44%</t>
  </si>
  <si>
    <t>140 ↑ +0.57%</t>
  </si>
  <si>
    <t>162 ↑ +0.94%</t>
  </si>
  <si>
    <t>1 ↓ -5.60%</t>
  </si>
  <si>
    <t>40 ↑ +0.25%</t>
  </si>
  <si>
    <t>137 ↑ +0.33%</t>
  </si>
  <si>
    <t>136 ↑ +0.45%</t>
  </si>
  <si>
    <t>155 ↑ +0.76%</t>
  </si>
  <si>
    <t>1 ↓ -1.04%</t>
  </si>
  <si>
    <t>9 ↓ -0.08%</t>
  </si>
  <si>
    <t>41 ↓ -0.03%</t>
  </si>
  <si>
    <t>143 ↑ +0.03%</t>
  </si>
  <si>
    <t>138 ↓ -0.11%</t>
  </si>
  <si>
    <t>146 ↓ -0.50%</t>
  </si>
  <si>
    <t>1 ↓ -0.28%</t>
  </si>
  <si>
    <t>9 ↓ -0.30%</t>
  </si>
  <si>
    <t>41 ↓ -0.18%</t>
  </si>
  <si>
    <t>146 ↓ -0.20%</t>
  </si>
  <si>
    <t>129 ↓ -0.27%</t>
  </si>
  <si>
    <t>152 ↓ -0.42%</t>
  </si>
  <si>
    <t>10 ↓ -0.21%</t>
  </si>
  <si>
    <t>41 ↓ -0.13%</t>
  </si>
  <si>
    <t>143 ↓ -0.28%</t>
  </si>
  <si>
    <t>130 ↓ -0.36%</t>
  </si>
  <si>
    <t>153 ↓ -0.61%</t>
  </si>
  <si>
    <t>133 ↓ -0.07%</t>
  </si>
  <si>
    <t>134 ↓ -0.21%</t>
  </si>
  <si>
    <t>161 ↑ +0.08%</t>
  </si>
  <si>
    <t>10 ↓ -0.00%</t>
  </si>
  <si>
    <t>41 ↑ +0.02%</t>
  </si>
  <si>
    <t>127 ↑ +0.07%</t>
  </si>
  <si>
    <t>162 ↓ -0.09%</t>
  </si>
  <si>
    <t>10 ↑ +0.02%</t>
  </si>
  <si>
    <t>41 ↑ +0.11%</t>
  </si>
  <si>
    <t>130 ↑ +0.10%</t>
  </si>
  <si>
    <t>134 ↓ -0.00%</t>
  </si>
  <si>
    <t>160 ↓ -0.03%</t>
  </si>
  <si>
    <t>42 ↑ +0.14%</t>
  </si>
  <si>
    <t>131 ↑ +0.32%</t>
  </si>
  <si>
    <t>136 ↑ +0.47%</t>
  </si>
  <si>
    <t>155 ↑ +0.41%</t>
  </si>
  <si>
    <t>10 ↑ +0.10%</t>
  </si>
  <si>
    <t>45 ↑ +0.20%</t>
  </si>
  <si>
    <t>131 ↑ +0.38%</t>
  </si>
  <si>
    <t>138 ↑ +0.73%</t>
  </si>
  <si>
    <t>150 ↑ +1.24%</t>
  </si>
  <si>
    <t>51 ↑ +0.04%</t>
  </si>
  <si>
    <t>148 ↑ +0.12%</t>
  </si>
  <si>
    <t>135 ↓ -0.09%</t>
  </si>
  <si>
    <t>53 ↑ +0.09%</t>
  </si>
  <si>
    <t>153 ↑ +0.23%</t>
  </si>
  <si>
    <t>123 ↑ +0.40%</t>
  </si>
  <si>
    <t>136 ↑ +0.67%</t>
  </si>
  <si>
    <t>10 ↓ -0.28%</t>
  </si>
  <si>
    <t>50 ↓ -0.24%</t>
  </si>
  <si>
    <t>161 ↓ -0.57%</t>
  </si>
  <si>
    <t>120 ↓ -0.90%</t>
  </si>
  <si>
    <t>133 ↓ -1.05%</t>
  </si>
  <si>
    <t>9 ↓ -0.07%</t>
  </si>
  <si>
    <t>49 ↑ +0.04%</t>
  </si>
  <si>
    <t>144 ↑ +0.30%</t>
  </si>
  <si>
    <t>127 ↑ +0.43%</t>
  </si>
  <si>
    <t>144 ↑ +0.58%</t>
  </si>
  <si>
    <t>51 ↓ -0.20%</t>
  </si>
  <si>
    <t>149 ↓ -0.32%</t>
  </si>
  <si>
    <t>127 ↓ -0.38%</t>
  </si>
  <si>
    <t>136 ↓ -0.22%</t>
  </si>
  <si>
    <t>51 ↓ -0.04%</t>
  </si>
  <si>
    <t>142 ↓ -0.02%</t>
  </si>
  <si>
    <t>130 ↑ +0.21%</t>
  </si>
  <si>
    <t>141 ↑ +0.77%</t>
  </si>
  <si>
    <t>52 ↓ -0.20%</t>
  </si>
  <si>
    <t>141 ↓ -0.50%</t>
  </si>
  <si>
    <t>134 ↓ -0.70%</t>
  </si>
  <si>
    <t>138 ↓ -0.99%</t>
  </si>
  <si>
    <t>8 ↓ -0.17%</t>
  </si>
  <si>
    <t>135 ↑ +0.06%</t>
  </si>
  <si>
    <t>138 ↑ +0.24%</t>
  </si>
  <si>
    <t>49 ↓ -0.09%</t>
  </si>
  <si>
    <t>140 ↓ -0.08%</t>
  </si>
  <si>
    <t>9 ↓ -0.03%</t>
  </si>
  <si>
    <t>46 ↓ -0.25%</t>
  </si>
  <si>
    <t>140 ↓ -0.62%</t>
  </si>
  <si>
    <t>141 ↓ -1.01%</t>
  </si>
  <si>
    <t>139 ↓ -1.13%</t>
  </si>
  <si>
    <t>44 ↑ +0.04%</t>
  </si>
  <si>
    <t>126 ↓ -0.08%</t>
  </si>
  <si>
    <t>142 ↑ +0.03%</t>
  </si>
  <si>
    <t>154 ↑ +0.57%</t>
  </si>
  <si>
    <t>9 ↑ +0.10%</t>
  </si>
  <si>
    <t>42 ↑ +0.18%</t>
  </si>
  <si>
    <t>124 ↑ +0.08%</t>
  </si>
  <si>
    <t>146 ↑ +0.14%</t>
  </si>
  <si>
    <t>154 ↓ -0.01%</t>
  </si>
  <si>
    <t>45 ↑ +0.27%</t>
  </si>
  <si>
    <t>126 ↑ +0.20%</t>
  </si>
  <si>
    <t>146 ↓ -0.07%</t>
  </si>
  <si>
    <t>150 ↓ -0.45%</t>
  </si>
  <si>
    <t>9 ↑ +0.17%</t>
  </si>
  <si>
    <t>49 ↑ +0.37%</t>
  </si>
  <si>
    <t>126 ↑ +0.60%</t>
  </si>
  <si>
    <t>140 ↑ +0.96%</t>
  </si>
  <si>
    <t>152 ↑ +1.04%</t>
  </si>
  <si>
    <t>9 ↑ +0.11%</t>
  </si>
  <si>
    <t>53 ↑ +0.11%</t>
  </si>
  <si>
    <t>135 ↑ +0.15%</t>
  </si>
  <si>
    <t>135 ↑ +0.28%</t>
  </si>
  <si>
    <t>144 ↑ +0.35%</t>
  </si>
  <si>
    <t>9 ↓ -0.45%</t>
  </si>
  <si>
    <t>55 ↓ -0.33%</t>
  </si>
  <si>
    <t>134 ↓ -0.37%</t>
  </si>
  <si>
    <t>140 ↓ -0.44%</t>
  </si>
  <si>
    <t>49 ↓ -0.12%</t>
  </si>
  <si>
    <t>138 ↓ -0.26%</t>
  </si>
  <si>
    <t>135 ↓ -0.24%</t>
  </si>
  <si>
    <t>147 ↓ -0.26%</t>
  </si>
  <si>
    <t>51 ↓ -0.13%</t>
  </si>
  <si>
    <t>134 ↓ -0.27%</t>
  </si>
  <si>
    <t>140 ↓ -0.24%</t>
  </si>
  <si>
    <t>145 ↓ -0.14%</t>
  </si>
  <si>
    <t>8 ↑ +0.00%</t>
  </si>
  <si>
    <t>50 ↓ -0.02%</t>
  </si>
  <si>
    <t>131 ↓ -0.02%</t>
  </si>
  <si>
    <t>144 ↓ -0.11%</t>
  </si>
  <si>
    <t>48 ↓ -0.02%</t>
  </si>
  <si>
    <t>131 ↑ +0.12%</t>
  </si>
  <si>
    <t>138 ↑ +0.31%</t>
  </si>
  <si>
    <t>153 ↑ +0.41%</t>
  </si>
  <si>
    <t>9 ↑ +0.49%</t>
  </si>
  <si>
    <t>49 ↑ +0.36%</t>
  </si>
  <si>
    <t>133 ↑ +0.84%</t>
  </si>
  <si>
    <t>137 ↑ +1.08%</t>
  </si>
  <si>
    <t>150 ↑ +1.12%</t>
  </si>
  <si>
    <t>9 ↓ -0.22%</t>
  </si>
  <si>
    <t>54 ↓ -0.57%</t>
  </si>
  <si>
    <t>146 ↓ -0.56%</t>
  </si>
  <si>
    <t>128 ↓ -0.88%</t>
  </si>
  <si>
    <t>141 ↓ -1.33%</t>
  </si>
  <si>
    <t>47 ↓ -0.43%</t>
  </si>
  <si>
    <t>141 ↓ -0.88%</t>
  </si>
  <si>
    <t>133 ↓ -1.32%</t>
  </si>
  <si>
    <t>148 ↓ -1.35%</t>
  </si>
  <si>
    <t>41 ↓ -0.19%</t>
  </si>
  <si>
    <t>128 ↓ -0.40%</t>
  </si>
  <si>
    <t>134 ↓ -0.55%</t>
  </si>
  <si>
    <t>166 ↑ +0.07%</t>
  </si>
  <si>
    <t>39 ↑ +0.06%</t>
  </si>
  <si>
    <t>117 ↑ +0.07%</t>
  </si>
  <si>
    <t>144 ↓ -0.14%</t>
  </si>
  <si>
    <t>170 ↑ +0.02%</t>
  </si>
  <si>
    <t>41 ↑ +0.23%</t>
  </si>
  <si>
    <t>113 ↑ +0.29%</t>
  </si>
  <si>
    <t>144 ↑ +0.43%</t>
  </si>
  <si>
    <t>173 ↑ +0.95%</t>
  </si>
  <si>
    <t>8 ↑ +0.36%</t>
  </si>
  <si>
    <t>43 ↑ +0.03%</t>
  </si>
  <si>
    <t>117 ↓ -0.00%</t>
  </si>
  <si>
    <t>147 ↑ +0.03%</t>
  </si>
  <si>
    <t>117 ↑ +0.57%</t>
  </si>
  <si>
    <t>145 ↑ +0.90%</t>
  </si>
  <si>
    <t>163 ↑ +0.97%</t>
  </si>
  <si>
    <t>46 ↓ -0.15%</t>
  </si>
  <si>
    <t>133 ↓ -0.19%</t>
  </si>
  <si>
    <t>138 ↓ -0.20%</t>
  </si>
  <si>
    <t>150 ↓ -0.43%</t>
  </si>
  <si>
    <t>9 ↓ -0.12%</t>
  </si>
  <si>
    <t>45 ↑ +0.14%</t>
  </si>
  <si>
    <t>136 ↑ +0.43%</t>
  </si>
  <si>
    <t>153 ↑ +0.62%</t>
  </si>
  <si>
    <t>49 ↓ -0.38%</t>
  </si>
  <si>
    <t>129 ↓ -0.74%</t>
  </si>
  <si>
    <t>139 ↓ -0.94%</t>
  </si>
  <si>
    <t>147 ↓ -1.17%</t>
  </si>
  <si>
    <t>43 ↓ -0.08%</t>
  </si>
  <si>
    <t>124 ↓ -0.28%</t>
  </si>
  <si>
    <t>140 ↓ -0.37%</t>
  </si>
  <si>
    <t>157 ↓ -0.32%</t>
  </si>
  <si>
    <t>39 ↑ +0.04%</t>
  </si>
  <si>
    <t>119 ↑ +0.27%</t>
  </si>
  <si>
    <t>138 ↑ +0.33%</t>
  </si>
  <si>
    <t>168 ↑ +0.64%</t>
  </si>
  <si>
    <t>9 ↑ +0.30%</t>
  </si>
  <si>
    <t>42 ↑ +0.34%</t>
  </si>
  <si>
    <t>125 ↑ +0.57%</t>
  </si>
  <si>
    <t>134 ↑ +0.96%</t>
  </si>
  <si>
    <t>162 ↑ +1.54%</t>
  </si>
  <si>
    <t>52 ↓ -0.46%</t>
  </si>
  <si>
    <t>128 ↓ -0.31%</t>
  </si>
  <si>
    <t>144 ↑ +0.22%</t>
  </si>
  <si>
    <t>7 ↑ +0.17%</t>
  </si>
  <si>
    <t>47 ↑ +0.27%</t>
  </si>
  <si>
    <t>132 ↑ +0.21%</t>
  </si>
  <si>
    <t>133 ↑ +0.44%</t>
  </si>
  <si>
    <t>153 ↑ +1.71%</t>
  </si>
  <si>
    <t>48 ↑ +0.39%</t>
  </si>
  <si>
    <t>141 ↑ +0.60%</t>
  </si>
  <si>
    <t>139 ↑ +0.80%</t>
  </si>
  <si>
    <t>53 ↑ +0.26%</t>
  </si>
  <si>
    <t>146 ↑ +0.17%</t>
  </si>
  <si>
    <t>133 ↑ +0.32%</t>
  </si>
  <si>
    <t>132 ↑ +0.22%</t>
  </si>
  <si>
    <t>53 ↑ +0.21%</t>
  </si>
  <si>
    <t>149 ↑ +0.35%</t>
  </si>
  <si>
    <t>134 ↑ +0.39%</t>
  </si>
  <si>
    <t>127 ↑ +0.49%</t>
  </si>
  <si>
    <t>7 ↑ +0.16%</t>
  </si>
  <si>
    <t>60 ↑ +0.23%</t>
  </si>
  <si>
    <t>151 ↑ +0.27%</t>
  </si>
  <si>
    <t>130 ↑ +0.41%</t>
  </si>
  <si>
    <t>124 ↑ +0.62%</t>
  </si>
  <si>
    <t>7 ↑ +0.31%</t>
  </si>
  <si>
    <t>64 ↑ +0.45%</t>
  </si>
  <si>
    <t>154 ↑ +0.79%</t>
  </si>
  <si>
    <t>126 ↑ +0.97%</t>
  </si>
  <si>
    <t>120 ↑ +0.96%</t>
  </si>
  <si>
    <t>157 ↑ +0.31%</t>
  </si>
  <si>
    <t>129 ↑ +0.20%</t>
  </si>
  <si>
    <t>108 ↓ -0.23%</t>
  </si>
  <si>
    <t>71 ↓ -0.04%</t>
  </si>
  <si>
    <t>122 ↑ +0.19%</t>
  </si>
  <si>
    <t>71 ↓ -0.15%</t>
  </si>
  <si>
    <t>165 ↓ -0.20%</t>
  </si>
  <si>
    <t>117 ↓ -0.24%</t>
  </si>
  <si>
    <t>108 ↓ -0.45%</t>
  </si>
  <si>
    <t>71 ↓ -0.28%</t>
  </si>
  <si>
    <t>159 ↓ -0.37%</t>
  </si>
  <si>
    <t>117 ↓ -0.14%</t>
  </si>
  <si>
    <t>113 ↓ -0.15%</t>
  </si>
  <si>
    <t>67 ↑ +0.14%</t>
  </si>
  <si>
    <t>159 ↑ +0.19%</t>
  </si>
  <si>
    <t>122 ↑ +0.40%</t>
  </si>
  <si>
    <t>111 ↑ +0.74%</t>
  </si>
  <si>
    <t>68 ↑ +0.21%</t>
  </si>
  <si>
    <t>163 ↑ +0.35%</t>
  </si>
  <si>
    <t>116 ↑ +0.53%</t>
  </si>
  <si>
    <t>110 ↑ +1.07%</t>
  </si>
  <si>
    <t>8 ↑ +0.23%</t>
  </si>
  <si>
    <t>69 ↑ +0.45%</t>
  </si>
  <si>
    <t>172 ↑ +0.76%</t>
  </si>
  <si>
    <t>110 ↑ +1.01%</t>
  </si>
  <si>
    <t>106 ↑ +1.67%</t>
  </si>
  <si>
    <t>82 ↑ +0.22%</t>
  </si>
  <si>
    <t>175 ↑ +0.51%</t>
  </si>
  <si>
    <t>103 ↑ +0.38%</t>
  </si>
  <si>
    <t>95 ↑ +0.15%</t>
  </si>
  <si>
    <t>91 ↑ +0.13%</t>
  </si>
  <si>
    <t>171 ↑ +0.65%</t>
  </si>
  <si>
    <t>101 ↑ +1.26%</t>
  </si>
  <si>
    <t>93 ↑ +2.40%</t>
  </si>
  <si>
    <t>9 ↑ +0.14%</t>
  </si>
  <si>
    <t>96 ↓ -0.01%</t>
  </si>
  <si>
    <t>183 ↓ -0.02%</t>
  </si>
  <si>
    <t>86 ↓ -0.31%</t>
  </si>
  <si>
    <t>9 ↓ -0.23%</t>
  </si>
  <si>
    <t>96 ↓ -0.30%</t>
  </si>
  <si>
    <t>186 ↓ -0.57%</t>
  </si>
  <si>
    <t>90 ↓ -0.46%</t>
  </si>
  <si>
    <t>85 ↓ -0.24%</t>
  </si>
  <si>
    <t>87 ↓ -0.26%</t>
  </si>
  <si>
    <t>181 ↓ -0.37%</t>
  </si>
  <si>
    <t>96 ↓ -0.53%</t>
  </si>
  <si>
    <t>93 ↓ -0.62%</t>
  </si>
  <si>
    <t>80 ↑ +0.49%</t>
  </si>
  <si>
    <t>184 ↑ +0.72%</t>
  </si>
  <si>
    <t>98 ↑ +1.06%</t>
  </si>
  <si>
    <t>95 ↑ +0.95%</t>
  </si>
  <si>
    <t>10 ↑ +0.00%</t>
  </si>
  <si>
    <t>93 ↑ +0.26%</t>
  </si>
  <si>
    <t>192 ↑ +0.88%</t>
  </si>
  <si>
    <t>81 ↑ +1.58%</t>
  </si>
  <si>
    <t>90 ↑ +2.34%</t>
  </si>
  <si>
    <t>105 ↓ -0.48%</t>
  </si>
  <si>
    <t>200 ↓ -0.40%</t>
  </si>
  <si>
    <t>74 ↓ -0.64%</t>
  </si>
  <si>
    <t>78 ↓ -0.99%</t>
  </si>
  <si>
    <t>91 ↓ -0.38%</t>
  </si>
  <si>
    <t>209 ↓ -0.57%</t>
  </si>
  <si>
    <t>73 ↓ -0.59%</t>
  </si>
  <si>
    <t>81 ↓ -0.54%</t>
  </si>
  <si>
    <t>84 ↓ -0.18%</t>
  </si>
  <si>
    <t>201 ↓ -0.14%</t>
  </si>
  <si>
    <t>84 ↓ -0.08%</t>
  </si>
  <si>
    <t>84 ↑ +0.02%</t>
  </si>
  <si>
    <t>208 ↓ -0.36%</t>
  </si>
  <si>
    <t>81 ↓ -0.34%</t>
  </si>
  <si>
    <t>87 ↑ +0.07%</t>
  </si>
  <si>
    <t>7 ↓ -0.89%</t>
  </si>
  <si>
    <t>72 ↓ -0.71%</t>
  </si>
  <si>
    <t>205 ↓ -1.18%</t>
  </si>
  <si>
    <t>90 ↓ -1.25%</t>
  </si>
  <si>
    <t>89 ↓ -1.00%</t>
  </si>
  <si>
    <t>7 ↑ +0.02%</t>
  </si>
  <si>
    <t>63 ↓ -0.26%</t>
  </si>
  <si>
    <t>188 ↓ -0.68%</t>
  </si>
  <si>
    <t>106 ↓ -1.05%</t>
  </si>
  <si>
    <t>98 ↓ -2.26%</t>
  </si>
  <si>
    <t>59 ↑ +0.05%</t>
  </si>
  <si>
    <t>115 ↑ +0.20%</t>
  </si>
  <si>
    <t>109 ↑ +0.23%</t>
  </si>
  <si>
    <t>59 ↓ -0.43%</t>
  </si>
  <si>
    <t>174 ↓ -0.63%</t>
  </si>
  <si>
    <t>117 ↓ -0.63%</t>
  </si>
  <si>
    <t>104 ↓ -1.22%</t>
  </si>
  <si>
    <t>55 ↓ -0.46%</t>
  </si>
  <si>
    <t>160 ↓ -0.64%</t>
  </si>
  <si>
    <t>131 ↓ -0.88%</t>
  </si>
  <si>
    <t>108 ↓ -1.35%</t>
  </si>
  <si>
    <t>46 ↓ -0.28%</t>
  </si>
  <si>
    <t>160 ↓ -0.43%</t>
  </si>
  <si>
    <t>130 ↓ -0.34%</t>
  </si>
  <si>
    <t>6 ↓ -0.20%</t>
  </si>
  <si>
    <t>45 ↑ +0.00%</t>
  </si>
  <si>
    <t>120 ↑ +0.09%</t>
  </si>
  <si>
    <t>6 ↓ -0.40%</t>
  </si>
  <si>
    <t>45 ↓ -0.28%</t>
  </si>
  <si>
    <t>150 ↓ -0.41%</t>
  </si>
  <si>
    <t>125 ↓ -0.76%</t>
  </si>
  <si>
    <t>6 ↓ -0.28%</t>
  </si>
  <si>
    <t>41 ↓ -0.36%</t>
  </si>
  <si>
    <t>143 ↓ -0.43%</t>
  </si>
  <si>
    <t>138 ↓ -0.48%</t>
  </si>
  <si>
    <t>136 ↓ -0.20%</t>
  </si>
  <si>
    <t>146 ↓ -0.36%</t>
  </si>
  <si>
    <t>130 ↓ -0.07%</t>
  </si>
  <si>
    <t>41 ↑ +0.49%</t>
  </si>
  <si>
    <t>128 ↑ +0.52%</t>
  </si>
  <si>
    <t>132 ↑ +0.28%</t>
  </si>
  <si>
    <t>6 ↑ +0.44%</t>
  </si>
  <si>
    <t>42 ↑ +0.21%</t>
  </si>
  <si>
    <t>149 ↑ +0.29%</t>
  </si>
  <si>
    <t>126 ↑ +0.57%</t>
  </si>
  <si>
    <t>141 ↑ +0.50%</t>
  </si>
  <si>
    <t>142 ↑ +0.79%</t>
  </si>
  <si>
    <t>125 ↑ +1.35%</t>
  </si>
  <si>
    <t>6 ↑ +0.19%</t>
  </si>
  <si>
    <t>48 ↑ +0.22%</t>
  </si>
  <si>
    <t>148 ↑ +0.14%</t>
  </si>
  <si>
    <t>137 ↑ +0.14%</t>
  </si>
  <si>
    <t>119 ↑ +0.58%</t>
  </si>
  <si>
    <t>5 ↑ +0.58%</t>
  </si>
  <si>
    <t>51 ↑ +0.56%</t>
  </si>
  <si>
    <t>154 ↑ +1.05%</t>
  </si>
  <si>
    <t>130 ↑ +1.28%</t>
  </si>
  <si>
    <t>118 ↑ +1.26%</t>
  </si>
  <si>
    <t>64 ↓ -0.17%</t>
  </si>
  <si>
    <t>169 ↓ -0.40%</t>
  </si>
  <si>
    <t>109 ↓ -0.51%</t>
  </si>
  <si>
    <t>109 ↑ +0.18%</t>
  </si>
  <si>
    <t>7 ↑ +0.35%</t>
  </si>
  <si>
    <t>58 ↑ +0.15%</t>
  </si>
  <si>
    <t>167 ↑ +0.08%</t>
  </si>
  <si>
    <t>113 ↓ -0.27%</t>
  </si>
  <si>
    <t>168 ↑ +0.36%</t>
  </si>
  <si>
    <t>110 ↑ +0.64%</t>
  </si>
  <si>
    <t>111 ↑ +1.31%</t>
  </si>
  <si>
    <t>63 ↓ -0.11%</t>
  </si>
  <si>
    <t>166 ↓ -0.18%</t>
  </si>
  <si>
    <t>108 ↓ -0.04%</t>
  </si>
  <si>
    <t>111 ↑ +0.08%</t>
  </si>
  <si>
    <t>61 ↓ -0.09%</t>
  </si>
  <si>
    <t>168 ↓ -0.11%</t>
  </si>
  <si>
    <t>109 ↓ -0.28%</t>
  </si>
  <si>
    <t>111 ↓ -1.03%</t>
  </si>
  <si>
    <t>7 ↑ +0.40%</t>
  </si>
  <si>
    <t>60 ↓ -0.21%</t>
  </si>
  <si>
    <t>159 ↓ -0.03%</t>
  </si>
  <si>
    <t>116 ↑ +0.29%</t>
  </si>
  <si>
    <t>113 ↑ +1.35%</t>
  </si>
  <si>
    <t>57 ↓ -0.22%</t>
  </si>
  <si>
    <t>167 ↓ -0.28%</t>
  </si>
  <si>
    <t>111 ↓ -0.43%</t>
  </si>
  <si>
    <t>111 ↓ -0.34%</t>
  </si>
  <si>
    <t>7 ↓ -0.96%</t>
  </si>
  <si>
    <t>54 ↓ -0.97%</t>
  </si>
  <si>
    <t>164 ↓ -1.28%</t>
  </si>
  <si>
    <t>115 ↓ -1.29%</t>
  </si>
  <si>
    <t>113 ↓ -1.18%</t>
  </si>
  <si>
    <t>7 ↓ -0.34%</t>
  </si>
  <si>
    <t>44 ↓ -0.49%</t>
  </si>
  <si>
    <t>149 ↓ -0.77%</t>
  </si>
  <si>
    <t>126 ↓ -0.96%</t>
  </si>
  <si>
    <t>126 ↓ -1.27%</t>
  </si>
  <si>
    <t>38 ↓ -0.04%</t>
  </si>
  <si>
    <t>137 ↑ +0.04%</t>
  </si>
  <si>
    <t>132 ↑ +0.32%</t>
  </si>
  <si>
    <t>136 ↑ +1.30%</t>
  </si>
  <si>
    <t>7 ↑ +0.22%</t>
  </si>
  <si>
    <t>38 ↑ +0.15%</t>
  </si>
  <si>
    <t>139 ↓ -0.01%</t>
  </si>
  <si>
    <t>136 ↓ -0.59%</t>
  </si>
  <si>
    <t>129 ↓ -1.57%</t>
  </si>
  <si>
    <t>7 ↑ +0.26%</t>
  </si>
  <si>
    <t>40 ↑ +0.42%</t>
  </si>
  <si>
    <t>135 ↑ +0.72%</t>
  </si>
  <si>
    <t>131 ↑ +0.83%</t>
  </si>
  <si>
    <t>7 ↑ +0.14%</t>
  </si>
  <si>
    <t>42 ↓ -0.09%</t>
  </si>
  <si>
    <t>146 ↓ -0.12%</t>
  </si>
  <si>
    <t>131 ↓ -0.96%</t>
  </si>
  <si>
    <t>7 ↓ -0.24%</t>
  </si>
  <si>
    <t>147 ↓ -0.15%</t>
  </si>
  <si>
    <t>117 ↓ -0.10%</t>
  </si>
  <si>
    <t>136 ↓ -0.04%</t>
  </si>
  <si>
    <t>7 ↓ -0.28%</t>
  </si>
  <si>
    <t>143 ↓ -0.20%</t>
  </si>
  <si>
    <t>124 ↓ -0.42%</t>
  </si>
  <si>
    <t>135 ↓ -0.54%</t>
  </si>
  <si>
    <t>41 ↑ +0.10%</t>
  </si>
  <si>
    <t>141 ↑ +0.01%</t>
  </si>
  <si>
    <t>118 ↑ +0.07%</t>
  </si>
  <si>
    <t>139 ↑ +0.10%</t>
  </si>
  <si>
    <t>7 ↑ +0.27%</t>
  </si>
  <si>
    <t>42 ↑ +0.64%</t>
  </si>
  <si>
    <t>138 ↑ +0.86%</t>
  </si>
  <si>
    <t>119 ↑ +1.27%</t>
  </si>
  <si>
    <t>139 ↑ +2.32%</t>
  </si>
  <si>
    <t>46 ↑ +0.08%</t>
  </si>
  <si>
    <t>108 ↑ +0.18%</t>
  </si>
  <si>
    <t>127 ↑ +0.03%</t>
  </si>
  <si>
    <t>51 ↑ +0.29%</t>
  </si>
  <si>
    <t>157 ↑ +0.83%</t>
  </si>
  <si>
    <t>106 ↑ +1.13%</t>
  </si>
  <si>
    <t>122 ↑ +1.84%</t>
  </si>
  <si>
    <t>7 ↑ +0.89%</t>
  </si>
  <si>
    <t>62 ↑ +0.40%</t>
  </si>
  <si>
    <t>162 ↑ +0.76%</t>
  </si>
  <si>
    <t>111 ↑ +1.55%</t>
  </si>
  <si>
    <t>7 ↓ -0.73%</t>
  </si>
  <si>
    <t>69 ↓ -0.48%</t>
  </si>
  <si>
    <t>99 ↑ +0.01%</t>
  </si>
  <si>
    <t>96 ↑ +0.01%</t>
  </si>
  <si>
    <t>168 ↓ -1.16%</t>
  </si>
  <si>
    <t>106 ↓ -1.63%</t>
  </si>
  <si>
    <t>94 ↓ -2.73%</t>
  </si>
  <si>
    <t>47 ↓ -0.02%</t>
  </si>
  <si>
    <t>167 ↓ -0.09%</t>
  </si>
  <si>
    <t>100 ↑ +0.04%</t>
  </si>
  <si>
    <t>118 ↓ -0.17%</t>
  </si>
  <si>
    <t>51 ↑ +0.48%</t>
  </si>
  <si>
    <t>159 ↑ +0.67%</t>
  </si>
  <si>
    <t>102 ↑ +1.29%</t>
  </si>
  <si>
    <t>120 ↑ +1.75%</t>
  </si>
  <si>
    <t>61 ↓ -0.45%</t>
  </si>
  <si>
    <t>169 ↓ -0.60%</t>
  </si>
  <si>
    <t>99 ↓ -0.84%</t>
  </si>
  <si>
    <t>102 ↓ -0.45%</t>
  </si>
  <si>
    <t>5 ↓ -0.64%</t>
  </si>
  <si>
    <t>54 ↓ -0.74%</t>
  </si>
  <si>
    <t>166 ↓ -1.00%</t>
  </si>
  <si>
    <t>103 ↓ -1.21%</t>
  </si>
  <si>
    <t>108 ↓ -0.72%</t>
  </si>
  <si>
    <t>5 ↑ +0.05%</t>
  </si>
  <si>
    <t>42 ↓ -0.05%</t>
  </si>
  <si>
    <t>159 ↓ -0.10%</t>
  </si>
  <si>
    <t>105 ↓ -0.28%</t>
  </si>
  <si>
    <t>124 ↓ -0.34%</t>
  </si>
  <si>
    <t>41 ↓ -0.20%</t>
  </si>
  <si>
    <t>152 ↓ -0.34%</t>
  </si>
  <si>
    <t>110 ↓ -0.51%</t>
  </si>
  <si>
    <t>126 ↓ -1.36%</t>
  </si>
  <si>
    <t>43 ↓ -0.38%</t>
  </si>
  <si>
    <t>146 ↓ -0.43%</t>
  </si>
  <si>
    <t>104 ↓ -0.44%</t>
  </si>
  <si>
    <t>136 ↓ -0.11%</t>
  </si>
  <si>
    <t>38 ↓ -0.22%</t>
  </si>
  <si>
    <t>137 ↑ +0.77%</t>
  </si>
  <si>
    <t>5 ↑ +0.40%</t>
  </si>
  <si>
    <t>35 ↑ +0.20%</t>
  </si>
  <si>
    <t>145 ↑ +0.21%</t>
  </si>
  <si>
    <t>117 ↑ +0.48%</t>
  </si>
  <si>
    <t>131 ↑ +0.27%</t>
  </si>
  <si>
    <t>5 ↑ +0.38%</t>
  </si>
  <si>
    <t>38 ↑ +0.55%</t>
  </si>
  <si>
    <t>150 ↑ +1.07%</t>
  </si>
  <si>
    <t>112 ↑ +1.44%</t>
  </si>
  <si>
    <t>128 ↑ +1.61%</t>
  </si>
  <si>
    <t>5 ↑ +0.35%</t>
  </si>
  <si>
    <t>162 ↑ +0.70%</t>
  </si>
  <si>
    <t>103 ↑ +1.28%</t>
  </si>
  <si>
    <t>114 ↑ +1.53%</t>
  </si>
  <si>
    <t>50 ↑ +0.55%</t>
  </si>
  <si>
    <t>174 ↑ +1.11%</t>
  </si>
  <si>
    <t>95 ↑ +1.42%</t>
  </si>
  <si>
    <t>107 ↑ +2.95%</t>
  </si>
  <si>
    <t>70 ↓ -0.01%</t>
  </si>
  <si>
    <t>175 ↑ +0.17%</t>
  </si>
  <si>
    <t>81 ↑ +0.72%</t>
  </si>
  <si>
    <t>98 ↑ +1.82%</t>
  </si>
  <si>
    <t>70 ↓ -0.38%</t>
  </si>
  <si>
    <t>183 ↓ -0.61%</t>
  </si>
  <si>
    <t>82 ↓ -1.05%</t>
  </si>
  <si>
    <t>89 ↓ -0.84%</t>
  </si>
  <si>
    <t>183 ↓ -0.17%</t>
  </si>
  <si>
    <t>86 ↓ -0.47%</t>
  </si>
  <si>
    <t>96 ↓ -1.62%</t>
  </si>
  <si>
    <t>5 ↓ -0.39%</t>
  </si>
  <si>
    <t>61 ↓ -0.29%</t>
  </si>
  <si>
    <t>175 ↓ -0.42%</t>
  </si>
  <si>
    <t>91 ↓ -0.43%</t>
  </si>
  <si>
    <t>54 ↓ -0.26%</t>
  </si>
  <si>
    <t>174 ↓ -0.73%</t>
  </si>
  <si>
    <t>94 ↓ -1.20%</t>
  </si>
  <si>
    <t>103 ↓ -2.46%</t>
  </si>
  <si>
    <t>48 ↑ +0.26%</t>
  </si>
  <si>
    <t>165 ↑ +0.44%</t>
  </si>
  <si>
    <t>99 ↑ +0.76%</t>
  </si>
  <si>
    <t>113 ↑ +0.98%</t>
  </si>
  <si>
    <t>4 ↓ -0.56%</t>
  </si>
  <si>
    <t>54 ↓ -0.50%</t>
  </si>
  <si>
    <t>168 ↓ -0.87%</t>
  </si>
  <si>
    <t>98 ↓ -0.89%</t>
  </si>
  <si>
    <t>106 ↑ +0.05%</t>
  </si>
  <si>
    <t>162 ↓ -0.62%</t>
  </si>
  <si>
    <t>101 ↓ -0.99%</t>
  </si>
  <si>
    <t>115 ↓ -1.59%</t>
  </si>
  <si>
    <t>4 ↓ -0.23%</t>
  </si>
  <si>
    <t>47 ↓ -0.28%</t>
  </si>
  <si>
    <t>140 ↓ -0.17%</t>
  </si>
  <si>
    <t>114 ↓ -0.06%</t>
  </si>
  <si>
    <t>126 ↑ +0.01%</t>
  </si>
  <si>
    <t>4 ↓ -0.18%</t>
  </si>
  <si>
    <t>43 ↑ +0.08%</t>
  </si>
  <si>
    <t>144 ↑ +0.17%</t>
  </si>
  <si>
    <t>124 ↑ +0.55%</t>
  </si>
  <si>
    <t>105 ↑ +0.64%</t>
  </si>
  <si>
    <t>119 ↑ +1.98%</t>
  </si>
  <si>
    <t>47 ↓ -0.35%</t>
  </si>
  <si>
    <t>163 ↓ -0.48%</t>
  </si>
  <si>
    <t>105 ↓ -0.36%</t>
  </si>
  <si>
    <t>4 ↓ -0.34%</t>
  </si>
  <si>
    <t>44 ↓ -0.68%</t>
  </si>
  <si>
    <t>152 ↓ -1.06%</t>
  </si>
  <si>
    <t>114 ↓ -1.38%</t>
  </si>
  <si>
    <t>118 ↓ -1.31%</t>
  </si>
  <si>
    <t>35 ↓ -0.15%</t>
  </si>
  <si>
    <t>133 ↓ -0.55%</t>
  </si>
  <si>
    <t>133 ↓ -1.00%</t>
  </si>
  <si>
    <t>128 ↓ -3.12%</t>
  </si>
  <si>
    <t>35 ↓ -0.20%</t>
  </si>
  <si>
    <t>123 ↓ -0.35%</t>
  </si>
  <si>
    <t>136 ↓ -0.56%</t>
  </si>
  <si>
    <t>134 ↓ -0.64%</t>
  </si>
  <si>
    <t>31 ↓ -0.02%</t>
  </si>
  <si>
    <t>140 ↑ +0.11%</t>
  </si>
  <si>
    <t>141 ↑ +0.59%</t>
  </si>
  <si>
    <t>114 ↓ -0.02%</t>
  </si>
  <si>
    <t>146 ↓ -0.16%</t>
  </si>
  <si>
    <t>138 ↓ -0.47%</t>
  </si>
  <si>
    <t>4 ↓ -0.15%</t>
  </si>
  <si>
    <t>30 ↓ -0.21%</t>
  </si>
  <si>
    <t>114 ↓ -0.28%</t>
  </si>
  <si>
    <t>139 ↓ -0.70%</t>
  </si>
  <si>
    <t>146 ↓ -1.23%</t>
  </si>
  <si>
    <t>4 ↑ +0.02%</t>
  </si>
  <si>
    <t>31 ↑ +0.05%</t>
  </si>
  <si>
    <t>111 ↑ +0.15%</t>
  </si>
  <si>
    <t>152 ↑ +1.27%</t>
  </si>
  <si>
    <t>110 ↑ +0.38%</t>
  </si>
  <si>
    <t>137 ↑ +0.85%</t>
  </si>
  <si>
    <t>148 ↑ +2.29%</t>
  </si>
  <si>
    <t>4 ↑ +0.08%</t>
  </si>
  <si>
    <t>34 ↑ +0.23%</t>
  </si>
  <si>
    <t>120 ↑ +0.34%</t>
  </si>
  <si>
    <t>135 ↑ +1.08%</t>
  </si>
  <si>
    <t>4 ↓ -0.01%</t>
  </si>
  <si>
    <t>133 ↑ +0.89%</t>
  </si>
  <si>
    <t>129 ↑ +1.56%</t>
  </si>
  <si>
    <t>3 ↓ -0.18%</t>
  </si>
  <si>
    <t>37 ↓ -0.07%</t>
  </si>
  <si>
    <t>117 ↓ -0.50%</t>
  </si>
  <si>
    <t>3 ↓ -0.44%</t>
  </si>
  <si>
    <t>37 ↓ -0.59%</t>
  </si>
  <si>
    <t>141 ↓ -0.80%</t>
  </si>
  <si>
    <t>121 ↓ -2.03%</t>
  </si>
  <si>
    <t>126 ↓ -3.60%</t>
  </si>
  <si>
    <t>129 ↓ -0.14%</t>
  </si>
  <si>
    <t>113 ↓ -0.19%</t>
  </si>
  <si>
    <t>148 ↓ -0.41%</t>
  </si>
  <si>
    <t>3 ↓ -0.50%</t>
  </si>
  <si>
    <t>31 ↓ -0.38%</t>
  </si>
  <si>
    <t>129 ↓ -0.40%</t>
  </si>
  <si>
    <t>112 ↓ -0.33%</t>
  </si>
  <si>
    <t>3 ↑ +0.03%</t>
  </si>
  <si>
    <t>31 ↓ -0.06%</t>
  </si>
  <si>
    <t>119 ↓ -0.07%</t>
  </si>
  <si>
    <t>160 ↓ -0.27%</t>
  </si>
  <si>
    <t>31 ↓ -0.30%</t>
  </si>
  <si>
    <t>120 ↓ -0.61%</t>
  </si>
  <si>
    <t>161 ↓ -2.01%</t>
  </si>
  <si>
    <t>2 ↓ -0.52%</t>
  </si>
  <si>
    <t>31 ↓ -0.56%</t>
  </si>
  <si>
    <t>107 ↓ -1.00%</t>
  </si>
  <si>
    <t>110 ↓ -1.61%</t>
  </si>
  <si>
    <t>178 ↓ -3.65%</t>
  </si>
  <si>
    <t>1 ↑ +0.67%</t>
  </si>
  <si>
    <t>26 ↑ +0.18%</t>
  </si>
  <si>
    <t>94 ↑ +0.29%</t>
  </si>
  <si>
    <t>105 ↑ +0.05%</t>
  </si>
  <si>
    <t>202 ↑ +0.34%</t>
  </si>
  <si>
    <t>28 ↑ +0.20%</t>
  </si>
  <si>
    <t>98 ↑ +0.44%</t>
  </si>
  <si>
    <t>96 ↑ +0.51%</t>
  </si>
  <si>
    <t>204 ↑ +0.27%</t>
  </si>
  <si>
    <t>30 ↓ -0.26%</t>
  </si>
  <si>
    <t>104 ↓ -0.68%</t>
  </si>
  <si>
    <t>91 ↓ -1.00%</t>
  </si>
  <si>
    <t>202 ↓ -2.22%</t>
  </si>
  <si>
    <t>27 ↓ -0.40%</t>
  </si>
  <si>
    <t>94 ↓ -0.64%</t>
  </si>
  <si>
    <t>93 ↓ -0.89%</t>
  </si>
  <si>
    <t>212 ↓ -0.81%</t>
  </si>
  <si>
    <t>1 ↑ +0.43%</t>
  </si>
  <si>
    <t>22 ↑ +0.34%</t>
  </si>
  <si>
    <t>84 ↑ +0.18%</t>
  </si>
  <si>
    <t>99 ↑ +0.15%</t>
  </si>
  <si>
    <t>221 ↓ -0.02%</t>
  </si>
  <si>
    <t>2 ↑ +0.43%</t>
  </si>
  <si>
    <t>25 ↑ +0.18%</t>
  </si>
  <si>
    <t>85 ↑ +0.15%</t>
  </si>
  <si>
    <t>96 ↑ +0.16%</t>
  </si>
  <si>
    <t>219 ↑ +0.83%</t>
  </si>
  <si>
    <t>2 ↑ +1.25%</t>
  </si>
  <si>
    <t>25 ↑ +0.16%</t>
  </si>
  <si>
    <t>84 ↑ +0.11%</t>
  </si>
  <si>
    <t>103 ↑ +0.13%</t>
  </si>
  <si>
    <t>214 ↑ +0.83%</t>
  </si>
  <si>
    <t>3 ↑ +0.18%</t>
  </si>
  <si>
    <t>26 ↑ +0.21%</t>
  </si>
  <si>
    <t>83 ↑ +0.27%</t>
  </si>
  <si>
    <t>99 ↑ +0.13%</t>
  </si>
  <si>
    <t>214 ↓ -0.45%</t>
  </si>
  <si>
    <t>4 ↑ +0.32%</t>
  </si>
  <si>
    <t>31 ↑ +0.35%</t>
  </si>
  <si>
    <t>101 ↑ +0.70%</t>
  </si>
  <si>
    <t>207 ↑ +0.47%</t>
  </si>
  <si>
    <t>34 ↓ -0.07%</t>
  </si>
  <si>
    <t>89 ↓ -0.10%</t>
  </si>
  <si>
    <t>99 ↓ -0.07%</t>
  </si>
  <si>
    <t>197 ↑ +0.20%</t>
  </si>
  <si>
    <t>34 ↑ +0.08%</t>
  </si>
  <si>
    <t>87 ↑ +0.14%</t>
  </si>
  <si>
    <t>98 ↑ +0.09%</t>
  </si>
  <si>
    <t>201 ↑ +0.35%</t>
  </si>
  <si>
    <t>4 ↑ +0.01%</t>
  </si>
  <si>
    <t>92 ↑ +0.11%</t>
  </si>
  <si>
    <t>100 ↑ +0.52%</t>
  </si>
  <si>
    <t>195 ↑ +1.78%</t>
  </si>
  <si>
    <t>33 ↑ +0.22%</t>
  </si>
  <si>
    <t>99 ↑ +0.34%</t>
  </si>
  <si>
    <t>101 ↑ +0.30%</t>
  </si>
  <si>
    <t>187 ↑ +0.04%</t>
  </si>
  <si>
    <t>35 ↑ +0.21%</t>
  </si>
  <si>
    <t>100 ↑ +0.20%</t>
  </si>
  <si>
    <t>97 ↑ +0.25%</t>
  </si>
  <si>
    <t>188 ↑ +0.30%</t>
  </si>
  <si>
    <t>101 ↓ -0.13%</t>
  </si>
  <si>
    <t>94 ↑ +0.02%</t>
  </si>
  <si>
    <t>185 ↓ -0.75%</t>
  </si>
  <si>
    <t>4 ↓ -0.61%</t>
  </si>
  <si>
    <t>102 ↓ -0.93%</t>
  </si>
  <si>
    <t>93 ↓ -1.23%</t>
  </si>
  <si>
    <t>185 ↓ -1.80%</t>
  </si>
  <si>
    <t>32 ↓ -0.07%</t>
  </si>
  <si>
    <t>101 ↑ +0.42%</t>
  </si>
  <si>
    <t>194 ↑ +1.13%</t>
  </si>
  <si>
    <t>3 ↓ -0.25%</t>
  </si>
  <si>
    <t>33 ↓ -0.07%</t>
  </si>
  <si>
    <t>98 ↓ -0.23%</t>
  </si>
  <si>
    <t>101 ↓ -0.32%</t>
  </si>
  <si>
    <t>187 ↑ +0.09%</t>
  </si>
  <si>
    <t>3 ↑ +0.27%</t>
  </si>
  <si>
    <t>95 ↑ +0.52%</t>
  </si>
  <si>
    <t>97 ↑ +0.48%</t>
  </si>
  <si>
    <t>192 ↑ +1.02%</t>
  </si>
  <si>
    <t>34 ↑ +0.14%</t>
  </si>
  <si>
    <t>102 ↑ +0.36%</t>
  </si>
  <si>
    <t>182 ↑ +1.42%</t>
  </si>
  <si>
    <t>4 ↑ +0.25%</t>
  </si>
  <si>
    <t>35 ↑ +0.22%</t>
  </si>
  <si>
    <t>103 ↑ +0.23%</t>
  </si>
  <si>
    <t>103 ↑ +0.51%</t>
  </si>
  <si>
    <t>174 ↑ +1.26%</t>
  </si>
  <si>
    <t>4 ↓ -0.06%</t>
  </si>
  <si>
    <t>36 ↓ -0.07%</t>
  </si>
  <si>
    <t>105 ↓ -0.26%</t>
  </si>
  <si>
    <t>109 ↓ -0.41%</t>
  </si>
  <si>
    <t>165 ↓ -0.65%</t>
  </si>
  <si>
    <t>35 ↓ -0.05%</t>
  </si>
  <si>
    <t>107 ↓ -0.23%</t>
  </si>
  <si>
    <t>103 ↓ -0.37%</t>
  </si>
  <si>
    <t>170 ↓ -0.42%</t>
  </si>
  <si>
    <t>4 ↑ +0.10%</t>
  </si>
  <si>
    <t>34 ↑ +0.00%</t>
  </si>
  <si>
    <t>102 ↓ -0.24%</t>
  </si>
  <si>
    <t>171 ↓ -0.46%</t>
  </si>
  <si>
    <t>4 ↑ +0.34%</t>
  </si>
  <si>
    <t>34 ↑ +0.16%</t>
  </si>
  <si>
    <t>101 ↑ +0.53%</t>
  </si>
  <si>
    <t>104 ↑ +0.57%</t>
  </si>
  <si>
    <t>171 ↑ +1.00%</t>
  </si>
  <si>
    <t>35 ↑ +0.34%</t>
  </si>
  <si>
    <t>101 ↑ +0.52%</t>
  </si>
  <si>
    <t>109 ↑ +0.43%</t>
  </si>
  <si>
    <t>163 ↑ +0.64%</t>
  </si>
  <si>
    <t>5 ↑ +0.55%</t>
  </si>
  <si>
    <t>37 ↑ +0.40%</t>
  </si>
  <si>
    <t>105 ↑ +0.76%</t>
  </si>
  <si>
    <t>107 ↑ +0.90%</t>
  </si>
  <si>
    <t>159 ↑ +1.84%</t>
  </si>
  <si>
    <t>6 ↓ -0.43%</t>
  </si>
  <si>
    <t>45 ↓ -0.30%</t>
  </si>
  <si>
    <t>110 ↓ -0.35%</t>
  </si>
  <si>
    <t>102 ↑ +0.00%</t>
  </si>
  <si>
    <t>149 ↓ -0.38%</t>
  </si>
  <si>
    <t>45 ↓ -0.17%</t>
  </si>
  <si>
    <t>109 ↑ +0.31%</t>
  </si>
  <si>
    <t>104 ↑ +0.66%</t>
  </si>
  <si>
    <t>150 ↑ +1.16%</t>
  </si>
  <si>
    <t>46 ↑ +0.23%</t>
  </si>
  <si>
    <t>113 ↑ +0.27%</t>
  </si>
  <si>
    <t>104 ↑ +0.51%</t>
  </si>
  <si>
    <t>145 ↑ +1.26%</t>
  </si>
  <si>
    <t>5 ↓ -0.42%</t>
  </si>
  <si>
    <t>46 ↓ -0.63%</t>
  </si>
  <si>
    <t>120 ↓ -0.94%</t>
  </si>
  <si>
    <t>105 ↓ -0.93%</t>
  </si>
  <si>
    <t>137 ↓ -1.66%</t>
  </si>
  <si>
    <t>115 ↓ -0.56%</t>
  </si>
  <si>
    <t>109 ↓ -1.06%</t>
  </si>
  <si>
    <t>146 ↓ -1.28%</t>
  </si>
  <si>
    <t>112 ↑ +0.27%</t>
  </si>
  <si>
    <t>104 ↑ +0.21%</t>
  </si>
  <si>
    <t>156 ↓ -1.16%</t>
  </si>
  <si>
    <t>38 ↓ -0.01%</t>
  </si>
  <si>
    <t>120 ↑ +0.14%</t>
  </si>
  <si>
    <t>92 ↑ +0.42%</t>
  </si>
  <si>
    <t>159 ↑ +1.22%</t>
  </si>
  <si>
    <t>4 ↓ -0.24%</t>
  </si>
  <si>
    <t>125 ↓ -0.80%</t>
  </si>
  <si>
    <t>97 ↓ -0.96%</t>
  </si>
  <si>
    <t>151 ↓ -0.56%</t>
  </si>
  <si>
    <t>4 ↓ -0.03%</t>
  </si>
  <si>
    <t>31 ↓ -0.09%</t>
  </si>
  <si>
    <t>117 ↓ -0.34%</t>
  </si>
  <si>
    <t>95 ↓ -0.50%</t>
  </si>
  <si>
    <t>166 ↓ -0.07%</t>
  </si>
  <si>
    <t>30 ↑ +0.22%</t>
  </si>
  <si>
    <t>114 ↑ +0.14%</t>
  </si>
  <si>
    <t>94 ↑ +0.20%</t>
  </si>
  <si>
    <t>170 ↑ +1.38%</t>
  </si>
  <si>
    <t>33 ↑ +0.13%</t>
  </si>
  <si>
    <t>113 ↑ +0.13%</t>
  </si>
  <si>
    <t>92 ↑ +0.21%</t>
  </si>
  <si>
    <t>169 ↓ -0.28%</t>
  </si>
  <si>
    <t>32 ↑ +0.15%</t>
  </si>
  <si>
    <t>115 ↑ +0.42%</t>
  </si>
  <si>
    <t>96 ↑ +0.45%</t>
  </si>
  <si>
    <t>163 ↑ +1.04%</t>
  </si>
  <si>
    <t>34 ↓ -0.31%</t>
  </si>
  <si>
    <t>117 ↓ -0.62%</t>
  </si>
  <si>
    <t>101 ↓ -1.38%</t>
  </si>
  <si>
    <t>154 ↓ -2.09%</t>
  </si>
  <si>
    <t>4 ↑ +0.26%</t>
  </si>
  <si>
    <t>32 ↑ +0.06%</t>
  </si>
  <si>
    <t>111 ↑ +0.58%</t>
  </si>
  <si>
    <t>95 ↑ +0.63%</t>
  </si>
  <si>
    <t>171 ↑ +1.13%</t>
  </si>
  <si>
    <t>4 ↑ +0.30%</t>
  </si>
  <si>
    <t>37 ↑ +0.57%</t>
  </si>
  <si>
    <t>114 ↑ +0.73%</t>
  </si>
  <si>
    <t>94 ↑ +0.91%</t>
  </si>
  <si>
    <t>165 ↑ +1.36%</t>
  </si>
  <si>
    <t>5 ↓ -0.08%</t>
  </si>
  <si>
    <t>44 ↑ +0.19%</t>
  </si>
  <si>
    <t>117 ↑ +0.49%</t>
  </si>
  <si>
    <t>92 ↑ +0.61%</t>
  </si>
  <si>
    <t>156 ↑ +1.16%</t>
  </si>
  <si>
    <t>118 ↑ +0.44%</t>
  </si>
  <si>
    <t>94 ↑ +0.83%</t>
  </si>
  <si>
    <t>5 ↓ -0.14%</t>
  </si>
  <si>
    <t>124 ↓ -0.33%</t>
  </si>
  <si>
    <t>93 ↓ -0.31%</t>
  </si>
  <si>
    <t>138 ↑ +1.01%</t>
  </si>
  <si>
    <t>52 ↓ -0.14%</t>
  </si>
  <si>
    <t>127 ↓ -0.11%</t>
  </si>
  <si>
    <t>92 ↓ -0.23%</t>
  </si>
  <si>
    <t>137 ↑ +0.76%</t>
  </si>
  <si>
    <t>51 ↓ -0.31%</t>
  </si>
  <si>
    <t>126 ↓ -0.78%</t>
  </si>
  <si>
    <t>93 ↓ -0.83%</t>
  </si>
  <si>
    <t>138 ↓ -1.97%</t>
  </si>
  <si>
    <t>47 ↑ +0.20%</t>
  </si>
  <si>
    <t>117 ↑ +0.43%</t>
  </si>
  <si>
    <t>100 ↑ +0.49%</t>
  </si>
  <si>
    <t>145 ↑ +0.64%</t>
  </si>
  <si>
    <t>53 ↑ +0.13%</t>
  </si>
  <si>
    <t>117 ↑ +0.31%</t>
  </si>
  <si>
    <t>104 ↑ +0.63%</t>
  </si>
  <si>
    <t>135 ↑ +1.42%</t>
  </si>
  <si>
    <t>3 ↑ +0.06%</t>
  </si>
  <si>
    <t>58 ↑ +0.41%</t>
  </si>
  <si>
    <t>119 ↑ +0.61%</t>
  </si>
  <si>
    <t>107 ↑ +0.55%</t>
  </si>
  <si>
    <t>126 ↑ +1.03%</t>
  </si>
  <si>
    <t>4 ↓ -0.28%</t>
  </si>
  <si>
    <t>63 ↓ -0.09%</t>
  </si>
  <si>
    <t>120 ↓ -0.15%</t>
  </si>
  <si>
    <t>123 ↓ -0.52%</t>
  </si>
  <si>
    <t>62 ↓ -0.13%</t>
  </si>
  <si>
    <t>120 ↓ -0.04%</t>
  </si>
  <si>
    <t>99 ↑ +0.16%</t>
  </si>
  <si>
    <t>3 ↑ +0.04%</t>
  </si>
  <si>
    <t>63 ↑ +0.06%</t>
  </si>
  <si>
    <t>124 ↑ +0.33%</t>
  </si>
  <si>
    <t>98 ↑ +0.78%</t>
  </si>
  <si>
    <t>124 ↑ +1.80%</t>
  </si>
  <si>
    <t>5 ↓ -0.40%</t>
  </si>
  <si>
    <t>61 ↓ -0.30%</t>
  </si>
  <si>
    <t>131 ↓ -0.34%</t>
  </si>
  <si>
    <t>96 ↓ -0.64%</t>
  </si>
  <si>
    <t>119 ↓ -0.40%</t>
  </si>
  <si>
    <t>3 ↑ +0.01%</t>
  </si>
  <si>
    <t>59 ↑ +0.19%</t>
  </si>
  <si>
    <t>135 ↑ +0.05%</t>
  </si>
  <si>
    <t>93 ↑ +0.01%</t>
  </si>
  <si>
    <t>122 ↑ +0.54%</t>
  </si>
  <si>
    <t>54 ↓ -0.01%</t>
  </si>
  <si>
    <t>134 ↑ +0.04%</t>
  </si>
  <si>
    <t>95 ↑ +0.06%</t>
  </si>
  <si>
    <t>124 ↑ +0.21%</t>
  </si>
  <si>
    <t>55 ↑ +0.07%</t>
  </si>
  <si>
    <t>133 ↑ +0.49%</t>
  </si>
  <si>
    <t>97 ↑ +1.06%</t>
  </si>
  <si>
    <t>122 ↑ +2.53%</t>
  </si>
  <si>
    <t>59 ↓ -0.25%</t>
  </si>
  <si>
    <t>141 ↓ -0.06%</t>
  </si>
  <si>
    <t>96 ↑ +0.38%</t>
  </si>
  <si>
    <t>112 ↑ +1.87%</t>
  </si>
  <si>
    <t>58 ↓ -0.02%</t>
  </si>
  <si>
    <t>147 ↓ -0.03%</t>
  </si>
  <si>
    <t>93 ↑ +0.14%</t>
  </si>
  <si>
    <t>110 ↑ +1.40%</t>
  </si>
  <si>
    <t>54 ↑ +0.04%</t>
  </si>
  <si>
    <t>149 ↑ +0.25%</t>
  </si>
  <si>
    <t>93 ↑ +0.30%</t>
  </si>
  <si>
    <t>111 ↑ +0.23%</t>
  </si>
  <si>
    <t>149 ↑ +0.07%</t>
  </si>
  <si>
    <t>91 ↑ +0.27%</t>
  </si>
  <si>
    <t>111 ↑ +0.19%</t>
  </si>
  <si>
    <t>5 ↓ -0.45%</t>
  </si>
  <si>
    <t>155 ↓ -0.01%</t>
  </si>
  <si>
    <t>85 ↑ +0.18%</t>
  </si>
  <si>
    <t>110 ↓ -0.15%</t>
  </si>
  <si>
    <t>3 ↓ -1.85%</t>
  </si>
  <si>
    <t>59 ↑ +0.15%</t>
  </si>
  <si>
    <t>155 ↑ +0.21%</t>
  </si>
  <si>
    <t>84 ↑ +0.39%</t>
  </si>
  <si>
    <t>108 ↑ +0.15%</t>
  </si>
  <si>
    <t>3 ↑ +0.78%</t>
  </si>
  <si>
    <t>59 ↑ +0.34%</t>
  </si>
  <si>
    <t>155 ↑ +0.57%</t>
  </si>
  <si>
    <t>86 ↑ +0.76%</t>
  </si>
  <si>
    <t>103 ↑ +0.78%</t>
  </si>
  <si>
    <t>65 ↓ -0.99%</t>
  </si>
  <si>
    <t>159 ↓ -1.87%</t>
  </si>
  <si>
    <t>80 ↓ -2.50%</t>
  </si>
  <si>
    <t>98 ↓ -2.84%</t>
  </si>
  <si>
    <t>4 ↑ +0.76%</t>
  </si>
  <si>
    <t>51 ↑ +0.39%</t>
  </si>
  <si>
    <t>83 ↑ +0.33%</t>
  </si>
  <si>
    <t>122 ↑ +0.72%</t>
  </si>
  <si>
    <t>57 ↑ +0.44%</t>
  </si>
  <si>
    <t>146 ↑ +0.42%</t>
  </si>
  <si>
    <t>86 ↑ +0.51%</t>
  </si>
  <si>
    <t>112 ↑ +0.31%</t>
  </si>
  <si>
    <t>6 ↑ +0.28%</t>
  </si>
  <si>
    <t>64 ↓ -0.03%</t>
  </si>
  <si>
    <t>140 ↓ -0.09%</t>
  </si>
  <si>
    <t>90 ↓ -0.03%</t>
  </si>
  <si>
    <t>106 ↑ +1.02%</t>
  </si>
  <si>
    <t>6 ↑ +0.42%</t>
  </si>
  <si>
    <t>65 ↑ +0.13%</t>
  </si>
  <si>
    <t>139 ↑ +0.30%</t>
  </si>
  <si>
    <t>88 ↑ +0.12%</t>
  </si>
  <si>
    <t>107 ↑ +0.40%</t>
  </si>
  <si>
    <t>67 ↑ +0.09%</t>
  </si>
  <si>
    <t>144 ↑ +0.06%</t>
  </si>
  <si>
    <t>85 ↑ +0.57%</t>
  </si>
  <si>
    <t>101 ↑ +0.57%</t>
  </si>
  <si>
    <t>66 ↑ +0.05%</t>
  </si>
  <si>
    <t>150 ↓ -0.01%</t>
  </si>
  <si>
    <t>77 ↑ +0.27%</t>
  </si>
  <si>
    <t>103 ↑ +2.38%</t>
  </si>
  <si>
    <t>6 ↑ +1.16%</t>
  </si>
  <si>
    <t>68 ↑ +0.36%</t>
  </si>
  <si>
    <t>85 ↑ +0.63%</t>
  </si>
  <si>
    <t>99 ↑ +1.02%</t>
  </si>
  <si>
    <t>79 ↑ +0.07%</t>
  </si>
  <si>
    <t>140 ↑ +0.15%</t>
  </si>
  <si>
    <t>78 ↑ +0.41%</t>
  </si>
  <si>
    <t>98 ↑ +0.27%</t>
  </si>
  <si>
    <t>80 ↑ +0.16%</t>
  </si>
  <si>
    <t>145 ↑ +0.65%</t>
  </si>
  <si>
    <t>78 ↑ +0.94%</t>
  </si>
  <si>
    <t>93 ↑ +3.02%</t>
  </si>
  <si>
    <t>87 ↓ -0.17%</t>
  </si>
  <si>
    <t>147 ↑ +0.01%</t>
  </si>
  <si>
    <t>72 ↑ +0.65%</t>
  </si>
  <si>
    <t>89 ↑ +2.67%</t>
  </si>
  <si>
    <t>6 ↑ +0.50%</t>
  </si>
  <si>
    <t>79 ↑ +0.26%</t>
  </si>
  <si>
    <t>167 ↑ +0.40%</t>
  </si>
  <si>
    <t>62 ↑ +0.66%</t>
  </si>
  <si>
    <t>87 ↑ +1.94%</t>
  </si>
  <si>
    <t>6 ↓ -1.00%</t>
  </si>
  <si>
    <t>90 ↓ -0.53%</t>
  </si>
  <si>
    <t>162 ↓ -0.55%</t>
  </si>
  <si>
    <t>65 ↓ -0.60%</t>
  </si>
  <si>
    <t>78 ↑ +0.10%</t>
  </si>
  <si>
    <t>5 ↑ +0.73%</t>
  </si>
  <si>
    <t>89 ↑ +0.44%</t>
  </si>
  <si>
    <t>148 ↑ +0.95%</t>
  </si>
  <si>
    <t>78 ↑ +0.95%</t>
  </si>
  <si>
    <t>79 ↑ +2.95%</t>
  </si>
  <si>
    <t>6 ↑ +1.30%</t>
  </si>
  <si>
    <t>102 ↑ +1.25%</t>
  </si>
  <si>
    <t>146 ↑ +1.89%</t>
  </si>
  <si>
    <t>73 ↑ +2.67%</t>
  </si>
  <si>
    <t>73 ↑ +3.47%</t>
  </si>
  <si>
    <t>147 ↓ -0.14%</t>
  </si>
  <si>
    <t>120 ↓ -0.10%</t>
  </si>
  <si>
    <t>61 ↑ +0.07%</t>
  </si>
  <si>
    <t>63 ↑ +0.25%</t>
  </si>
  <si>
    <t>8 ↓ -0.36%</t>
  </si>
  <si>
    <t>124 ↑ +1.40%</t>
  </si>
  <si>
    <t>58 ↑ +2.82%</t>
  </si>
  <si>
    <t>65 ↑ +4.79%</t>
  </si>
  <si>
    <t>9 ↓ -1.49%</t>
  </si>
  <si>
    <t>157 ↓ -0.96%</t>
  </si>
  <si>
    <t>131 ↓ -0.68%</t>
  </si>
  <si>
    <t>45 ↓ -0.33%</t>
  </si>
  <si>
    <t>56 ↑ +0.48%</t>
  </si>
  <si>
    <t>7 ↓ -1.75%</t>
  </si>
  <si>
    <t>132 ↓ -1.97%</t>
  </si>
  <si>
    <t>158 ↓ -3.18%</t>
  </si>
  <si>
    <t>43 ↓ -3.81%</t>
  </si>
  <si>
    <t>58 ↓ -4.50%</t>
  </si>
  <si>
    <t>4 ↑ +0.06%</t>
  </si>
  <si>
    <t>76 ↓ -0.04%</t>
  </si>
  <si>
    <t>172 ↓ -0.17%</t>
  </si>
  <si>
    <t>73 ↓ -0.84%</t>
  </si>
  <si>
    <t>70 ↓ -3.70%</t>
  </si>
  <si>
    <t>6 ↓ -1.58%</t>
  </si>
  <si>
    <t>74 ↓ -0.56%</t>
  </si>
  <si>
    <t>170 ↓ -1.20%</t>
  </si>
  <si>
    <t>67 ↓ -1.65%</t>
  </si>
  <si>
    <t>77 ↓ -2.48%</t>
  </si>
  <si>
    <t>63 ↓ -0.02%</t>
  </si>
  <si>
    <t>159 ↓ -0.13%</t>
  </si>
  <si>
    <t>86 ↓ -0.84%</t>
  </si>
  <si>
    <t>80 ↓ -0.81%</t>
  </si>
  <si>
    <t>68 ↑ +0.03%</t>
  </si>
  <si>
    <t>147 ↑ +0.27%</t>
  </si>
  <si>
    <t>88 ↑ +3.14%</t>
  </si>
  <si>
    <t>6 ↓ -0.30%</t>
  </si>
  <si>
    <t>68 ↓ -0.17%</t>
  </si>
  <si>
    <t>161 ↑ +0.27%</t>
  </si>
  <si>
    <t>79 ↑ +3.33%</t>
  </si>
  <si>
    <t>69 ↓ -0.19%</t>
  </si>
  <si>
    <t>165 ↓ -0.46%</t>
  </si>
  <si>
    <t>82 ↓ -0.23%</t>
  </si>
  <si>
    <t>71 ↑ +0.33%</t>
  </si>
  <si>
    <t>68 ↑ +0.16%</t>
  </si>
  <si>
    <t>158 ↑ +0.50%</t>
  </si>
  <si>
    <t>86 ↑ +0.59%</t>
  </si>
  <si>
    <t>75 ↑ +1.25%</t>
  </si>
  <si>
    <t>4 ↓ -0.54%</t>
  </si>
  <si>
    <t>72 ↓ -0.37%</t>
  </si>
  <si>
    <t>160 ↓ -0.50%</t>
  </si>
  <si>
    <t>85 ↓ -0.83%</t>
  </si>
  <si>
    <t>69 ↓ -1.17%</t>
  </si>
  <si>
    <t>65 ↓ -0.05%</t>
  </si>
  <si>
    <t>81 ↑ +0.25%</t>
  </si>
  <si>
    <t>75 ↑ +0.83%</t>
  </si>
  <si>
    <t>63 ↓ -0.57%</t>
  </si>
  <si>
    <t>167 ↓ -1.21%</t>
  </si>
  <si>
    <t>78 ↓ -1.60%</t>
  </si>
  <si>
    <t>77 ↓ -2.89%</t>
  </si>
  <si>
    <t>2 ↑ +0.18%</t>
  </si>
  <si>
    <t>55 ↓ -0.02%</t>
  </si>
  <si>
    <t>156 ↓ -0.22%</t>
  </si>
  <si>
    <t>84 ↓ -0.21%</t>
  </si>
  <si>
    <t>2 ↓ -0.78%</t>
  </si>
  <si>
    <t>58 ↓ -0.67%</t>
  </si>
  <si>
    <t>145 ↓ -0.71%</t>
  </si>
  <si>
    <t>93 ↓ -1.07%</t>
  </si>
  <si>
    <t>90 ↓ -0.94%</t>
  </si>
  <si>
    <t>2 ↑ +0.44%</t>
  </si>
  <si>
    <t>50 ↑ +0.58%</t>
  </si>
  <si>
    <t>97 ↑ +0.54%</t>
  </si>
  <si>
    <t>96 ↓ -0.45%</t>
  </si>
  <si>
    <t>3 ↑ +0.45%</t>
  </si>
  <si>
    <t>57 ↑ +0.58%</t>
  </si>
  <si>
    <t>139 ↑ +0.62%</t>
  </si>
  <si>
    <t>93 ↑ +0.85%</t>
  </si>
  <si>
    <t>95 ↑ +0.86%</t>
  </si>
  <si>
    <t>65 ↑ +0.23%</t>
  </si>
  <si>
    <t>144 ↓ -0.05%</t>
  </si>
  <si>
    <t>83 ↓ -0.45%</t>
  </si>
  <si>
    <t>3 ↑ +0.29%</t>
  </si>
  <si>
    <t>69 ↑ +0.56%</t>
  </si>
  <si>
    <t>142 ↑ +1.09%</t>
  </si>
  <si>
    <t>79 ↑ +1.78%</t>
  </si>
  <si>
    <t>93 ↑ +2.47%</t>
  </si>
  <si>
    <t>4 ↓ -0.66%</t>
  </si>
  <si>
    <t>79 ↓ -0.53%</t>
  </si>
  <si>
    <t>152 ↓ -0.49%</t>
  </si>
  <si>
    <t>72 ↓ -0.06%</t>
  </si>
  <si>
    <t>79 ↑ +0.11%</t>
  </si>
  <si>
    <t>75 ↓ -0.74%</t>
  </si>
  <si>
    <t>150 ↓ -0.79%</t>
  </si>
  <si>
    <t>76 ↓ -0.67%</t>
  </si>
  <si>
    <t>82 ↓ -0.49%</t>
  </si>
  <si>
    <t>1 ↓ -1.02%</t>
  </si>
  <si>
    <t>62 ↓ -0.70%</t>
  </si>
  <si>
    <t>154 ↓ -0.80%</t>
  </si>
  <si>
    <t>81 ↓ -1.38%</t>
  </si>
  <si>
    <t>88 ↓ -1.35%</t>
  </si>
  <si>
    <t>54 ↓ -0.86%</t>
  </si>
  <si>
    <t>148 ↓ -1.17%</t>
  </si>
  <si>
    <t>84 ↓ -1.53%</t>
  </si>
  <si>
    <t>98 ↓ -1.74%</t>
  </si>
  <si>
    <t>1 ↑ +0.13%</t>
  </si>
  <si>
    <t>39 ↓ -0.16%</t>
  </si>
  <si>
    <t>145 ↓ -0.33%</t>
  </si>
  <si>
    <t>88 ↓ -0.03%</t>
  </si>
  <si>
    <t>110 ↓ -0.21%</t>
  </si>
  <si>
    <t>1 ↓ -0.18%</t>
  </si>
  <si>
    <t>35 ↑ +0.01%</t>
  </si>
  <si>
    <t>145 ↓ -0.08%</t>
  </si>
  <si>
    <t>91 ↓ -0.23%</t>
  </si>
  <si>
    <t>110 ↓ -0.90%</t>
  </si>
  <si>
    <t>37 ↑ +0.07%</t>
  </si>
  <si>
    <t>145 ↑ +0.20%</t>
  </si>
  <si>
    <t>81 ↑ +0.12%</t>
  </si>
  <si>
    <t>119 ↑ +1.28%</t>
  </si>
  <si>
    <t>38 ↑ +0.69%</t>
  </si>
  <si>
    <t>143 ↑ +0.92%</t>
  </si>
  <si>
    <t>89 ↑ +0.96%</t>
  </si>
  <si>
    <t>111 ↑ +0.66%</t>
  </si>
  <si>
    <t>50 ↑ +0.63%</t>
  </si>
  <si>
    <t>147 ↑ +1.14%</t>
  </si>
  <si>
    <t>78 ↑ +1.94%</t>
  </si>
  <si>
    <t>107 ↑ +2.49%</t>
  </si>
  <si>
    <t>61 ↑ +0.60%</t>
  </si>
  <si>
    <t>157 ↑ +1.18%</t>
  </si>
  <si>
    <t>70 ↑ +1.98%</t>
  </si>
  <si>
    <t>94 ↑ +3.12%</t>
  </si>
  <si>
    <t>4 ↓ -0.70%</t>
  </si>
  <si>
    <t>71 ↓ -1.45%</t>
  </si>
  <si>
    <t>157 ↓ -1.91%</t>
  </si>
  <si>
    <t>67 ↓ -2.21%</t>
  </si>
  <si>
    <t>83 ↓ -2.25%</t>
  </si>
  <si>
    <t>1 ↓ -0.24%</t>
  </si>
  <si>
    <t>49 ↓ -0.16%</t>
  </si>
  <si>
    <t>163 ↓ -0.29%</t>
  </si>
  <si>
    <t>78 ↓ -0.85%</t>
  </si>
  <si>
    <t>91 ↓ -1.76%</t>
  </si>
  <si>
    <t>1 ↓ -0.62%</t>
  </si>
  <si>
    <t>45 ↓ -0.15%</t>
  </si>
  <si>
    <t>163 ↓ -0.10%</t>
  </si>
  <si>
    <t>70 ↑ +0.25%</t>
  </si>
  <si>
    <t>102 ↓ -0.17%</t>
  </si>
  <si>
    <t>1 ↑ +2.55%</t>
  </si>
  <si>
    <t>50 ↑ +0.73%</t>
  </si>
  <si>
    <t>153 ↑ +1.67%</t>
  </si>
  <si>
    <t>76 ↑ +2.60%</t>
  </si>
  <si>
    <t>100 ↑ +2.69%</t>
  </si>
  <si>
    <t>2 ↓ -2.02%</t>
  </si>
  <si>
    <t>61 ↓ -0.96%</t>
  </si>
  <si>
    <t>167 ↓ -1.00%</t>
  </si>
  <si>
    <t>62 ↓ -0.68%</t>
  </si>
  <si>
    <t>87 ↓ -0.59%</t>
  </si>
  <si>
    <t>48 ↓ -1.68%</t>
  </si>
  <si>
    <t>180 ↓ -2.27%</t>
  </si>
  <si>
    <t>66 ↓ -2.82%</t>
  </si>
  <si>
    <t>87 ↓ -3.76%</t>
  </si>
  <si>
    <t>27 ↓ -1.24%</t>
  </si>
  <si>
    <t>155 ↓ -2.10%</t>
  </si>
  <si>
    <t>91 ↓ -2.75%</t>
  </si>
  <si>
    <t>109 ↓ -2.82%</t>
  </si>
  <si>
    <t>20 ↓ -0.52%</t>
  </si>
  <si>
    <t>123 ↓ -1.07%</t>
  </si>
  <si>
    <t>107 ↓ -1.48%</t>
  </si>
  <si>
    <t>131 ↓ -2.21%</t>
  </si>
  <si>
    <t>14 ↑ +0.01%</t>
  </si>
  <si>
    <t>108 ↓ -0.90%</t>
  </si>
  <si>
    <t>150 ↓ -1.60%</t>
  </si>
  <si>
    <t>13 ↑ +0.45%</t>
  </si>
  <si>
    <t>102 ↑ +0.12%</t>
  </si>
  <si>
    <t>111 ↑ +0.03%</t>
  </si>
  <si>
    <t>154 ↓ -0.56%</t>
  </si>
  <si>
    <t>16 ↑ +0.25%</t>
  </si>
  <si>
    <t>110 ↑ +0.24%</t>
  </si>
  <si>
    <t>160 ↑ +0.53%</t>
  </si>
  <si>
    <t>17 ↓ -0.14%</t>
  </si>
  <si>
    <t>101 ↓ -0.08%</t>
  </si>
  <si>
    <t>106 ↑ +0.37%</t>
  </si>
  <si>
    <t>159 ↑ +1.04%</t>
  </si>
  <si>
    <t>17 ↑ +0.23%</t>
  </si>
  <si>
    <t>96 ↑ +0.59%</t>
  </si>
  <si>
    <t>115 ↑ +0.61%</t>
  </si>
  <si>
    <t>155 ↑ +1.52%</t>
  </si>
  <si>
    <t>18 ↓ -0.57%</t>
  </si>
  <si>
    <t>111 ↓ -0.53%</t>
  </si>
  <si>
    <t>108 ↓ -0.66%</t>
  </si>
  <si>
    <t>17 ↑ +0.24%</t>
  </si>
  <si>
    <t>102 ↑ +0.60%</t>
  </si>
  <si>
    <t>111 ↑ +1.25%</t>
  </si>
  <si>
    <t>156 ↑ +3.01%</t>
  </si>
  <si>
    <t>19 ↓ -0.68%</t>
  </si>
  <si>
    <t>126 ↓ -0.60%</t>
  </si>
  <si>
    <t>97 ↓ -0.70%</t>
  </si>
  <si>
    <t>144 ↓ -0.52%</t>
  </si>
  <si>
    <t>17 ↑ +0.95%</t>
  </si>
  <si>
    <t>108 ↑ +0.77%</t>
  </si>
  <si>
    <t>112 ↑ +0.65%</t>
  </si>
  <si>
    <t>149 ↑ +1.90%</t>
  </si>
  <si>
    <t>22 ↑ +0.42%</t>
  </si>
  <si>
    <t>120 ↑ +0.66%</t>
  </si>
  <si>
    <t>104 ↑ +0.93%</t>
  </si>
  <si>
    <t>140 ↑ +0.90%</t>
  </si>
  <si>
    <t>24 ↓ -0.04%</t>
  </si>
  <si>
    <t>98 ↓ -0.15%</t>
  </si>
  <si>
    <t>131 ↑ +0.87%</t>
  </si>
  <si>
    <t>26 ↑ +0.43%</t>
  </si>
  <si>
    <t>120 ↑ +0.60%</t>
  </si>
  <si>
    <t>109 ↑ +0.64%</t>
  </si>
  <si>
    <t>131 ↑ +0.76%</t>
  </si>
  <si>
    <t>31 ↓ -1.80%</t>
  </si>
  <si>
    <t>127 ↓ -1.89%</t>
  </si>
  <si>
    <t>99 ↓ -1.82%</t>
  </si>
  <si>
    <t>128 ↓ -1.03%</t>
  </si>
  <si>
    <t>20 ↓ -1.59%</t>
  </si>
  <si>
    <t>113 ↓ -2.50%</t>
  </si>
  <si>
    <t>111 ↓ -3.13%</t>
  </si>
  <si>
    <t>141 ↓ -3.78%</t>
  </si>
  <si>
    <t>12 ↓ -0.56%</t>
  </si>
  <si>
    <t>80 ↓ -0.42%</t>
  </si>
  <si>
    <t>114 ↓ -0.79%</t>
  </si>
  <si>
    <t>179 ↓ -1.58%</t>
  </si>
  <si>
    <t>13 ↑ +0.56%</t>
  </si>
  <si>
    <t>65 ↑ +0.29%</t>
  </si>
  <si>
    <t>121 ↑ +0.22%</t>
  </si>
  <si>
    <t>186 ↑ +0.09%</t>
  </si>
  <si>
    <t>14 ↑ +0.83%</t>
  </si>
  <si>
    <t>70 ↑ +0.69%</t>
  </si>
  <si>
    <t>114 ↑ +0.88%</t>
  </si>
  <si>
    <t>187 ↑ +1.90%</t>
  </si>
  <si>
    <t>16 ↑ +0.14%</t>
  </si>
  <si>
    <t>79 ↑ +0.62%</t>
  </si>
  <si>
    <t>114 ↑ +0.63%</t>
  </si>
  <si>
    <t>176 ↓ -0.44%</t>
  </si>
  <si>
    <t>18 ↓ -0.14%</t>
  </si>
  <si>
    <t>86 ↑ +0.55%</t>
  </si>
  <si>
    <t>108 ↑ +0.99%</t>
  </si>
  <si>
    <t>173 ↑ +1.62%</t>
  </si>
  <si>
    <t>18 ↑ +0.23%</t>
  </si>
  <si>
    <t>104 ↑ +0.09%</t>
  </si>
  <si>
    <t>99 ↑ +0.18%</t>
  </si>
  <si>
    <t>163 ↑ +0.06%</t>
  </si>
  <si>
    <t>1 ↓ -2.88%</t>
  </si>
  <si>
    <t>19 ↓ -0.49%</t>
  </si>
  <si>
    <t>107 ↓ -0.66%</t>
  </si>
  <si>
    <t>107 ↓ -1.24%</t>
  </si>
  <si>
    <t>150 ↓ -1.78%</t>
  </si>
  <si>
    <t>16 ↓ -0.01%</t>
  </si>
  <si>
    <t>97 ↑ +0.03%</t>
  </si>
  <si>
    <t>98 ↑ +0.45%</t>
  </si>
  <si>
    <t>174 ↑ +0.66%</t>
  </si>
  <si>
    <t>17 ↓ -0.91%</t>
  </si>
  <si>
    <t>96 ↓ -1.26%</t>
  </si>
  <si>
    <t>101 ↓ -1.60%</t>
  </si>
  <si>
    <t>171 ↓ -1.93%</t>
  </si>
  <si>
    <t>15 ↓ -0.08%</t>
  </si>
  <si>
    <t>76 ↓ -0.02%</t>
  </si>
  <si>
    <t>106 ↓ -0.12%</t>
  </si>
  <si>
    <t>187 ↑ +0.88%</t>
  </si>
  <si>
    <t>14 ↓ -0.46%</t>
  </si>
  <si>
    <t>79 ↓ -0.37%</t>
  </si>
  <si>
    <t>102 ↓ -0.64%</t>
  </si>
  <si>
    <t>187 ↓ -0.53%</t>
  </si>
  <si>
    <t>12 ↓ -0.03%</t>
  </si>
  <si>
    <t>76 ↓ -0.07%</t>
  </si>
  <si>
    <t>100 ↓ -0.41%</t>
  </si>
  <si>
    <t>193 ↓ -1.07%</t>
  </si>
  <si>
    <t>14 ↑ +0.77%</t>
  </si>
  <si>
    <t>73 ↑ +0.55%</t>
  </si>
  <si>
    <t>97 ↑ +0.43%</t>
  </si>
  <si>
    <t>196 ↓ -0.53%</t>
  </si>
  <si>
    <t>15 ↓ -0.57%</t>
  </si>
  <si>
    <t>75 ↑ +0.09%</t>
  </si>
  <si>
    <t>102 ↑ +0.06%</t>
  </si>
  <si>
    <t>186 ↓ -0.20%</t>
  </si>
  <si>
    <t>17 ↑ +0.28%</t>
  </si>
  <si>
    <t>76 ↑ +0.67%</t>
  </si>
  <si>
    <t>92 ↑ +0.66%</t>
  </si>
  <si>
    <t>193 ↑ +1.67%</t>
  </si>
  <si>
    <t>1 ↓ -2.20%</t>
  </si>
  <si>
    <t>17 ↓ -1.57%</t>
  </si>
  <si>
    <t>80 ↓ -1.54%</t>
  </si>
  <si>
    <t>96 ↓ -1.12%</t>
  </si>
  <si>
    <t>183 ↓ -0.31%</t>
  </si>
  <si>
    <t>10 ↓ -0.58%</t>
  </si>
  <si>
    <t>72 ↓ -0.50%</t>
  </si>
  <si>
    <t>106 ↓ -0.51%</t>
  </si>
  <si>
    <t>189 ↓ -0.90%</t>
  </si>
  <si>
    <t>70 ↑ +0.16%</t>
  </si>
  <si>
    <t>102 ↑ +0.25%</t>
  </si>
  <si>
    <t>196 ↑ +1.65%</t>
  </si>
  <si>
    <t>10 ↑ +0.76%</t>
  </si>
  <si>
    <t>69 ↑ +0.06%</t>
  </si>
  <si>
    <t>108 ↓ -0.15%</t>
  </si>
  <si>
    <t>190 ↓ -1.41%</t>
  </si>
  <si>
    <t>12 ↓ -0.18%</t>
  </si>
  <si>
    <t>64 ↑ +0.29%</t>
  </si>
  <si>
    <t>104 ↑ +0.53%</t>
  </si>
  <si>
    <t>198 ↑ +0.58%</t>
  </si>
  <si>
    <t>12 ↑ +0.23%</t>
  </si>
  <si>
    <t>69 ↑ +0.23%</t>
  </si>
  <si>
    <t>107 ↓ -0.17%</t>
  </si>
  <si>
    <t>190 ↓ -1.25%</t>
  </si>
  <si>
    <t>12 ↑ +0.80%</t>
  </si>
  <si>
    <t>71 ↑ +0.47%</t>
  </si>
  <si>
    <t>99 ↑ +0.66%</t>
  </si>
  <si>
    <t>196 ↑ +0.52%</t>
  </si>
  <si>
    <t>78 ↑ +0.01%</t>
  </si>
  <si>
    <t>91 ↓ -0.46%</t>
  </si>
  <si>
    <t>191 ↓ -1.63%</t>
  </si>
  <si>
    <t>17 ↑ +0.70%</t>
  </si>
  <si>
    <t>72 ↑ +0.89%</t>
  </si>
  <si>
    <t>91 ↑ +1.17%</t>
  </si>
  <si>
    <t>194 ↑ +0.55%</t>
  </si>
  <si>
    <t>2 ↑ +0.55%</t>
  </si>
  <si>
    <t>22 ↑ +0.40%</t>
  </si>
  <si>
    <t>84 ↑ +0.53%</t>
  </si>
  <si>
    <t>90 ↑ +0.64%</t>
  </si>
  <si>
    <t>178 ↑ +1.23%</t>
  </si>
  <si>
    <t>26 ↑ +0.14%</t>
  </si>
  <si>
    <t>89 ↑ +0.17%</t>
  </si>
  <si>
    <t>86 ↑ +0.34%</t>
  </si>
  <si>
    <t>174 ↑ +0.63%</t>
  </si>
  <si>
    <t>27 ↓ -0.21%</t>
  </si>
  <si>
    <t>88 ↑ +0.02%</t>
  </si>
  <si>
    <t>91 ↓ -0.08%</t>
  </si>
  <si>
    <t>168 ↓ -0.44%</t>
  </si>
  <si>
    <t>2 ↑ +0.08%</t>
  </si>
  <si>
    <t>28 ↓ -0.23%</t>
  </si>
  <si>
    <t>86 ↑ +0.00%</t>
  </si>
  <si>
    <t>87 ↓ -0.01%</t>
  </si>
  <si>
    <t>174 ↑ +0.27%</t>
  </si>
  <si>
    <t>2 ↑ +0.67%</t>
  </si>
  <si>
    <t>93 ↑ +0.18%</t>
  </si>
  <si>
    <t>170 ↓ -0.57%</t>
  </si>
  <si>
    <t>30 ↓ -0.16%</t>
  </si>
  <si>
    <t>89 ↓ -0.21%</t>
  </si>
  <si>
    <t>83 ↓ -0.35%</t>
  </si>
  <si>
    <t>173 ↓ -0.94%</t>
  </si>
  <si>
    <t>2 ↑ +0.62%</t>
  </si>
  <si>
    <t>26 ↑ +0.26%</t>
  </si>
  <si>
    <t>89 ↑ +0.36%</t>
  </si>
  <si>
    <t>88 ↑ +0.13%</t>
  </si>
  <si>
    <t>173 ↑ +1.05%</t>
  </si>
  <si>
    <t>29 ↑ +0.08%</t>
  </si>
  <si>
    <t>90 ↑ +0.28%</t>
  </si>
  <si>
    <t>83 ↑ +0.32%</t>
  </si>
  <si>
    <t>171 ↑ +1.11%</t>
  </si>
  <si>
    <t>29 ↑ +0.51%</t>
  </si>
  <si>
    <t>92 ↑ +0.59%</t>
  </si>
  <si>
    <t>89 ↑ +0.67%</t>
  </si>
  <si>
    <t>164 ↑ +1.00%</t>
  </si>
  <si>
    <t>3 ↓ -0.19%</t>
  </si>
  <si>
    <t>33 ↓ -0.18%</t>
  </si>
  <si>
    <t>99 ↓ -0.36%</t>
  </si>
  <si>
    <t>85 ↓ -0.57%</t>
  </si>
  <si>
    <t>155 ↓ -1.32%</t>
  </si>
  <si>
    <t>3 ↑ +0.05%</t>
  </si>
  <si>
    <t>34 ↑ +0.09%</t>
  </si>
  <si>
    <t>87 ↑ +0.00%</t>
  </si>
  <si>
    <t>90 ↓ -0.14%</t>
  </si>
  <si>
    <t>35 ↑ +0.37%</t>
  </si>
  <si>
    <t>85 ↑ +0.38%</t>
  </si>
  <si>
    <t>83 ↑ +0.57%</t>
  </si>
  <si>
    <t>170 ↑ +0.35%</t>
  </si>
  <si>
    <t>3 ↑ +0.24%</t>
  </si>
  <si>
    <t>87 ↑ +0.13%</t>
  </si>
  <si>
    <t>81 ↓ -0.01%</t>
  </si>
  <si>
    <t>167 ↓ -0.05%</t>
  </si>
  <si>
    <t>4 ↓ -0.33%</t>
  </si>
  <si>
    <t>40 ↓ -0.18%</t>
  </si>
  <si>
    <t>88 ↓ -0.35%</t>
  </si>
  <si>
    <t>167 ↓ -0.49%</t>
  </si>
  <si>
    <t>3 ↓ -0.10%</t>
  </si>
  <si>
    <t>86 ↑ +0.17%</t>
  </si>
  <si>
    <t>82 ↑ +0.17%</t>
  </si>
  <si>
    <t>167 ↑ +0.66%</t>
  </si>
  <si>
    <t>43 ↑ +0.17%</t>
  </si>
  <si>
    <t>85 ↑ +0.25%</t>
  </si>
  <si>
    <t>78 ↑ +0.66%</t>
  </si>
  <si>
    <t>167 ↑ +1.05%</t>
  </si>
  <si>
    <t>4 ↑ +0.57%</t>
  </si>
  <si>
    <t>41 ↑ +0.47%</t>
  </si>
  <si>
    <t>90 ↑ +0.73%</t>
  </si>
  <si>
    <t>81 ↑ +0.86%</t>
  </si>
  <si>
    <t>46 ↑ +0.39%</t>
  </si>
  <si>
    <t>93 ↑ +0.69%</t>
  </si>
  <si>
    <t>75 ↑ +1.11%</t>
  </si>
  <si>
    <t>157 ↑ +1.76%</t>
  </si>
  <si>
    <t>5 ↓ -0.83%</t>
  </si>
  <si>
    <t>50 ↓ -1.19%</t>
  </si>
  <si>
    <t>102 ↓ -1.73%</t>
  </si>
  <si>
    <t>69 ↓ -2.42%</t>
  </si>
  <si>
    <t>149 ↓ -3.57%</t>
  </si>
  <si>
    <t>4 ↓ -0.73%</t>
  </si>
  <si>
    <t>41 ↓ -0.89%</t>
  </si>
  <si>
    <t>86 ↓ -1.23%</t>
  </si>
  <si>
    <t>83 ↓ -1.50%</t>
  </si>
  <si>
    <t>159 ↓ -1.96%</t>
  </si>
  <si>
    <t>75 ↑ +0.15%</t>
  </si>
  <si>
    <t>86 ↑ +0.32%</t>
  </si>
  <si>
    <t>173 ↑ +0.55%</t>
  </si>
  <si>
    <t>38 ↑ +0.01%</t>
  </si>
  <si>
    <t>83 ↓ -0.03%</t>
  </si>
  <si>
    <t>172 ↑ +0.05%</t>
  </si>
  <si>
    <t>38 ↑ +0.36%</t>
  </si>
  <si>
    <t>81 ↑ +0.46%</t>
  </si>
  <si>
    <t>76 ↑ +0.75%</t>
  </si>
  <si>
    <t>174 ↑ +0.76%</t>
  </si>
  <si>
    <t>4 ↑ +0.19%</t>
  </si>
  <si>
    <t>88 ↑ +0.41%</t>
  </si>
  <si>
    <t>169 ↑ +0.62%</t>
  </si>
  <si>
    <t>4 ↓ -0.29%</t>
  </si>
  <si>
    <t>74 ↓ -0.03%</t>
  </si>
  <si>
    <t>170 ↑ +1.58%</t>
  </si>
  <si>
    <t>43 ↓ -0.06%</t>
  </si>
  <si>
    <t>85 ↑ +0.01%</t>
  </si>
  <si>
    <t>78 ↑ +0.12%</t>
  </si>
  <si>
    <t>164 ↑ +0.34%</t>
  </si>
  <si>
    <t>3 ↑ +0.47%</t>
  </si>
  <si>
    <t>43 ↑ +0.20%</t>
  </si>
  <si>
    <t>80 ↑ +0.15%</t>
  </si>
  <si>
    <t>4 ↓ -0.08%</t>
  </si>
  <si>
    <t>42 ↑ +0.13%</t>
  </si>
  <si>
    <t>89 ↑ +0.16%</t>
  </si>
  <si>
    <t>75 ↑ +0.04%</t>
  </si>
  <si>
    <t>161 ↑ +0.22%</t>
  </si>
  <si>
    <t>44 ↑ +0.14%</t>
  </si>
  <si>
    <t>89 ↑ +0.20%</t>
  </si>
  <si>
    <t>73 ↑ +0.25%</t>
  </si>
  <si>
    <t>160 ↓ -0.09%</t>
  </si>
  <si>
    <t>4 ↑ +0.27%</t>
  </si>
  <si>
    <t>91 ↑ +0.41%</t>
  </si>
  <si>
    <t>71 ↑ +0.64%</t>
  </si>
  <si>
    <t>158 ↑ +2.33%</t>
  </si>
  <si>
    <t>4 ↑ +0.67%</t>
  </si>
  <si>
    <t>48 ↑ +0.68%</t>
  </si>
  <si>
    <t>96 ↑ +0.85%</t>
  </si>
  <si>
    <t>73 ↑ +0.83%</t>
  </si>
  <si>
    <t>148 ↑ +1.56%</t>
  </si>
  <si>
    <t>54 ↓ -0.29%</t>
  </si>
  <si>
    <t>94 ↓ -0.22%</t>
  </si>
  <si>
    <t>74 ↓ -0.55%</t>
  </si>
  <si>
    <t>143 ↑ +0.26%</t>
  </si>
  <si>
    <t>5 ↑ +0.65%</t>
  </si>
  <si>
    <t>51 ↑ +0.20%</t>
  </si>
  <si>
    <t>94 ↑ +0.19%</t>
  </si>
  <si>
    <t>67 ↑ +0.36%</t>
  </si>
  <si>
    <t>153 ↑ +1.38%</t>
  </si>
  <si>
    <t>5 ↓ -0.78%</t>
  </si>
  <si>
    <t>54 ↓ -0.47%</t>
  </si>
  <si>
    <t>91 ↓ -0.85%</t>
  </si>
  <si>
    <t>74 ↓ -0.87%</t>
  </si>
  <si>
    <t>146 ↓ -0.81%</t>
  </si>
  <si>
    <t>5 ↑ +0.93%</t>
  </si>
  <si>
    <t>48 ↑ +0.44%</t>
  </si>
  <si>
    <t>91 ↑ +0.83%</t>
  </si>
  <si>
    <t>70 ↑ +0.34%</t>
  </si>
  <si>
    <t>156 ↑ +0.42%</t>
  </si>
  <si>
    <t>90 ↑ +0.33%</t>
  </si>
  <si>
    <t>68 ↑ +0.61%</t>
  </si>
  <si>
    <t>150 ↑ +1.60%</t>
  </si>
  <si>
    <t>5 ↑ +0.97%</t>
  </si>
  <si>
    <t>58 ↑ +0.66%</t>
  </si>
  <si>
    <t>96 ↑ +1.01%</t>
  </si>
  <si>
    <t>143 ↑ +1.25%</t>
  </si>
  <si>
    <t>62 ↑ +0.32%</t>
  </si>
  <si>
    <t>101 ↑ +0.28%</t>
  </si>
  <si>
    <t>66 ↑ +0.52%</t>
  </si>
  <si>
    <t>136 ↑ +0.18%</t>
  </si>
  <si>
    <t>64 ↑ +0.37%</t>
  </si>
  <si>
    <t>100 ↑ +0.51%</t>
  </si>
  <si>
    <t>61 ↑ +0.43%</t>
  </si>
  <si>
    <t>139 ↑ +1.66%</t>
  </si>
  <si>
    <t>7 ↑ +0.20%</t>
  </si>
  <si>
    <t>67 ↑ +0.35%</t>
  </si>
  <si>
    <t>102 ↑ +0.39%</t>
  </si>
  <si>
    <t>137 ↑ +1.15%</t>
  </si>
  <si>
    <t>72 ↓ -0.10%</t>
  </si>
  <si>
    <t>98 ↓ -0.06%</t>
  </si>
  <si>
    <t>57 ↓ -0.01%</t>
  </si>
  <si>
    <t>135 ↓ -1.27%</t>
  </si>
  <si>
    <t>76 ↑ +0.26%</t>
  </si>
  <si>
    <t>96 ↑ +0.50%</t>
  </si>
  <si>
    <t>59 ↑ +1.29%</t>
  </si>
  <si>
    <t>134 ↑ +2.59%</t>
  </si>
  <si>
    <t>9 ↑ +0.15%</t>
  </si>
  <si>
    <t>80 ↑ +0.41%</t>
  </si>
  <si>
    <t>104 ↑ +0.50%</t>
  </si>
  <si>
    <t>130 ↑ +0.03%</t>
  </si>
  <si>
    <t>10 ↓ -0.39%</t>
  </si>
  <si>
    <t>89 ↓ -0.15%</t>
  </si>
  <si>
    <t>98 ↓ -0.32%</t>
  </si>
  <si>
    <t>50 ↑ +0.22%</t>
  </si>
  <si>
    <t>125 ↓ -0.89%</t>
  </si>
  <si>
    <t>97 ↑ +0.74%</t>
  </si>
  <si>
    <t>55 ↑ +1.32%</t>
  </si>
  <si>
    <t>125 ↑ +2.12%</t>
  </si>
  <si>
    <t>9 ↓ -1.48%</t>
  </si>
  <si>
    <t>94 ↑ +0.14%</t>
  </si>
  <si>
    <t>48 ↓ -0.24%</t>
  </si>
  <si>
    <t>119 ↑ +1.59%</t>
  </si>
  <si>
    <t>9 ↓ -0.25%</t>
  </si>
  <si>
    <t>96 ↓ -0.44%</t>
  </si>
  <si>
    <t>102 ↓ -0.25%</t>
  </si>
  <si>
    <t>48 ↓ -0.95%</t>
  </si>
  <si>
    <t>117 ↓ -1.61%</t>
  </si>
  <si>
    <t>95 ↓ -0.51%</t>
  </si>
  <si>
    <t>97 ↓ -0.84%</t>
  </si>
  <si>
    <t>49 ↓ -0.69%</t>
  </si>
  <si>
    <t>120 ↑ +0.25%</t>
  </si>
  <si>
    <t>1 ↑ +0.34%</t>
  </si>
  <si>
    <t>87 ↑ +0.04%</t>
  </si>
  <si>
    <t>61 ↑ +0.42%</t>
  </si>
  <si>
    <t>122 ↑ +0.86%</t>
  </si>
  <si>
    <t>7 ↑ +0.30%</t>
  </si>
  <si>
    <t>90 ↓ -0.04%</t>
  </si>
  <si>
    <t>98 ↑ +0.02%</t>
  </si>
  <si>
    <t>56 ↑ +0.87%</t>
  </si>
  <si>
    <t>120 ↑ +1.93%</t>
  </si>
  <si>
    <t>2 ↓ -0.09%</t>
  </si>
  <si>
    <t>88 ↓ -0.13%</t>
  </si>
  <si>
    <t>101 ↓ -0.10%</t>
  </si>
  <si>
    <t>61 ↓ -0.39%</t>
  </si>
  <si>
    <t>112 ↓ -1.15%</t>
  </si>
  <si>
    <t>7 ↑ +0.11%</t>
  </si>
  <si>
    <t>86 ↓ -0.02%</t>
  </si>
  <si>
    <t>106 ↓ -0.13%</t>
  </si>
  <si>
    <t>58 ↓ -0.23%</t>
  </si>
  <si>
    <t>113 ↑ +0.11%</t>
  </si>
  <si>
    <t>104 ↓ -0.13%</t>
  </si>
  <si>
    <t>59 ↑ +0.22%</t>
  </si>
  <si>
    <t>115 ↑ +0.88%</t>
  </si>
  <si>
    <t>84 ↑ +0.17%</t>
  </si>
  <si>
    <t>106 ↑ +0.42%</t>
  </si>
  <si>
    <t>62 ↑ +0.92%</t>
  </si>
  <si>
    <t>112 ↑ +1.69%</t>
  </si>
  <si>
    <t>2 ↓ -0.54%</t>
  </si>
  <si>
    <t>8 ↑ +0.19%</t>
  </si>
  <si>
    <t>103 ↑ +0.17%</t>
  </si>
  <si>
    <t>61 ↑ +0.56%</t>
  </si>
  <si>
    <t>110 ↑ +2.07%</t>
  </si>
  <si>
    <t>1 ↓ -0.67%</t>
  </si>
  <si>
    <t>10 ↓ -0.50%</t>
  </si>
  <si>
    <t>90 ↓ -0.05%</t>
  </si>
  <si>
    <t>103 ↑ +0.04%</t>
  </si>
  <si>
    <t>58 ↑ +0.35%</t>
  </si>
  <si>
    <t>110 ↑ +0.74%</t>
  </si>
  <si>
    <t>90 ↑ +0.06%</t>
  </si>
  <si>
    <t>108 ↑ +0.17%</t>
  </si>
  <si>
    <t>60 ↑ +0.67%</t>
  </si>
  <si>
    <t>105 ↑ +1.68%</t>
  </si>
  <si>
    <t>1 ↓ -1.13%</t>
  </si>
  <si>
    <t>92 ↓ -0.58%</t>
  </si>
  <si>
    <t>119 ↓ -0.47%</t>
  </si>
  <si>
    <t>51 ↓ -0.45%</t>
  </si>
  <si>
    <t>102 ↑ +0.59%</t>
  </si>
  <si>
    <t>9 ↓ -0.51%</t>
  </si>
  <si>
    <t>87 ↓ -0.76%</t>
  </si>
  <si>
    <t>113 ↓ -1.07%</t>
  </si>
  <si>
    <t>59 ↓ -1.70%</t>
  </si>
  <si>
    <t>105 ↓ -3.14%</t>
  </si>
  <si>
    <t>9 ↓ -0.15%</t>
  </si>
  <si>
    <t>76 ↓ -0.19%</t>
  </si>
  <si>
    <t>106 ↓ -0.14%</t>
  </si>
  <si>
    <t>73 ↑ +0.15%</t>
  </si>
  <si>
    <t>113 ↑ +0.60%</t>
  </si>
  <si>
    <t>66 ↑ +0.78%</t>
  </si>
  <si>
    <t>113 ↑ +0.05%</t>
  </si>
  <si>
    <t>9 ↑ +0.60%</t>
  </si>
  <si>
    <t>87 ↑ +0.45%</t>
  </si>
  <si>
    <t>108 ↑ +0.84%</t>
  </si>
  <si>
    <t>58 ↑ +1.73%</t>
  </si>
  <si>
    <t>111 ↑ +3.14%</t>
  </si>
  <si>
    <t>93 ↓ -0.34%</t>
  </si>
  <si>
    <t>117 ↓ -1.29%</t>
  </si>
  <si>
    <t>47 ↓ -1.73%</t>
  </si>
  <si>
    <t>106 ↓ -3.82%</t>
  </si>
  <si>
    <t>10 ↑ +0.34%</t>
  </si>
  <si>
    <t>88 ↑ +0.17%</t>
  </si>
  <si>
    <t>99 ↑ +0.24%</t>
  </si>
  <si>
    <t>63 ↑ +0.38%</t>
  </si>
  <si>
    <t>113 ↑ +0.54%</t>
  </si>
  <si>
    <t>10 ↓ -1.09%</t>
  </si>
  <si>
    <t>88 ↓ -0.99%</t>
  </si>
  <si>
    <t>101 ↓ -1.61%</t>
  </si>
  <si>
    <t>61 ↓ -2.23%</t>
  </si>
  <si>
    <t>113 ↓ -3.82%</t>
  </si>
  <si>
    <t>98 ↓ -0.38%</t>
  </si>
  <si>
    <t>64 ↓ -0.84%</t>
  </si>
  <si>
    <t>127 ↓ -1.37%</t>
  </si>
  <si>
    <t>9 ↑ +1.26%</t>
  </si>
  <si>
    <t>95 ↑ +1.07%</t>
  </si>
  <si>
    <t>64 ↑ +1.09%</t>
  </si>
  <si>
    <t>132 ↑ +0.27%</t>
  </si>
  <si>
    <t>80 ↓ -0.14%</t>
  </si>
  <si>
    <t>92 ↓ -0.25%</t>
  </si>
  <si>
    <t>69 ↑ +0.12%</t>
  </si>
  <si>
    <t>122 ↑ +1.51%</t>
  </si>
  <si>
    <t>2 ↓ -1.13%</t>
  </si>
  <si>
    <t>6 ↓ -0.99%</t>
  </si>
  <si>
    <t>80 ↓ -0.52%</t>
  </si>
  <si>
    <t>97 ↓ -0.33%</t>
  </si>
  <si>
    <t>62 ↓ -0.63%</t>
  </si>
  <si>
    <t>126 ↓ -0.61%</t>
  </si>
  <si>
    <t>7 ↓ -1.35%</t>
  </si>
  <si>
    <t>78 ↓ -1.06%</t>
  </si>
  <si>
    <t>95 ↓ -1.34%</t>
  </si>
  <si>
    <t>60 ↓ -1.33%</t>
  </si>
  <si>
    <t>132 ↓ -3.32%</t>
  </si>
  <si>
    <t>65 ↓ -0.44%</t>
  </si>
  <si>
    <t>99 ↓ -0.58%</t>
  </si>
  <si>
    <t>63 ↓ -0.15%</t>
  </si>
  <si>
    <t>140 ↑ +0.87%</t>
  </si>
  <si>
    <t>5 ↓ -1.93%</t>
  </si>
  <si>
    <t>61 ↓ -1.35%</t>
  </si>
  <si>
    <t>98 ↓ -1.19%</t>
  </si>
  <si>
    <t>68 ↓ -1.09%</t>
  </si>
  <si>
    <t>141 ↑ +0.40%</t>
  </si>
  <si>
    <t>5 ↓ -0.06%</t>
  </si>
  <si>
    <t>49 ↑ +0.19%</t>
  </si>
  <si>
    <t>97 ↑ +0.24%</t>
  </si>
  <si>
    <t>146 ↑ +0.71%</t>
  </si>
  <si>
    <t>5 ↓ -0.71%</t>
  </si>
  <si>
    <t>52 ↓ -0.44%</t>
  </si>
  <si>
    <t>97 ↓ -0.51%</t>
  </si>
  <si>
    <t>75 ↓ -0.64%</t>
  </si>
  <si>
    <t>5 ↓ -0.82%</t>
  </si>
  <si>
    <t>47 ↓ -0.01%</t>
  </si>
  <si>
    <t>96 ↓ -0.07%</t>
  </si>
  <si>
    <t>76 ↓ -0.25%</t>
  </si>
  <si>
    <t>149 ↓ -0.03%</t>
  </si>
  <si>
    <t>5 ↑ +1.84%</t>
  </si>
  <si>
    <t>48 ↑ +0.50%</t>
  </si>
  <si>
    <t>77 ↑ +0.47%</t>
  </si>
  <si>
    <t>150 ↑ +0.28%</t>
  </si>
  <si>
    <t>5 ↑ +0.87%</t>
  </si>
  <si>
    <t>54 ↑ +0.60%</t>
  </si>
  <si>
    <t>90 ↑ +0.59%</t>
  </si>
  <si>
    <t>75 ↑ +0.91%</t>
  </si>
  <si>
    <t>149 ↑ +1.86%</t>
  </si>
  <si>
    <t>60 ↑ +0.51%</t>
  </si>
  <si>
    <t>96 ↑ +0.64%</t>
  </si>
  <si>
    <t>69 ↑ +0.65%</t>
  </si>
  <si>
    <t>144 ↑ +0.88%</t>
  </si>
  <si>
    <t>5 ↑ +0.78%</t>
  </si>
  <si>
    <t>63 ↑ +0.39%</t>
  </si>
  <si>
    <t>99 ↑ +0.25%</t>
  </si>
  <si>
    <t>64 ↑ +0.35%</t>
  </si>
  <si>
    <t>143 ↓ -0.64%</t>
  </si>
  <si>
    <t>1 ↑ +1.50%</t>
  </si>
  <si>
    <t>5 ↑ +1.05%</t>
  </si>
  <si>
    <t>96 ↑ +0.83%</t>
  </si>
  <si>
    <t>65 ↑ +0.89%</t>
  </si>
  <si>
    <t>140 ↑ +2.77%</t>
  </si>
  <si>
    <t>1 ↑ +1.59%</t>
  </si>
  <si>
    <t>7 ↑ +0.73%</t>
  </si>
  <si>
    <t>76 ↑ +0.23%</t>
  </si>
  <si>
    <t>98 ↑ +0.32%</t>
  </si>
  <si>
    <t>65 ↓ -0.18%</t>
  </si>
  <si>
    <t>2 ↑ +0.38%</t>
  </si>
  <si>
    <t>7 ↑ +0.09%</t>
  </si>
  <si>
    <t>98 ↑ +0.13%</t>
  </si>
  <si>
    <t>53 ↓ -0.27%</t>
  </si>
  <si>
    <t>134 ↓ -0.34%</t>
  </si>
  <si>
    <t>2 ↑ +0.72%</t>
  </si>
  <si>
    <t>81 ↑ +0.04%</t>
  </si>
  <si>
    <t>99 ↑ +0.19%</t>
  </si>
  <si>
    <t>53 ↑ +0.57%</t>
  </si>
  <si>
    <t>133 ↑ +1.68%</t>
  </si>
  <si>
    <t>83 ↓ -0.06%</t>
  </si>
  <si>
    <t>100 ↓ -0.26%</t>
  </si>
  <si>
    <t>54 ↑ +0.12%</t>
  </si>
  <si>
    <t>127 ↑ +0.80%</t>
  </si>
  <si>
    <t>2 ↑ +0.07%</t>
  </si>
  <si>
    <t>82 ↓ -0.01%</t>
  </si>
  <si>
    <t>95 ↓ -0.06%</t>
  </si>
  <si>
    <t>80 ↑ +0.37%</t>
  </si>
  <si>
    <t>96 ↑ +0.44%</t>
  </si>
  <si>
    <t>130 ↑ +1.26%</t>
  </si>
  <si>
    <t>10 ↑ +0.15%</t>
  </si>
  <si>
    <t>82 ↑ +0.12%</t>
  </si>
  <si>
    <t>97 ↑ +0.45%</t>
  </si>
  <si>
    <t>56 ↑ +0.80%</t>
  </si>
  <si>
    <t>127 ↑ +1.31%</t>
  </si>
  <si>
    <t>91 ↑ +0.42%</t>
  </si>
  <si>
    <t>97 ↑ +0.94%</t>
  </si>
  <si>
    <t>50 ↑ +1.58%</t>
  </si>
  <si>
    <t>124 ↑ +2.93%</t>
  </si>
  <si>
    <t>103 ↓ -0.28%</t>
  </si>
  <si>
    <t>96 ↓ -0.60%</t>
  </si>
  <si>
    <t>44 ↓ -0.33%</t>
  </si>
  <si>
    <t>118 ↓ -0.19%</t>
  </si>
  <si>
    <t>1 ↑ +2.96%</t>
  </si>
  <si>
    <t>10 ↑ +0.51%</t>
  </si>
  <si>
    <t>95 ↓ -0.20%</t>
  </si>
  <si>
    <t>95 ↓ -0.39%</t>
  </si>
  <si>
    <t>51 ↓ -0.38%</t>
  </si>
  <si>
    <t>120 ↑ +0.83%</t>
  </si>
  <si>
    <t>2 ↑ +1.43%</t>
  </si>
  <si>
    <t>94 ↑ +0.55%</t>
  </si>
  <si>
    <t>96 ↑ +0.55%</t>
  </si>
  <si>
    <t>54 ↓ -0.18%</t>
  </si>
  <si>
    <t>116 ↓ -0.14%</t>
  </si>
  <si>
    <t>2 ↑ +0.36%</t>
  </si>
  <si>
    <t>100 ↓ -0.68%</t>
  </si>
  <si>
    <t>90 ↓ -1.18%</t>
  </si>
  <si>
    <t>49 ↓ -1.96%</t>
  </si>
  <si>
    <t>121 ↓ -2.51%</t>
  </si>
  <si>
    <t>2 ↑ +1.14%</t>
  </si>
  <si>
    <t>10 ↑ +0.30%</t>
  </si>
  <si>
    <t>88 ↑ +0.33%</t>
  </si>
  <si>
    <t>92 ↑ +0.19%</t>
  </si>
  <si>
    <t>128 ↓ -0.48%</t>
  </si>
  <si>
    <t>11 ↑ +0.26%</t>
  </si>
  <si>
    <t>90 ↑ +0.13%</t>
  </si>
  <si>
    <t>53 ↑ +0.42%</t>
  </si>
  <si>
    <t>127 ↑ +0.39%</t>
  </si>
  <si>
    <t>11 ↑ +0.55%</t>
  </si>
  <si>
    <t>88 ↑ +0.05%</t>
  </si>
  <si>
    <t>95 ↑ +0.08%</t>
  </si>
  <si>
    <t>52 ↑ +0.09%</t>
  </si>
  <si>
    <t>126 ↑ +1.02%</t>
  </si>
  <si>
    <t>2 ↑ +0.17%</t>
  </si>
  <si>
    <t>92 ↑ +0.16%</t>
  </si>
  <si>
    <t>49 ↑ +0.27%</t>
  </si>
  <si>
    <t>131 ↑ +1.69%</t>
  </si>
  <si>
    <t>11 ↓ -0.09%</t>
  </si>
  <si>
    <t>91 ↑ +0.07%</t>
  </si>
  <si>
    <t>89 ↑ +0.24%</t>
  </si>
  <si>
    <t>11 ↑ +0.19%</t>
  </si>
  <si>
    <t>92 ↑ +0.23%</t>
  </si>
  <si>
    <t>92 ↑ +0.37%</t>
  </si>
  <si>
    <t>54 ↑ +0.24%</t>
  </si>
  <si>
    <t>120 ↓ -0.53%</t>
  </si>
  <si>
    <t>12 ↑ +0.10%</t>
  </si>
  <si>
    <t>86 ↑ +0.20%</t>
  </si>
  <si>
    <t>52 ↑ +0.40%</t>
  </si>
  <si>
    <t>119 ↑ +0.78%</t>
  </si>
  <si>
    <t>2 ↓ -0.01%</t>
  </si>
  <si>
    <t>103 ↓ -0.09%</t>
  </si>
  <si>
    <t>89 ↑ +0.08%</t>
  </si>
  <si>
    <t>49 ↓ -0.26%</t>
  </si>
  <si>
    <t>115 ↓ -0.60%</t>
  </si>
  <si>
    <t>103 ↑ +0.26%</t>
  </si>
  <si>
    <t>46 ↑ +0.99%</t>
  </si>
  <si>
    <t>118 ↑ +3.14%</t>
  </si>
  <si>
    <t>12 ↑ +0.48%</t>
  </si>
  <si>
    <t>109 ↑ +0.12%</t>
  </si>
  <si>
    <t>50 ↓ -0.29%</t>
  </si>
  <si>
    <t>109 ↓ -1.81%</t>
  </si>
  <si>
    <t>3 ↑ +5.74%</t>
  </si>
  <si>
    <t>11 ↑ +0.62%</t>
  </si>
  <si>
    <t>91 ↑ +1.25%</t>
  </si>
  <si>
    <t>40 ↑ +1.09%</t>
  </si>
  <si>
    <t>118 ↑ +2.01%</t>
  </si>
  <si>
    <t>12 ↑ +0.25%</t>
  </si>
  <si>
    <t>126 ↑ +0.34%</t>
  </si>
  <si>
    <t>82 ↑ +0.44%</t>
  </si>
  <si>
    <t>39 ↑ +1.46%</t>
  </si>
  <si>
    <t>109 ↑ +1.02%</t>
  </si>
  <si>
    <t>12 ↑ +0.46%</t>
  </si>
  <si>
    <t>130 ↑ +0.75%</t>
  </si>
  <si>
    <t>82 ↑ +1.16%</t>
  </si>
  <si>
    <t>42 ↑ +2.34%</t>
  </si>
  <si>
    <t>102 ↑ +4.57%</t>
  </si>
  <si>
    <t>16 ↓ -0.55%</t>
  </si>
  <si>
    <t>137 ↓ -0.83%</t>
  </si>
  <si>
    <t>81 ↓ -1.25%</t>
  </si>
  <si>
    <t>38 ↓ -1.20%</t>
  </si>
  <si>
    <t>95 ↓ -1.69%</t>
  </si>
  <si>
    <t>3 ↓ -1.72%</t>
  </si>
  <si>
    <t>12 ↓ -0.55%</t>
  </si>
  <si>
    <t>131 ↓ -0.77%</t>
  </si>
  <si>
    <t>85 ↓ -1.07%</t>
  </si>
  <si>
    <t>38 ↓ -0.77%</t>
  </si>
  <si>
    <t>104 ↓ -2.17%</t>
  </si>
  <si>
    <t>3 ↑ +1.14%</t>
  </si>
  <si>
    <t>122 ↓ -0.85%</t>
  </si>
  <si>
    <t>80 ↓ -1.27%</t>
  </si>
  <si>
    <t>47 ↓ -0.55%</t>
  </si>
  <si>
    <t>108 ↓ -0.09%</t>
  </si>
  <si>
    <t>3 ↑ +0.69%</t>
  </si>
  <si>
    <t>11 ↑ +0.17%</t>
  </si>
  <si>
    <t>108 ↓ -0.06%</t>
  </si>
  <si>
    <t>84 ↓ -0.34%</t>
  </si>
  <si>
    <t>52 ↑ +0.30%</t>
  </si>
  <si>
    <t>112 ↓ -0.19%</t>
  </si>
  <si>
    <t>11 ↑ +0.14%</t>
  </si>
  <si>
    <t>104 ↑ +0.15%</t>
  </si>
  <si>
    <t>91 ↑ +0.54%</t>
  </si>
  <si>
    <t>48 ↑ +0.76%</t>
  </si>
  <si>
    <t>112 ↑ +1.67%</t>
  </si>
  <si>
    <t>45 ↑ +0.84%</t>
  </si>
  <si>
    <t>108 ↑ +3.51%</t>
  </si>
  <si>
    <t>3 ↓ -0.17%</t>
  </si>
  <si>
    <t>11 ↓ -0.20%</t>
  </si>
  <si>
    <t>90 ↓ -0.13%</t>
  </si>
  <si>
    <t>46 ↑ +0.38%</t>
  </si>
  <si>
    <t>102 ↑ +0.23%</t>
  </si>
  <si>
    <t>3 ↓ -0.13%</t>
  </si>
  <si>
    <t>12 ↓ -0.06%</t>
  </si>
  <si>
    <t>119 ↑ +0.00%</t>
  </si>
  <si>
    <t>87 ↑ +0.10%</t>
  </si>
  <si>
    <t>47 ↓ -0.40%</t>
  </si>
  <si>
    <t>101 ↓ -0.56%</t>
  </si>
  <si>
    <t>3 ↑ +0.30%</t>
  </si>
  <si>
    <t>12 ↑ +0.28%</t>
  </si>
  <si>
    <t>117 ↑ +0.26%</t>
  </si>
  <si>
    <t>90 ↑ +0.05%</t>
  </si>
  <si>
    <t>45 ↑ +0.35%</t>
  </si>
  <si>
    <t>102 ↓ -0.06%</t>
  </si>
  <si>
    <t>3 ↓ -1.11%</t>
  </si>
  <si>
    <t>12 ↓ -0.17%</t>
  </si>
  <si>
    <t>86 ↓ -0.45%</t>
  </si>
  <si>
    <t>48 ↓ -0.28%</t>
  </si>
  <si>
    <t>101 ↓ -0.47%</t>
  </si>
  <si>
    <t>3 ↑ +0.10%</t>
  </si>
  <si>
    <t>114 ↓ -0.32%</t>
  </si>
  <si>
    <t>90 ↓ -0.34%</t>
  </si>
  <si>
    <t>45 ↑ +0.39%</t>
  </si>
  <si>
    <t>105 ↑ +0.62%</t>
  </si>
  <si>
    <t>12 ↑ +0.49%</t>
  </si>
  <si>
    <t>111 ↑ +0.46%</t>
  </si>
  <si>
    <t>92 ↑ +0.70%</t>
  </si>
  <si>
    <t>51 ↑ +1.22%</t>
  </si>
  <si>
    <t>100 ↑ +1.91%</t>
  </si>
  <si>
    <t>124 ↑ +0.61%</t>
  </si>
  <si>
    <t>87 ↑ +0.85%</t>
  </si>
  <si>
    <t>45 ↑ +1.28%</t>
  </si>
  <si>
    <t>97 ↑ +2.70%</t>
  </si>
  <si>
    <t>12 ↑ +0.06%</t>
  </si>
  <si>
    <t>82 ↑ +0.46%</t>
  </si>
  <si>
    <t>41 ↑ +0.56%</t>
  </si>
  <si>
    <t>96 ↑ +1.15%</t>
  </si>
  <si>
    <t>3 ↓ -0.40%</t>
  </si>
  <si>
    <t>17 ↑ +0.11%</t>
  </si>
  <si>
    <t>133 ↑ +0.15%</t>
  </si>
  <si>
    <t>85 ↑ +0.32%</t>
  </si>
  <si>
    <t>36 ↑ +0.49%</t>
  </si>
  <si>
    <t>93 ↑ +0.78%</t>
  </si>
  <si>
    <t>15 ↑ +0.13%</t>
  </si>
  <si>
    <t>141 ↑ +0.30%</t>
  </si>
  <si>
    <t>35 ↑ +1.48%</t>
  </si>
  <si>
    <t>91 ↑ +2.61%</t>
  </si>
  <si>
    <t>17 ↓ -0.02%</t>
  </si>
  <si>
    <t>144 ↑ +0.03%</t>
  </si>
  <si>
    <t>85 ↑ +0.08%</t>
  </si>
  <si>
    <t>82 ↑ +0.06%</t>
  </si>
  <si>
    <t>17 ↑ +0.09%</t>
  </si>
  <si>
    <t>142 ↑ +0.28%</t>
  </si>
  <si>
    <t>88 ↑ +0.39%</t>
  </si>
  <si>
    <t>35 ↑ +0.95%</t>
  </si>
  <si>
    <t>82 ↑ +1.48%</t>
  </si>
  <si>
    <t>20 ↓ -0.46%</t>
  </si>
  <si>
    <t>148 ↓ -0.35%</t>
  </si>
  <si>
    <t>83 ↓ -0.50%</t>
  </si>
  <si>
    <t>32 ↓ -0.55%</t>
  </si>
  <si>
    <t>82 ↓ -0.10%</t>
  </si>
  <si>
    <t>3 ↓ -0.52%</t>
  </si>
  <si>
    <t>19 ↓ -0.22%</t>
  </si>
  <si>
    <t>79 ↓ -0.48%</t>
  </si>
  <si>
    <t>35 ↓ -0.45%</t>
  </si>
  <si>
    <t>84 ↓ -0.40%</t>
  </si>
  <si>
    <t>15 ↓ -0.07%</t>
  </si>
  <si>
    <t>138 ↓ -0.08%</t>
  </si>
  <si>
    <t>89 ↑ +0.06%</t>
  </si>
  <si>
    <t>35 ↓ -0.13%</t>
  </si>
  <si>
    <t>85 ↑ +0.64%</t>
  </si>
  <si>
    <t>3 ↓ -0.62%</t>
  </si>
  <si>
    <t>16 ↓ -0.90%</t>
  </si>
  <si>
    <t>140 ↓ -0.61%</t>
  </si>
  <si>
    <t>81 ↓ -0.66%</t>
  </si>
  <si>
    <t>41 ↓ -0.07%</t>
  </si>
  <si>
    <t>83 ↓ -0.08%</t>
  </si>
  <si>
    <t>15 ↑ +0.03%</t>
  </si>
  <si>
    <t>138 ↑ +0.12%</t>
  </si>
  <si>
    <t>83 ↑ +0.20%</t>
  </si>
  <si>
    <t>41 ↑ +0.36%</t>
  </si>
  <si>
    <t>84 ↑ +1.69%</t>
  </si>
  <si>
    <t>13 ↑ +0.50%</t>
  </si>
  <si>
    <t>139 ↑ +0.13%</t>
  </si>
  <si>
    <t>86 ↑ +0.09%</t>
  </si>
  <si>
    <t>42 ↑ +0.46%</t>
  </si>
  <si>
    <t>83 ↑ +0.46%</t>
  </si>
  <si>
    <t>3 ↑ +0.33%</t>
  </si>
  <si>
    <t>14 ↑ +0.28%</t>
  </si>
  <si>
    <t>138 ↑ +0.25%</t>
  </si>
  <si>
    <t>44 ↑ +0.21%</t>
  </si>
  <si>
    <t>79 ↓ -0.01%</t>
  </si>
  <si>
    <t>3 ↑ +0.34%</t>
  </si>
  <si>
    <t>17 ↑ +0.31%</t>
  </si>
  <si>
    <t>141 ↑ +0.42%</t>
  </si>
  <si>
    <t>44 ↑ +0.51%</t>
  </si>
  <si>
    <t>78 ↑ +1.81%</t>
  </si>
  <si>
    <t>20 ↑ +0.63%</t>
  </si>
  <si>
    <t>143 ↑ +0.56%</t>
  </si>
  <si>
    <t>78 ↑ +0.90%</t>
  </si>
  <si>
    <t>46 ↑ +0.47%</t>
  </si>
  <si>
    <t>75 ↑ +1.12%</t>
  </si>
  <si>
    <t>25 ↑ +0.27%</t>
  </si>
  <si>
    <t>146 ↑ +0.38%</t>
  </si>
  <si>
    <t>75 ↑ +0.55%</t>
  </si>
  <si>
    <t>41 ↑ +0.87%</t>
  </si>
  <si>
    <t>74 ↑ +2.11%</t>
  </si>
  <si>
    <t>144 ↑ +0.26%</t>
  </si>
  <si>
    <t>79 ↑ +0.36%</t>
  </si>
  <si>
    <t>38 ↑ +0.65%</t>
  </si>
  <si>
    <t>69 ↑ +1.00%</t>
  </si>
  <si>
    <t>31 ↓ -0.05%</t>
  </si>
  <si>
    <t>142 ↓ -0.24%</t>
  </si>
  <si>
    <t>81 ↓ -0.18%</t>
  </si>
  <si>
    <t>35 ↑ +0.10%</t>
  </si>
  <si>
    <t>69 ↑ +0.29%</t>
  </si>
  <si>
    <t>5 ↓ -1.19%</t>
  </si>
  <si>
    <t>32 ↓ -0.82%</t>
  </si>
  <si>
    <t>83 ↓ -0.96%</t>
  </si>
  <si>
    <t>67 ↓ -2.47%</t>
  </si>
  <si>
    <t>3 ↓ -0.53%</t>
  </si>
  <si>
    <t>25 ↓ -0.49%</t>
  </si>
  <si>
    <t>145 ↓ -0.68%</t>
  </si>
  <si>
    <t>74 ↓ -0.90%</t>
  </si>
  <si>
    <t>45 ↓ -0.73%</t>
  </si>
  <si>
    <t>72 ↓ -0.70%</t>
  </si>
  <si>
    <t>3 ↓ -0.21%</t>
  </si>
  <si>
    <t>20 ↑ +0.05%</t>
  </si>
  <si>
    <t>145 ↓ -0.02%</t>
  </si>
  <si>
    <t>72 ↓ -0.32%</t>
  </si>
  <si>
    <t>53 ↓ -0.20%</t>
  </si>
  <si>
    <t>71 ↑ +0.20%</t>
  </si>
  <si>
    <t>21 ↑ +0.10%</t>
  </si>
  <si>
    <t>138 ↑ +0.19%</t>
  </si>
  <si>
    <t>77 ↑ +0.19%</t>
  </si>
  <si>
    <t>51 ↑ +0.38%</t>
  </si>
  <si>
    <t>74 ↑ +1.58%</t>
  </si>
  <si>
    <t>24 ↓ -0.06%</t>
  </si>
  <si>
    <t>137 ↑ +0.13%</t>
  </si>
  <si>
    <t>76 ↑ +0.17%</t>
  </si>
  <si>
    <t>50 ↓ -0.22%</t>
  </si>
  <si>
    <t>73 ↓ -0.34%</t>
  </si>
  <si>
    <t>3 ↑ +0.26%</t>
  </si>
  <si>
    <t>27 ↑ +0.13%</t>
  </si>
  <si>
    <t>134 ↓ -0.15%</t>
  </si>
  <si>
    <t>76 ↓ -0.26%</t>
  </si>
  <si>
    <t>52 ↓ -0.06%</t>
  </si>
  <si>
    <t>71 ↓ -0.24%</t>
  </si>
  <si>
    <t>3 ↓ -0.69%</t>
  </si>
  <si>
    <t>23 ↓ -0.08%</t>
  </si>
  <si>
    <t>135 ↑ +0.03%</t>
  </si>
  <si>
    <t>74 ↓ -0.14%</t>
  </si>
  <si>
    <t>75 ↑ +0.51%</t>
  </si>
  <si>
    <t>24 ↑ +0.18%</t>
  </si>
  <si>
    <t>134 ↑ +0.02%</t>
  </si>
  <si>
    <t>77 ↓ -0.06%</t>
  </si>
  <si>
    <t>51 ↑ +0.47%</t>
  </si>
  <si>
    <t>22 ↑ +0.01%</t>
  </si>
  <si>
    <t>134 ↑ +0.09%</t>
  </si>
  <si>
    <t>78 ↑ +0.34%</t>
  </si>
  <si>
    <t>56 ↑ +0.38%</t>
  </si>
  <si>
    <t>69 ↓ -0.42%</t>
  </si>
  <si>
    <t>4 ↓ -0.37%</t>
  </si>
  <si>
    <t>25 ↓ -0.18%</t>
  </si>
  <si>
    <t>132 ↓ -0.07%</t>
  </si>
  <si>
    <t>78 ↓ -0.15%</t>
  </si>
  <si>
    <t>72 ↓ -1.10%</t>
  </si>
  <si>
    <t>23 ↑ +0.26%</t>
  </si>
  <si>
    <t>132 ↑ +0.03%</t>
  </si>
  <si>
    <t>79 ↓ -0.00%</t>
  </si>
  <si>
    <t>52 ↑ +0.27%</t>
  </si>
  <si>
    <t>72 ↑ +0.53%</t>
  </si>
  <si>
    <t>3 ↓ -0.29%</t>
  </si>
  <si>
    <t>24 ↓ -0.28%</t>
  </si>
  <si>
    <t>129 ↑ +0.06%</t>
  </si>
  <si>
    <t>82 ↑ +0.41%</t>
  </si>
  <si>
    <t>51 ↑ +0.97%</t>
  </si>
  <si>
    <t>72 ↑ +1.67%</t>
  </si>
  <si>
    <t>24 ↑ +0.07%</t>
  </si>
  <si>
    <t>74 ↓ -0.24%</t>
  </si>
  <si>
    <t>50 ↓ -0.18%</t>
  </si>
  <si>
    <t>69 ↑ +0.21%</t>
  </si>
  <si>
    <t>3 ↑ +0.90%</t>
  </si>
  <si>
    <t>23 ↑ +0.36%</t>
  </si>
  <si>
    <t>132 ↑ +0.30%</t>
  </si>
  <si>
    <t>82 ↑ +0.45%</t>
  </si>
  <si>
    <t>49 ↑ +0.61%</t>
  </si>
  <si>
    <t>3 ↓ -0.15%</t>
  </si>
  <si>
    <t>27 ↓ -0.01%</t>
  </si>
  <si>
    <t>136 ↑ +0.40%</t>
  </si>
  <si>
    <t>81 ↑ +0.40%</t>
  </si>
  <si>
    <t>48 ↑ +0.71%</t>
  </si>
  <si>
    <t>3 ↓ -0.67%</t>
  </si>
  <si>
    <t>28 ↑ +0.06%</t>
  </si>
  <si>
    <t>140 ↑ +0.24%</t>
  </si>
  <si>
    <t>78 ↑ +0.45%</t>
  </si>
  <si>
    <t>49 ↑ +0.41%</t>
  </si>
  <si>
    <t>63 ↑ +0.46%</t>
  </si>
  <si>
    <t>31 ↑ +0.17%</t>
  </si>
  <si>
    <t>139 ↑ +0.31%</t>
  </si>
  <si>
    <t>82 ↑ +0.59%</t>
  </si>
  <si>
    <t>62 ↑ +0.82%</t>
  </si>
  <si>
    <t>3 ↑ +0.46%</t>
  </si>
  <si>
    <t>33 ↑ +0.38%</t>
  </si>
  <si>
    <t>40 ↑ +0.09%</t>
  </si>
  <si>
    <t>61 ↑ +1.02%</t>
  </si>
  <si>
    <t>37 ↓ -0.23%</t>
  </si>
  <si>
    <t>140 ↑ +0.09%</t>
  </si>
  <si>
    <t>40 ↓ -0.27%</t>
  </si>
  <si>
    <t>61 ↓ -1.79%</t>
  </si>
  <si>
    <t>4 ↑ +0.71%</t>
  </si>
  <si>
    <t>36 ↑ +0.29%</t>
  </si>
  <si>
    <t>144 ↑ +0.16%</t>
  </si>
  <si>
    <t>33 ↓ -0.22%</t>
  </si>
  <si>
    <t>5 ↓ -0.13%</t>
  </si>
  <si>
    <t>36 ↑ +0.16%</t>
  </si>
  <si>
    <t>147 ↑ +0.21%</t>
  </si>
  <si>
    <t>71 ↑ +0.56%</t>
  </si>
  <si>
    <t>42 ↓ -0.12%</t>
  </si>
  <si>
    <t>61 ↑ +1.69%</t>
  </si>
  <si>
    <t>5 ↓ -1.96%</t>
  </si>
  <si>
    <t>43 ↓ -0.78%</t>
  </si>
  <si>
    <t>143 ↓ -0.52%</t>
  </si>
  <si>
    <t>68 ↓ -0.51%</t>
  </si>
  <si>
    <t>44 ↑ +0.03%</t>
  </si>
  <si>
    <t>3 ↑ +0.12%</t>
  </si>
  <si>
    <t>36 ↑ +0.51%</t>
  </si>
  <si>
    <t>150 ↑ +0.20%</t>
  </si>
  <si>
    <t>67 ↑ +0.30%</t>
  </si>
  <si>
    <t>46 ↑ +1.04%</t>
  </si>
  <si>
    <t>59 ↑ +0.36%</t>
  </si>
  <si>
    <t>3 ↓ -0.14%</t>
  </si>
  <si>
    <t>45 ↓ -0.04%</t>
  </si>
  <si>
    <t>143 ↓ -0.10%</t>
  </si>
  <si>
    <t>43 ↓ -0.88%</t>
  </si>
  <si>
    <t>57 ↓ -1.11%</t>
  </si>
  <si>
    <t>3 ↑ +0.97%</t>
  </si>
  <si>
    <t>43 ↑ +0.78%</t>
  </si>
  <si>
    <t>143 ↓ -0.19%</t>
  </si>
  <si>
    <t>66 ↑ +0.16%</t>
  </si>
  <si>
    <t>37 ↓ -0.29%</t>
  </si>
  <si>
    <t>66 ↑ +0.86%</t>
  </si>
  <si>
    <t>4 ↑ +0.35%</t>
  </si>
  <si>
    <t>51 ↑ +0.27%</t>
  </si>
  <si>
    <t>130 ↑ +0.53%</t>
  </si>
  <si>
    <t>68 ↑ +0.91%</t>
  </si>
  <si>
    <t>39 ↑ +1.35%</t>
  </si>
  <si>
    <t>66 ↑ +0.23%</t>
  </si>
  <si>
    <t>56 ↑ +0.28%</t>
  </si>
  <si>
    <t>136 ↑ +0.42%</t>
  </si>
  <si>
    <t>65 ↑ +0.83%</t>
  </si>
  <si>
    <t>34 ↑ +0.79%</t>
  </si>
  <si>
    <t>63 ↑ +6.07%</t>
  </si>
  <si>
    <t>5 ↑ +0.11%</t>
  </si>
  <si>
    <t>61 ↑ +0.16%</t>
  </si>
  <si>
    <t>134 ↑ +0.06%</t>
  </si>
  <si>
    <t>67 ↓ -0.09%</t>
  </si>
  <si>
    <t>37 ↓ -0.19%</t>
  </si>
  <si>
    <t>52 ↑ +0.39%</t>
  </si>
  <si>
    <t>4 ↓ -1.03%</t>
  </si>
  <si>
    <t>66 ↑ +0.14%</t>
  </si>
  <si>
    <t>130 ↑ +0.19%</t>
  </si>
  <si>
    <t>37 ↑ +1.05%</t>
  </si>
  <si>
    <t>54 ↑ +2.71%</t>
  </si>
  <si>
    <t>123 ↓ -0.25%</t>
  </si>
  <si>
    <t>69 ↓ -0.22%</t>
  </si>
  <si>
    <t>37 ↑ +0.11%</t>
  </si>
  <si>
    <t>50 ↑ +0.90%</t>
  </si>
  <si>
    <t>66 ↑ +0.02%</t>
  </si>
  <si>
    <t>73 ↓ -0.04%</t>
  </si>
  <si>
    <t>34 ↑ +0.05%</t>
  </si>
  <si>
    <t>52 ↑ +0.66%</t>
  </si>
  <si>
    <t>122 ↓ -0.01%</t>
  </si>
  <si>
    <t>75 ↑ +0.36%</t>
  </si>
  <si>
    <t>37 ↓ -0.02%</t>
  </si>
  <si>
    <t>50 ↑ +1.17%</t>
  </si>
  <si>
    <t>5 ↓ -1.15%</t>
  </si>
  <si>
    <t>65 ↓ -0.40%</t>
  </si>
  <si>
    <t>130 ↓ -0.41%</t>
  </si>
  <si>
    <t>67 ↓ -0.27%</t>
  </si>
  <si>
    <t>45 ↓ -0.27%</t>
  </si>
  <si>
    <t>46 ↑ +0.86%</t>
  </si>
  <si>
    <t>4 ↑ +1.39%</t>
  </si>
  <si>
    <t>65 ↓ -0.28%</t>
  </si>
  <si>
    <t>71 ↓ -0.26%</t>
  </si>
  <si>
    <t>42 ↑ +0.55%</t>
  </si>
  <si>
    <t>50 ↑ +0.20%</t>
  </si>
  <si>
    <t>64 ↓ -0.29%</t>
  </si>
  <si>
    <t>131 ↓ -0.23%</t>
  </si>
  <si>
    <t>70 ↓ -0.53%</t>
  </si>
  <si>
    <t>38 ↓ -0.16%</t>
  </si>
  <si>
    <t>48 ↑ +0.59%</t>
  </si>
  <si>
    <t>53 ↑ +0.18%</t>
  </si>
  <si>
    <t>72 ↑ +0.16%</t>
  </si>
  <si>
    <t>43 ↑ +0.47%</t>
  </si>
  <si>
    <t>53 ↓ -0.14%</t>
  </si>
  <si>
    <t>136 ↓ -0.09%</t>
  </si>
  <si>
    <t>70 ↓ -0.19%</t>
  </si>
  <si>
    <t>39 ↓ -0.38%</t>
  </si>
  <si>
    <t>48 ↓ -0.31%</t>
  </si>
  <si>
    <t>3 ↑ +0.81%</t>
  </si>
  <si>
    <t>131 ↑ +0.15%</t>
  </si>
  <si>
    <t>73 ↑ +0.38%</t>
  </si>
  <si>
    <t>6 ↑ +1.18%</t>
  </si>
  <si>
    <t>59 ↑ +0.54%</t>
  </si>
  <si>
    <t>63 ↑ +1.24%</t>
  </si>
  <si>
    <t>38 ↑ +1.13%</t>
  </si>
  <si>
    <t>51 ↑ +4.28%</t>
  </si>
  <si>
    <t>6 ↑ +1.09%</t>
  </si>
  <si>
    <t>121 ↑ +0.46%</t>
  </si>
  <si>
    <t>68 ↑ +0.65%</t>
  </si>
  <si>
    <t>39 ↑ +0.73%</t>
  </si>
  <si>
    <t>41 ↑ +0.32%</t>
  </si>
  <si>
    <t>8 ↓ -0.97%</t>
  </si>
  <si>
    <t>73 ↓ -0.32%</t>
  </si>
  <si>
    <t>121 ↓ -0.25%</t>
  </si>
  <si>
    <t>40 ↓ -0.66%</t>
  </si>
  <si>
    <t>65 ↑ +0.09%</t>
  </si>
  <si>
    <t>131 ↑ +0.21%</t>
  </si>
  <si>
    <t>67 ↑ +0.64%</t>
  </si>
  <si>
    <t>36 ↑ +0.86%</t>
  </si>
  <si>
    <t>40 ↑ +1.02%</t>
  </si>
  <si>
    <t>7 ↓ -0.59%</t>
  </si>
  <si>
    <t>126 ↓ -0.36%</t>
  </si>
  <si>
    <t>69 ↓ -0.24%</t>
  </si>
  <si>
    <t>35 ↓ -0.27%</t>
  </si>
  <si>
    <t>39 ↑ +1.50%</t>
  </si>
  <si>
    <t>7 ↓ -0.30%</t>
  </si>
  <si>
    <t>127 ↓ -0.41%</t>
  </si>
  <si>
    <t>72 ↓ -0.99%</t>
  </si>
  <si>
    <t>34 ↓ -0.93%</t>
  </si>
  <si>
    <t>40 ↓ -2.58%</t>
  </si>
  <si>
    <t>7 ↑ +0.87%</t>
  </si>
  <si>
    <t>59 ↑ +0.29%</t>
  </si>
  <si>
    <t>74 ↑ +0.02%</t>
  </si>
  <si>
    <t>32 ↓ -0.06%</t>
  </si>
  <si>
    <t>47 ↓ -0.78%</t>
  </si>
  <si>
    <t>7 ↑ +0.63%</t>
  </si>
  <si>
    <t>67 ↑ +0.06%</t>
  </si>
  <si>
    <t>117 ↑ +0.04%</t>
  </si>
  <si>
    <t>49 ↑ +0.56%</t>
  </si>
  <si>
    <t>7 ↑ +1.15%</t>
  </si>
  <si>
    <t>67 ↑ +0.25%</t>
  </si>
  <si>
    <t>72 ↓ -0.03%</t>
  </si>
  <si>
    <t>30 ↓ -0.09%</t>
  </si>
  <si>
    <t>50 ↓ -0.07%</t>
  </si>
  <si>
    <t>71 ↑ +0.26%</t>
  </si>
  <si>
    <t>117 ↑ +0.46%</t>
  </si>
  <si>
    <t>71 ↑ +0.41%</t>
  </si>
  <si>
    <t>29 ↓ -0.15%</t>
  </si>
  <si>
    <t>49 ↑ +0.50%</t>
  </si>
  <si>
    <t>71 ↓ -0.13%</t>
  </si>
  <si>
    <t>115 ↓ -0.05%</t>
  </si>
  <si>
    <t>72 ↑ +0.31%</t>
  </si>
  <si>
    <t>28 ↑ +0.18%</t>
  </si>
  <si>
    <t>49 ↑ +0.52%</t>
  </si>
  <si>
    <t>8 ↑ +1.82%</t>
  </si>
  <si>
    <t>68 ↑ +0.10%</t>
  </si>
  <si>
    <t>69 ↑ +0.10%</t>
  </si>
  <si>
    <t>47 ↓ -0.32%</t>
  </si>
  <si>
    <t>9 ↓ -0.52%</t>
  </si>
  <si>
    <t>69 ↓ -0.25%</t>
  </si>
  <si>
    <t>121 ↓ -0.09%</t>
  </si>
  <si>
    <t>66 ↓ -0.30%</t>
  </si>
  <si>
    <t>25 ↓ -0.50%</t>
  </si>
  <si>
    <t>48 ↓ -0.08%</t>
  </si>
  <si>
    <t>68 ↓ -0.60%</t>
  </si>
  <si>
    <t>124 ↓ -0.47%</t>
  </si>
  <si>
    <t>30 ↑ +0.69%</t>
  </si>
  <si>
    <t>49 ↑ +0.17%</t>
  </si>
  <si>
    <t>65 ↑ +0.20%</t>
  </si>
  <si>
    <t>120 ↑ +0.03%</t>
  </si>
  <si>
    <t>64 ↑ +0.31%</t>
  </si>
  <si>
    <t>29 ↑ +0.18%</t>
  </si>
  <si>
    <t>51 ↑ +1.42%</t>
  </si>
  <si>
    <t>9 ↑ +0.63%</t>
  </si>
  <si>
    <t>65 ↑ +0.19%</t>
  </si>
  <si>
    <t>67 ↑ +0.76%</t>
  </si>
  <si>
    <t>29 ↑ +1.00%</t>
  </si>
  <si>
    <t>50 ↑ +2.02%</t>
  </si>
  <si>
    <t>70 ↓ -0.37%</t>
  </si>
  <si>
    <t>66 ↓ -0.14%</t>
  </si>
  <si>
    <t>31 ↓ -0.39%</t>
  </si>
  <si>
    <t>43 ↓ -0.18%</t>
  </si>
  <si>
    <t>9 ↓ -1.22%</t>
  </si>
  <si>
    <t>67 ↓ -0.71%</t>
  </si>
  <si>
    <t>118 ↓ -0.48%</t>
  </si>
  <si>
    <t>70 ↓ -0.96%</t>
  </si>
  <si>
    <t>29 ↓ -1.43%</t>
  </si>
  <si>
    <t>44 ↓ -2.89%</t>
  </si>
  <si>
    <t>9 ↓ -0.57%</t>
  </si>
  <si>
    <t>59 ↓ -0.62%</t>
  </si>
  <si>
    <t>122 ↓ -0.56%</t>
  </si>
  <si>
    <t>64 ↓ -0.67%</t>
  </si>
  <si>
    <t>34 ↓ -0.85%</t>
  </si>
  <si>
    <t>50 ↓ -0.10%</t>
  </si>
  <si>
    <t>8 ↑ +1.21%</t>
  </si>
  <si>
    <t>49 ↑ +0.74%</t>
  </si>
  <si>
    <t>128 ↑ +0.75%</t>
  </si>
  <si>
    <t>66 ↑ +0.94%</t>
  </si>
  <si>
    <t>35 ↑ +1.22%</t>
  </si>
  <si>
    <t>52 ↑ +1.13%</t>
  </si>
  <si>
    <t>58 ↑ +0.32%</t>
  </si>
  <si>
    <t>126 ↑ +0.07%</t>
  </si>
  <si>
    <t>65 ↓ -0.41%</t>
  </si>
  <si>
    <t>31 ↓ -0.42%</t>
  </si>
  <si>
    <t>49 ↓ -1.35%</t>
  </si>
  <si>
    <t>9 ↑ +1.11%</t>
  </si>
  <si>
    <t>116 ↓ -0.08%</t>
  </si>
  <si>
    <t>61 ↓ -0.13%</t>
  </si>
  <si>
    <t>34 ↑ +0.18%</t>
  </si>
  <si>
    <t>66 ↑ +0.25%</t>
  </si>
  <si>
    <t>36 ↑ +0.40%</t>
  </si>
  <si>
    <t>50 ↑ +0.74%</t>
  </si>
  <si>
    <t>9 ↑ +1.03%</t>
  </si>
  <si>
    <t>68 ↑ +0.69%</t>
  </si>
  <si>
    <t>115 ↑ +0.34%</t>
  </si>
  <si>
    <t>34 ↓ -0.08%</t>
  </si>
  <si>
    <t>47 ↓ -0.09%</t>
  </si>
  <si>
    <t>11 ↑ +0.99%</t>
  </si>
  <si>
    <t>74 ↑ +0.58%</t>
  </si>
  <si>
    <t>107 ↑ +0.31%</t>
  </si>
  <si>
    <t>61 ↓ -0.24%</t>
  </si>
  <si>
    <t>48 ↑ +0.25%</t>
  </si>
  <si>
    <t>81 ↑ +0.30%</t>
  </si>
  <si>
    <t>102 ↑ +0.42%</t>
  </si>
  <si>
    <t>61 ↑ +0.48%</t>
  </si>
  <si>
    <t>32 ↓ -0.34%</t>
  </si>
  <si>
    <t>51 ↑ +0.33%</t>
  </si>
  <si>
    <t>12 ↑ +0.51%</t>
  </si>
  <si>
    <t>81 ↑ +0.66%</t>
  </si>
  <si>
    <t>105 ↑ +0.36%</t>
  </si>
  <si>
    <t>54 ↑ +0.74%</t>
  </si>
  <si>
    <t>33 ↑ +1.52%</t>
  </si>
  <si>
    <t>53 ↑ +1.54%</t>
  </si>
  <si>
    <t>15 ↓ -0.17%</t>
  </si>
  <si>
    <t>83 ↑ +0.01%</t>
  </si>
  <si>
    <t>100 ↑ +0.15%</t>
  </si>
  <si>
    <t>60 ↑ +1.27%</t>
  </si>
  <si>
    <t>30 ↑ +0.42%</t>
  </si>
  <si>
    <t>49 ↑ +4.55%</t>
  </si>
  <si>
    <t>12 ↓ -1.05%</t>
  </si>
  <si>
    <t>89 ↓ -0.59%</t>
  </si>
  <si>
    <t>102 ↓ -0.49%</t>
  </si>
  <si>
    <t>58 ↓ -1.20%</t>
  </si>
  <si>
    <t>35 ↓ -0.98%</t>
  </si>
  <si>
    <t>41 ↑ +1.35%</t>
  </si>
  <si>
    <t>12 ↑ +0.58%</t>
  </si>
  <si>
    <t>103 ↓ -0.18%</t>
  </si>
  <si>
    <t>58 ↓ -0.51%</t>
  </si>
  <si>
    <t>33 ↓ -1.78%</t>
  </si>
  <si>
    <t>44 ↓ -1.91%</t>
  </si>
  <si>
    <t>87 ↑ +0.40%</t>
  </si>
  <si>
    <t>102 ↑ +0.52%</t>
  </si>
  <si>
    <t>53 ↓ -0.16%</t>
  </si>
  <si>
    <t>54 ↑ +0.43%</t>
  </si>
  <si>
    <t>93 ↓ -0.27%</t>
  </si>
  <si>
    <t>96 ↓ -0.35%</t>
  </si>
  <si>
    <t>50 ↓ -0.98%</t>
  </si>
  <si>
    <t>35 ↓ -0.85%</t>
  </si>
  <si>
    <t>53 ↓ -1.98%</t>
  </si>
  <si>
    <t>14 ↑ +0.87%</t>
  </si>
  <si>
    <t>86 ↑ +0.67%</t>
  </si>
  <si>
    <t>99 ↑ +0.81%</t>
  </si>
  <si>
    <t>46 ↑ +1.29%</t>
  </si>
  <si>
    <t>38 ↑ +1.21%</t>
  </si>
  <si>
    <t>57 ↑ +1.24%</t>
  </si>
  <si>
    <t>15 ↓ -0.69%</t>
  </si>
  <si>
    <t>96 ↑ +0.02%</t>
  </si>
  <si>
    <t>93 ↓ -0.09%</t>
  </si>
  <si>
    <t>51 ↓ -0.50%</t>
  </si>
  <si>
    <t>34 ↓ -0.26%</t>
  </si>
  <si>
    <t>52 ↑ +0.82%</t>
  </si>
  <si>
    <t>14 ↑ +1.29%</t>
  </si>
  <si>
    <t>99 ↑ +0.78%</t>
  </si>
  <si>
    <t>88 ↑ +0.70%</t>
  </si>
  <si>
    <t>47 ↑ +1.44%</t>
  </si>
  <si>
    <t>39 ↑ +1.56%</t>
  </si>
  <si>
    <t>54 ↑ +2.41%</t>
  </si>
  <si>
    <t>15 ↑ +0.08%</t>
  </si>
  <si>
    <t>91 ↓ -0.09%</t>
  </si>
  <si>
    <t>53 ↑ +0.03%</t>
  </si>
  <si>
    <t>32 ↓ -0.70%</t>
  </si>
  <si>
    <t>49 ↓ -1.57%</t>
  </si>
  <si>
    <t>16 ↓ -0.56%</t>
  </si>
  <si>
    <t>102 ↓ -0.42%</t>
  </si>
  <si>
    <t>96 ↓ -0.43%</t>
  </si>
  <si>
    <t>45 ↓ -0.70%</t>
  </si>
  <si>
    <t>33 ↓ -0.60%</t>
  </si>
  <si>
    <t>51 ↓ -1.43%</t>
  </si>
  <si>
    <t>16 ↓ -0.38%</t>
  </si>
  <si>
    <t>96 ↓ -0.54%</t>
  </si>
  <si>
    <t>96 ↓ -0.39%</t>
  </si>
  <si>
    <t>45 ↓ -0.34%</t>
  </si>
  <si>
    <t>35 ↓ -1.39%</t>
  </si>
  <si>
    <t>55 ↓ -1.91%</t>
  </si>
  <si>
    <t>14 ↓ -0.74%</t>
  </si>
  <si>
    <t>95 ↓ -0.76%</t>
  </si>
  <si>
    <t>93 ↓ -0.68%</t>
  </si>
  <si>
    <t>32 ↓ -0.65%</t>
  </si>
  <si>
    <t>61 ↓ -1.02%</t>
  </si>
  <si>
    <t>13 ↑ +1.20%</t>
  </si>
  <si>
    <t>93 ↑ +1.06%</t>
  </si>
  <si>
    <t>90 ↑ +1.07%</t>
  </si>
  <si>
    <t>52 ↑ +1.68%</t>
  </si>
  <si>
    <t>31 ↑ +1.79%</t>
  </si>
  <si>
    <t>66 ↑ +1.02%</t>
  </si>
  <si>
    <t>18 ↑ +2.90%</t>
  </si>
  <si>
    <t>99 ↑ +1.99%</t>
  </si>
  <si>
    <t>90 ↑ +1.72%</t>
  </si>
  <si>
    <t>46 ↑ +2.01%</t>
  </si>
  <si>
    <t>27 ↑ +1.32%</t>
  </si>
  <si>
    <t>64 ↓ -0.09%</t>
  </si>
  <si>
    <t>28 ↑ +1.79%</t>
  </si>
  <si>
    <t>102 ↑ +1.44%</t>
  </si>
  <si>
    <t>86 ↑ +1.04%</t>
  </si>
  <si>
    <t>41 ↑ +1.29%</t>
  </si>
  <si>
    <t>27 ↑ +0.79%</t>
  </si>
  <si>
    <t>59 ↑ +1.84%</t>
  </si>
  <si>
    <t>38 ↑ +1.17%</t>
  </si>
  <si>
    <t>103 ↑ +1.08%</t>
  </si>
  <si>
    <t>82 ↑ +0.83%</t>
  </si>
  <si>
    <t>22 ↑ +1.06%</t>
  </si>
  <si>
    <t>59 ↑ +0.20%</t>
  </si>
  <si>
    <t>43 ↑ +0.72%</t>
  </si>
  <si>
    <t>107 ↑ +1.41%</t>
  </si>
  <si>
    <t>78 ↑ +1.70%</t>
  </si>
  <si>
    <t>35 ↑ +2.83%</t>
  </si>
  <si>
    <t>21 ↑ +1.64%</t>
  </si>
  <si>
    <t>58 ↑ +3.28%</t>
  </si>
  <si>
    <t>60 ↓ -0.88%</t>
  </si>
  <si>
    <t>104 ↓ -0.62%</t>
  </si>
  <si>
    <t>72 ↓ -0.01%</t>
  </si>
  <si>
    <t>30 ↓ -0.13%</t>
  </si>
  <si>
    <t>18 ↑ +0.51%</t>
  </si>
  <si>
    <t>57 ↑ +2.31%</t>
  </si>
  <si>
    <t>52 ↓ -0.87%</t>
  </si>
  <si>
    <t>111 ↓ -1.36%</t>
  </si>
  <si>
    <t>78 ↓ -0.98%</t>
  </si>
  <si>
    <t>29 ↓ -1.60%</t>
  </si>
  <si>
    <t>17 ↓ -0.69%</t>
  </si>
  <si>
    <t>54 ↓ -4.01%</t>
  </si>
  <si>
    <t>43 ↓ -1.69%</t>
  </si>
  <si>
    <t>107 ↓ -1.53%</t>
  </si>
  <si>
    <t>81 ↓ -1.43%</t>
  </si>
  <si>
    <t>33 ↓ -1.87%</t>
  </si>
  <si>
    <t>21 ↓ -2.12%</t>
  </si>
  <si>
    <t>55 ↓ -2.64%</t>
  </si>
  <si>
    <t>31 ↓ -1.13%</t>
  </si>
  <si>
    <t>102 ↓ -0.54%</t>
  </si>
  <si>
    <t>86 ↓ -0.56%</t>
  </si>
  <si>
    <t>35 ↓ -1.17%</t>
  </si>
  <si>
    <t>25 ↓ -1.09%</t>
  </si>
  <si>
    <t>61 ↓ -0.78%</t>
  </si>
  <si>
    <t>27 ↓ -1.37%</t>
  </si>
  <si>
    <t>98 ↓ -0.48%</t>
  </si>
  <si>
    <t>91 ↑ +0.09%</t>
  </si>
  <si>
    <t>32 ↓ -0.18%</t>
  </si>
  <si>
    <t>30 ↓ -0.02%</t>
  </si>
  <si>
    <t>62 ↑ +2.75%</t>
  </si>
  <si>
    <t>26 ↓ -0.08%</t>
  </si>
  <si>
    <t>95 ↓ -0.11%</t>
  </si>
  <si>
    <t>95 ↓ -0.30%</t>
  </si>
  <si>
    <t>28 ↑ +0.98%</t>
  </si>
  <si>
    <t>62 ↑ +1.49%</t>
  </si>
  <si>
    <t>26 ↓ -1.75%</t>
  </si>
  <si>
    <t>92 ↓ -1.49%</t>
  </si>
  <si>
    <t>91 ↓ -1.63%</t>
  </si>
  <si>
    <t>41 ↓ -2.14%</t>
  </si>
  <si>
    <t>30 ↓ -2.88%</t>
  </si>
  <si>
    <t>59 ↓ -3.83%</t>
  </si>
  <si>
    <t>18 ↓ -0.68%</t>
  </si>
  <si>
    <t>89 ↓ -0.69%</t>
  </si>
  <si>
    <t>89 ↓ -0.67%</t>
  </si>
  <si>
    <t>47 ↓ -1.30%</t>
  </si>
  <si>
    <t>27 ↓ -1.68%</t>
  </si>
  <si>
    <t>69 ↓ -2.72%</t>
  </si>
  <si>
    <t>16 ↓ -0.49%</t>
  </si>
  <si>
    <t>85 ↓ -0.72%</t>
  </si>
  <si>
    <t>50 ↓ -0.67%</t>
  </si>
  <si>
    <t>28 ↓ -0.51%</t>
  </si>
  <si>
    <t>74 ↓ -3.07%</t>
  </si>
  <si>
    <t>16 ↓ -1.16%</t>
  </si>
  <si>
    <t>81 ↓ -0.48%</t>
  </si>
  <si>
    <t>87 ↓ -0.99%</t>
  </si>
  <si>
    <t>47 ↓ -1.05%</t>
  </si>
  <si>
    <t>29 ↓ -1.07%</t>
  </si>
  <si>
    <t>79 ↓ -1.07%</t>
  </si>
  <si>
    <t>15 ↓ -1.05%</t>
  </si>
  <si>
    <t>80 ↓ -1.08%</t>
  </si>
  <si>
    <t>82 ↓ -0.71%</t>
  </si>
  <si>
    <t>51 ↓ -0.79%</t>
  </si>
  <si>
    <t>28 ↑ +0.19%</t>
  </si>
  <si>
    <t>84 ↑ +0.78%</t>
  </si>
  <si>
    <t>12 ↓ -1.57%</t>
  </si>
  <si>
    <t>74 ↓ -1.06%</t>
  </si>
  <si>
    <t>83 ↓ -0.42%</t>
  </si>
  <si>
    <t>57 ↓ -0.59%</t>
  </si>
  <si>
    <t>31 ↓ -0.36%</t>
  </si>
  <si>
    <t>82 ↑ +1.83%</t>
  </si>
  <si>
    <t>66 ↓ -0.09%</t>
  </si>
  <si>
    <t>83 ↑ +0.19%</t>
  </si>
  <si>
    <t>66 ↑ +0.08%</t>
  </si>
  <si>
    <t>30 ↑ +0.48%</t>
  </si>
  <si>
    <t>84 ↑ +1.52%</t>
  </si>
  <si>
    <t>11 ↓ -0.72%</t>
  </si>
  <si>
    <t>86 ↓ -0.11%</t>
  </si>
  <si>
    <t>61 ↑ +0.22%</t>
  </si>
  <si>
    <t>76 ↑ +0.87%</t>
  </si>
  <si>
    <t>7 ↑ +0.33%</t>
  </si>
  <si>
    <t>73 ↑ +0.30%</t>
  </si>
  <si>
    <t>54 ↑ +0.52%</t>
  </si>
  <si>
    <t>37 ↑ +0.75%</t>
  </si>
  <si>
    <t>78 ↓ -0.74%</t>
  </si>
  <si>
    <t>9 ↓ -0.47%</t>
  </si>
  <si>
    <t>74 ↑ +0.73%</t>
  </si>
  <si>
    <t>84 ↑ +0.70%</t>
  </si>
  <si>
    <t>33 ↑ +0.92%</t>
  </si>
  <si>
    <t>79 ↑ +1.44%</t>
  </si>
  <si>
    <t>12 ↑ +1.36%</t>
  </si>
  <si>
    <t>77 ↑ +1.03%</t>
  </si>
  <si>
    <t>49 ↑ +0.18%</t>
  </si>
  <si>
    <t>32 ↑ +0.98%</t>
  </si>
  <si>
    <t>14 ↑ +2.93%</t>
  </si>
  <si>
    <t>83 ↑ +0.77%</t>
  </si>
  <si>
    <t>81 ↑ +0.89%</t>
  </si>
  <si>
    <t>47 ↑ +0.58%</t>
  </si>
  <si>
    <t>34 ↑ +0.19%</t>
  </si>
  <si>
    <t>73 ↓ -1.37%</t>
  </si>
  <si>
    <t>17 ↓ -1.89%</t>
  </si>
  <si>
    <t>87 ↓ -1.68%</t>
  </si>
  <si>
    <t>81 ↓ -0.87%</t>
  </si>
  <si>
    <t>43 ↓ -1.22%</t>
  </si>
  <si>
    <t>29 ↓ -1.03%</t>
  </si>
  <si>
    <t>13 ↓ -0.88%</t>
  </si>
  <si>
    <t>84 ↓ -0.07%</t>
  </si>
  <si>
    <t>46 ↑ +0.02%</t>
  </si>
  <si>
    <t>32 ↑ +1.33%</t>
  </si>
  <si>
    <t>77 ↑ +2.22%</t>
  </si>
  <si>
    <t>11 ↓ -1.08%</t>
  </si>
  <si>
    <t>78 ↓ -0.81%</t>
  </si>
  <si>
    <t>90 ↓ -0.77%</t>
  </si>
  <si>
    <t>43 ↓ -0.29%</t>
  </si>
  <si>
    <t>34 ↓ -0.69%</t>
  </si>
  <si>
    <t>76 ↓ -0.35%</t>
  </si>
  <si>
    <t>69 ↓ -0.49%</t>
  </si>
  <si>
    <t>48 ↓ -0.18%</t>
  </si>
  <si>
    <t>34 ↓ -0.35%</t>
  </si>
  <si>
    <t>77 ↓ -1.26%</t>
  </si>
  <si>
    <t>8 ↓ -2.02%</t>
  </si>
  <si>
    <t>69 ↓ -2.01%</t>
  </si>
  <si>
    <t>92 ↓ -1.42%</t>
  </si>
  <si>
    <t>48 ↓ -1.04%</t>
  </si>
  <si>
    <t>31 ↓ -0.73%</t>
  </si>
  <si>
    <t>82 ↑ +0.75%</t>
  </si>
  <si>
    <t>53 ↓ -0.59%</t>
  </si>
  <si>
    <t>90 ↓ -0.23%</t>
  </si>
  <si>
    <t>32 ↑ +0.13%</t>
  </si>
  <si>
    <t>86 ↓ -0.68%</t>
  </si>
  <si>
    <t>7 ↓ -0.52%</t>
  </si>
  <si>
    <t>37 ↓ -0.36%</t>
  </si>
  <si>
    <t>106 ↓ -0.31%</t>
  </si>
  <si>
    <t>60 ↑ +0.17%</t>
  </si>
  <si>
    <t>33 ↑ +0.51%</t>
  </si>
  <si>
    <t>86 ↑ +2.98%</t>
  </si>
  <si>
    <t>106 ↑ +0.47%</t>
  </si>
  <si>
    <t>68 ↑ +0.89%</t>
  </si>
  <si>
    <t>33 ↑ +1.18%</t>
  </si>
  <si>
    <t>83 ↑ +4.37%</t>
  </si>
  <si>
    <t>9 ↑ +1.17%</t>
  </si>
  <si>
    <t>42 ↑ +0.76%</t>
  </si>
  <si>
    <t>100 ↑ +0.92%</t>
  </si>
  <si>
    <t>67 ↑ +1.38%</t>
  </si>
  <si>
    <t>34 ↑ +0.84%</t>
  </si>
  <si>
    <t>77 ↑ +1.00%</t>
  </si>
  <si>
    <t>9 ↑ +1.09%</t>
  </si>
  <si>
    <t>49 ↑ +0.88%</t>
  </si>
  <si>
    <t>106 ↑ +0.65%</t>
  </si>
  <si>
    <t>57 ↑ +0.87%</t>
  </si>
  <si>
    <t>32 ↑ +0.86%</t>
  </si>
  <si>
    <t>76 ↑ +1.54%</t>
  </si>
  <si>
    <t>11 ↑ +0.44%</t>
  </si>
  <si>
    <t>59 ↑ +0.41%</t>
  </si>
  <si>
    <t>96 ↑ +0.33%</t>
  </si>
  <si>
    <t>59 ↑ +0.53%</t>
  </si>
  <si>
    <t>31 ↓ -0.03%</t>
  </si>
  <si>
    <t>72 ↓ -1.51%</t>
  </si>
  <si>
    <t>60 ↓ -1.51%</t>
  </si>
  <si>
    <t>102 ↓ -0.91%</t>
  </si>
  <si>
    <t>49 ↓ -0.36%</t>
  </si>
  <si>
    <t>72 ↑ +0.95%</t>
  </si>
  <si>
    <t>10 ↑ +0.87%</t>
  </si>
  <si>
    <t>47 ↑ +0.59%</t>
  </si>
  <si>
    <t>106 ↑ +0.57%</t>
  </si>
  <si>
    <t>57 ↑ +0.42%</t>
  </si>
  <si>
    <t>33 ↑ +0.29%</t>
  </si>
  <si>
    <t>72 ↑ +0.96%</t>
  </si>
  <si>
    <t>11 ↓ -3.18%</t>
  </si>
  <si>
    <t>54 ↓ -2.60%</t>
  </si>
  <si>
    <t>97 ↓ -2.04%</t>
  </si>
  <si>
    <t>54 ↓ -0.95%</t>
  </si>
  <si>
    <t>36 ↓ -0.89%</t>
  </si>
  <si>
    <t>71 ↓ -0.45%</t>
  </si>
  <si>
    <t>7 ↓ -0.57%</t>
  </si>
  <si>
    <t>35 ↓ -0.75%</t>
  </si>
  <si>
    <t>104 ↓ -0.24%</t>
  </si>
  <si>
    <t>66 ↓ -0.36%</t>
  </si>
  <si>
    <t>35 ↓ -0.19%</t>
  </si>
  <si>
    <t>75 ↑ +0.61%</t>
  </si>
  <si>
    <t>7 ↓ -1.23%</t>
  </si>
  <si>
    <t>27 ↓ -0.97%</t>
  </si>
  <si>
    <t>108 ↓ -0.93%</t>
  </si>
  <si>
    <t>64 ↓ -0.82%</t>
  </si>
  <si>
    <t>39 ↓ -0.54%</t>
  </si>
  <si>
    <t>74 ↑ +2.40%</t>
  </si>
  <si>
    <t>23 ↓ -0.14%</t>
  </si>
  <si>
    <t>105 ↑ +0.13%</t>
  </si>
  <si>
    <t>67 ↑ +0.72%</t>
  </si>
  <si>
    <t>43 ↑ +0.73%</t>
  </si>
  <si>
    <t>74 ↑ +2.60%</t>
  </si>
  <si>
    <t>20 ↓ -0.54%</t>
  </si>
  <si>
    <t>109 ↑ +0.03%</t>
  </si>
  <si>
    <t>74 ↑ +0.21%</t>
  </si>
  <si>
    <t>35 ↑ +0.29%</t>
  </si>
  <si>
    <t>75 ↑ +0.75%</t>
  </si>
  <si>
    <t>7 ↓ -0.68%</t>
  </si>
  <si>
    <t>19 ↑ +0.23%</t>
  </si>
  <si>
    <t>114 ↑ +0.60%</t>
  </si>
  <si>
    <t>71 ↑ +0.39%</t>
  </si>
  <si>
    <t>34 ↑ +0.51%</t>
  </si>
  <si>
    <t>74 ↑ +0.92%</t>
  </si>
  <si>
    <t>6 ↓ -1.11%</t>
  </si>
  <si>
    <t>23 ↓ -1.18%</t>
  </si>
  <si>
    <t>112 ↓ -0.70%</t>
  </si>
  <si>
    <t>71 ↓ -1.11%</t>
  </si>
  <si>
    <t>33 ↓ -0.58%</t>
  </si>
  <si>
    <t>72 ↑ +0.04%</t>
  </si>
  <si>
    <t>5 ↓ -5.42%</t>
  </si>
  <si>
    <t>20 ↓ -2.06%</t>
  </si>
  <si>
    <t>110 ↓ -1.27%</t>
  </si>
  <si>
    <t>66 ↓ -1.00%</t>
  </si>
  <si>
    <t>72 ↑ +0.62%</t>
  </si>
  <si>
    <t>3 ↓ -0.43%</t>
  </si>
  <si>
    <t>15 ↓ -0.13%</t>
  </si>
  <si>
    <t>104 ↓ -0.29%</t>
  </si>
  <si>
    <t>79 ↓ -0.22%</t>
  </si>
  <si>
    <t>41 ↓ -0.34%</t>
  </si>
  <si>
    <t>75 ↑ +0.65%</t>
  </si>
  <si>
    <t>3 ↓ -0.93%</t>
  </si>
  <si>
    <t>16 ↓ -0.45%</t>
  </si>
  <si>
    <t>99 ↓ -0.93%</t>
  </si>
  <si>
    <t>79 ↓ -0.99%</t>
  </si>
  <si>
    <t>45 ↓ -1.85%</t>
  </si>
  <si>
    <t>75 ↓ -1.91%</t>
  </si>
  <si>
    <t>12 ↓ -0.21%</t>
  </si>
  <si>
    <t>90 ↓ -0.39%</t>
  </si>
  <si>
    <t>84 ↓ -0.33%</t>
  </si>
  <si>
    <t>45 ↓ -0.16%</t>
  </si>
  <si>
    <t>85 ↑ +1.32%</t>
  </si>
  <si>
    <t>12 ↓ -0.35%</t>
  </si>
  <si>
    <t>84 ↓ -0.63%</t>
  </si>
  <si>
    <t>89 ↓ -0.85%</t>
  </si>
  <si>
    <t>48 ↓ -0.74%</t>
  </si>
  <si>
    <t>84 ↑ +0.90%</t>
  </si>
  <si>
    <t>87 ↓ -0.07%</t>
  </si>
  <si>
    <t>2 ↓ -0.07%</t>
  </si>
  <si>
    <t>81 ↓ -0.32%</t>
  </si>
  <si>
    <t>52 ↑ +0.18%</t>
  </si>
  <si>
    <t>90 ↑ +0.66%</t>
  </si>
  <si>
    <t>87 ↓ -0.12%</t>
  </si>
  <si>
    <t>55 ↓ -0.04%</t>
  </si>
  <si>
    <t>89 ↑ +1.21%</t>
  </si>
  <si>
    <t>74 ↓ -0.12%</t>
  </si>
  <si>
    <t>88 ↓ -0.12%</t>
  </si>
  <si>
    <t>60 ↓ -0.72%</t>
  </si>
  <si>
    <t>88 ↓ -0.77%</t>
  </si>
  <si>
    <t>8 ↑ +0.08%</t>
  </si>
  <si>
    <t>74 ↑ +0.08%</t>
  </si>
  <si>
    <t>87 ↑ +0.02%</t>
  </si>
  <si>
    <t>57 ↑ +1.17%</t>
  </si>
  <si>
    <t>8 ↑ +0.01%</t>
  </si>
  <si>
    <t>77 ↑ +0.15%</t>
  </si>
  <si>
    <t>86 ↑ +0.66%</t>
  </si>
  <si>
    <t>55 ↑ +0.44%</t>
  </si>
  <si>
    <t>89 ↑ +0.93%</t>
  </si>
  <si>
    <t>2 ↓ -0.08%</t>
  </si>
  <si>
    <t>84 ↓ -0.05%</t>
  </si>
  <si>
    <t>85 ↓ -0.06%</t>
  </si>
  <si>
    <t>51 ↑ +0.10%</t>
  </si>
  <si>
    <t>88 ↑ +0.08%</t>
  </si>
  <si>
    <t>78 ↓ -0.02%</t>
  </si>
  <si>
    <t>88 ↑ +0.06%</t>
  </si>
  <si>
    <t>52 ↓ -0.52%</t>
  </si>
  <si>
    <t>87 ↓ -0.14%</t>
  </si>
  <si>
    <t>2 ↓ -0.75%</t>
  </si>
  <si>
    <t>75 ↓ -0.21%</t>
  </si>
  <si>
    <t>88 ↓ -0.60%</t>
  </si>
  <si>
    <t>51 ↓ -0.68%</t>
  </si>
  <si>
    <t>93 ↓ -0.03%</t>
  </si>
  <si>
    <t>9 ↓ -0.00%</t>
  </si>
  <si>
    <t>50 ↓ -0.14%</t>
  </si>
  <si>
    <t>72 ↑ +0.25%</t>
  </si>
  <si>
    <t>83 ↑ +0.09%</t>
  </si>
  <si>
    <t>50 ↓ -0.01%</t>
  </si>
  <si>
    <t>2 ↑ +1.04%</t>
  </si>
  <si>
    <t>71 ↑ +0.43%</t>
  </si>
  <si>
    <t>88 ↑ +0.24%</t>
  </si>
  <si>
    <t>50 ↑ +0.41%</t>
  </si>
  <si>
    <t>95 ↑ +1.15%</t>
  </si>
  <si>
    <t>2 ↓ -0.16%</t>
  </si>
  <si>
    <t>77 ↓ -0.11%</t>
  </si>
  <si>
    <t>47 ↑ +0.51%</t>
  </si>
  <si>
    <t>93 ↑ +0.49%</t>
  </si>
  <si>
    <t>2 ↓ -0.28%</t>
  </si>
  <si>
    <t>10 ↓ -0.10%</t>
  </si>
  <si>
    <t>81 ↓ -0.31%</t>
  </si>
  <si>
    <t>78 ↑ +0.02%</t>
  </si>
  <si>
    <t>51 ↓ -0.69%</t>
  </si>
  <si>
    <t>91 ↓ -0.18%</t>
  </si>
  <si>
    <t>2 ↑ +1.73%</t>
  </si>
  <si>
    <t>79 ↑ +0.02%</t>
  </si>
  <si>
    <t>85 ↑ +0.36%</t>
  </si>
  <si>
    <t>44 ↑ +0.50%</t>
  </si>
  <si>
    <t>94 ↓ -0.84%</t>
  </si>
  <si>
    <t>79 ↓ -0.54%</t>
  </si>
  <si>
    <t>87 ↓ -0.94%</t>
  </si>
  <si>
    <t>39 ↓ -0.41%</t>
  </si>
  <si>
    <t>97 ↓ -1.40%</t>
  </si>
  <si>
    <t>3 ↓ -2.15%</t>
  </si>
  <si>
    <t>73 ↓ -0.03%</t>
  </si>
  <si>
    <t>84 ↓ -0.10%</t>
  </si>
  <si>
    <t>41 ↑ +1.55%</t>
  </si>
  <si>
    <t>100 ↓ -0.02%</t>
  </si>
  <si>
    <t>2 ↓ -3.25%</t>
  </si>
  <si>
    <t>41 ↑ +0.61%</t>
  </si>
  <si>
    <t>98 ↑ +3.44%</t>
  </si>
  <si>
    <t>1 ↓ -0.11%</t>
  </si>
  <si>
    <t>68 ↓ -0.03%</t>
  </si>
  <si>
    <t>92 ↑ +0.08%</t>
  </si>
  <si>
    <t>47 ↑ +0.05%</t>
  </si>
  <si>
    <t>91 ↑ +2.14%</t>
  </si>
  <si>
    <t>70 ↓ -0.43%</t>
  </si>
  <si>
    <t>91 ↓ -0.36%</t>
  </si>
  <si>
    <t>47 ↓ -0.74%</t>
  </si>
  <si>
    <t>91 ↓ -0.71%</t>
  </si>
  <si>
    <t>1 ↓ -0.41%</t>
  </si>
  <si>
    <t>8 ↓ -0.00%</t>
  </si>
  <si>
    <t>68 ↓ -0.28%</t>
  </si>
  <si>
    <t>88 ↓ -0.48%</t>
  </si>
  <si>
    <t>1 ↑ +0.56%</t>
  </si>
  <si>
    <t>60 ↑ +0.63%</t>
  </si>
  <si>
    <t>93 ↑ +1.00%</t>
  </si>
  <si>
    <t>54 ↑ +1.07%</t>
  </si>
  <si>
    <t>91 ↑ +1.94%</t>
  </si>
  <si>
    <t>9 ↑ +0.07%</t>
  </si>
  <si>
    <t>72 ↓ -0.12%</t>
  </si>
  <si>
    <t>89 ↓ -0.51%</t>
  </si>
  <si>
    <t>49 ↓ -0.19%</t>
  </si>
  <si>
    <t>86 ↓ -1.68%</t>
  </si>
  <si>
    <t>72 ↑ +0.28%</t>
  </si>
  <si>
    <t>81 ↑ +0.75%</t>
  </si>
  <si>
    <t>55 ↑ +1.01%</t>
  </si>
  <si>
    <t>88 ↑ +1.94%</t>
  </si>
  <si>
    <t>81 ↑ +0.32%</t>
  </si>
  <si>
    <t>48 ↑ +0.12%</t>
  </si>
  <si>
    <t>86 ↑ +0.98%</t>
  </si>
  <si>
    <t>9 ↑ +0.02%</t>
  </si>
  <si>
    <t>81 ↑ +0.35%</t>
  </si>
  <si>
    <t>78 ↑ +0.39%</t>
  </si>
  <si>
    <t>52 ↑ +0.86%</t>
  </si>
  <si>
    <t>82 ↓ -1.95%</t>
  </si>
  <si>
    <t>1 ↓ -2.48%</t>
  </si>
  <si>
    <t>83 ↓ -0.74%</t>
  </si>
  <si>
    <t>80 ↓ -0.94%</t>
  </si>
  <si>
    <t>54 ↓ -1.75%</t>
  </si>
  <si>
    <t>76 ↓ -2.86%</t>
  </si>
  <si>
    <t>1 ↓ -1.38%</t>
  </si>
  <si>
    <t>9 ↓ -0.67%</t>
  </si>
  <si>
    <t>73 ↓ -1.17%</t>
  </si>
  <si>
    <t>72 ↓ -1.76%</t>
  </si>
  <si>
    <t>62 ↓ -2.08%</t>
  </si>
  <si>
    <t>86 ↓ -2.14%</t>
  </si>
  <si>
    <t>1 ↓ -1.27%</t>
  </si>
  <si>
    <t>53 ↓ -0.17%</t>
  </si>
  <si>
    <t>82 ↓ -0.04%</t>
  </si>
  <si>
    <t>63 ↓ -0.28%</t>
  </si>
  <si>
    <t>94 ↑ +0.48%</t>
  </si>
  <si>
    <t>58 ↓ -0.41%</t>
  </si>
  <si>
    <t>98 ↓ -1.64%</t>
  </si>
  <si>
    <t>1 ↓ -1.53%</t>
  </si>
  <si>
    <t>60 ↑ +0.19%</t>
  </si>
  <si>
    <t>59 ↑ +0.40%</t>
  </si>
  <si>
    <t>99 ↑ +1.92%</t>
  </si>
  <si>
    <t>1 ↓ -1.01%</t>
  </si>
  <si>
    <t>8 ↓ -0.62%</t>
  </si>
  <si>
    <t>57 ↓ -0.28%</t>
  </si>
  <si>
    <t>84 ↑ +0.13%</t>
  </si>
  <si>
    <t>57 ↑ +0.61%</t>
  </si>
  <si>
    <t>93 ↑ +7.38%</t>
  </si>
  <si>
    <t>1 ↑ +2.95%</t>
  </si>
  <si>
    <t>8 ↓ -0.50%</t>
  </si>
  <si>
    <t>86 ↓ -0.86%</t>
  </si>
  <si>
    <t>62 ↓ -1.67%</t>
  </si>
  <si>
    <t>84 ↓ -4.64%</t>
  </si>
  <si>
    <t>1 ↑ +1.11%</t>
  </si>
  <si>
    <t>7 ↑ +0.39%</t>
  </si>
  <si>
    <t>52 ↑ +0.57%</t>
  </si>
  <si>
    <t>80 ↑ +0.94%</t>
  </si>
  <si>
    <t>68 ↑ +1.14%</t>
  </si>
  <si>
    <t>93 ↑ +4.37%</t>
  </si>
  <si>
    <t>1 ↑ +0.20%</t>
  </si>
  <si>
    <t>64 ↑ +0.02%</t>
  </si>
  <si>
    <t>83 ↓ -0.27%</t>
  </si>
  <si>
    <t>63 ↓ -0.34%</t>
  </si>
  <si>
    <t>83 ↑ +1.14%</t>
  </si>
  <si>
    <t>1 ↑ +0.15%</t>
  </si>
  <si>
    <t>63 ↑ +0.24%</t>
  </si>
  <si>
    <t>58 ↑ +0.63%</t>
  </si>
  <si>
    <t>89 ↑ +3.67%</t>
  </si>
  <si>
    <t>1 ↓ -0.10%</t>
  </si>
  <si>
    <t>68 ↓ -0.09%</t>
  </si>
  <si>
    <t>80 ↓ -0.35%</t>
  </si>
  <si>
    <t>66 ↓ -0.29%</t>
  </si>
  <si>
    <t>79 ↑ +1.77%</t>
  </si>
  <si>
    <t>64 ↑ +0.05%</t>
  </si>
  <si>
    <t>83 ↑ +0.29%</t>
  </si>
  <si>
    <t>61 ↓ -0.20%</t>
  </si>
  <si>
    <t>85 ↓ -0.55%</t>
  </si>
  <si>
    <t>68 ↑ +0.07%</t>
  </si>
  <si>
    <t>79 ↑ +0.08%</t>
  </si>
  <si>
    <t>55 ↑ +0.22%</t>
  </si>
  <si>
    <t>89 ↓ -0.19%</t>
  </si>
  <si>
    <t>1 ↓ -0.15%</t>
  </si>
  <si>
    <t>66 ↑ +0.07%</t>
  </si>
  <si>
    <t>80 ↓ -0.23%</t>
  </si>
  <si>
    <t>54 ↓ -0.12%</t>
  </si>
  <si>
    <t>91 ↓ -0.17%</t>
  </si>
  <si>
    <t>64 ↑ +0.01%</t>
  </si>
  <si>
    <t>83 ↑ +0.23%</t>
  </si>
  <si>
    <t>51 ↑ +0.63%</t>
  </si>
  <si>
    <t>93 ↑ +1.07%</t>
  </si>
  <si>
    <t>1 ↑ +0.36%</t>
  </si>
  <si>
    <t>8 ↑ +1.09%</t>
  </si>
  <si>
    <t>65 ↑ +0.88%</t>
  </si>
  <si>
    <t>83 ↑ +1.46%</t>
  </si>
  <si>
    <t>52 ↑ +1.55%</t>
  </si>
  <si>
    <t>91 ↑ +2.47%</t>
  </si>
  <si>
    <t>8 ↑ +0.43%</t>
  </si>
  <si>
    <t>85 ↑ +0.60%</t>
  </si>
  <si>
    <t>75 ↑ +1.07%</t>
  </si>
  <si>
    <t>52 ↑ +1.41%</t>
  </si>
  <si>
    <t>79 ↑ +3.03%</t>
  </si>
  <si>
    <t>7 ↓ -0.54%</t>
  </si>
  <si>
    <t>79 ↑ +0.19%</t>
  </si>
  <si>
    <t>94 ↑ +0.42%</t>
  </si>
  <si>
    <t>79 ↑ +1.03%</t>
  </si>
  <si>
    <t>51 ↑ +1.38%</t>
  </si>
  <si>
    <t>67 ↑ +1.10%</t>
  </si>
  <si>
    <t>1 ↓ -0.65%</t>
  </si>
  <si>
    <t>8 ↓ -0.53%</t>
  </si>
  <si>
    <t>104 ↓ -0.89%</t>
  </si>
  <si>
    <t>77 ↓ -0.82%</t>
  </si>
  <si>
    <t>62 ↓ -0.72%</t>
  </si>
  <si>
    <t>1 ↓ -0.19%</t>
  </si>
  <si>
    <t>7 ↓ -0.25%</t>
  </si>
  <si>
    <t>90 ↓ -0.41%</t>
  </si>
  <si>
    <t>88 ↓ -0.68%</t>
  </si>
  <si>
    <t>49 ↓ -0.39%</t>
  </si>
  <si>
    <t>64 ↓ -0.11%</t>
  </si>
  <si>
    <t>1 ↓ -1.25%</t>
  </si>
  <si>
    <t>7 ↓ -0.33%</t>
  </si>
  <si>
    <t>81 ↓ -0.80%</t>
  </si>
  <si>
    <t>92 ↓ -1.34%</t>
  </si>
  <si>
    <t>51 ↓ -2.02%</t>
  </si>
  <si>
    <t>66 ↓ -2.51%</t>
  </si>
  <si>
    <t>1 ↓ -0.12%</t>
  </si>
  <si>
    <t>69 ↓ -0.09%</t>
  </si>
  <si>
    <t>90 ↑ +0.15%</t>
  </si>
  <si>
    <t>76 ↓ -0.14%</t>
  </si>
  <si>
    <t>1 ↓ -0.56%</t>
  </si>
  <si>
    <t>6 ↓ -0.17%</t>
  </si>
  <si>
    <t>67 ↓ -0.47%</t>
  </si>
  <si>
    <t>91 ↓ -0.63%</t>
  </si>
  <si>
    <t>72 ↓ -0.73%</t>
  </si>
  <si>
    <t>67 ↓ -0.24%</t>
  </si>
  <si>
    <t>83 ↑ +0.05%</t>
  </si>
  <si>
    <t>77 ↑ +0.31%</t>
  </si>
  <si>
    <t>54 ↑ +0.57%</t>
  </si>
  <si>
    <t>79 ↑ +0.85%</t>
  </si>
  <si>
    <t>1 ↓ -0.02%</t>
  </si>
  <si>
    <t>67 ↑ +0.03%</t>
  </si>
  <si>
    <t>91 ↑ +0.06%</t>
  </si>
  <si>
    <t>75 ↑ +0.14%</t>
  </si>
  <si>
    <t>1 ↓ -0.44%</t>
  </si>
  <si>
    <t>6 ↓ -0.14%</t>
  </si>
  <si>
    <t>69 ↓ -0.61%</t>
  </si>
  <si>
    <t>89 ↓ -0.58%</t>
  </si>
  <si>
    <t>51 ↓ -0.84%</t>
  </si>
  <si>
    <t>59 ↑ +0.04%</t>
  </si>
  <si>
    <t>89 ↓ -0.34%</t>
  </si>
  <si>
    <t>52 ↑ +0.08%</t>
  </si>
  <si>
    <t>86 ↑ +1.27%</t>
  </si>
  <si>
    <t>6 ↓ -0.16%</t>
  </si>
  <si>
    <t>56 ↑ +0.06%</t>
  </si>
  <si>
    <t>94 ↑ +0.35%</t>
  </si>
  <si>
    <t>84 ↑ +1.23%</t>
  </si>
  <si>
    <t>1 ↑ +0.28%</t>
  </si>
  <si>
    <t>6 ↑ +0.10%</t>
  </si>
  <si>
    <t>56 ↑ +0.29%</t>
  </si>
  <si>
    <t>94 ↑ +0.10%</t>
  </si>
  <si>
    <t>51 ↑ +0.49%</t>
  </si>
  <si>
    <t>82 ↑ +1.66%</t>
  </si>
  <si>
    <t>57 ↓ -1.07%</t>
  </si>
  <si>
    <t>93 ↓ -1.39%</t>
  </si>
  <si>
    <t>60 ↓ -1.44%</t>
  </si>
  <si>
    <t>76 ↓ -1.72%</t>
  </si>
  <si>
    <t>1 ↑ +0.02%</t>
  </si>
  <si>
    <t>48 ↓ -0.45%</t>
  </si>
  <si>
    <t>92 ↓ -1.04%</t>
  </si>
  <si>
    <t>61 ↓ -1.67%</t>
  </si>
  <si>
    <t>85 ↓ -3.45%</t>
  </si>
  <si>
    <t>42 ↑ +0.09%</t>
  </si>
  <si>
    <t>81 ↑ +0.38%</t>
  </si>
  <si>
    <t>66 ↑ +0.09%</t>
  </si>
  <si>
    <t>95 ↓ -0.92%</t>
  </si>
  <si>
    <t>45 ↓ -0.19%</t>
  </si>
  <si>
    <t>84 ↓ -0.58%</t>
  </si>
  <si>
    <t>58 ↓ -0.76%</t>
  </si>
  <si>
    <t>97 ↓ -2.06%</t>
  </si>
  <si>
    <t>1 ↓ -0.34%</t>
  </si>
  <si>
    <t>42 ↓ -0.07%</t>
  </si>
  <si>
    <t>79 ↓ -0.09%</t>
  </si>
  <si>
    <t>60 ↑ +0.52%</t>
  </si>
  <si>
    <t>102 ↓ -0.73%</t>
  </si>
  <si>
    <t>43 ↓ -0.05%</t>
  </si>
  <si>
    <t>78 ↓ -0.06%</t>
  </si>
  <si>
    <t>59 ↓ -0.73%</t>
  </si>
  <si>
    <t>105 ↓ -0.24%</t>
  </si>
  <si>
    <t>41 ↑ +0.38%</t>
  </si>
  <si>
    <t>81 ↑ +0.33%</t>
  </si>
  <si>
    <t>54 ↑ +0.62%</t>
  </si>
  <si>
    <t>109 ↑ +0.46%</t>
  </si>
  <si>
    <t>1 ↑ +0.35%</t>
  </si>
  <si>
    <t>44 ↑ +0.05%</t>
  </si>
  <si>
    <t>80 ↑ +0.21%</t>
  </si>
  <si>
    <t>54 ↑ +0.83%</t>
  </si>
  <si>
    <t>45 ↑ +0.12%</t>
  </si>
  <si>
    <t>55 ↑ +0.50%</t>
  </si>
  <si>
    <t>105 ↑ +0.66%</t>
  </si>
  <si>
    <t>1 ↑ +0.49%</t>
  </si>
  <si>
    <t>86 ↑ +0.18%</t>
  </si>
  <si>
    <t>54 ↑ +1.24%</t>
  </si>
  <si>
    <t>104 ↑ +0.58%</t>
  </si>
  <si>
    <t>46 ↓ -0.09%</t>
  </si>
  <si>
    <t>103 ↑ +1.29%</t>
  </si>
  <si>
    <t>1 ↓ -0.58%</t>
  </si>
  <si>
    <t>50 ↓ -0.62%</t>
  </si>
  <si>
    <t>88 ↓ -0.88%</t>
  </si>
  <si>
    <t>55 ↓ -1.19%</t>
  </si>
  <si>
    <t>99 ↓ -1.36%</t>
  </si>
  <si>
    <t>5 ↓ -0.15%</t>
  </si>
  <si>
    <t>42 ↑ +0.12%</t>
  </si>
  <si>
    <t>83 ↓ -0.10%</t>
  </si>
  <si>
    <t>61 ↑ +0.36%</t>
  </si>
  <si>
    <t>106 ↑ +0.13%</t>
  </si>
  <si>
    <t>1 ↓ -0.31%</t>
  </si>
  <si>
    <t>5 ↓ -0.25%</t>
  </si>
  <si>
    <t>51 ↑ +0.07%</t>
  </si>
  <si>
    <t>108 ↑ +0.08%</t>
  </si>
  <si>
    <t>1 ↓ -1.45%</t>
  </si>
  <si>
    <t>45 ↓ -0.03%</t>
  </si>
  <si>
    <t>55 ↑ +0.54%</t>
  </si>
  <si>
    <t>105 ↑ +0.19%</t>
  </si>
  <si>
    <t>1 ↑ +2.28%</t>
  </si>
  <si>
    <t>80 ↑ +0.02%</t>
  </si>
  <si>
    <t>58 ↓ -0.52%</t>
  </si>
  <si>
    <t>104 ↓ -0.47%</t>
  </si>
  <si>
    <t>1 ↓ -1.42%</t>
  </si>
  <si>
    <t>4 ↓ -0.11%</t>
  </si>
  <si>
    <t>42 ↓ -0.10%</t>
  </si>
  <si>
    <t>114 ↓ -0.64%</t>
  </si>
  <si>
    <t>1 ↑ +1.70%</t>
  </si>
  <si>
    <t>5 ↑ +0.09%</t>
  </si>
  <si>
    <t>76 ↑ +0.57%</t>
  </si>
  <si>
    <t>51 ↑ +0.45%</t>
  </si>
  <si>
    <t>120 ↑ +0.93%</t>
  </si>
  <si>
    <t>6 ↑ +0.22%</t>
  </si>
  <si>
    <t>39 ↑ +0.46%</t>
  </si>
  <si>
    <t>50 ↑ +1.62%</t>
  </si>
  <si>
    <t>114 ↑ +2.31%</t>
  </si>
  <si>
    <t>7 ↓ -0.43%</t>
  </si>
  <si>
    <t>41 ↑ +0.18%</t>
  </si>
  <si>
    <t>48 ↑ +0.43%</t>
  </si>
  <si>
    <t>110 ↓ -1.17%</t>
  </si>
  <si>
    <t>6 ↓ -0.59%</t>
  </si>
  <si>
    <t>41 ↑ +0.14%</t>
  </si>
  <si>
    <t>87 ↑ +0.19%</t>
  </si>
  <si>
    <t>44 ↑ +0.42%</t>
  </si>
  <si>
    <t>109 ↑ +1.58%</t>
  </si>
  <si>
    <t>1 ↓ -0.51%</t>
  </si>
  <si>
    <t>48 ↓ -0.16%</t>
  </si>
  <si>
    <t>82 ↓ -0.11%</t>
  </si>
  <si>
    <t>46 ↓ -0.96%</t>
  </si>
  <si>
    <t>105 ↑ +0.33%</t>
  </si>
  <si>
    <t>47 ↑ +0.00%</t>
  </si>
  <si>
    <t>76 ↓ -0.63%</t>
  </si>
  <si>
    <t>45 ↓ -1.12%</t>
  </si>
  <si>
    <t>112 ↓ -1.83%</t>
  </si>
  <si>
    <t>6 ↑ +0.23%</t>
  </si>
  <si>
    <t>45 ↑ +0.68%</t>
  </si>
  <si>
    <t>67 ↑ +0.92%</t>
  </si>
  <si>
    <t>46 ↑ +0.89%</t>
  </si>
  <si>
    <t>120 ↑ +2.82%</t>
  </si>
  <si>
    <t>49 ↓ -0.35%</t>
  </si>
  <si>
    <t>113 ↑ +1.40%</t>
  </si>
  <si>
    <t>1 ↓ -0.13%</t>
  </si>
  <si>
    <t>74 ↓ -0.20%</t>
  </si>
  <si>
    <t>38 ↓ -0.18%</t>
  </si>
  <si>
    <t>117 ↓ -0.18%</t>
  </si>
  <si>
    <t>69 ↑ +0.27%</t>
  </si>
  <si>
    <t>42 ↑ +0.87%</t>
  </si>
  <si>
    <t>118 ↑ +1.70%</t>
  </si>
  <si>
    <t>63 ↓ -0.14%</t>
  </si>
  <si>
    <t>47 ↓ -0.64%</t>
  </si>
  <si>
    <t>114 ↓ -0.37%</t>
  </si>
  <si>
    <t>47 ↑ +0.79%</t>
  </si>
  <si>
    <t>63 ↑ +1.15%</t>
  </si>
  <si>
    <t>43 ↑ +1.61%</t>
  </si>
  <si>
    <t>121 ↑ +2.65%</t>
  </si>
  <si>
    <t>1 ↓ -2.42%</t>
  </si>
  <si>
    <t>53 ↑ +0.31%</t>
  </si>
  <si>
    <t>64 ↑ +0.81%</t>
  </si>
  <si>
    <t>41 ↑ +0.69%</t>
  </si>
  <si>
    <t>111 ↑ +1.48%</t>
  </si>
  <si>
    <t>1 ↑ +5.92%</t>
  </si>
  <si>
    <t>53 ↑ +0.36%</t>
  </si>
  <si>
    <t>68 ↑ +0.30%</t>
  </si>
  <si>
    <t>37 ↑ +0.15%</t>
  </si>
  <si>
    <t>1 ↑ +0.19%</t>
  </si>
  <si>
    <t>9 ↑ +0.43%</t>
  </si>
  <si>
    <t>58 ↑ +0.50%</t>
  </si>
  <si>
    <t>67 ↑ +0.89%</t>
  </si>
  <si>
    <t>38 ↑ +1.34%</t>
  </si>
  <si>
    <t>106 ↑ +2.39%</t>
  </si>
  <si>
    <t>10 ↑ +0.22%</t>
  </si>
  <si>
    <t>63 ↑ +0.27%</t>
  </si>
  <si>
    <t>66 ↑ +0.45%</t>
  </si>
  <si>
    <t>42 ↑ +0.81%</t>
  </si>
  <si>
    <t>97 ↑ +2.00%</t>
  </si>
  <si>
    <t>10 ↑ +0.11%</t>
  </si>
  <si>
    <t>63 ↓ -0.10%</t>
  </si>
  <si>
    <t>70 ↓ -0.32%</t>
  </si>
  <si>
    <t>44 ↓ -0.60%</t>
  </si>
  <si>
    <t>89 ↑ +0.13%</t>
  </si>
  <si>
    <t>1 ↓ -0.52%</t>
  </si>
  <si>
    <t>64 ↓ -0.83%</t>
  </si>
  <si>
    <t>66 ↓ -1.71%</t>
  </si>
  <si>
    <t>48 ↓ -2.98%</t>
  </si>
  <si>
    <t>86 ↓ -3.60%</t>
  </si>
  <si>
    <t>1 ↓ -0.38%</t>
  </si>
  <si>
    <t>10 ↓ -0.14%</t>
  </si>
  <si>
    <t>65 ↓ -0.25%</t>
  </si>
  <si>
    <t>37 ↓ -0.18%</t>
  </si>
  <si>
    <t>108 ↑ +0.34%</t>
  </si>
  <si>
    <t>9 ↑ +0.18%</t>
  </si>
  <si>
    <t>52 ↑ +0.16%</t>
  </si>
  <si>
    <t>59 ↑ +0.49%</t>
  </si>
  <si>
    <t>45 ↑ +0.72%</t>
  </si>
  <si>
    <t>107 ↑ +1.21%</t>
  </si>
  <si>
    <t>9 ↓ -0.09%</t>
  </si>
  <si>
    <t>54 ↑ +0.14%</t>
  </si>
  <si>
    <t>60 ↑ +0.30%</t>
  </si>
  <si>
    <t>51 ↓ -0.32%</t>
  </si>
  <si>
    <t>98 ↑ +0.91%</t>
  </si>
  <si>
    <t>1 ↑ +0.57%</t>
  </si>
  <si>
    <t>10 ↑ +0.72%</t>
  </si>
  <si>
    <t>56 ↑ +1.27%</t>
  </si>
  <si>
    <t>59 ↑ +2.33%</t>
  </si>
  <si>
    <t>51 ↑ +2.73%</t>
  </si>
  <si>
    <t>94 ↑ +2.74%</t>
  </si>
  <si>
    <t>63 ↑ +0.03%</t>
  </si>
  <si>
    <t>80 ↑ +0.47%</t>
  </si>
  <si>
    <t>2 ↓ -0.60%</t>
  </si>
  <si>
    <t>10 ↓ -1.06%</t>
  </si>
  <si>
    <t>69 ↓ -1.95%</t>
  </si>
  <si>
    <t>63 ↓ -2.73%</t>
  </si>
  <si>
    <t>47 ↓ -3.47%</t>
  </si>
  <si>
    <t>78 ↓ -5.40%</t>
  </si>
  <si>
    <t>53 ↓ -0.66%</t>
  </si>
  <si>
    <t>59 ↓ -1.11%</t>
  </si>
  <si>
    <t>50 ↓ -1.56%</t>
  </si>
  <si>
    <t>96 ↓ -1.51%</t>
  </si>
  <si>
    <t>1 ↑ +0.23%</t>
  </si>
  <si>
    <t>47 ↓ -0.44%</t>
  </si>
  <si>
    <t>61 ↓ -0.70%</t>
  </si>
  <si>
    <t>46 ↓ -0.83%</t>
  </si>
  <si>
    <t>105 ↓ -0.65%</t>
  </si>
  <si>
    <t>1 ↑ +0.65%</t>
  </si>
  <si>
    <t>48 ↑ +0.99%</t>
  </si>
  <si>
    <t>58 ↑ +1.11%</t>
  </si>
  <si>
    <t>44 ↑ +2.57%</t>
  </si>
  <si>
    <t>107 ↑ +5.02%</t>
  </si>
  <si>
    <t>7 ↓ -0.64%</t>
  </si>
  <si>
    <t>53 ↓ -0.78%</t>
  </si>
  <si>
    <t>63 ↓ -1.03%</t>
  </si>
  <si>
    <t>49 ↓ -1.45%</t>
  </si>
  <si>
    <t>92 ↓ -0.78%</t>
  </si>
  <si>
    <t>1 ↑ +1.84%</t>
  </si>
  <si>
    <t>48 ↑ +1.55%</t>
  </si>
  <si>
    <t>100 ↑ +2.28%</t>
  </si>
  <si>
    <t>56 ↑ +0.05%</t>
  </si>
  <si>
    <t>61 ↑ +0.58%</t>
  </si>
  <si>
    <t>53 ↑ +1.08%</t>
  </si>
  <si>
    <t>88 ↑ +1.92%</t>
  </si>
  <si>
    <t>57 ↓ -0.11%</t>
  </si>
  <si>
    <t>67 ↓ -0.08%</t>
  </si>
  <si>
    <t>44 ↑ +1.53%</t>
  </si>
  <si>
    <t>87 ↑ +2.45%</t>
  </si>
  <si>
    <t>1 ↑ +0.39%</t>
  </si>
  <si>
    <t>7 ↑ +1.47%</t>
  </si>
  <si>
    <t>55 ↑ +2.03%</t>
  </si>
  <si>
    <t>70 ↑ +3.02%</t>
  </si>
  <si>
    <t>44 ↑ +3.12%</t>
  </si>
  <si>
    <t>85 ↑ +3.85%</t>
  </si>
  <si>
    <t>2 ↑ +0.53%</t>
  </si>
  <si>
    <t>8 ↑ +0.76%</t>
  </si>
  <si>
    <t>73 ↑ +1.25%</t>
  </si>
  <si>
    <t>66 ↑ +1.35%</t>
  </si>
  <si>
    <t>42 ↑ +1.49%</t>
  </si>
  <si>
    <t>70 ↑ +0.86%</t>
  </si>
  <si>
    <t>80 ↑ +1.07%</t>
  </si>
  <si>
    <t>60 ↑ +1.59%</t>
  </si>
  <si>
    <t>39 ↑ +2.65%</t>
  </si>
  <si>
    <t>65 ↑ +0.78%</t>
  </si>
  <si>
    <t>19 ↑ +0.05%</t>
  </si>
  <si>
    <t>94 ↑ +0.15%</t>
  </si>
  <si>
    <t>57 ↑ +0.50%</t>
  </si>
  <si>
    <t>27 ↑ +0.81%</t>
  </si>
  <si>
    <t>60 ↑ +0.74%</t>
  </si>
  <si>
    <t>2 ↓ -0.31%</t>
  </si>
  <si>
    <t>18 ↓ -0.20%</t>
  </si>
  <si>
    <t>95 ↑ +0.13%</t>
  </si>
  <si>
    <t>58 ↑ +0.40%</t>
  </si>
  <si>
    <t>28 ↑ +1.09%</t>
  </si>
  <si>
    <t>58 ↑ +1.86%</t>
  </si>
  <si>
    <t>18 ↓ -0.64%</t>
  </si>
  <si>
    <t>98 ↓ -0.67%</t>
  </si>
  <si>
    <t>56 ↓ -0.67%</t>
  </si>
  <si>
    <t>30 ↓ -0.30%</t>
  </si>
  <si>
    <t>55 ↑ +0.04%</t>
  </si>
  <si>
    <t>12 ↓ -0.31%</t>
  </si>
  <si>
    <t>94 ↓ -0.31%</t>
  </si>
  <si>
    <t>63 ↓ -0.08%</t>
  </si>
  <si>
    <t>34 ↑ +1.02%</t>
  </si>
  <si>
    <t>53 ↓ -0.18%</t>
  </si>
  <si>
    <t>1 ↓ -0.33%</t>
  </si>
  <si>
    <t>12 ↓ -0.32%</t>
  </si>
  <si>
    <t>90 ↓ -0.67%</t>
  </si>
  <si>
    <t>65 ↓ -0.53%</t>
  </si>
  <si>
    <t>36 ↑ +0.01%</t>
  </si>
  <si>
    <t>52 ↓ -0.36%</t>
  </si>
  <si>
    <t>11 ↓ -0.26%</t>
  </si>
  <si>
    <t>67 ↓ -0.03%</t>
  </si>
  <si>
    <t>37 ↓ -0.01%</t>
  </si>
  <si>
    <t>53 ↑ +0.20%</t>
  </si>
  <si>
    <t>1 ↓ -0.20%</t>
  </si>
  <si>
    <t>69 ↑ +0.14%</t>
  </si>
  <si>
    <t>36 ↑ +0.42%</t>
  </si>
  <si>
    <t>54 ↑ +1.44%</t>
  </si>
  <si>
    <t>9 ↓ -0.01%</t>
  </si>
  <si>
    <t>70 ↓ -0.07%</t>
  </si>
  <si>
    <t>53 ↓ -0.10%</t>
  </si>
  <si>
    <t>86 ↑ +0.03%</t>
  </si>
  <si>
    <t>68 ↑ +0.18%</t>
  </si>
  <si>
    <t>37 ↑ +0.14%</t>
  </si>
  <si>
    <t>53 ↑ +0.98%</t>
  </si>
  <si>
    <t>10 ↓ -0.09%</t>
  </si>
  <si>
    <t>90 ↑ +0.30%</t>
  </si>
  <si>
    <t>63 ↑ +0.58%</t>
  </si>
  <si>
    <t>41 ↑ +1.37%</t>
  </si>
  <si>
    <t>49 ↑ +1.76%</t>
  </si>
  <si>
    <t>12 ↑ +0.05%</t>
  </si>
  <si>
    <t>92 ↑ +0.03%</t>
  </si>
  <si>
    <t>33 ↓ -0.19%</t>
  </si>
  <si>
    <t>48 ↑ +0.60%</t>
  </si>
  <si>
    <t>1 ↓ -0.30%</t>
  </si>
  <si>
    <t>93 ↑ +0.04%</t>
  </si>
  <si>
    <t>63 ↑ +0.13%</t>
  </si>
  <si>
    <t>37 ↑ +0.16%</t>
  </si>
  <si>
    <t>48 ↓ -0.29%</t>
  </si>
  <si>
    <t>95 ↓ -0.25%</t>
  </si>
  <si>
    <t>67 ↓ -0.28%</t>
  </si>
  <si>
    <t>34 ↓ -0.62%</t>
  </si>
  <si>
    <t>89 ↓ -0.26%</t>
  </si>
  <si>
    <t>37 ↓ -0.10%</t>
  </si>
  <si>
    <t>86 ↓ -0.09%</t>
  </si>
  <si>
    <t>70 ↑ +0.09%</t>
  </si>
  <si>
    <t>8 ↓ -0.59%</t>
  </si>
  <si>
    <t>90 ↓ -0.17%</t>
  </si>
  <si>
    <t>39 ↑ +0.33%</t>
  </si>
  <si>
    <t>48 ↑ +0.41%</t>
  </si>
  <si>
    <t>6 ↓ -0.49%</t>
  </si>
  <si>
    <t>68 ↓ -0.31%</t>
  </si>
  <si>
    <t>1 ↓ -0.70%</t>
  </si>
  <si>
    <t>5 ↓ -0.43%</t>
  </si>
  <si>
    <t>87 ↓ -0.20%</t>
  </si>
  <si>
    <t>74 ↓ -0.26%</t>
  </si>
  <si>
    <t>38 ↓ -0.12%</t>
  </si>
  <si>
    <t>49 ↑ +0.46%</t>
  </si>
  <si>
    <t>76 ↓ -0.31%</t>
  </si>
  <si>
    <t>37 ↓ -0.13%</t>
  </si>
  <si>
    <t>50 ↑ +0.77%</t>
  </si>
  <si>
    <t>84 ↑ +0.23%</t>
  </si>
  <si>
    <t>75 ↑ +0.39%</t>
  </si>
  <si>
    <t>41 ↑ +0.20%</t>
  </si>
  <si>
    <t>48 ↓ -0.42%</t>
  </si>
  <si>
    <t>84 ↑ +0.95%</t>
  </si>
  <si>
    <t>76 ↑ +1.48%</t>
  </si>
  <si>
    <t>37 ↑ +2.20%</t>
  </si>
  <si>
    <t>51 ↑ +2.60%</t>
  </si>
  <si>
    <t>101 ↑ +0.60%</t>
  </si>
  <si>
    <t>73 ↑ +0.71%</t>
  </si>
  <si>
    <t>36 ↑ +1.29%</t>
  </si>
  <si>
    <t>36 ↑ +1.55%</t>
  </si>
  <si>
    <t>12 ↓ -0.10%</t>
  </si>
  <si>
    <t>102 ↓ -0.05%</t>
  </si>
  <si>
    <t>71 ↓ -0.14%</t>
  </si>
  <si>
    <t>36 ↓ -0.56%</t>
  </si>
  <si>
    <t>32 ↓ -1.66%</t>
  </si>
  <si>
    <t>1 ↑ +0.72%</t>
  </si>
  <si>
    <t>103 ↑ +0.12%</t>
  </si>
  <si>
    <t>69 ↑ +0.42%</t>
  </si>
  <si>
    <t>1 ↑ +0.46%</t>
  </si>
  <si>
    <t>103 ↑ +0.72%</t>
  </si>
  <si>
    <t>63 ↑ +1.21%</t>
  </si>
  <si>
    <t>35 ↑ +1.97%</t>
  </si>
  <si>
    <t>38 ↑ +2.44%</t>
  </si>
  <si>
    <t>15 ↓ -0.62%</t>
  </si>
  <si>
    <t>116 ↓ -0.69%</t>
  </si>
  <si>
    <t>60 ↓ -0.90%</t>
  </si>
  <si>
    <t>32 ↓ -0.68%</t>
  </si>
  <si>
    <t>31 ↓ -0.28%</t>
  </si>
  <si>
    <t>1 ↓ -2.29%</t>
  </si>
  <si>
    <t>62 ↓ -1.05%</t>
  </si>
  <si>
    <t>32 ↓ -0.71%</t>
  </si>
  <si>
    <t>34 ↓ -2.79%</t>
  </si>
  <si>
    <t>105 ↑ +0.04%</t>
  </si>
  <si>
    <t>64 ↓ -0.35%</t>
  </si>
  <si>
    <t>32 ↓ -0.74%</t>
  </si>
  <si>
    <t>41 ↓ -0.14%</t>
  </si>
  <si>
    <t>1 ↓ -3.30%</t>
  </si>
  <si>
    <t>9 ↓ -0.93%</t>
  </si>
  <si>
    <t>103 ↓ -0.92%</t>
  </si>
  <si>
    <t>63 ↓ -0.98%</t>
  </si>
  <si>
    <t>29 ↓ -1.25%</t>
  </si>
  <si>
    <t>47 ↑ +0.21%</t>
  </si>
  <si>
    <t>1 ↓ -2.06%</t>
  </si>
  <si>
    <t>8 ↓ -0.73%</t>
  </si>
  <si>
    <t>75 ↑ +0.12%</t>
  </si>
  <si>
    <t>30 ↑ +0.39%</t>
  </si>
  <si>
    <t>51 ↑ +0.71%</t>
  </si>
  <si>
    <t>1 ↓ -1.59%</t>
  </si>
  <si>
    <t>84 ↓ -1.03%</t>
  </si>
  <si>
    <t>79 ↓ -1.14%</t>
  </si>
  <si>
    <t>34 ↓ -0.58%</t>
  </si>
  <si>
    <t>3 ↓ -1.04%</t>
  </si>
  <si>
    <t>77 ↓ -0.63%</t>
  </si>
  <si>
    <t>83 ↓ -0.49%</t>
  </si>
  <si>
    <t>39 ↑ +0.02%</t>
  </si>
  <si>
    <t>47 ↑ +0.15%</t>
  </si>
  <si>
    <t>1 ↓ -0.57%</t>
  </si>
  <si>
    <t>71 ↓ -0.66%</t>
  </si>
  <si>
    <t>86 ↓ -0.83%</t>
  </si>
  <si>
    <t>43 ↓ -1.07%</t>
  </si>
  <si>
    <t>47 ↓ -1.51%</t>
  </si>
  <si>
    <t>64 ↑ +0.03%</t>
  </si>
  <si>
    <t>82 ↓ -0.21%</t>
  </si>
  <si>
    <t>44 ↑ +1.06%</t>
  </si>
  <si>
    <t>86 ↓ -0.34%</t>
  </si>
  <si>
    <t>42 ↓ -0.42%</t>
  </si>
  <si>
    <t>52 ↑ +1.21%</t>
  </si>
  <si>
    <t>1 ↓ -0.16%</t>
  </si>
  <si>
    <t>56 ↓ -0.15%</t>
  </si>
  <si>
    <t>86 ↑ +0.21%</t>
  </si>
  <si>
    <t>44 ↓ -0.28%</t>
  </si>
  <si>
    <t>56 ↑ +1.68%</t>
  </si>
  <si>
    <t>55 ↑ +0.01%</t>
  </si>
  <si>
    <t>41 ↑ +1.17%</t>
  </si>
  <si>
    <t>57 ↑ +1.56%</t>
  </si>
  <si>
    <t>59 ↓ -0.33%</t>
  </si>
  <si>
    <t>85 ↓ -0.77%</t>
  </si>
  <si>
    <t>45 ↓ -0.24%</t>
  </si>
  <si>
    <t>51 ↓ -6.88%</t>
  </si>
  <si>
    <t>89 ↑ +0.34%</t>
  </si>
  <si>
    <t>44 ↑ +1.18%</t>
  </si>
  <si>
    <t>55 ↑ +1.69%</t>
  </si>
  <si>
    <t>88 ↑ +0.86%</t>
  </si>
  <si>
    <t>60 ↑ +0.12%</t>
  </si>
  <si>
    <t>89 ↓ -0.23%</t>
  </si>
  <si>
    <t>41 ↑ +0.15%</t>
  </si>
  <si>
    <t>48 ↓ -2.22%</t>
  </si>
  <si>
    <t>2 ↓ -0.71%</t>
  </si>
  <si>
    <t>64 ↓ -0.46%</t>
  </si>
  <si>
    <t>83 ↓ -0.30%</t>
  </si>
  <si>
    <t>49 ↑ +1.72%</t>
  </si>
  <si>
    <t>1 ↑ +1.52%</t>
  </si>
  <si>
    <t>60 ↓ -0.01%</t>
  </si>
  <si>
    <t>42 ↑ +0.48%</t>
  </si>
  <si>
    <t>51 ↑ +3.17%</t>
  </si>
  <si>
    <t>1 ↓ -0.87%</t>
  </si>
  <si>
    <t>56 ↓ -0.57%</t>
  </si>
  <si>
    <t>86 ↓ -0.79%</t>
  </si>
  <si>
    <t>45 ↓ -1.40%</t>
  </si>
  <si>
    <t>49 ↓ -3.33%</t>
  </si>
  <si>
    <t>94 ↑ +0.01%</t>
  </si>
  <si>
    <t>54 ↑ +1.15%</t>
  </si>
  <si>
    <t>1 ↓ -0.50%</t>
  </si>
  <si>
    <t>49 ↑ +0.14%</t>
  </si>
  <si>
    <t>40 ↑ +0.64%</t>
  </si>
  <si>
    <t>56 ↑ +3.07%</t>
  </si>
  <si>
    <t>1 ↑ +1.56%</t>
  </si>
  <si>
    <t>53 ↓ -0.12%</t>
  </si>
  <si>
    <t>88 ↓ -0.17%</t>
  </si>
  <si>
    <t>44 ↓ -0.26%</t>
  </si>
  <si>
    <t>48 ↑ +2.05%</t>
  </si>
  <si>
    <t>91 ↑ +0.37%</t>
  </si>
  <si>
    <t>48 ↑ +0.98%</t>
  </si>
  <si>
    <t>46 ↑ +5.14%</t>
  </si>
  <si>
    <t>53 ↑ +0.19%</t>
  </si>
  <si>
    <t>45 ↓ -0.08%</t>
  </si>
  <si>
    <t>40 ↑ +0.81%</t>
  </si>
  <si>
    <t>52 ↑ +0.42%</t>
  </si>
  <si>
    <t>95 ↑ +0.98%</t>
  </si>
  <si>
    <t>42 ↑ +0.97%</t>
  </si>
  <si>
    <t>42 ↑ +2.44%</t>
  </si>
  <si>
    <t>2 ↓ -0.11%</t>
  </si>
  <si>
    <t>89 ↑ +0.41%</t>
  </si>
  <si>
    <t>38 ↑ +0.81%</t>
  </si>
  <si>
    <t>39 ↑ +4.29%</t>
  </si>
  <si>
    <t>71 ↑ +0.59%</t>
  </si>
  <si>
    <t>85 ↑ +0.69%</t>
  </si>
  <si>
    <t>36 ↑ +1.38%</t>
  </si>
  <si>
    <t>38 ↑ +7.39%</t>
  </si>
  <si>
    <t>1 ↓ -0.83%</t>
  </si>
  <si>
    <t>80 ↓ -1.05%</t>
  </si>
  <si>
    <t>84 ↓ -1.25%</t>
  </si>
  <si>
    <t>32 ↓ -1.45%</t>
  </si>
  <si>
    <t>32 ↓ -1.68%</t>
  </si>
  <si>
    <t>1 ↑ +0.92%</t>
  </si>
  <si>
    <t>59 ↓ -0.99%</t>
  </si>
  <si>
    <t>90 ↓ -1.32%</t>
  </si>
  <si>
    <t>46 ↓ -2.41%</t>
  </si>
  <si>
    <t>33 ↓ -4.52%</t>
  </si>
  <si>
    <t>52 ↑ +0.19%</t>
  </si>
  <si>
    <t>49 ↑ +0.32%</t>
  </si>
  <si>
    <t>43 ↓ -0.80%</t>
  </si>
  <si>
    <t>1 ↓ -1.96%</t>
  </si>
  <si>
    <t>49 ↓ -0.20%</t>
  </si>
  <si>
    <t>84 ↑ +0.04%</t>
  </si>
  <si>
    <t>47 ↓ -0.12%</t>
  </si>
  <si>
    <t>44 ↓ -1.69%</t>
  </si>
  <si>
    <t>1 ↑ +2.40%</t>
  </si>
  <si>
    <t>46 ↑ +0.31%</t>
  </si>
  <si>
    <t>86 ↑ +0.62%</t>
  </si>
  <si>
    <t>47 ↑ +1.48%</t>
  </si>
  <si>
    <t>45 ↑ +2.71%</t>
  </si>
  <si>
    <t>1 ↓ -0.39%</t>
  </si>
  <si>
    <t>48 ↓ -0.96%</t>
  </si>
  <si>
    <t>93 ↓ -1.00%</t>
  </si>
  <si>
    <t>41 ↓ -1.49%</t>
  </si>
  <si>
    <t>41 ↓ -2.32%</t>
  </si>
  <si>
    <t>89 ↓ -0.11%</t>
  </si>
  <si>
    <t>47 ↓ -0.29%</t>
  </si>
  <si>
    <t>46 ↓ -3.83%</t>
  </si>
  <si>
    <t>43 ↑ +0.10%</t>
  </si>
  <si>
    <t>89 ↑ +0.15%</t>
  </si>
  <si>
    <t>40 ↑ +0.68%</t>
  </si>
  <si>
    <t>50 ↑ +2.22%</t>
  </si>
  <si>
    <t>91 ↓ -0.12%</t>
  </si>
  <si>
    <t>41 ↑ +1.12%</t>
  </si>
  <si>
    <t>43 ↑ +5.25%</t>
  </si>
  <si>
    <t>41 ↓ -0.60%</t>
  </si>
  <si>
    <t>97 ↓ -1.00%</t>
  </si>
  <si>
    <t>38 ↓ -0.68%</t>
  </si>
  <si>
    <t>43 ↑ +3.34%</t>
  </si>
  <si>
    <t>1 ↑ +0.21%</t>
  </si>
  <si>
    <t>37 ↓ -0.67%</t>
  </si>
  <si>
    <t>53 ↓ -0.85%</t>
  </si>
  <si>
    <t>40 ↓ -0.37%</t>
  </si>
  <si>
    <t>28 ↓ -0.33%</t>
  </si>
  <si>
    <t>94 ↓ -0.60%</t>
  </si>
  <si>
    <t>53 ↓ -0.86%</t>
  </si>
  <si>
    <t>29 ↑ +0.98%</t>
  </si>
  <si>
    <t>84 ↑ +1.67%</t>
  </si>
  <si>
    <t>55 ↑ +2.00%</t>
  </si>
  <si>
    <t>53 ↑ +6.22%</t>
  </si>
  <si>
    <t>1 ↓ -0.01%</t>
  </si>
  <si>
    <t>92 ↑ +1.24%</t>
  </si>
  <si>
    <t>45 ↑ +1.56%</t>
  </si>
  <si>
    <t>43 ↑ +5.15%</t>
  </si>
  <si>
    <t>1 ↓ -1.46%</t>
  </si>
  <si>
    <t>51 ↓ -1.66%</t>
  </si>
  <si>
    <t>99 ↓ -3.05%</t>
  </si>
  <si>
    <t>36 ↓ -5.05%</t>
  </si>
  <si>
    <t>37 ↓ -11.14%</t>
  </si>
  <si>
    <t>1 ↑ +1.72%</t>
  </si>
  <si>
    <t>38 ↑ +1.19%</t>
  </si>
  <si>
    <t>85 ↑ +2.19%</t>
  </si>
  <si>
    <t>41 ↑ +2.32%</t>
  </si>
  <si>
    <t>59 ↑ +2.32%</t>
  </si>
  <si>
    <t>53 ↓ -0.64%</t>
  </si>
  <si>
    <t>88 ↓ -0.43%</t>
  </si>
  <si>
    <t>34 ↑ +0.64%</t>
  </si>
  <si>
    <t>49 ↑ +7.11%</t>
  </si>
  <si>
    <t>50 ↑ +0.34%</t>
  </si>
  <si>
    <t>92 ↓ -0.01%</t>
  </si>
  <si>
    <t>41 ↑ +0.50%</t>
  </si>
  <si>
    <t>40 ↑ +3.35%</t>
  </si>
  <si>
    <t>56 ↓ -0.17%</t>
  </si>
  <si>
    <t>86 ↓ -0.12%</t>
  </si>
  <si>
    <t>38 ↑ +0.54%</t>
  </si>
  <si>
    <t>43 ↑ +2.58%</t>
  </si>
  <si>
    <t>49 ↓ -1.05%</t>
  </si>
  <si>
    <t>92 ↓ -1.58%</t>
  </si>
  <si>
    <t>45 ↓ -3.06%</t>
  </si>
  <si>
    <t>35 ↓ -0.60%</t>
  </si>
  <si>
    <t>81 ↓ -0.71%</t>
  </si>
  <si>
    <t>47 ↓ -0.66%</t>
  </si>
  <si>
    <t>1 ↓ -0.43%</t>
  </si>
  <si>
    <t>40 ↓ -0.70%</t>
  </si>
  <si>
    <t>72 ↓ -0.91%</t>
  </si>
  <si>
    <t>54 ↓ -1.35%</t>
  </si>
  <si>
    <t>55 ↑ +0.36%</t>
  </si>
  <si>
    <t>1 ↑ +0.61%</t>
  </si>
  <si>
    <t>31 ↑ +0.04%</t>
  </si>
  <si>
    <t>66 ↑ +0.56%</t>
  </si>
  <si>
    <t>36 ↑ +0.34%</t>
  </si>
  <si>
    <t>66 ↑ +0.60%</t>
  </si>
  <si>
    <t>56 ↑ +0.96%</t>
  </si>
  <si>
    <t>66 ↑ +0.12%</t>
  </si>
  <si>
    <t>40 ↓ -0.98%</t>
  </si>
  <si>
    <t>71 ↓ -1.83%</t>
  </si>
  <si>
    <t>56 ↓ -3.15%</t>
  </si>
  <si>
    <t>57 ↑ +0.15%</t>
  </si>
  <si>
    <t>27 ↑ +0.49%</t>
  </si>
  <si>
    <t>72 ↑ +0.20%</t>
  </si>
  <si>
    <t>49 ↓ -0.22%</t>
  </si>
  <si>
    <t>76 ↑ +0.36%</t>
  </si>
  <si>
    <t>2 ↑ +0.34%</t>
  </si>
  <si>
    <t>30 ↑ +0.66%</t>
  </si>
  <si>
    <t>70 ↑ +1.11%</t>
  </si>
  <si>
    <t>49 ↑ +1.37%</t>
  </si>
  <si>
    <t>74 ↑ +1.42%</t>
  </si>
  <si>
    <t>38 ↑ +0.24%</t>
  </si>
  <si>
    <t>71 ↑ +0.27%</t>
  </si>
  <si>
    <t>43 ↓ -0.33%</t>
  </si>
  <si>
    <t>71 ↓ -0.01%</t>
  </si>
  <si>
    <t>2 ↑ +0.11%</t>
  </si>
  <si>
    <t>41 ↑ +0.16%</t>
  </si>
  <si>
    <t>69 ↑ +0.41%</t>
  </si>
  <si>
    <t>40 ↑ +0.66%</t>
  </si>
  <si>
    <t>74 ↑ +1.43%</t>
  </si>
  <si>
    <t>42 ↑ +1.02%</t>
  </si>
  <si>
    <t>71 ↑ +1.33%</t>
  </si>
  <si>
    <t>44 ↑ +1.64%</t>
  </si>
  <si>
    <t>67 ↑ +1.39%</t>
  </si>
  <si>
    <t>1 ↓ -0.94%</t>
  </si>
  <si>
    <t>2 ↓ -0.17%</t>
  </si>
  <si>
    <t>47 ↓ -0.96%</t>
  </si>
  <si>
    <t>72 ↓ -2.08%</t>
  </si>
  <si>
    <t>39 ↓ -2.08%</t>
  </si>
  <si>
    <t>64 ↓ -3.21%</t>
  </si>
  <si>
    <t>3 ↓ -0.12%</t>
  </si>
  <si>
    <t>40 ↓ -0.11%</t>
  </si>
  <si>
    <t>65 ↓ -0.08%</t>
  </si>
  <si>
    <t>40 ↓ -0.36%</t>
  </si>
  <si>
    <t>78 ↓ -0.09%</t>
  </si>
  <si>
    <t>38 ↓ -0.23%</t>
  </si>
  <si>
    <t>42 ↓ -0.92%</t>
  </si>
  <si>
    <t>79 ↓ -3.63%</t>
  </si>
  <si>
    <t>3 ↓ -0.22%</t>
  </si>
  <si>
    <t>38 ↓ -0.40%</t>
  </si>
  <si>
    <t>60 ↓ -0.51%</t>
  </si>
  <si>
    <t>39 ↑ +0.07%</t>
  </si>
  <si>
    <t>86 ↑ +0.23%</t>
  </si>
  <si>
    <t>36 ↑ +0.17%</t>
  </si>
  <si>
    <t>36 ↑ +1.60%</t>
  </si>
  <si>
    <t>86 ↑ +1.84%</t>
  </si>
  <si>
    <t>5 ↑ +0.12%</t>
  </si>
  <si>
    <t>35 ↑ +0.24%</t>
  </si>
  <si>
    <t>65 ↑ +0.80%</t>
  </si>
  <si>
    <t>36 ↑ +0.48%</t>
  </si>
  <si>
    <t>84 ↑ +1.58%</t>
  </si>
  <si>
    <t>39 ↑ +0.85%</t>
  </si>
  <si>
    <t>66 ↑ +0.93%</t>
  </si>
  <si>
    <t>39 ↑ +0.67%</t>
  </si>
  <si>
    <t>77 ↑ +1.51%</t>
  </si>
  <si>
    <t>42 ↑ +0.26%</t>
  </si>
  <si>
    <t>69 ↑ +0.52%</t>
  </si>
  <si>
    <t>36 ↑ +0.30%</t>
  </si>
  <si>
    <t>5 ↑ +0.50%</t>
  </si>
  <si>
    <t>68 ↑ +0.68%</t>
  </si>
  <si>
    <t>74 ↑ +1.38%</t>
  </si>
  <si>
    <t>5 ↑ +0.41%</t>
  </si>
  <si>
    <t>49 ↑ +0.84%</t>
  </si>
  <si>
    <t>63 ↑ +1.37%</t>
  </si>
  <si>
    <t>33 ↑ +1.55%</t>
  </si>
  <si>
    <t>74 ↑ +3.33%</t>
  </si>
  <si>
    <t>61 ↑ +0.10%</t>
  </si>
  <si>
    <t>63 ↑ +0.30%</t>
  </si>
  <si>
    <t>30 ↑ +1.11%</t>
  </si>
  <si>
    <t>5 ↓ -0.81%</t>
  </si>
  <si>
    <t>61 ↓ -0.26%</t>
  </si>
  <si>
    <t>29 ↓ -0.36%</t>
  </si>
  <si>
    <t>64 ↓ -0.18%</t>
  </si>
  <si>
    <t>63 ↑ +0.81%</t>
  </si>
  <si>
    <t>31 ↑ +1.27%</t>
  </si>
  <si>
    <t>65 ↑ +3.00%</t>
  </si>
  <si>
    <t>6 ↑ +0.77%</t>
  </si>
  <si>
    <t>58 ↑ +0.18%</t>
  </si>
  <si>
    <t>41 ↑ +0.31%</t>
  </si>
  <si>
    <t>54 ↓ -0.42%</t>
  </si>
  <si>
    <t>8 ↑ +0.85%</t>
  </si>
  <si>
    <t>61 ↑ +0.53%</t>
  </si>
  <si>
    <t>31 ↑ +1.21%</t>
  </si>
  <si>
    <t>58 ↑ +1.70%</t>
  </si>
  <si>
    <t>10 ↓ -0.08%</t>
  </si>
  <si>
    <t>61 ↓ -0.07%</t>
  </si>
  <si>
    <t>38 ↑ +0.26%</t>
  </si>
  <si>
    <t>50 ↓ -0.48%</t>
  </si>
  <si>
    <t>61 ↑ +0.94%</t>
  </si>
  <si>
    <t>43 ↑ +1.56%</t>
  </si>
  <si>
    <t>45 ↑ +3.70%</t>
  </si>
  <si>
    <t>13 ↑ +0.62%</t>
  </si>
  <si>
    <t>63 ↑ +0.76%</t>
  </si>
  <si>
    <t>66 ↑ +1.51%</t>
  </si>
  <si>
    <t>41 ↑ +1.68%</t>
  </si>
  <si>
    <t>42 ↑ +3.83%</t>
  </si>
  <si>
    <t>1 ↑ +0.80%</t>
  </si>
  <si>
    <t>15 ↑ +1.60%</t>
  </si>
  <si>
    <t>54 ↑ +2.25%</t>
  </si>
  <si>
    <t>46 ↑ +3.43%</t>
  </si>
  <si>
    <t>31 ↑ +8.03%</t>
  </si>
  <si>
    <t>1 ↓ -1.08%</t>
  </si>
  <si>
    <t>25 ↓ -3.26%</t>
  </si>
  <si>
    <t>76 ↓ -4.39%</t>
  </si>
  <si>
    <t>68 ↓ -5.15%</t>
  </si>
  <si>
    <t>26 ↓ -5.26%</t>
  </si>
  <si>
    <t>27 ↓ -7.34%</t>
  </si>
  <si>
    <t>8 ↓ -0.56%</t>
  </si>
  <si>
    <t>58 ↓ -1.35%</t>
  </si>
  <si>
    <t>64 ↓ -1.37%</t>
  </si>
  <si>
    <t>50 ↓ -1.66%</t>
  </si>
  <si>
    <t>40 ↓ -2.21%</t>
  </si>
  <si>
    <t>1 ↓ -0.99%</t>
  </si>
  <si>
    <t>60 ↑ +0.42%</t>
  </si>
  <si>
    <t>49 ↑ +0.35%</t>
  </si>
  <si>
    <t>52 ↑ +2.52%</t>
  </si>
  <si>
    <t>48 ↓ -0.26%</t>
  </si>
  <si>
    <t>1 ↑ +0.31%</t>
  </si>
  <si>
    <t>44 ↑ +0.25%</t>
  </si>
  <si>
    <t>47 ↑ +1.13%</t>
  </si>
  <si>
    <t>49 ↑ +2.95%</t>
  </si>
  <si>
    <t>49 ↓ -0.03%</t>
  </si>
  <si>
    <t>67 ↑ +0.07%</t>
  </si>
  <si>
    <t>39 ↑ +0.15%</t>
  </si>
  <si>
    <t>7 ↓ -0.26%</t>
  </si>
  <si>
    <t>67 ↓ -0.38%</t>
  </si>
  <si>
    <t>50 ↑ +0.12%</t>
  </si>
  <si>
    <t>40 ↑ +0.34%</t>
  </si>
  <si>
    <t>6 ↓ -0.34%</t>
  </si>
  <si>
    <t>48 ↓ -0.36%</t>
  </si>
  <si>
    <t>61 ↓ -0.63%</t>
  </si>
  <si>
    <t>53 ↓ -0.99%</t>
  </si>
  <si>
    <t>43 ↓ -0.01%</t>
  </si>
  <si>
    <t>6 ↑ +0.30%</t>
  </si>
  <si>
    <t>44 ↑ +0.31%</t>
  </si>
  <si>
    <t>60 ↑ +0.70%</t>
  </si>
  <si>
    <t>50 ↑ +0.88%</t>
  </si>
  <si>
    <t>49 ↑ +0.42%</t>
  </si>
  <si>
    <t>45 ↑ +0.08%</t>
  </si>
  <si>
    <t>63 ↑ +0.41%</t>
  </si>
  <si>
    <t>53 ↑ +0.72%</t>
  </si>
  <si>
    <t>41 ↑ +2.26%</t>
  </si>
  <si>
    <t>54 ↑ +0.42%</t>
  </si>
  <si>
    <t>37 ↑ +1.18%</t>
  </si>
  <si>
    <t>46 ↑ +0.82%</t>
  </si>
  <si>
    <t>59 ↑ +0.77%</t>
  </si>
  <si>
    <t>55 ↑ +1.58%</t>
  </si>
  <si>
    <t>36 ↑ +1.72%</t>
  </si>
  <si>
    <t>45 ↓ -0.48%</t>
  </si>
  <si>
    <t>58 ↓ -0.38%</t>
  </si>
  <si>
    <t>55 ↓ -0.48%</t>
  </si>
  <si>
    <t>33 ↓ -0.91%</t>
  </si>
  <si>
    <t>1 ↑ +0.44%</t>
  </si>
  <si>
    <t>8 ↑ +0.86%</t>
  </si>
  <si>
    <t>41 ↑ +0.63%</t>
  </si>
  <si>
    <t>62 ↑ +0.47%</t>
  </si>
  <si>
    <t>51 ↑ +1.39%</t>
  </si>
  <si>
    <t>36 ↑ +1.50%</t>
  </si>
  <si>
    <t>1 ↑ +0.06%</t>
  </si>
  <si>
    <t>58 ↑ +0.51%</t>
  </si>
  <si>
    <t>51 ↑ +0.35%</t>
  </si>
  <si>
    <t>34 ↑ +1.84%</t>
  </si>
  <si>
    <t>10 ↑ +0.14%</t>
  </si>
  <si>
    <t>59 ↑ +0.32%</t>
  </si>
  <si>
    <t>51 ↑ +0.53%</t>
  </si>
  <si>
    <t>32 ↓ -0.12%</t>
  </si>
  <si>
    <t>10 ↑ +0.46%</t>
  </si>
  <si>
    <t>60 ↑ +0.89%</t>
  </si>
  <si>
    <t>45 ↑ +1.21%</t>
  </si>
  <si>
    <t>33 ↑ +2.75%</t>
  </si>
  <si>
    <t>1 ↑ +0.69%</t>
  </si>
  <si>
    <t>12 ↑ +0.22%</t>
  </si>
  <si>
    <t>52 ↑ +0.58%</t>
  </si>
  <si>
    <t>60 ↑ +1.05%</t>
  </si>
  <si>
    <t>47 ↑ +0.48%</t>
  </si>
  <si>
    <t>24 ↑ +0.79%</t>
  </si>
  <si>
    <t>14 ↑ +0.06%</t>
  </si>
  <si>
    <t>58 ↑ +0.10%</t>
  </si>
  <si>
    <t>53 ↑ +0.58%</t>
  </si>
  <si>
    <t>46 ↑ +0.58%</t>
  </si>
  <si>
    <t>17 ↑ +0.15%</t>
  </si>
  <si>
    <t>53 ↑ +0.22%</t>
  </si>
  <si>
    <t>60 ↓ -0.12%</t>
  </si>
  <si>
    <t>41 ↓ -0.35%</t>
  </si>
  <si>
    <t>24 ↓ -1.19%</t>
  </si>
  <si>
    <t>1 ↑ +0.03%</t>
  </si>
  <si>
    <t>16 ↑ +0.23%</t>
  </si>
  <si>
    <t>38 ↑ +0.78%</t>
  </si>
  <si>
    <t>27 ↑ +0.92%</t>
  </si>
  <si>
    <t>1 ↓ -1.30%</t>
  </si>
  <si>
    <t>20 ↑ +0.16%</t>
  </si>
  <si>
    <t>58 ↑ +0.11%</t>
  </si>
  <si>
    <t>54 ↑ +0.33%</t>
  </si>
  <si>
    <t>38 ↑ +0.64%</t>
  </si>
  <si>
    <t>24 ↑ +0.25%</t>
  </si>
  <si>
    <t>22 ↑ +0.22%</t>
  </si>
  <si>
    <t>57 ↑ +0.70%</t>
  </si>
  <si>
    <t>56 ↑ +0.66%</t>
  </si>
  <si>
    <t>39 ↑ +1.47%</t>
  </si>
  <si>
    <t>21 ↑ +1.86%</t>
  </si>
  <si>
    <t>24 ↓ -0.36%</t>
  </si>
  <si>
    <t>62 ↓ -0.81%</t>
  </si>
  <si>
    <t>55 ↓ -0.87%</t>
  </si>
  <si>
    <t>33 ↓ -0.41%</t>
  </si>
  <si>
    <t>21 ↓ -1.14%</t>
  </si>
  <si>
    <t>20 ↑ +0.07%</t>
  </si>
  <si>
    <t>57 ↓ -0.15%</t>
  </si>
  <si>
    <t>32 ↓ -0.20%</t>
  </si>
  <si>
    <t>25 ↓ -0.16%</t>
  </si>
  <si>
    <t>21 ↓ -0.04%</t>
  </si>
  <si>
    <t>59 ↑ +0.16%</t>
  </si>
  <si>
    <t>32 ↑ +0.29%</t>
  </si>
  <si>
    <t>24 ↓ -0.29%</t>
  </si>
  <si>
    <t>24 ↑ +0.08%</t>
  </si>
  <si>
    <t>56 ↑ +0.22%</t>
  </si>
  <si>
    <t>59 ↑ +0.23%</t>
  </si>
  <si>
    <t>24 ↑ +1.31%</t>
  </si>
  <si>
    <t>24 ↑ +0.36%</t>
  </si>
  <si>
    <t>59 ↑ +0.63%</t>
  </si>
  <si>
    <t>56 ↑ +0.95%</t>
  </si>
  <si>
    <t>32 ↑ +1.26%</t>
  </si>
  <si>
    <t>21 ↑ +1.12%</t>
  </si>
  <si>
    <t>26 ↑ +0.22%</t>
  </si>
  <si>
    <t>61 ↑ +0.77%</t>
  </si>
  <si>
    <t>55 ↑ +1.27%</t>
  </si>
  <si>
    <t>30 ↑ +1.08%</t>
  </si>
  <si>
    <t>22 ↑ +2.60%</t>
  </si>
  <si>
    <t>1 ↑ +0.12%</t>
  </si>
  <si>
    <t>30 ↑ +0.27%</t>
  </si>
  <si>
    <t>63 ↑ +0.44%</t>
  </si>
  <si>
    <t>53 ↑ +0.67%</t>
  </si>
  <si>
    <t>30 ↑ +0.97%</t>
  </si>
  <si>
    <t>17 ↑ +0.38%</t>
  </si>
  <si>
    <t>1 ↓ -0.17%</t>
  </si>
  <si>
    <t>33 ↓ -0.09%</t>
  </si>
  <si>
    <t>62 ↓ -0.02%</t>
  </si>
  <si>
    <t>51 ↑ +0.02%</t>
  </si>
  <si>
    <t>29 ↑ +0.30%</t>
  </si>
  <si>
    <t>16 ↑ +0.40%</t>
  </si>
  <si>
    <t>31 ↑ +0.02%</t>
  </si>
  <si>
    <t>63 ↑ +0.15%</t>
  </si>
  <si>
    <t>54 ↑ +0.10%</t>
  </si>
  <si>
    <t>27 ↑ +1.13%</t>
  </si>
  <si>
    <t>16 ↑ +1.32%</t>
  </si>
  <si>
    <t>31 ↑ +0.06%</t>
  </si>
  <si>
    <t>66 ↑ +0.24%</t>
  </si>
  <si>
    <t>54 ↑ +0.38%</t>
  </si>
  <si>
    <t>25 ↑ +0.88%</t>
  </si>
  <si>
    <t>16 ↑ +1.55%</t>
  </si>
  <si>
    <t>72 ↑ +0.18%</t>
  </si>
  <si>
    <t>22 ↑ +0.32%</t>
  </si>
  <si>
    <t>15 ↑ +0.63%</t>
  </si>
  <si>
    <t>32 ↑ +0.11%</t>
  </si>
  <si>
    <t>52 ↑ +0.47%</t>
  </si>
  <si>
    <t>22 ↑ +0.67%</t>
  </si>
  <si>
    <t>13 ↑ +1.06%</t>
  </si>
  <si>
    <t>34 ↑ +0.13%</t>
  </si>
  <si>
    <t>70 ↑ +0.28%</t>
  </si>
  <si>
    <t>21 ↑ +1.09%</t>
  </si>
  <si>
    <t>35 ↑ +0.11%</t>
  </si>
  <si>
    <t>69 ↑ +0.05%</t>
  </si>
  <si>
    <t>53 ↑ +0.25%</t>
  </si>
  <si>
    <t>21 ↑ +0.42%</t>
  </si>
  <si>
    <t>11 ↓ -0.12%</t>
  </si>
  <si>
    <t>73 ↑ +0.17%</t>
  </si>
  <si>
    <t>51 ↓ -0.02%</t>
  </si>
  <si>
    <t>21 ↑ +0.09%</t>
  </si>
  <si>
    <t>10 ↑ +1.60%</t>
  </si>
  <si>
    <t>49 ↑ +0.30%</t>
  </si>
  <si>
    <t>22 ↑ +0.14%</t>
  </si>
  <si>
    <t>10 ↓ -0.83%</t>
  </si>
  <si>
    <t>32 ↓ -0.13%</t>
  </si>
  <si>
    <t>76 ↓ -0.05%</t>
  </si>
  <si>
    <t>47 ↓ -0.14%</t>
  </si>
  <si>
    <t>24 ↓ -0.08%</t>
  </si>
  <si>
    <t>9 ↓ -0.56%</t>
  </si>
  <si>
    <t>31 ↓ -0.27%</t>
  </si>
  <si>
    <t>45 ↓ -0.23%</t>
  </si>
  <si>
    <t>24 ↓ -0.33%</t>
  </si>
  <si>
    <t>31 ↓ -0.19%</t>
  </si>
  <si>
    <t>75 ↓ -0.08%</t>
  </si>
  <si>
    <t>45 ↑ +0.06%</t>
  </si>
  <si>
    <t>25 ↑ +0.10%</t>
  </si>
  <si>
    <t>10 ↓ -0.22%</t>
  </si>
  <si>
    <t>29 ↑ +0.09%</t>
  </si>
  <si>
    <t>76 ↑ +0.01%</t>
  </si>
  <si>
    <t>28 ↑ +0.22%</t>
  </si>
  <si>
    <t>30 ↓ -0.05%</t>
  </si>
  <si>
    <t>77 ↑ +0.18%</t>
  </si>
  <si>
    <t>42 ↓ -0.02%</t>
  </si>
  <si>
    <t>29 ↓ -0.20%</t>
  </si>
  <si>
    <t>8 ↓ -2.08%</t>
  </si>
  <si>
    <t>30 ↓ -0.15%</t>
  </si>
  <si>
    <t>74 ↓ -0.02%</t>
  </si>
  <si>
    <t>45 ↑ +0.09%</t>
  </si>
  <si>
    <t>27 ↓ -0.90%</t>
  </si>
  <si>
    <t>8 ↓ -1.73%</t>
  </si>
  <si>
    <t>25 ↓ -0.37%</t>
  </si>
  <si>
    <t>13 ↑ +0.02%</t>
  </si>
  <si>
    <t>24 ↓ -0.12%</t>
  </si>
  <si>
    <t>73 ↑ +0.04%</t>
  </si>
  <si>
    <t>24 ↓ -0.32%</t>
  </si>
  <si>
    <t>12 ↑ +0.79%</t>
  </si>
  <si>
    <t>74 ↑ +0.34%</t>
  </si>
  <si>
    <t>45 ↑ +0.85%</t>
  </si>
  <si>
    <t>28 ↑ +1.11%</t>
  </si>
  <si>
    <t>11 ↑ +1.23%</t>
  </si>
  <si>
    <t>26 ↓ -0.22%</t>
  </si>
  <si>
    <t>24 ↑ +0.48%</t>
  </si>
  <si>
    <t>11 ↑ +1.34%</t>
  </si>
  <si>
    <t>28 ↓ -0.22%</t>
  </si>
  <si>
    <t>74 ↓ -0.31%</t>
  </si>
  <si>
    <t>47 ↓ -0.33%</t>
  </si>
  <si>
    <t>23 ↓ -0.51%</t>
  </si>
  <si>
    <t>9 ↓ -1.30%</t>
  </si>
  <si>
    <t>24 ↓ -0.05%</t>
  </si>
  <si>
    <t>78 ↓ -0.07%</t>
  </si>
  <si>
    <t>23 ↑ +0.51%</t>
  </si>
  <si>
    <t>10 ↑ +1.58%</t>
  </si>
  <si>
    <t>24 ↓ -0.16%</t>
  </si>
  <si>
    <t>78 ↓ -0.08%</t>
  </si>
  <si>
    <t>25 ↓ -0.27%</t>
  </si>
  <si>
    <t>9 ↓ -0.42%</t>
  </si>
  <si>
    <t>22 ↑ +0.04%</t>
  </si>
  <si>
    <t>79 ↓ -0.10%</t>
  </si>
  <si>
    <t>25 ↑ +0.07%</t>
  </si>
  <si>
    <t>11 ↓ -0.07%</t>
  </si>
  <si>
    <t>22 ↓ -0.23%</t>
  </si>
  <si>
    <t>80 ↓ -0.45%</t>
  </si>
  <si>
    <t>40 ↓ -0.75%</t>
  </si>
  <si>
    <t>28 ↓ -1.18%</t>
  </si>
  <si>
    <t>11 ↓ -1.83%</t>
  </si>
  <si>
    <t>17 ↑ +0.02%</t>
  </si>
  <si>
    <t>76 ↑ +0.09%</t>
  </si>
  <si>
    <t>46 ↑ +0.10%</t>
  </si>
  <si>
    <t>25 ↑ +0.33%</t>
  </si>
  <si>
    <t>14 ↓ -0.55%</t>
  </si>
  <si>
    <t>76 ↑ +0.27%</t>
  </si>
  <si>
    <t>45 ↑ +0.74%</t>
  </si>
  <si>
    <t>23 ↑ +0.09%</t>
  </si>
  <si>
    <t>15 ↑ +2.73%</t>
  </si>
  <si>
    <t>18 ↑ +0.07%</t>
  </si>
  <si>
    <t>78 ↓ -0.03%</t>
  </si>
  <si>
    <t>23 ↑ +0.02%</t>
  </si>
  <si>
    <t>19 ↑ +0.13%</t>
  </si>
  <si>
    <t>74 ↑ +0.18%</t>
  </si>
  <si>
    <t>47 ↑ +0.47%</t>
  </si>
  <si>
    <t>23 ↑ +1.05%</t>
  </si>
  <si>
    <t>13 ↑ +0.27%</t>
  </si>
  <si>
    <t>18 ↓ -0.10%</t>
  </si>
  <si>
    <t>78 ↑ +0.04%</t>
  </si>
  <si>
    <t>47 ↑ +0.32%</t>
  </si>
  <si>
    <t>21 ↑ +0.88%</t>
  </si>
  <si>
    <t>12 ↑ +1.66%</t>
  </si>
  <si>
    <t>17 ↑ +0.04%</t>
  </si>
  <si>
    <t>82 ↑ +0.09%</t>
  </si>
  <si>
    <t>44 ↑ +0.36%</t>
  </si>
  <si>
    <t>22 ↑ +0.90%</t>
  </si>
  <si>
    <t>11 ↑ +1.70%</t>
  </si>
  <si>
    <t>19 ↓ -0.20%</t>
  </si>
  <si>
    <t>78 ↓ -0.23%</t>
  </si>
  <si>
    <t>47 ↓ -0.26%</t>
  </si>
  <si>
    <t>19 ↓ -0.42%</t>
  </si>
  <si>
    <t>11 ↓ -2.18%</t>
  </si>
  <si>
    <t>17 ↓ -0.40%</t>
  </si>
  <si>
    <t>81 ↓ -0.65%</t>
  </si>
  <si>
    <t>46 ↓ -1.15%</t>
  </si>
  <si>
    <t>19 ↓ -1.01%</t>
  </si>
  <si>
    <t>11 ↓ -1.74%</t>
  </si>
  <si>
    <t>15 ↓ -0.06%</t>
  </si>
  <si>
    <t>76 ↓ -0.17%</t>
  </si>
  <si>
    <t>47 ↓ -0.85%</t>
  </si>
  <si>
    <t>25 ↓ -0.31%</t>
  </si>
  <si>
    <t>12 ↑ +0.34%</t>
  </si>
  <si>
    <t>15 ↑ +0.38%</t>
  </si>
  <si>
    <t>73 ↑ +0.32%</t>
  </si>
  <si>
    <t>47 ↑ +0.60%</t>
  </si>
  <si>
    <t>27 ↑ +2.04%</t>
  </si>
  <si>
    <t>13 ↑ +2.67%</t>
  </si>
  <si>
    <t>75 ↑ +0.17%</t>
  </si>
  <si>
    <t>51 ↑ +0.44%</t>
  </si>
  <si>
    <t>20 ↑ +0.84%</t>
  </si>
  <si>
    <t>13 ↑ +1.99%</t>
  </si>
  <si>
    <t>20 ↓ -0.26%</t>
  </si>
  <si>
    <t>78 ↓ -0.33%</t>
  </si>
  <si>
    <t>47 ↓ -0.24%</t>
  </si>
  <si>
    <t>21 ↓ -0.24%</t>
  </si>
  <si>
    <t>10 ↓ -0.38%</t>
  </si>
  <si>
    <t>17 ↓ -0.12%</t>
  </si>
  <si>
    <t>79 ↓ -0.13%</t>
  </si>
  <si>
    <t>22 ↓ -0.51%</t>
  </si>
  <si>
    <t>10 ↓ -0.11%</t>
  </si>
  <si>
    <t>79 ↑ +0.10%</t>
  </si>
  <si>
    <t>24 ↑ +0.39%</t>
  </si>
  <si>
    <t>17 ↓ -0.17%</t>
  </si>
  <si>
    <t>46 ↓ -0.27%</t>
  </si>
  <si>
    <t>23 ↓ -0.22%</t>
  </si>
  <si>
    <t>10 ↓ -1.04%</t>
  </si>
  <si>
    <t>16 ↓ -0.21%</t>
  </si>
  <si>
    <t>75 ↓ -0.26%</t>
  </si>
  <si>
    <t>49 ↓ -0.37%</t>
  </si>
  <si>
    <t>26 ↓ -0.87%</t>
  </si>
  <si>
    <t>9 ↓ -0.86%</t>
  </si>
  <si>
    <t>16 ↑ +0.01%</t>
  </si>
  <si>
    <t>69 ↓ -0.07%</t>
  </si>
  <si>
    <t>16 ↓ -0.13%</t>
  </si>
  <si>
    <t>69 ↓ -0.27%</t>
  </si>
  <si>
    <t>53 ↓ -0.33%</t>
  </si>
  <si>
    <t>24 ↓ -0.02%</t>
  </si>
  <si>
    <t>13 ↓ -0.12%</t>
  </si>
  <si>
    <t>16 ↓ -0.14%</t>
  </si>
  <si>
    <t>49 ↓ -0.24%</t>
  </si>
  <si>
    <t>28 ↓ -0.89%</t>
  </si>
  <si>
    <t>12 ↓ -0.87%</t>
  </si>
  <si>
    <t>16 ↑ +0.22%</t>
  </si>
  <si>
    <t>66 ↑ +0.36%</t>
  </si>
  <si>
    <t>50 ↑ +0.52%</t>
  </si>
  <si>
    <t>27 ↑ +0.68%</t>
  </si>
  <si>
    <t>17 ↑ +2.40%</t>
  </si>
  <si>
    <t>16 ↑ +0.13%</t>
  </si>
  <si>
    <t>71 ↑ +0.21%</t>
  </si>
  <si>
    <t>29 ↑ +0.53%</t>
  </si>
  <si>
    <t>12 ↑ +0.45%</t>
  </si>
  <si>
    <t>73 ↑ +0.23%</t>
  </si>
  <si>
    <t>22 ↑ +1.69%</t>
  </si>
  <si>
    <t>13 ↑ +1.67%</t>
  </si>
  <si>
    <t>17 ↓ -0.07%</t>
  </si>
  <si>
    <t>76 ↑ +0.14%</t>
  </si>
  <si>
    <t>50 ↑ +0.30%</t>
  </si>
  <si>
    <t>22 ↓ -0.06%</t>
  </si>
  <si>
    <t>13 ↑ +0.46%</t>
  </si>
  <si>
    <t>17 ↑ +0.03%</t>
  </si>
  <si>
    <t>79 ↓ -0.07%</t>
  </si>
  <si>
    <t>48 ↑ +0.10%</t>
  </si>
  <si>
    <t>23 ↓ -0.37%</t>
  </si>
  <si>
    <t>11 ↑ +0.72%</t>
  </si>
  <si>
    <t>80 ↓ -0.12%</t>
  </si>
  <si>
    <t>49 ↓ -0.13%</t>
  </si>
  <si>
    <t>21 ↓ -0.60%</t>
  </si>
  <si>
    <t>11 ↓ -0.23%</t>
  </si>
  <si>
    <t>17 ↓ -0.10%</t>
  </si>
  <si>
    <t>50 ↑ +0.43%</t>
  </si>
  <si>
    <t>21 ↑ +0.44%</t>
  </si>
  <si>
    <t>11 ↑ +0.47%</t>
  </si>
  <si>
    <t>16 ↓ -0.28%</t>
  </si>
  <si>
    <t>86 ↓ -0.49%</t>
  </si>
  <si>
    <t>43 ↓ -0.61%</t>
  </si>
  <si>
    <t>22 ↓ -1.55%</t>
  </si>
  <si>
    <t>10 ↓ -3.38%</t>
  </si>
  <si>
    <t>14 ↓ -0.10%</t>
  </si>
  <si>
    <t>79 ↓ -0.32%</t>
  </si>
  <si>
    <t>48 ↓ -0.90%</t>
  </si>
  <si>
    <t>22 ↓ -0.94%</t>
  </si>
  <si>
    <t>14 ↓ -1.54%</t>
  </si>
  <si>
    <t>14 ↑ +0.24%</t>
  </si>
  <si>
    <t>22 ↑ +0.52%</t>
  </si>
  <si>
    <t>18 ↑ +1.13%</t>
  </si>
  <si>
    <t>15 ↓ -0.22%</t>
  </si>
  <si>
    <t>77 ↓ -0.28%</t>
  </si>
  <si>
    <t>22 ↓ -1.19%</t>
  </si>
  <si>
    <t>16 ↓ -0.67%</t>
  </si>
  <si>
    <t>15 ↑ +0.19%</t>
  </si>
  <si>
    <t>76 ↑ +0.18%</t>
  </si>
  <si>
    <t>40 ↑ +0.33%</t>
  </si>
  <si>
    <t>29 ↑ +0.80%</t>
  </si>
  <si>
    <t>17 ↑ +1.11%</t>
  </si>
  <si>
    <t>75 ↑ +0.37%</t>
  </si>
  <si>
    <t>42 ↑ +0.41%</t>
  </si>
  <si>
    <t>28 ↑ +0.43%</t>
  </si>
  <si>
    <t>15 ↑ +1.05%</t>
  </si>
  <si>
    <t>17 ↑ +0.20%</t>
  </si>
  <si>
    <t>77 ↑ +0.04%</t>
  </si>
  <si>
    <t>43 ↓ -0.16%</t>
  </si>
  <si>
    <t>18 ↓ -0.72%</t>
  </si>
  <si>
    <t>76 ↓ -1.04%</t>
  </si>
  <si>
    <t>45 ↓ -1.56%</t>
  </si>
  <si>
    <t>24 ↓ -0.77%</t>
  </si>
  <si>
    <t>15 ↓ -2.13%</t>
  </si>
  <si>
    <t>16 ↑ +0.02%</t>
  </si>
  <si>
    <t>69 ↓ -0.01%</t>
  </si>
  <si>
    <t>35 ↑ +0.18%</t>
  </si>
  <si>
    <t>16 ↑ +0.76%</t>
  </si>
  <si>
    <t>16 ↑ +0.26%</t>
  </si>
  <si>
    <t>65 ↑ +0.10%</t>
  </si>
  <si>
    <t>39 ↓ -0.13%</t>
  </si>
  <si>
    <t>18 ↑ +1.02%</t>
  </si>
  <si>
    <t>64 ↓ -0.04%</t>
  </si>
  <si>
    <t>42 ↓ -0.80%</t>
  </si>
  <si>
    <t>15 ↓ -1.28%</t>
  </si>
  <si>
    <t>38 ↑ +0.49%</t>
  </si>
  <si>
    <t>20 ↓ -0.03%</t>
  </si>
  <si>
    <t>16 ↑ +0.88%</t>
  </si>
  <si>
    <t>62 ↑ +0.87%</t>
  </si>
  <si>
    <t>37 ↑ +0.92%</t>
  </si>
  <si>
    <t>36 ↑ +0.53%</t>
  </si>
  <si>
    <t>22 ↑ +2.70%</t>
  </si>
  <si>
    <t>21 ↑ +0.15%</t>
  </si>
  <si>
    <t>66 ↑ +0.44%</t>
  </si>
  <si>
    <t>31 ↑ +0.61%</t>
  </si>
  <si>
    <t>39 ↑ +0.42%</t>
  </si>
  <si>
    <t>16 ↑ +1.06%</t>
  </si>
  <si>
    <t>22 ↑ +0.19%</t>
  </si>
  <si>
    <t>67 ↑ +0.74%</t>
  </si>
  <si>
    <t>31 ↑ +0.97%</t>
  </si>
  <si>
    <t>18 ↑ +1.27%</t>
  </si>
  <si>
    <t>74 ↑ +0.14%</t>
  </si>
  <si>
    <t>28 ↑ +1.03%</t>
  </si>
  <si>
    <t>14 ↑ +0.88%</t>
  </si>
  <si>
    <t>21 ↑ +0.02%</t>
  </si>
  <si>
    <t>75 ↑ +0.10%</t>
  </si>
  <si>
    <t>36 ↑ +0.46%</t>
  </si>
  <si>
    <t>26 ↑ +0.13%</t>
  </si>
  <si>
    <t>15 ↑ +1.69%</t>
  </si>
  <si>
    <t>23 ↑ +0.27%</t>
  </si>
  <si>
    <t>73 ↑ +0.37%</t>
  </si>
  <si>
    <t>39 ↑ +0.94%</t>
  </si>
  <si>
    <t>22 ↑ +0.87%</t>
  </si>
  <si>
    <t>16 ↑ +1.89%</t>
  </si>
  <si>
    <t>75 ↓ -0.09%</t>
  </si>
  <si>
    <t>37 ↓ -0.28%</t>
  </si>
  <si>
    <t>22 ↓ -0.60%</t>
  </si>
  <si>
    <t>14 ↓ -1.15%</t>
  </si>
  <si>
    <t>72 ↓ -0.14%</t>
  </si>
  <si>
    <t>40 ↓ -0.05%</t>
  </si>
  <si>
    <t>18 ↑ +0.60%</t>
  </si>
  <si>
    <t>17 ↓ -0.19%</t>
  </si>
  <si>
    <t>26 ↑ +0.05%</t>
  </si>
  <si>
    <t>72 ↑ +0.09%</t>
  </si>
  <si>
    <t>40 ↑ +0.08%</t>
  </si>
  <si>
    <t>17 ↑ +0.86%</t>
  </si>
  <si>
    <t>25 ↑ +0.34%</t>
  </si>
  <si>
    <t>74 ↑ +0.51%</t>
  </si>
  <si>
    <t>38 ↑ +0.74%</t>
  </si>
  <si>
    <t>21 ↑ +1.43%</t>
  </si>
  <si>
    <t>30 ↓ -0.14%</t>
  </si>
  <si>
    <t>40 ↓ -0.59%</t>
  </si>
  <si>
    <t>20 ↓ -0.44%</t>
  </si>
  <si>
    <t>12 ↑ +1.86%</t>
  </si>
  <si>
    <t>30 ↑ +0.00%</t>
  </si>
  <si>
    <t>69 ↑ +0.31%</t>
  </si>
  <si>
    <t>38 ↑ +0.11%</t>
  </si>
  <si>
    <t>22 ↑ +0.47%</t>
  </si>
  <si>
    <t>13 ↑ +0.76%</t>
  </si>
  <si>
    <t>70 ↓ -0.04%</t>
  </si>
  <si>
    <t>40 ↑ +0.01%</t>
  </si>
  <si>
    <t>19 ↓ -0.24%</t>
  </si>
  <si>
    <t>13 ↑ +0.23%</t>
  </si>
  <si>
    <t>28 ↑ +0.07%</t>
  </si>
  <si>
    <t>72 ↑ +0.07%</t>
  </si>
  <si>
    <t>39 ↓ -0.20%</t>
  </si>
  <si>
    <t>19 ↓ -0.48%</t>
  </si>
  <si>
    <t>15 ↑ +1.23%</t>
  </si>
  <si>
    <t>71 ↑ +0.18%</t>
  </si>
  <si>
    <t>37 ↓ -0.06%</t>
  </si>
  <si>
    <t>22 ↓ -0.58%</t>
  </si>
  <si>
    <t>14 ↑ +0.58%</t>
  </si>
  <si>
    <t>70 ↑ +1.04%</t>
  </si>
  <si>
    <t>37 ↑ +1.32%</t>
  </si>
  <si>
    <t>19 ↑ +1.60%</t>
  </si>
  <si>
    <t>16 ↑ +3.73%</t>
  </si>
  <si>
    <t>40 ↑ +0.07%</t>
  </si>
  <si>
    <t>66 ↑ +0.30%</t>
  </si>
  <si>
    <t>13 ↑ +0.67%</t>
  </si>
  <si>
    <t>12 ↑ +0.31%</t>
  </si>
  <si>
    <t>43 ↓ -0.11%</t>
  </si>
  <si>
    <t>66 ↑ +0.04%</t>
  </si>
  <si>
    <t>40 ↑ +0.27%</t>
  </si>
  <si>
    <t>13 ↑ +0.38%</t>
  </si>
  <si>
    <t>11 ↑ +1.20%</t>
  </si>
  <si>
    <t>44 ↓ -0.04%</t>
  </si>
  <si>
    <t>68 ↑ +0.26%</t>
  </si>
  <si>
    <t>37 ↑ +0.27%</t>
  </si>
  <si>
    <t>15 ↑ +0.09%</t>
  </si>
  <si>
    <t>9 ↑ +0.26%</t>
  </si>
  <si>
    <t>44 ↓ -0.07%</t>
  </si>
  <si>
    <t>68 ↓ -0.04%</t>
  </si>
  <si>
    <t>15 ↑ +0.04%</t>
  </si>
  <si>
    <t>43 ↑ +0.11%</t>
  </si>
  <si>
    <t>68 ↑ +0.20%</t>
  </si>
  <si>
    <t>38 ↑ +0.51%</t>
  </si>
  <si>
    <t>14 ↑ +1.43%</t>
  </si>
  <si>
    <t>9 ↑ +2.19%</t>
  </si>
  <si>
    <t>42 ↓ -0.04%</t>
  </si>
  <si>
    <t>14 ↑ +0.08%</t>
  </si>
  <si>
    <t>7 ↓ -0.97%</t>
  </si>
  <si>
    <t>42 ↑ +0.06%</t>
  </si>
  <si>
    <t>69 ↑ +0.15%</t>
  </si>
  <si>
    <t>14 ↑ +0.79%</t>
  </si>
  <si>
    <t>8 ↑ +1.47%</t>
  </si>
  <si>
    <t>67 ↑ +0.29%</t>
  </si>
  <si>
    <t>39 ↑ +0.38%</t>
  </si>
  <si>
    <t>15 ↑ +1.09%</t>
  </si>
  <si>
    <t>6 ↑ +1.13%</t>
  </si>
  <si>
    <t>51 ↓ -0.53%</t>
  </si>
  <si>
    <t>63 ↓ -0.70%</t>
  </si>
  <si>
    <t>40 ↓ -0.69%</t>
  </si>
  <si>
    <t>12 ↓ -1.91%</t>
  </si>
  <si>
    <t>6 ↓ -1.86%</t>
  </si>
  <si>
    <t>39 ↓ -0.40%</t>
  </si>
  <si>
    <t>71 ↓ -0.47%</t>
  </si>
  <si>
    <t>43 ↓ -0.81%</t>
  </si>
  <si>
    <t>9 ↓ -0.28%</t>
  </si>
  <si>
    <t>9 ↓ -1.04%</t>
  </si>
  <si>
    <t>37 ↓ -0.25%</t>
  </si>
  <si>
    <t>74 ↓ -0.37%</t>
  </si>
  <si>
    <t>37 ↓ -0.27%</t>
  </si>
  <si>
    <t>14 ↓ -0.76%</t>
  </si>
  <si>
    <t>9 ↓ -1.21%</t>
  </si>
  <si>
    <t>33 ↓ -0.17%</t>
  </si>
  <si>
    <t>75 ↓ -0.14%</t>
  </si>
  <si>
    <t>38 ↓ -0.21%</t>
  </si>
  <si>
    <t>14 ↑ +0.00%</t>
  </si>
  <si>
    <t>10 ↓ -1.24%</t>
  </si>
  <si>
    <t>33 ↑ +0.14%</t>
  </si>
  <si>
    <t>75 ↑ +0.02%</t>
  </si>
  <si>
    <t>15 ↑ +0.39%</t>
  </si>
  <si>
    <t>11 ↓ -0.01%</t>
  </si>
  <si>
    <t>33 ↑ +0.24%</t>
  </si>
  <si>
    <t>73 ↑ +0.49%</t>
  </si>
  <si>
    <t>37 ↑ +0.63%</t>
  </si>
  <si>
    <t>16 ↑ +0.48%</t>
  </si>
  <si>
    <t>11 ↑ +0.51%</t>
  </si>
  <si>
    <t>73 ↑ +0.18%</t>
  </si>
  <si>
    <t>12 ↑ +0.70%</t>
  </si>
  <si>
    <t>37 ↑ +0.21%</t>
  </si>
  <si>
    <t>74 ↑ +0.52%</t>
  </si>
  <si>
    <t>12 ↑ +1.04%</t>
  </si>
  <si>
    <t>12 ↑ +0.83%</t>
  </si>
  <si>
    <t>41 ↑ +0.13%</t>
  </si>
  <si>
    <t>73 ↑ +0.31%</t>
  </si>
  <si>
    <t>31 ↑ +0.56%</t>
  </si>
  <si>
    <t>14 ↑ +0.82%</t>
  </si>
  <si>
    <t>10 ↑ +2.02%</t>
  </si>
  <si>
    <t>43 ↑ +0.16%</t>
  </si>
  <si>
    <t>72 ↑ +0.24%</t>
  </si>
  <si>
    <t>68 ↑ +0.27%</t>
  </si>
  <si>
    <t>12 ↑ +0.76%</t>
  </si>
  <si>
    <t>7 ↑ +0.59%</t>
  </si>
  <si>
    <t>46 ↓ -0.56%</t>
  </si>
  <si>
    <t>69 ↓ -0.80%</t>
  </si>
  <si>
    <t>37 ↓ -0.14%</t>
  </si>
  <si>
    <t>8 ↓ -3.41%</t>
  </si>
  <si>
    <t>36 ↓ -0.02%</t>
  </si>
  <si>
    <t>77 ↑ +0.10%</t>
  </si>
  <si>
    <t>9 ↑ +0.41%</t>
  </si>
  <si>
    <t>79 ↓ -0.47%</t>
  </si>
  <si>
    <t>37 ↓ -0.60%</t>
  </si>
  <si>
    <t>10 ↓ -1.18%</t>
  </si>
  <si>
    <t>8 ↓ -1.66%</t>
  </si>
  <si>
    <t>80 ↑ +0.29%</t>
  </si>
  <si>
    <t>37 ↑ +0.31%</t>
  </si>
  <si>
    <t>11 ↑ +0.32%</t>
  </si>
  <si>
    <t>35 ↓ -0.01%</t>
  </si>
  <si>
    <t>79 ↑ +0.15%</t>
  </si>
  <si>
    <t>34 ↑ +0.12%</t>
  </si>
  <si>
    <t>13 ↓ -0.49%</t>
  </si>
  <si>
    <t>8 ↑ +0.94%</t>
  </si>
  <si>
    <t>77 ↑ +0.13%</t>
  </si>
  <si>
    <t>34 ↑ +0.41%</t>
  </si>
  <si>
    <t>11 ↑ +0.58%</t>
  </si>
  <si>
    <t>9 ↑ +0.91%</t>
  </si>
  <si>
    <t>32 ↑ +0.00%</t>
  </si>
  <si>
    <t>83 ↑ +0.14%</t>
  </si>
  <si>
    <t>33 ↑ +0.25%</t>
  </si>
  <si>
    <t>12 ↑ +1.19%</t>
  </si>
  <si>
    <t>33 ↓ -0.13%</t>
  </si>
  <si>
    <t>82 ↑ +0.04%</t>
  </si>
  <si>
    <t>10 ↓ -0.29%</t>
  </si>
  <si>
    <t>32 ↓ -0.21%</t>
  </si>
  <si>
    <t>81 ↓ -0.09%</t>
  </si>
  <si>
    <t>35 ↓ -0.30%</t>
  </si>
  <si>
    <t>10 ↓ -0.13%</t>
  </si>
  <si>
    <t>8 ↓ -1.89%</t>
  </si>
  <si>
    <t>82 ↑ +0.16%</t>
  </si>
  <si>
    <t>32 ↓ -0.41%</t>
  </si>
  <si>
    <t>12 ↓ -0.38%</t>
  </si>
  <si>
    <t>34 ↓ -0.75%</t>
  </si>
  <si>
    <t>81 ↓ -1.16%</t>
  </si>
  <si>
    <t>14 ↓ -0.29%</t>
  </si>
  <si>
    <t>9 ↓ -2.86%</t>
  </si>
  <si>
    <t>26 ↑ +0.00%</t>
  </si>
  <si>
    <t>81 ↓ -0.17%</t>
  </si>
  <si>
    <t>33 ↑ +0.04%</t>
  </si>
  <si>
    <t>14 ↑ +0.51%</t>
  </si>
  <si>
    <t>10 ↑ +0.09%</t>
  </si>
  <si>
    <t>75 ↑ +0.20%</t>
  </si>
  <si>
    <t>14 ↑ +0.47%</t>
  </si>
  <si>
    <t>29 ↓ -0.21%</t>
  </si>
  <si>
    <t>12 ↓ -1.61%</t>
  </si>
  <si>
    <t>12 ↓ -2.28%</t>
  </si>
  <si>
    <t>27 ↑ +0.31%</t>
  </si>
  <si>
    <t>77 ↑ +0.36%</t>
  </si>
  <si>
    <t>33 ↑ +0.20%</t>
  </si>
  <si>
    <t>13 ↓ -0.24%</t>
  </si>
  <si>
    <t>14 ↓ -3.36%</t>
  </si>
  <si>
    <t>30 ↑ +0.71%</t>
  </si>
  <si>
    <t>77 ↑ +1.01%</t>
  </si>
  <si>
    <t>28 ↑ +2.17%</t>
  </si>
  <si>
    <t>13 ↑ +2.13%</t>
  </si>
  <si>
    <t>14 ↑ +5.92%</t>
  </si>
  <si>
    <t>41 ↑ +0.01%</t>
  </si>
  <si>
    <t>71 ↓ -0.25%</t>
  </si>
  <si>
    <t>29 ↓ -0.28%</t>
  </si>
  <si>
    <t>12 ↑ +1.76%</t>
  </si>
  <si>
    <t>39 ↑ +0.34%</t>
  </si>
  <si>
    <t>27 ↑ +1.00%</t>
  </si>
  <si>
    <t>15 ↑ +1.79%</t>
  </si>
  <si>
    <t>10 ↑ +1.50%</t>
  </si>
  <si>
    <t>30 ↑ +0.43%</t>
  </si>
  <si>
    <t>11 ↑ +1.95%</t>
  </si>
  <si>
    <t>43 ↓ -0.42%</t>
  </si>
  <si>
    <t>71 ↓ -0.42%</t>
  </si>
  <si>
    <t>31 ↓ -0.49%</t>
  </si>
  <si>
    <t>7 ↓ -0.70%</t>
  </si>
  <si>
    <t>70 ↓ -0.23%</t>
  </si>
  <si>
    <t>31 ↑ +0.24%</t>
  </si>
  <si>
    <t>9 ↑ +0.67%</t>
  </si>
  <si>
    <t>40 ↑ +0.98%</t>
  </si>
  <si>
    <t>65 ↑ +1.04%</t>
  </si>
  <si>
    <t>38 ↑ +1.07%</t>
  </si>
  <si>
    <t>8 ↑ +1.37%</t>
  </si>
  <si>
    <t>66 ↑ +1.08%</t>
  </si>
  <si>
    <t>32 ↑ +1.88%</t>
  </si>
  <si>
    <t>7 ↑ +2.83%</t>
  </si>
  <si>
    <t>9 ↑ +0.90%</t>
  </si>
  <si>
    <t>53 ↑ +0.30%</t>
  </si>
  <si>
    <t>73 ↑ +0.58%</t>
  </si>
  <si>
    <t>20 ↑ +1.01%</t>
  </si>
  <si>
    <t>8 ↑ +2.05%</t>
  </si>
  <si>
    <t>55 ↓ -0.25%</t>
  </si>
  <si>
    <t>20 ↑ +0.47%</t>
  </si>
  <si>
    <t>5 ↑ +0.37%</t>
  </si>
  <si>
    <t>8 ↑ +1.00%</t>
  </si>
  <si>
    <t>53 ↓ -0.22%</t>
  </si>
  <si>
    <t>74 ↓ -0.13%</t>
  </si>
  <si>
    <t>20 ↓ -0.27%</t>
  </si>
  <si>
    <t>4 ↓ -1.07%</t>
  </si>
  <si>
    <t>50 ↓ -0.52%</t>
  </si>
  <si>
    <t>77 ↓ -0.57%</t>
  </si>
  <si>
    <t>19 ↓ -0.88%</t>
  </si>
  <si>
    <t>6 ↓ -1.56%</t>
  </si>
  <si>
    <t>8 ↓ -2.44%</t>
  </si>
  <si>
    <t>49 ↓ -0.02%</t>
  </si>
  <si>
    <t>20 ↑ +0.24%</t>
  </si>
  <si>
    <t>8 ↑ +1.79%</t>
  </si>
  <si>
    <t>75 ↓ -0.45%</t>
  </si>
  <si>
    <t>21 ↑ +0.12%</t>
  </si>
  <si>
    <t>9 ↓ -1.19%</t>
  </si>
  <si>
    <t>44 ↑ +0.97%</t>
  </si>
  <si>
    <t>79 ↑ +1.42%</t>
  </si>
  <si>
    <t>21 ↑ +3.31%</t>
  </si>
  <si>
    <t>8 ↑ +2.39%</t>
  </si>
  <si>
    <t>8 ↑ +4.96%</t>
  </si>
  <si>
    <t>80 ↑ +0.46%</t>
  </si>
  <si>
    <t>11 ↑ +1.17%</t>
  </si>
  <si>
    <t>6 ↑ +2.28%</t>
  </si>
  <si>
    <t>8 ↑ +2.01%</t>
  </si>
  <si>
    <t>53 ↓ -0.81%</t>
  </si>
  <si>
    <t>81 ↓ -0.59%</t>
  </si>
  <si>
    <t>13 ↓ -1.17%</t>
  </si>
  <si>
    <t>6 ↓ -1.79%</t>
  </si>
  <si>
    <t>7 ↓ -4.07%</t>
  </si>
  <si>
    <t>81 ↓ -0.12%</t>
  </si>
  <si>
    <t>8 ↓ -1.42%</t>
  </si>
  <si>
    <t>6 ↑ +2.31%</t>
  </si>
  <si>
    <t>49 ↓ -0.46%</t>
  </si>
  <si>
    <t>81 ↓ -0.98%</t>
  </si>
  <si>
    <t>16 ↓ -1.78%</t>
  </si>
  <si>
    <t>9 ↓ -1.14%</t>
  </si>
  <si>
    <t>45 ↓ -0.47%</t>
  </si>
  <si>
    <t>77 ↓ -0.89%</t>
  </si>
  <si>
    <t>21 ↓ -1.35%</t>
  </si>
  <si>
    <t>9 ↓ -0.34%</t>
  </si>
  <si>
    <t>41 ↓ -0.06%</t>
  </si>
  <si>
    <t>72 ↓ -0.18%</t>
  </si>
  <si>
    <t>29 ↓ -0.18%</t>
  </si>
  <si>
    <t>9 ↑ +0.71%</t>
  </si>
  <si>
    <t>9 ↓ -1.31%</t>
  </si>
  <si>
    <t>39 ↓ -0.31%</t>
  </si>
  <si>
    <t>73 ↓ -0.51%</t>
  </si>
  <si>
    <t>31 ↓ -0.60%</t>
  </si>
  <si>
    <t>8 ↓ -0.71%</t>
  </si>
  <si>
    <t>9 ↓ -2.56%</t>
  </si>
  <si>
    <t>73 ↓ -0.06%</t>
  </si>
  <si>
    <t>33 ↓ -0.04%</t>
  </si>
  <si>
    <t>10 ↑ +1.46%</t>
  </si>
  <si>
    <t>37 ↓ -0.04%</t>
  </si>
  <si>
    <t>32 ↑ +0.01%</t>
  </si>
  <si>
    <t>37 ↑ +0.06%</t>
  </si>
  <si>
    <t>74 ↑ +0.06%</t>
  </si>
  <si>
    <t>9 ↑ +1.36%</t>
  </si>
  <si>
    <t>10 ↑ +4.29%</t>
  </si>
  <si>
    <t>31 ↓ -0.26%</t>
  </si>
  <si>
    <t>8 ↓ -0.77%</t>
  </si>
  <si>
    <t>7 ↓ -0.62%</t>
  </si>
  <si>
    <t>34 ↓ -0.56%</t>
  </si>
  <si>
    <t>80 ↓ -0.58%</t>
  </si>
  <si>
    <t>29 ↓ -0.94%</t>
  </si>
  <si>
    <t>8 ↓ -1.54%</t>
  </si>
  <si>
    <t>9 ↓ -3.49%</t>
  </si>
  <si>
    <t>10 ↑ +0.62%</t>
  </si>
  <si>
    <t>29 ↑ +0.42%</t>
  </si>
  <si>
    <t>77 ↑ +0.45%</t>
  </si>
  <si>
    <t>34 ↑ +0.47%</t>
  </si>
  <si>
    <t>10 ↑ +0.89%</t>
  </si>
  <si>
    <t>10 ↑ +2.79%</t>
  </si>
  <si>
    <t>33 ↓ -0.28%</t>
  </si>
  <si>
    <t>76 ↓ -0.76%</t>
  </si>
  <si>
    <t>10 ↓ -0.98%</t>
  </si>
  <si>
    <t>31 ↓ -1.10%</t>
  </si>
  <si>
    <t>72 ↓ -1.46%</t>
  </si>
  <si>
    <t>36 ↓ -0.94%</t>
  </si>
  <si>
    <t>10 ↓ -2.53%</t>
  </si>
  <si>
    <t>10 ↓ -3.27%</t>
  </si>
  <si>
    <t>24 ↑ +0.20%</t>
  </si>
  <si>
    <t>63 ↑ +0.31%</t>
  </si>
  <si>
    <t>48 ↑ +0.33%</t>
  </si>
  <si>
    <t>11 ↓ -0.02%</t>
  </si>
  <si>
    <t>24 ↑ +0.65%</t>
  </si>
  <si>
    <t>66 ↑ +0.90%</t>
  </si>
  <si>
    <t>46 ↑ +1.30%</t>
  </si>
  <si>
    <t>9 ↑ +1.90%</t>
  </si>
  <si>
    <t>14 ↑ +3.59%</t>
  </si>
  <si>
    <t>29 ↓ -0.07%</t>
  </si>
  <si>
    <t>72 ↑ +0.17%</t>
  </si>
  <si>
    <t>12 ↑ +0.26%</t>
  </si>
  <si>
    <t>8 ↑ +1.57%</t>
  </si>
  <si>
    <t>28 ↓ -0.65%</t>
  </si>
  <si>
    <t>75 ↓ -0.48%</t>
  </si>
  <si>
    <t>35 ↓ -0.62%</t>
  </si>
  <si>
    <t>13 ↓ -0.32%</t>
  </si>
  <si>
    <t>7 ↑ +0.83%</t>
  </si>
  <si>
    <t>21 ↑ +0.51%</t>
  </si>
  <si>
    <t>76 ↑ +1.30%</t>
  </si>
  <si>
    <t>38 ↑ +2.18%</t>
  </si>
  <si>
    <t>12 ↑ +3.28%</t>
  </si>
  <si>
    <t>11 ↑ +5.46%</t>
  </si>
  <si>
    <t>32 ↑ +0.05%</t>
  </si>
  <si>
    <t>77 ↑ +0.12%</t>
  </si>
  <si>
    <t>10 ↓ -0.48%</t>
  </si>
  <si>
    <t>35 ↑ +0.06%</t>
  </si>
  <si>
    <t>75 ↑ +0.50%</t>
  </si>
  <si>
    <t>27 ↑ +0.85%</t>
  </si>
  <si>
    <t>11 ↑ +1.33%</t>
  </si>
  <si>
    <t>77 ↑ +0.65%</t>
  </si>
  <si>
    <t>10 ↑ +2.12%</t>
  </si>
  <si>
    <t>8 ↓ -0.37%</t>
  </si>
  <si>
    <t>37 ↓ -2.29%</t>
  </si>
  <si>
    <t>79 ↓ -3.09%</t>
  </si>
  <si>
    <t>24 ↓ -4.11%</t>
  </si>
  <si>
    <t>7 ↓ -4.01%</t>
  </si>
  <si>
    <t>7 ↓ -7.00%</t>
  </si>
  <si>
    <t>15 ↓ -0.02%</t>
  </si>
  <si>
    <t>40 ↑ +0.94%</t>
  </si>
  <si>
    <t>12 ↑ +1.11%</t>
  </si>
  <si>
    <t>11 ↑ +2.09%</t>
  </si>
  <si>
    <t>15 ↓ -0.72%</t>
  </si>
  <si>
    <t>79 ↓ -1.19%</t>
  </si>
  <si>
    <t>36 ↓ -1.27%</t>
  </si>
  <si>
    <t>10 ↓ -6.14%</t>
  </si>
  <si>
    <t>11 ↓ -0.71%</t>
  </si>
  <si>
    <t>74 ↓ -0.84%</t>
  </si>
  <si>
    <t>45 ↓ -0.79%</t>
  </si>
  <si>
    <t>13 ↑ +0.53%</t>
  </si>
  <si>
    <t>8 ↓ -1.34%</t>
  </si>
  <si>
    <t>70 ↓ -1.89%</t>
  </si>
  <si>
    <t>49 ↓ -2.45%</t>
  </si>
  <si>
    <t>11 ↓ -2.29%</t>
  </si>
  <si>
    <t>14 ↑ +1.59%</t>
  </si>
  <si>
    <t>7 ↓ -0.53%</t>
  </si>
  <si>
    <t>53 ↓ -0.11%</t>
  </si>
  <si>
    <t>51 ↓ -0.26%</t>
  </si>
  <si>
    <t>21 ↑ +1.50%</t>
  </si>
  <si>
    <t>14 ↑ +0.90%</t>
  </si>
  <si>
    <t>6 ↓ -0.75%</t>
  </si>
  <si>
    <t>53 ↓ -1.27%</t>
  </si>
  <si>
    <t>50 ↓ -1.10%</t>
  </si>
  <si>
    <t>25 ↓ -2.17%</t>
  </si>
  <si>
    <t>13 ↓ -1.96%</t>
  </si>
  <si>
    <t>44 ↓ -0.63%</t>
  </si>
  <si>
    <t>51 ↓ -1.19%</t>
  </si>
  <si>
    <t>29 ↓ -1.58%</t>
  </si>
  <si>
    <t>16 ↑ +4.70%</t>
  </si>
  <si>
    <t>4 ↑ +0.13%</t>
  </si>
  <si>
    <t>38 ↑ +0.02%</t>
  </si>
  <si>
    <t>53 ↑ +0.29%</t>
  </si>
  <si>
    <t>31 ↑ +0.54%</t>
  </si>
  <si>
    <t>18 ↑ +0.99%</t>
  </si>
  <si>
    <t>52 ↑ +0.14%</t>
  </si>
  <si>
    <t>17 ↓ -0.67%</t>
  </si>
  <si>
    <t>38 ↑ +0.39%</t>
  </si>
  <si>
    <t>52 ↑ +0.22%</t>
  </si>
  <si>
    <t>28 ↑ +0.71%</t>
  </si>
  <si>
    <t>18 ↑ +2.17%</t>
  </si>
  <si>
    <t>6 ↓ -0.29%</t>
  </si>
  <si>
    <t>38 ↓ -0.10%</t>
  </si>
  <si>
    <t>26 ↑ +0.60%</t>
  </si>
  <si>
    <t>16 ↑ +4.42%</t>
  </si>
  <si>
    <t>37 ↓ -0.53%</t>
  </si>
  <si>
    <t>58 ↓ -0.94%</t>
  </si>
  <si>
    <t>24 ↓ -0.55%</t>
  </si>
  <si>
    <t>14 ↓ -0.05%</t>
  </si>
  <si>
    <t>4 ↓ -0.74%</t>
  </si>
  <si>
    <t>37 ↑ +0.02%</t>
  </si>
  <si>
    <t>53 ↓ -0.13%</t>
  </si>
  <si>
    <t>30 ↑ +0.26%</t>
  </si>
  <si>
    <t>14 ↑ +1.98%</t>
  </si>
  <si>
    <t>34 ↓ -1.15%</t>
  </si>
  <si>
    <t>59 ↓ -1.55%</t>
  </si>
  <si>
    <t>30 ↓ -1.52%</t>
  </si>
  <si>
    <t>13 ↓ -2.02%</t>
  </si>
  <si>
    <t>3 ↓ -0.36%</t>
  </si>
  <si>
    <t>23 ↓ -0.56%</t>
  </si>
  <si>
    <t>31 ↓ -0.79%</t>
  </si>
  <si>
    <t>17 ↑ +0.00%</t>
  </si>
  <si>
    <t>23 ↓ -0.13%</t>
  </si>
  <si>
    <t>39 ↓ -1.54%</t>
  </si>
  <si>
    <t>17 ↓ -1.06%</t>
  </si>
  <si>
    <t>19 ↓ -0.58%</t>
  </si>
  <si>
    <t>55 ↓ -0.13%</t>
  </si>
  <si>
    <t>37 ↓ -0.99%</t>
  </si>
  <si>
    <t>25 ↑ +1.89%</t>
  </si>
  <si>
    <t>20 ↑ +0.38%</t>
  </si>
  <si>
    <t>43 ↑ +1.08%</t>
  </si>
  <si>
    <t>22 ↑ +2.19%</t>
  </si>
  <si>
    <t>2 ↓ -0.24%</t>
  </si>
  <si>
    <t>20 ↑ +0.37%</t>
  </si>
  <si>
    <t>55 ↑ +0.37%</t>
  </si>
  <si>
    <t>38 ↑ +0.94%</t>
  </si>
  <si>
    <t>19 ↑ +0.91%</t>
  </si>
  <si>
    <t>20 ↑ +0.65%</t>
  </si>
  <si>
    <t>53 ↑ +0.66%</t>
  </si>
  <si>
    <t>35 ↑ +1.87%</t>
  </si>
  <si>
    <t>20 ↓ -0.25%</t>
  </si>
  <si>
    <t>4 ↑ +1.94%</t>
  </si>
  <si>
    <t>22 ↑ +1.34%</t>
  </si>
  <si>
    <t>53 ↑ +2.12%</t>
  </si>
  <si>
    <t>33 ↑ +3.21%</t>
  </si>
  <si>
    <t>19 ↑ +5.26%</t>
  </si>
  <si>
    <t>5 ↑ +0.66%</t>
  </si>
  <si>
    <t>33 ↑ +1.31%</t>
  </si>
  <si>
    <t>55 ↑ +2.17%</t>
  </si>
  <si>
    <t>24 ↑ +2.44%</t>
  </si>
  <si>
    <t>12 ↑ +2.72%</t>
  </si>
  <si>
    <t>45 ↓ -0.18%</t>
  </si>
  <si>
    <t>52 ↓ -0.21%</t>
  </si>
  <si>
    <t>15 ↓ -1.39%</t>
  </si>
  <si>
    <t>11 ↓ -0.58%</t>
  </si>
  <si>
    <t>5 ↑ +0.46%</t>
  </si>
  <si>
    <t>51 ↑ +0.13%</t>
  </si>
  <si>
    <t>18 ↑ +0.20%</t>
  </si>
  <si>
    <t>12 ↑ +2.76%</t>
  </si>
  <si>
    <t>6 ↓ -1.57%</t>
  </si>
  <si>
    <t>41 ↓ -1.94%</t>
  </si>
  <si>
    <t>55 ↓ -2.40%</t>
  </si>
  <si>
    <t>16 ↓ -1.96%</t>
  </si>
  <si>
    <t>10 ↓ -2.70%</t>
  </si>
  <si>
    <t>5 ↓ -0.59%</t>
  </si>
  <si>
    <t>28 ↓ -0.75%</t>
  </si>
  <si>
    <t>54 ↓ -0.80%</t>
  </si>
  <si>
    <t>27 ↓ -1.10%</t>
  </si>
  <si>
    <t>13 ↓ -0.74%</t>
  </si>
  <si>
    <t>21 ↑ +0.41%</t>
  </si>
  <si>
    <t>52 ↑ +0.52%</t>
  </si>
  <si>
    <t>15 ↓ -0.27%</t>
  </si>
  <si>
    <t>5 ↑ +0.75%</t>
  </si>
  <si>
    <t>24 ↑ +1.20%</t>
  </si>
  <si>
    <t>46 ↑ +0.68%</t>
  </si>
  <si>
    <t>32 ↑ +1.10%</t>
  </si>
  <si>
    <t>17 ↑ +2.66%</t>
  </si>
  <si>
    <t>22 ↓ -0.77%</t>
  </si>
  <si>
    <t>15 ↑ +0.69%</t>
  </si>
  <si>
    <t>29 ↑ +0.64%</t>
  </si>
  <si>
    <t>44 ↑ +0.82%</t>
  </si>
  <si>
    <t>27 ↑ +1.41%</t>
  </si>
  <si>
    <t>18 ↑ +0.91%</t>
  </si>
  <si>
    <t>5 ↑ +0.85%</t>
  </si>
  <si>
    <t>31 ↑ +1.39%</t>
  </si>
  <si>
    <t>51 ↑ +2.06%</t>
  </si>
  <si>
    <t>20 ↑ +2.49%</t>
  </si>
  <si>
    <t>16 ↑ +2.02%</t>
  </si>
  <si>
    <t>6 ↑ +0.45%</t>
  </si>
  <si>
    <t>49 ↑ +0.79%</t>
  </si>
  <si>
    <t>16 ↑ +0.90%</t>
  </si>
  <si>
    <t>12 ↑ +4.27%</t>
  </si>
  <si>
    <t>7 ↓ -0.78%</t>
  </si>
  <si>
    <t>46 ↓ -1.44%</t>
  </si>
  <si>
    <t>43 ↓ -1.51%</t>
  </si>
  <si>
    <t>15 ↓ -3.34%</t>
  </si>
  <si>
    <t>11 ↓ -2.88%</t>
  </si>
  <si>
    <t>48 ↓ -1.39%</t>
  </si>
  <si>
    <t>16 ↓ -0.96%</t>
  </si>
  <si>
    <t>15 ↓ -1.46%</t>
  </si>
  <si>
    <t>5 ↑ +0.91%</t>
  </si>
  <si>
    <t>32 ↑ +1.00%</t>
  </si>
  <si>
    <t>24 ↑ +1.27%</t>
  </si>
  <si>
    <t>16 ↑ +3.34%</t>
  </si>
  <si>
    <t>7 ↑ +1.76%</t>
  </si>
  <si>
    <t>37 ↑ +1.64%</t>
  </si>
  <si>
    <t>43 ↑ +1.80%</t>
  </si>
  <si>
    <t>21 ↑ +3.65%</t>
  </si>
  <si>
    <t>14 ↑ +3.34%</t>
  </si>
  <si>
    <t>9 ↓ -1.47%</t>
  </si>
  <si>
    <t>43 ↓ -1.82%</t>
  </si>
  <si>
    <t>48 ↓ -1.95%</t>
  </si>
  <si>
    <t>11 ↓ -1.42%</t>
  </si>
  <si>
    <t>11 ↓ -4.55%</t>
  </si>
  <si>
    <t>33 ↓ -0.11%</t>
  </si>
  <si>
    <t>47 ↑ +0.06%</t>
  </si>
  <si>
    <t>20 ↓ -0.28%</t>
  </si>
  <si>
    <t>13 ↑ +2.31%</t>
  </si>
  <si>
    <t>31 ↑ +1.50%</t>
  </si>
  <si>
    <t>48 ↑ +0.69%</t>
  </si>
  <si>
    <t>23 ↑ +1.62%</t>
  </si>
  <si>
    <t>11 ↑ +1.10%</t>
  </si>
  <si>
    <t>39 ↑ +1.67%</t>
  </si>
  <si>
    <t>40 ↑ +1.31%</t>
  </si>
  <si>
    <t>22 ↑ +2.57%</t>
  </si>
  <si>
    <t>10 ↑ +2.70%</t>
  </si>
  <si>
    <t>45 ↑ +0.97%</t>
  </si>
  <si>
    <t>40 ↑ +0.88%</t>
  </si>
  <si>
    <t>15 ↑ +2.43%</t>
  </si>
  <si>
    <t>9 ↑ +2.73%</t>
  </si>
  <si>
    <t>18 ↑ +0.42%</t>
  </si>
  <si>
    <t>40 ↑ +0.58%</t>
  </si>
  <si>
    <t>13 ↑ +0.86%</t>
  </si>
  <si>
    <t>19 ↓ -0.10%</t>
  </si>
  <si>
    <t>49 ↓ -0.27%</t>
  </si>
  <si>
    <t>36 ↓ -0.73%</t>
  </si>
  <si>
    <t>12 ↓ -0.78%</t>
  </si>
  <si>
    <t>7 ↑ +0.68%</t>
  </si>
  <si>
    <t>47 ↓ -0.00%</t>
  </si>
  <si>
    <t>39 ↓ -0.50%</t>
  </si>
  <si>
    <t>8 ↓ -4.62%</t>
  </si>
  <si>
    <t>16 ↑ +0.83%</t>
  </si>
  <si>
    <t>46 ↑ +1.54%</t>
  </si>
  <si>
    <t>36 ↑ +2.75%</t>
  </si>
  <si>
    <t>14 ↑ +3.30%</t>
  </si>
  <si>
    <t>9 ↑ +10.84%</t>
  </si>
  <si>
    <t>25 ↑ +0.76%</t>
  </si>
  <si>
    <t>48 ↑ +0.91%</t>
  </si>
  <si>
    <t>34 ↑ +0.91%</t>
  </si>
  <si>
    <t>10 ↑ +2.48%</t>
  </si>
  <si>
    <t>4 ↑ +8.93%</t>
  </si>
  <si>
    <t>28 ↑ +0.15%</t>
  </si>
  <si>
    <t>30 ↑ +0.78%</t>
  </si>
  <si>
    <t>10 ↑ +0.20%</t>
  </si>
  <si>
    <t>3 ↑ +4.30%</t>
  </si>
  <si>
    <t>31 ↑ +0.09%</t>
  </si>
  <si>
    <t>46 ↑ +0.28%</t>
  </si>
  <si>
    <t>10 ↑ +2.00%</t>
  </si>
  <si>
    <t>33 ↓ -0.42%</t>
  </si>
  <si>
    <t>45 ↓ -0.20%</t>
  </si>
  <si>
    <t>32 ↓ -0.63%</t>
  </si>
  <si>
    <t>2 ↓ -1.24%</t>
  </si>
  <si>
    <t>28 ↑ +1.17%</t>
  </si>
  <si>
    <t>46 ↑ +1.38%</t>
  </si>
  <si>
    <t>33 ↑ +2.52%</t>
  </si>
  <si>
    <t>6 ↑ +2.47%</t>
  </si>
  <si>
    <t>4 ↑ +3.06%</t>
  </si>
  <si>
    <t>35 ↑ +0.07%</t>
  </si>
  <si>
    <t>30 ↓ -0.67%</t>
  </si>
  <si>
    <t>2 ↓ -1.01%</t>
  </si>
  <si>
    <t>36 ↑ +0.36%</t>
  </si>
  <si>
    <t>44 ↑ +0.40%</t>
  </si>
  <si>
    <t>27 ↑ +0.55%</t>
  </si>
  <si>
    <t>7 ↑ +0.42%</t>
  </si>
  <si>
    <t>2 ↑ +1.37%</t>
  </si>
  <si>
    <t>36 ↑ +0.60%</t>
  </si>
  <si>
    <t>43 ↑ +0.96%</t>
  </si>
  <si>
    <t>28 ↑ +1.23%</t>
  </si>
  <si>
    <t>8 ↑ +1.20%</t>
  </si>
  <si>
    <t>1 ↑ +0.70%</t>
  </si>
  <si>
    <t>45 ↑ +0.56%</t>
  </si>
  <si>
    <t>39 ↑ +0.62%</t>
  </si>
  <si>
    <t>25 ↑ +0.59%</t>
  </si>
  <si>
    <t>1 ↑ +1.62%</t>
  </si>
  <si>
    <t>44 ↑ +0.95%</t>
  </si>
  <si>
    <t>40 ↑ +0.76%</t>
  </si>
  <si>
    <t>23 ↑ +1.34%</t>
  </si>
  <si>
    <t>6 ↑ +2.93%</t>
  </si>
  <si>
    <t>5 ↑ +0.88%</t>
  </si>
  <si>
    <t>47 ↑ +0.91%</t>
  </si>
  <si>
    <t>39 ↑ +1.00%</t>
  </si>
  <si>
    <t>20 ↑ +1.55%</t>
  </si>
  <si>
    <t>1 ↑ +0.93%</t>
  </si>
  <si>
    <t>52 ↓ -0.24%</t>
  </si>
  <si>
    <t>36 ↑ +0.15%</t>
  </si>
  <si>
    <t>19 ↑ +0.06%</t>
  </si>
  <si>
    <t>51 ↓ -0.16%</t>
  </si>
  <si>
    <t>18 ↑ +0.15%</t>
  </si>
  <si>
    <t>3 ↓ -0.06%</t>
  </si>
  <si>
    <t>7 ↓ -0.74%</t>
  </si>
  <si>
    <t>51 ↓ -0.65%</t>
  </si>
  <si>
    <t>38 ↓ -0.32%</t>
  </si>
  <si>
    <t>18 ↓ -0.15%</t>
  </si>
  <si>
    <t>3 ↓ -0.34%</t>
  </si>
  <si>
    <t>6 ↓ -0.25%</t>
  </si>
  <si>
    <t>43 ↓ -0.41%</t>
  </si>
  <si>
    <t>17 ↓ -0.36%</t>
  </si>
  <si>
    <t>3 ↓ -1.34%</t>
  </si>
  <si>
    <t>46 ↑ +0.32%</t>
  </si>
  <si>
    <t>42 ↑ +0.61%</t>
  </si>
  <si>
    <t>23 ↑ +0.64%</t>
  </si>
  <si>
    <t>50 ↑ +0.26%</t>
  </si>
  <si>
    <t>43 ↑ +0.66%</t>
  </si>
  <si>
    <t>17 ↑ +1.00%</t>
  </si>
  <si>
    <t>2 ↑ +1.23%</t>
  </si>
  <si>
    <t>1 ↑ +1.37%</t>
  </si>
  <si>
    <t>50 ↓ -0.03%</t>
  </si>
  <si>
    <t>43 ↑ +0.24%</t>
  </si>
  <si>
    <t>15 ↑ +0.29%</t>
  </si>
  <si>
    <t>52 ↓ -0.25%</t>
  </si>
  <si>
    <t>44 ↓ -0.17%</t>
  </si>
  <si>
    <t>14 ↓ -0.94%</t>
  </si>
  <si>
    <t>2 ↓ -0.90%</t>
  </si>
  <si>
    <t>48 ↑ +0.03%</t>
  </si>
  <si>
    <t>45 ↑ +0.34%</t>
  </si>
  <si>
    <t>15 ↑ +1.58%</t>
  </si>
  <si>
    <t>49 ↑ +0.01%</t>
  </si>
  <si>
    <t>45 ↑ +0.29%</t>
  </si>
  <si>
    <t>13 ↑ +1.75%</t>
  </si>
  <si>
    <t>2 ↑ +1.00%</t>
  </si>
  <si>
    <t>1 ↓ -3.26%</t>
  </si>
  <si>
    <t>54 ↓ -0.39%</t>
  </si>
  <si>
    <t>42 ↓ -0.22%</t>
  </si>
  <si>
    <t>11 ↓ -0.15%</t>
  </si>
  <si>
    <t>1 ↓ -1.73%</t>
  </si>
  <si>
    <t>52 ↑ +0.11%</t>
  </si>
  <si>
    <t>47 ↑ +0.11%</t>
  </si>
  <si>
    <t>2 ↓ -0.45%</t>
  </si>
  <si>
    <t>1 ↑ +6.08%</t>
  </si>
  <si>
    <t>52 ↑ +0.36%</t>
  </si>
  <si>
    <t>48 ↑ +0.77%</t>
  </si>
  <si>
    <t>10 ↑ +0.17%</t>
  </si>
  <si>
    <t>55 ↓ -0.11%</t>
  </si>
  <si>
    <t>44 ↓ -0.46%</t>
  </si>
  <si>
    <t>9 ↓ -0.69%</t>
  </si>
  <si>
    <t>1 ↓ -1.05%</t>
  </si>
  <si>
    <t>56 ↑ +0.35%</t>
  </si>
  <si>
    <t>40 ↑ +0.38%</t>
  </si>
  <si>
    <t>11 ↑ +0.57%</t>
  </si>
  <si>
    <t>2 ↑ +0.45%</t>
  </si>
  <si>
    <t>1 ↓ -1.80%</t>
  </si>
  <si>
    <t>4 ↑ +0.20%</t>
  </si>
  <si>
    <t>56 ↑ +0.24%</t>
  </si>
  <si>
    <t>40 ↑ +0.24%</t>
  </si>
  <si>
    <t>10 ↓ -0.54%</t>
  </si>
  <si>
    <t>1 ↑ +8.74%</t>
  </si>
  <si>
    <t>58 ↑ +0.57%</t>
  </si>
  <si>
    <t>38 ↑ +0.58%</t>
  </si>
  <si>
    <t>4 ↓ -0.57%</t>
  </si>
  <si>
    <t>57 ↑ +0.23%</t>
  </si>
  <si>
    <t>4 ↑ +0.37%</t>
  </si>
  <si>
    <t>8 ↑ +0.60%</t>
  </si>
  <si>
    <t>56 ↑ +0.74%</t>
  </si>
  <si>
    <t>38 ↑ +1.37%</t>
  </si>
  <si>
    <t>5 ↑ +2.88%</t>
  </si>
  <si>
    <t>4 ↑ +4.13%</t>
  </si>
  <si>
    <t>11 ↑ +0.33%</t>
  </si>
  <si>
    <t>59 ↑ +0.82%</t>
  </si>
  <si>
    <t>36 ↑ +0.90%</t>
  </si>
  <si>
    <t>4 ↑ +2.76%</t>
  </si>
  <si>
    <t>11 ↑ +0.71%</t>
  </si>
  <si>
    <t>33 ↑ +0.32%</t>
  </si>
  <si>
    <t>1 ↓ -0.78%</t>
  </si>
  <si>
    <t>11 ↑ +0.04%</t>
  </si>
  <si>
    <t>62 ↓ -0.23%</t>
  </si>
  <si>
    <t>35 ↓ -0.29%</t>
  </si>
  <si>
    <t>1 ↓ -1.29%</t>
  </si>
  <si>
    <t>33 ↑ +0.28%</t>
  </si>
  <si>
    <t>1 ↑ +0.76%</t>
  </si>
  <si>
    <t>60 ↑ +0.16%</t>
  </si>
  <si>
    <t>33 ↓ -0.35%</t>
  </si>
  <si>
    <t>59 ↓ -0.46%</t>
  </si>
  <si>
    <t>2 ↓ -0.97%</t>
  </si>
  <si>
    <t>12 ↑ +0.03%</t>
  </si>
  <si>
    <t>56 ↑ +0.07%</t>
  </si>
  <si>
    <t>12 ↓ -0.54%</t>
  </si>
  <si>
    <t>56 ↓ -0.47%</t>
  </si>
  <si>
    <t>34 ↓ -0.42%</t>
  </si>
  <si>
    <t>2 ↓ -2.04%</t>
  </si>
  <si>
    <t>11 ↓ -0.67%</t>
  </si>
  <si>
    <t>56 ↓ -0.37%</t>
  </si>
  <si>
    <t>32 ↓ -0.31%</t>
  </si>
  <si>
    <t>3 ↓ -0.28%</t>
  </si>
  <si>
    <t>9 ↓ -0.32%</t>
  </si>
  <si>
    <t>35 ↓ -0.31%</t>
  </si>
  <si>
    <t>3 ↓ -1.15%</t>
  </si>
  <si>
    <t>8 ↓ -0.43%</t>
  </si>
  <si>
    <t>55 ↓ -0.36%</t>
  </si>
  <si>
    <t>32 ↓ -0.35%</t>
  </si>
  <si>
    <t>5 ↓ -0.51%</t>
  </si>
  <si>
    <t>7 ↓ -0.45%</t>
  </si>
  <si>
    <t>52 ↓ -0.17%</t>
  </si>
  <si>
    <t>36 ↓ -0.29%</t>
  </si>
  <si>
    <t>5 ↓ -0.20%</t>
  </si>
  <si>
    <t>3 ↑ +0.35%</t>
  </si>
  <si>
    <t>52 ↓ -0.38%</t>
  </si>
  <si>
    <t>36 ↓ -0.33%</t>
  </si>
  <si>
    <t>6 ↓ -0.55%</t>
  </si>
  <si>
    <t>6 ↑ +0.39%</t>
  </si>
  <si>
    <t>9 ↑ +0.85%</t>
  </si>
  <si>
    <t>3 ↑ +1.07%</t>
  </si>
  <si>
    <t>54 ↓ -0.11%</t>
  </si>
  <si>
    <t>32 ↑ +0.24%</t>
  </si>
  <si>
    <t>6 ↓ -0.23%</t>
  </si>
  <si>
    <t>53 ↓ -0.39%</t>
  </si>
  <si>
    <t>32 ↓ -0.56%</t>
  </si>
  <si>
    <t>3 ↓ -0.76%</t>
  </si>
  <si>
    <t>54 ↑ +0.15%</t>
  </si>
  <si>
    <t>31 ↓ -0.15%</t>
  </si>
  <si>
    <t>7 ↑ +0.86%</t>
  </si>
  <si>
    <t>1 ↓ -0.82%</t>
  </si>
  <si>
    <t>48 ↓ -0.07%</t>
  </si>
  <si>
    <t>35 ↓ -0.39%</t>
  </si>
  <si>
    <t>2 ↓ -0.94%</t>
  </si>
  <si>
    <t>1 ↓ -2.30%</t>
  </si>
  <si>
    <t>34 ↓ -0.04%</t>
  </si>
  <si>
    <t>1 ↑ +2.50%</t>
  </si>
  <si>
    <t>33 ↑ +0.00%</t>
  </si>
  <si>
    <t>8 ↑ +0.42%</t>
  </si>
  <si>
    <t>44 ↑ +0.86%</t>
  </si>
  <si>
    <t>33 ↑ +1.27%</t>
  </si>
  <si>
    <t>9 ↑ +1.58%</t>
  </si>
  <si>
    <t>1 ↑ +2.61%</t>
  </si>
  <si>
    <t>30 ↑ +0.04%</t>
  </si>
  <si>
    <t>6 ↑ +0.36%</t>
  </si>
  <si>
    <t>2 ↑ +0.60%</t>
  </si>
  <si>
    <t>1 ↑ +0.77%</t>
  </si>
  <si>
    <t>10 ↓ -0.18%</t>
  </si>
  <si>
    <t>48 ↓ -0.48%</t>
  </si>
  <si>
    <t>27 ↓ -0.07%</t>
  </si>
  <si>
    <t>8 ↑ +0.28%</t>
  </si>
  <si>
    <t>49 ↑ +0.59%</t>
  </si>
  <si>
    <t>28 ↑ +0.38%</t>
  </si>
  <si>
    <t>7 ↑ +0.51%</t>
  </si>
  <si>
    <t>11 ↑ +0.07%</t>
  </si>
  <si>
    <t>47 ↑ +0.24%</t>
  </si>
  <si>
    <t>28 ↑ +0.05%</t>
  </si>
  <si>
    <t>2 ↑ +0.21%</t>
  </si>
  <si>
    <t>1 ↑ +1.99%</t>
  </si>
  <si>
    <t>11 ↑ +0.31%</t>
  </si>
  <si>
    <t>27 ↓ -0.11%</t>
  </si>
  <si>
    <t>6 ↑ +0.35%</t>
  </si>
  <si>
    <t>11 ↓ -0.37%</t>
  </si>
  <si>
    <t>48 ↓ -0.55%</t>
  </si>
  <si>
    <t>25 ↓ -0.44%</t>
  </si>
  <si>
    <t>2 ↓ -1.16%</t>
  </si>
  <si>
    <t>1 ↓ -1.43%</t>
  </si>
  <si>
    <t>45 ↑ +0.04%</t>
  </si>
  <si>
    <t>27 ↓ -0.12%</t>
  </si>
  <si>
    <t>46 ↓ -0.00%</t>
  </si>
  <si>
    <t>25 ↑ +0.05%</t>
  </si>
  <si>
    <t>1 ↑ +4.47%</t>
  </si>
  <si>
    <t>12 ↓ -1.10%</t>
  </si>
  <si>
    <t>46 ↓ -0.98%</t>
  </si>
  <si>
    <t>25 ↓ -1.17%</t>
  </si>
  <si>
    <t>8 ↓ -1.28%</t>
  </si>
  <si>
    <t>3 ↓ -1.88%</t>
  </si>
  <si>
    <t>30 ↑ +0.16%</t>
  </si>
  <si>
    <t>3 ↑ +1.15%</t>
  </si>
  <si>
    <t>8 ↑ +0.33%</t>
  </si>
  <si>
    <t>44 ↑ +0.64%</t>
  </si>
  <si>
    <t>29 ↑ +0.33%</t>
  </si>
  <si>
    <t>1 ↑ +2.56%</t>
  </si>
  <si>
    <t>8 ↑ +0.99%</t>
  </si>
  <si>
    <t>46 ↑ +0.84%</t>
  </si>
  <si>
    <t>28 ↑ +0.76%</t>
  </si>
  <si>
    <t>9 ↑ +0.86%</t>
  </si>
  <si>
    <t>3 ↑ +0.89%</t>
  </si>
  <si>
    <t>11 ↑ +0.95%</t>
  </si>
  <si>
    <t>48 ↑ +0.42%</t>
  </si>
  <si>
    <t>24 ↓ -0.15%</t>
  </si>
  <si>
    <t>3 ↑ +2.18%</t>
  </si>
  <si>
    <t>47 ↑ +0.63%</t>
  </si>
  <si>
    <t>23 ↑ +0.43%</t>
  </si>
  <si>
    <t>9 ↑ +0.53%</t>
  </si>
  <si>
    <t>14 ↑ +0.42%</t>
  </si>
  <si>
    <t>45 ↑ +0.59%</t>
  </si>
  <si>
    <t>24 ↑ +0.62%</t>
  </si>
  <si>
    <t>3 ↑ +1.28%</t>
  </si>
  <si>
    <t>15 ↓ -0.09%</t>
  </si>
  <si>
    <t>46 ↓ -0.17%</t>
  </si>
  <si>
    <t>22 ↓ -0.24%</t>
  </si>
  <si>
    <t>2 ↓ -0.18%</t>
  </si>
  <si>
    <t>15 ↓ -0.29%</t>
  </si>
  <si>
    <t>44 ↓ -0.09%</t>
  </si>
  <si>
    <t>23 ↓ -0.04%</t>
  </si>
  <si>
    <t>2 ↓ -0.76%</t>
  </si>
  <si>
    <t>1 ↑ +1.98%</t>
  </si>
  <si>
    <t>14 ↓ -0.07%</t>
  </si>
  <si>
    <t>47 ↑ +0.14%</t>
  </si>
  <si>
    <t>21 ↑ +0.13%</t>
  </si>
  <si>
    <t>8 ↓ -0.76%</t>
  </si>
  <si>
    <t>1 ↓ -0.74%</t>
  </si>
  <si>
    <t>46 ↓ -0.35%</t>
  </si>
  <si>
    <t>22 ↓ -0.39%</t>
  </si>
  <si>
    <t>1 ↑ +1.16%</t>
  </si>
  <si>
    <t>13 ↑ +0.57%</t>
  </si>
  <si>
    <t>46 ↑ +0.48%</t>
  </si>
  <si>
    <t>22 ↑ +0.28%</t>
  </si>
  <si>
    <t>3 ↓ -1.41%</t>
  </si>
  <si>
    <t>15 ↑ +1.11%</t>
  </si>
  <si>
    <t>46 ↑ +1.22%</t>
  </si>
  <si>
    <t>20 ↑ +1.46%</t>
  </si>
  <si>
    <t>9 ↑ +1.39%</t>
  </si>
  <si>
    <t>2 ↑ +1.88%</t>
  </si>
  <si>
    <t>1 ↑ +2.23%</t>
  </si>
  <si>
    <t>23 ↑ +0.25%</t>
  </si>
  <si>
    <t>41 ↑ +0.44%</t>
  </si>
  <si>
    <t>19 ↑ +0.17%</t>
  </si>
  <si>
    <t>1 ↑ +1.40%</t>
  </si>
  <si>
    <t>23 ↑ +0.37%</t>
  </si>
  <si>
    <t>42 ↑ +0.32%</t>
  </si>
  <si>
    <t>18 ↑ +0.19%</t>
  </si>
  <si>
    <t>8 ↑ +0.84%</t>
  </si>
  <si>
    <t>40 ↑ +0.06%</t>
  </si>
  <si>
    <t>18 ↑ +0.22%</t>
  </si>
  <si>
    <t>2 ↑ +0.81%</t>
  </si>
  <si>
    <t>27 ↑ +0.39%</t>
  </si>
  <si>
    <t>39 ↓ -0.29%</t>
  </si>
  <si>
    <t>18 ↓ -0.60%</t>
  </si>
  <si>
    <t>2 ↓ -1.25%</t>
  </si>
  <si>
    <t>27 ↑ +0.78%</t>
  </si>
  <si>
    <t>7 ↓ -0.36%</t>
  </si>
  <si>
    <t>28 ↓ -0.27%</t>
  </si>
  <si>
    <t>20 ↑ +0.13%</t>
  </si>
  <si>
    <t>3 ↓ -0.24%</t>
  </si>
  <si>
    <t>28 ↓ -0.03%</t>
  </si>
  <si>
    <t>34 ↑ +0.15%</t>
  </si>
  <si>
    <t>20 ↑ +0.27%</t>
  </si>
  <si>
    <t>7 ↓ -0.27%</t>
  </si>
  <si>
    <t>26 ↓ -0.43%</t>
  </si>
  <si>
    <t>37 ↓ -0.38%</t>
  </si>
  <si>
    <t>19 ↓ -0.25%</t>
  </si>
  <si>
    <t>3 ↓ -0.74%</t>
  </si>
  <si>
    <t>26 ↑ +1.16%</t>
  </si>
  <si>
    <t>37 ↑ +1.22%</t>
  </si>
  <si>
    <t>6 ↑ +2.16%</t>
  </si>
  <si>
    <t>3 ↑ +2.12%</t>
  </si>
  <si>
    <t>29 ↑ +0.26%</t>
  </si>
  <si>
    <t>34 ↑ +0.52%</t>
  </si>
  <si>
    <t>20 ↑ +0.76%</t>
  </si>
  <si>
    <t>6 ↑ +2.75%</t>
  </si>
  <si>
    <t>2 ↑ +3.60%</t>
  </si>
  <si>
    <t>31 ↓ -0.95%</t>
  </si>
  <si>
    <t>22 ↓ -0.50%</t>
  </si>
  <si>
    <t>6 ↓ -0.63%</t>
  </si>
  <si>
    <t>1 ↓ -1.19%</t>
  </si>
  <si>
    <t>27 ↓ -0.09%</t>
  </si>
  <si>
    <t>37 ↓ -0.09%</t>
  </si>
  <si>
    <t>20 ↑ +0.09%</t>
  </si>
  <si>
    <t>2 ↓ -2.16%</t>
  </si>
  <si>
    <t>29 ↓ -0.53%</t>
  </si>
  <si>
    <t>36 ↓ -0.49%</t>
  </si>
  <si>
    <t>20 ↓ -0.33%</t>
  </si>
  <si>
    <t>6 ↓ -0.80%</t>
  </si>
  <si>
    <t>26 ↓ -0.32%</t>
  </si>
  <si>
    <t>2 ↑ +0.79%</t>
  </si>
  <si>
    <t>24 ↓ -0.22%</t>
  </si>
  <si>
    <t>39 ↓ -0.09%</t>
  </si>
  <si>
    <t>6 ↑ +1.45%</t>
  </si>
  <si>
    <t>2 ↑ +2.06%</t>
  </si>
  <si>
    <t>21 ↓ -1.75%</t>
  </si>
  <si>
    <t>43 ↓ -1.73%</t>
  </si>
  <si>
    <t>22 ↓ -1.24%</t>
  </si>
  <si>
    <t>5 ↓ -1.32%</t>
  </si>
  <si>
    <t>2 ↓ -2.32%</t>
  </si>
  <si>
    <t>21 ↓ -0.10%</t>
  </si>
  <si>
    <t>46 ↓ -0.03%</t>
  </si>
  <si>
    <t>22 ↓ -0.36%</t>
  </si>
  <si>
    <t>7 ↓ -1.33%</t>
  </si>
  <si>
    <t>1 ↓ -1.39%</t>
  </si>
  <si>
    <t>14 ↓ -0.71%</t>
  </si>
  <si>
    <t>47 ↓ -0.97%</t>
  </si>
  <si>
    <t>21 ↓ -1.28%</t>
  </si>
  <si>
    <t>8 ↓ -1.85%</t>
  </si>
  <si>
    <t>1 ↓ -1.74%</t>
  </si>
  <si>
    <t>1 ↓ -4.50%</t>
  </si>
  <si>
    <t>19 ↑ +0.20%</t>
  </si>
  <si>
    <t>1 ↑ +2.38%</t>
  </si>
  <si>
    <t>1 ↓ -1.54%</t>
  </si>
  <si>
    <t>13 ↓ -0.15%</t>
  </si>
  <si>
    <t>46 ↓ -0.61%</t>
  </si>
  <si>
    <t>21 ↓ -0.25%</t>
  </si>
  <si>
    <t>1 ↓ -2.76%</t>
  </si>
  <si>
    <t>1 ↑ +2.30%</t>
  </si>
  <si>
    <t>12 ↓ -0.04%</t>
  </si>
  <si>
    <t>11 ↑ +0.56%</t>
  </si>
  <si>
    <t>1 ↑ +1.71%</t>
  </si>
  <si>
    <t>11 ↓ -0.08%</t>
  </si>
  <si>
    <t>47 ↓ -0.11%</t>
  </si>
  <si>
    <t>21 ↓ -0.06%</t>
  </si>
  <si>
    <t>1 ↑ +2.20%</t>
  </si>
  <si>
    <t>45 ↑ +0.46%</t>
  </si>
  <si>
    <t>24 ↑ +0.68%</t>
  </si>
  <si>
    <t>10 ↑ +1.12%</t>
  </si>
  <si>
    <t>1 ↑ +3.93%</t>
  </si>
  <si>
    <t>12 ↓ -0.34%</t>
  </si>
  <si>
    <t>45 ↓ -0.05%</t>
  </si>
  <si>
    <t>23 ↑ +0.03%</t>
  </si>
  <si>
    <t>48 ↑ +0.34%</t>
  </si>
  <si>
    <t>23 ↑ +0.48%</t>
  </si>
  <si>
    <t>8 ↑ +1.76%</t>
  </si>
  <si>
    <t>26 ↑ +0.33%</t>
  </si>
  <si>
    <t>5 ↑ +0.70%</t>
  </si>
  <si>
    <t>1 ↑ +0.97%</t>
  </si>
  <si>
    <t>1 ↑ +2.92%</t>
  </si>
  <si>
    <t>13 ↓ -0.37%</t>
  </si>
  <si>
    <t>47 ↓ -0.45%</t>
  </si>
  <si>
    <t>25 ↓ -0.59%</t>
  </si>
  <si>
    <t>5 ↓ -0.60%</t>
  </si>
  <si>
    <t>12 ↓ -0.00%</t>
  </si>
  <si>
    <t>24 ↑ +0.13%</t>
  </si>
  <si>
    <t>1 ↓ -4.03%</t>
  </si>
  <si>
    <t>11 ↓ -0.06%</t>
  </si>
  <si>
    <t>48 ↑ +0.04%</t>
  </si>
  <si>
    <t>1 ↓ -2.16%</t>
  </si>
  <si>
    <t>12 ↑ +0.30%</t>
  </si>
  <si>
    <t>46 ↓ -0.01%</t>
  </si>
  <si>
    <t>25 ↓ -0.19%</t>
  </si>
  <si>
    <t>1 ↓ -5.40%</t>
  </si>
  <si>
    <t>12 ↑ +0.18%</t>
  </si>
  <si>
    <t>46 ↓ -0.05%</t>
  </si>
  <si>
    <t>23 ↑ +0.06%</t>
  </si>
  <si>
    <t>1 ↑ +1.94%</t>
  </si>
  <si>
    <t>22 ↓ -0.34%</t>
  </si>
  <si>
    <t>6 ↓ -1.65%</t>
  </si>
  <si>
    <t>2 ↑ +0.31%</t>
  </si>
  <si>
    <t>1 ↑ +1.42%</t>
  </si>
  <si>
    <t>11 ↓ -0.10%</t>
  </si>
  <si>
    <t>23 ↑ +0.12%</t>
  </si>
  <si>
    <t>1 ↑ +1.27%</t>
  </si>
  <si>
    <t>11 ↑ +0.06%</t>
  </si>
  <si>
    <t>24 ↓ -0.10%</t>
  </si>
  <si>
    <t>6 ↓ -0.58%</t>
  </si>
  <si>
    <t>1 ↑ +2.84%</t>
  </si>
  <si>
    <t>11 ↓ -0.03%</t>
  </si>
  <si>
    <t>46 ↓ -0.23%</t>
  </si>
  <si>
    <t>22 ↓ -0.38%</t>
  </si>
  <si>
    <t>3 ↓ -0.66%</t>
  </si>
  <si>
    <t>1 ↓ -6.50%</t>
  </si>
  <si>
    <t>11 ↑ +0.20%</t>
  </si>
  <si>
    <t>42 ↑ +0.22%</t>
  </si>
  <si>
    <t>25 ↑ +0.25%</t>
  </si>
  <si>
    <t>1 ↓ -1.62%</t>
  </si>
  <si>
    <t>44 ↓ -0.30%</t>
  </si>
  <si>
    <t>23 ↓ -0.07%</t>
  </si>
  <si>
    <t>3 ↑ +0.07%</t>
  </si>
  <si>
    <t>1 ↑ +1.23%</t>
  </si>
  <si>
    <t>42 ↓ -0.14%</t>
  </si>
  <si>
    <t>26 ↓ -0.10%</t>
  </si>
  <si>
    <t>3 ↑ +0.37%</t>
  </si>
  <si>
    <t>1 ↓ -2.46%</t>
  </si>
  <si>
    <t>27 ↓ -0.38%</t>
  </si>
  <si>
    <t>40 ↓ -0.44%</t>
  </si>
  <si>
    <t>26 ↓ -0.21%</t>
  </si>
  <si>
    <t>1 ↓ -2.50%</t>
  </si>
  <si>
    <t>25 ↑ +0.51%</t>
  </si>
  <si>
    <t>3 ↑ +0.60%</t>
  </si>
  <si>
    <t>1 ↑ +1.51%</t>
  </si>
  <si>
    <t>37 ↑ +0.39%</t>
  </si>
  <si>
    <t>27 ↑ +0.72%</t>
  </si>
  <si>
    <t>6 ↑ +1.33%</t>
  </si>
  <si>
    <t>3 ↑ +1.57%</t>
  </si>
  <si>
    <t>1 ↑ +5.11%</t>
  </si>
  <si>
    <t>11 ↑ +0.27%</t>
  </si>
  <si>
    <t>39 ↑ +0.13%</t>
  </si>
  <si>
    <t>1 ↑ +3.32%</t>
  </si>
  <si>
    <t>25 ↑ +0.24%</t>
  </si>
  <si>
    <t>2 ↑ +1.19%</t>
  </si>
  <si>
    <t>11 ↑ +0.11%</t>
  </si>
  <si>
    <t>40 ↓ -0.23%</t>
  </si>
  <si>
    <t>24 ↓ -0.21%</t>
  </si>
  <si>
    <t>6 ↓ -1.32%</t>
  </si>
  <si>
    <t>38 ↑ +0.29%</t>
  </si>
  <si>
    <t>24 ↑ +0.54%</t>
  </si>
  <si>
    <t>5 ↑ +0.92%</t>
  </si>
  <si>
    <t>1 ↑ +3.56%</t>
  </si>
  <si>
    <t>12 ↓ -0.24%</t>
  </si>
  <si>
    <t>37 ↓ -0.45%</t>
  </si>
  <si>
    <t>23 ↑ +0.08%</t>
  </si>
  <si>
    <t>1 ↓ -5.09%</t>
  </si>
  <si>
    <t>23 ↓ -0.32%</t>
  </si>
  <si>
    <t>5 ↓ -0.84%</t>
  </si>
  <si>
    <t>3 ↓ -0.56%</t>
  </si>
  <si>
    <t>1 ↓ -5.82%</t>
  </si>
  <si>
    <t>12 ↓ -0.36%</t>
  </si>
  <si>
    <t>37 ↓ -0.33%</t>
  </si>
  <si>
    <t>23 ↑ +0.04%</t>
  </si>
  <si>
    <t>5 ↑ +0.25%</t>
  </si>
  <si>
    <t>1 ↑ +1.66%</t>
  </si>
  <si>
    <t>12 ↓ -0.45%</t>
  </si>
  <si>
    <t>35 ↓ -0.59%</t>
  </si>
  <si>
    <t>25 ↓ -0.47%</t>
  </si>
  <si>
    <t>5 ↓ -2.06%</t>
  </si>
  <si>
    <t>3 ↓ -0.96%</t>
  </si>
  <si>
    <t>12 ↓ -0.63%</t>
  </si>
  <si>
    <t>31 ↓ -0.63%</t>
  </si>
  <si>
    <t>26 ↓ -0.33%</t>
  </si>
  <si>
    <t>30 ↓ -0.04%</t>
  </si>
  <si>
    <t>26 ↓ -0.14%</t>
  </si>
  <si>
    <t>3 ↑ +1.10%</t>
  </si>
  <si>
    <t>3 ↑ +1.30%</t>
  </si>
  <si>
    <t>11 ↓ -0.17%</t>
  </si>
  <si>
    <t>30 ↓ -0.06%</t>
  </si>
  <si>
    <t>27 ↑ +0.06%</t>
  </si>
  <si>
    <t>2 ↑ +5.25%</t>
  </si>
  <si>
    <t>10 ↑ +0.41%</t>
  </si>
  <si>
    <t>30 ↑ +0.76%</t>
  </si>
  <si>
    <t>28 ↑ +0.92%</t>
  </si>
  <si>
    <t>2 ↑ +2.08%</t>
  </si>
  <si>
    <t>6 ↑ +2.92%</t>
  </si>
  <si>
    <t>2 ↑ +1.77%</t>
  </si>
  <si>
    <t>24 ↓ -0.50%</t>
  </si>
  <si>
    <t>5 ↓ -2.64%</t>
  </si>
  <si>
    <t>2 ↓ -0.57%</t>
  </si>
  <si>
    <t>11 ↑ +0.43%</t>
  </si>
  <si>
    <t>32 ↑ +0.76%</t>
  </si>
  <si>
    <t>3 ↑ +2.59%</t>
  </si>
  <si>
    <t>4 ↑ +1.20%</t>
  </si>
  <si>
    <t>3 ↑ +3.99%</t>
  </si>
  <si>
    <t>32 ↓ -0.50%</t>
  </si>
  <si>
    <t>24 ↓ -0.18%</t>
  </si>
  <si>
    <t>4 ↓ -0.81%</t>
  </si>
  <si>
    <t>5 ↓ -3.86%</t>
  </si>
  <si>
    <t>1 ↓ -9.37%</t>
  </si>
  <si>
    <t>11 ↓ -0.32%</t>
  </si>
  <si>
    <t>5 ↓ -1.33%</t>
  </si>
  <si>
    <t>11 ↓ -0.79%</t>
  </si>
  <si>
    <t>32 ↓ -0.83%</t>
  </si>
  <si>
    <t>24 ↓ -0.61%</t>
  </si>
  <si>
    <t>4 ↓ -1.09%</t>
  </si>
  <si>
    <t>3 ↓ -0.05%</t>
  </si>
  <si>
    <t>32 ↓ -0.53%</t>
  </si>
  <si>
    <t>26 ↓ -0.54%</t>
  </si>
  <si>
    <t>4 ↓ -0.69%</t>
  </si>
  <si>
    <t>3 ↓ -0.03%</t>
  </si>
  <si>
    <t>23 ↑ +0.05%</t>
  </si>
  <si>
    <t>4 ↑ +2.21%</t>
  </si>
  <si>
    <t>4 ↑ +0.47%</t>
  </si>
  <si>
    <t>3 ↓ -1.57%</t>
  </si>
  <si>
    <t>8 ↓ -2.25%</t>
  </si>
  <si>
    <t>24 ↓ -0.53%</t>
  </si>
  <si>
    <t>4 ↓ -0.21%</t>
  </si>
  <si>
    <t>3 ↑ +0.95%</t>
  </si>
  <si>
    <t>4 ↓ -1.48%</t>
  </si>
  <si>
    <t>25 ↓ -0.45%</t>
  </si>
  <si>
    <t>3 ↓ -0.83%</t>
  </si>
  <si>
    <t>36 ↓ -0.57%</t>
  </si>
  <si>
    <t>23 ↓ -0.79%</t>
  </si>
  <si>
    <t>4 ↓ -1.41%</t>
  </si>
  <si>
    <t>5 ↓ -1.29%</t>
  </si>
  <si>
    <t>3 ↓ -0.89%</t>
  </si>
  <si>
    <t>3 ↑ +1.22%</t>
  </si>
  <si>
    <t>31 ↑ +0.41%</t>
  </si>
  <si>
    <t>26 ↓ -0.37%</t>
  </si>
  <si>
    <t>6 ↓ -0.65%</t>
  </si>
  <si>
    <t>3 ↓ -1.05%</t>
  </si>
  <si>
    <t>25 ↑ +0.03%</t>
  </si>
  <si>
    <t>26 ↑ +0.54%</t>
  </si>
  <si>
    <t>6 ↑ +0.17%</t>
  </si>
  <si>
    <t>5 ↑ +4.18%</t>
  </si>
  <si>
    <t>3 ↑ +2.00%</t>
  </si>
  <si>
    <t>6 ↑ +0.83%</t>
  </si>
  <si>
    <t>27 ↑ +0.34%</t>
  </si>
  <si>
    <t>25 ↑ +0.52%</t>
  </si>
  <si>
    <t>7 ↑ +1.32%</t>
  </si>
  <si>
    <t>4 ↑ +0.95%</t>
  </si>
  <si>
    <t>3 ↓ -8.12%</t>
  </si>
  <si>
    <t>8 ↑ +1.25%</t>
  </si>
  <si>
    <t>27 ↑ +0.96%</t>
  </si>
  <si>
    <t>3 ↑ +1.37%</t>
  </si>
  <si>
    <t>4 ↑ +0.94%</t>
  </si>
  <si>
    <t>3 ↑ +2.47%</t>
  </si>
  <si>
    <t>27 ↑ +0.21%</t>
  </si>
  <si>
    <t>23 ↑ +0.20%</t>
  </si>
  <si>
    <t>5 ↑ +0.94%</t>
  </si>
  <si>
    <t>3 ↓ -3.04%</t>
  </si>
  <si>
    <t>10 ↑ +0.35%</t>
  </si>
  <si>
    <t>27 ↑ +0.38%</t>
  </si>
  <si>
    <t>24 ↑ +0.24%</t>
  </si>
  <si>
    <t>3 ↓ -0.49%</t>
  </si>
  <si>
    <t>12 ↑ +0.50%</t>
  </si>
  <si>
    <t>25 ↑ +0.68%</t>
  </si>
  <si>
    <t>24 ↓ -0.01%</t>
  </si>
  <si>
    <t>4 ↓ -0.67%</t>
  </si>
  <si>
    <t>3 ↑ +0.72%</t>
  </si>
  <si>
    <t>13 ↓ -0.23%</t>
  </si>
  <si>
    <t>24 ↓ -0.24%</t>
  </si>
  <si>
    <t>3 ↓ -0.75%</t>
  </si>
  <si>
    <t>13 ↑ +0.16%</t>
  </si>
  <si>
    <t>22 ↓ -0.26%</t>
  </si>
  <si>
    <t>25 ↑ +0.29%</t>
  </si>
  <si>
    <t>2 ↑ +1.21%</t>
  </si>
  <si>
    <t>24 ↑ +1.09%</t>
  </si>
  <si>
    <t>24 ↑ +1.32%</t>
  </si>
  <si>
    <t>1 ↑ +2.47%</t>
  </si>
  <si>
    <t>5 ↑ +2.27%</t>
  </si>
  <si>
    <t>3 ↑ +3.94%</t>
  </si>
  <si>
    <t>14 ↓ -0.60%</t>
  </si>
  <si>
    <t>29 ↓ -0.65%</t>
  </si>
  <si>
    <t>18 ↓ -0.26%</t>
  </si>
  <si>
    <t>13 ↓ -0.01%</t>
  </si>
  <si>
    <t>26 ↓ -0.02%</t>
  </si>
  <si>
    <t>21 ↑ +0.21%</t>
  </si>
  <si>
    <t>3 ↑ +0.22%</t>
  </si>
  <si>
    <t>2 ↑ +4.91%</t>
  </si>
  <si>
    <t>14 ↑ +0.56%</t>
  </si>
  <si>
    <t>26 ↑ +0.97%</t>
  </si>
  <si>
    <t>20 ↑ +1.32%</t>
  </si>
  <si>
    <t>3 ↑ +2.25%</t>
  </si>
  <si>
    <t>4 ↑ +2.47%</t>
  </si>
  <si>
    <t>2 ↓ -4.93%</t>
  </si>
  <si>
    <t>14 ↓ -0.16%</t>
  </si>
  <si>
    <t>13 ↓ -0.13%</t>
  </si>
  <si>
    <t>32 ↓ -0.16%</t>
  </si>
  <si>
    <t>13 ↓ -0.22%</t>
  </si>
  <si>
    <t>18 ↓ -0.31%</t>
  </si>
  <si>
    <t>3 ↓ -0.60%</t>
  </si>
  <si>
    <t>13 ↓ -0.03%</t>
  </si>
  <si>
    <t>30 ↑ +0.55%</t>
  </si>
  <si>
    <t>16 ↑ +0.94%</t>
  </si>
  <si>
    <t>3 ↑ +0.96%</t>
  </si>
  <si>
    <t>3 ↑ +1.78%</t>
  </si>
  <si>
    <t>13 ↓ -0.69%</t>
  </si>
  <si>
    <t>5 ↓ -1.45%</t>
  </si>
  <si>
    <t>3 ↑ +0.41%</t>
  </si>
  <si>
    <t>30 ↑ +1.07%</t>
  </si>
  <si>
    <t>18 ↑ +1.55%</t>
  </si>
  <si>
    <t>2 ↑ +1.93%</t>
  </si>
  <si>
    <t>5 ↑ +3.10%</t>
  </si>
  <si>
    <t>3 ↑ +7.23%</t>
  </si>
  <si>
    <t>15 ↓ -0.30%</t>
  </si>
  <si>
    <t>6 ↑ +0.52%</t>
  </si>
  <si>
    <t>32 ↓ -0.66%</t>
  </si>
  <si>
    <t>4 ↓ -1.40%</t>
  </si>
  <si>
    <t>3 ↓ -1.44%</t>
  </si>
  <si>
    <t>11 ↑ +0.34%</t>
  </si>
  <si>
    <t>17 ↓ -0.34%</t>
  </si>
  <si>
    <t>2 ↑ +2.48%</t>
  </si>
  <si>
    <t>11 ↑ +0.92%</t>
  </si>
  <si>
    <t>30 ↑ +0.24%</t>
  </si>
  <si>
    <t>19 ↑ +0.19%</t>
  </si>
  <si>
    <t>2 ↓ -1.71%</t>
  </si>
  <si>
    <t>28 ↑ +0.17%</t>
  </si>
  <si>
    <t>19 ↑ +0.47%</t>
  </si>
  <si>
    <t>5 ↑ +2.67%</t>
  </si>
  <si>
    <t>2 ↑ +1.92%</t>
  </si>
  <si>
    <t>13 ↓ -0.75%</t>
  </si>
  <si>
    <t>28 ↓ -0.40%</t>
  </si>
  <si>
    <t>18 ↓ -0.40%</t>
  </si>
  <si>
    <t>5 ↓ -0.96%</t>
  </si>
  <si>
    <t>2 ↑ +1.89%</t>
  </si>
  <si>
    <t>29 ↑ +0.38%</t>
  </si>
  <si>
    <t>19 ↑ +0.60%</t>
  </si>
  <si>
    <t>4 ↑ +3.29%</t>
  </si>
  <si>
    <t>2 ↓ -1.47%</t>
  </si>
  <si>
    <t>13 ↓ -3.21%</t>
  </si>
  <si>
    <t>28 ↓ -3.33%</t>
  </si>
  <si>
    <t>18 ↓ -2.90%</t>
  </si>
  <si>
    <t>5 ↓ -5.68%</t>
  </si>
  <si>
    <t>2 ↓ -1.87%</t>
  </si>
  <si>
    <t>2 ↓ -4.70%</t>
  </si>
  <si>
    <t>29 ↓ -0.71%</t>
  </si>
  <si>
    <t>21 ↓ -0.98%</t>
  </si>
  <si>
    <t>4 ↓ -1.32%</t>
  </si>
  <si>
    <t>5 ↓ -1.58%</t>
  </si>
  <si>
    <t>2 ↓ -7.96%</t>
  </si>
  <si>
    <t>7 ↓ -0.81%</t>
  </si>
  <si>
    <t>25 ↓ -0.33%</t>
  </si>
  <si>
    <t>25 ↓ -0.41%</t>
  </si>
  <si>
    <t>5 ↑ +0.31%</t>
  </si>
  <si>
    <t>3 ↓ -2.03%</t>
  </si>
  <si>
    <t>25 ↓ -0.36%</t>
  </si>
  <si>
    <t>4 ↓ -0.16%</t>
  </si>
  <si>
    <t>5 ↓ -0.44%</t>
  </si>
  <si>
    <t>24 ↑ +0.42%</t>
  </si>
  <si>
    <t>25 ↑ +0.09%</t>
  </si>
  <si>
    <t>3 ↑ +1.46%</t>
  </si>
  <si>
    <t>7 0.00%</t>
  </si>
  <si>
    <t>24 ↑ +0.15%</t>
  </si>
  <si>
    <t>3 ↓ -1.80%</t>
  </si>
  <si>
    <t>23 ↓ -0.71%</t>
  </si>
  <si>
    <t>25 ↓ -0.57%</t>
  </si>
  <si>
    <t>5 ↓ -0.50%</t>
  </si>
  <si>
    <t>4 ↓ -0.87%</t>
  </si>
  <si>
    <t>23 ↑ +0.38%</t>
  </si>
  <si>
    <t>24 ↑ +0.49%</t>
  </si>
  <si>
    <t>4 ↑ +1.46%</t>
  </si>
  <si>
    <t>7 ↑ +0.50%</t>
  </si>
  <si>
    <t>24 ↑ +0.70%</t>
  </si>
  <si>
    <t>25 ↑ +0.79%</t>
  </si>
  <si>
    <t>4 ↑ +0.64%</t>
  </si>
  <si>
    <t>4 ↑ +3.36%</t>
  </si>
  <si>
    <t>4 ↑ +2.80%</t>
  </si>
  <si>
    <t>8 ↓ -1.83%</t>
  </si>
  <si>
    <t>25 ↓ -1.26%</t>
  </si>
  <si>
    <t>25 ↓ -0.73%</t>
  </si>
  <si>
    <t>5 ↓ -0.87%</t>
  </si>
  <si>
    <t>3 ↑ +2.75%</t>
  </si>
  <si>
    <t>22 ↓ -0.12%</t>
  </si>
  <si>
    <t>24 ↓ -0.13%</t>
  </si>
  <si>
    <t>8 ↓ -1.06%</t>
  </si>
  <si>
    <t>3 ↓ -2.46%</t>
  </si>
  <si>
    <t>3 ↑ +1.67%</t>
  </si>
  <si>
    <t>7 ↓ -0.92%</t>
  </si>
  <si>
    <t>22 ↓ -1.40%</t>
  </si>
  <si>
    <t>24 ↓ -1.59%</t>
  </si>
  <si>
    <t>9 ↓ -1.91%</t>
  </si>
  <si>
    <t>5 ↓ -0.69%</t>
  </si>
  <si>
    <t>20 ↓ -0.78%</t>
  </si>
  <si>
    <t>11 ↓ -0.50%</t>
  </si>
  <si>
    <t>4 ↓ -1.74%</t>
  </si>
  <si>
    <t>3 ↓ -4.51%</t>
  </si>
  <si>
    <t>12 ↓ -0.70%</t>
  </si>
  <si>
    <t>4 ↓ -0.26%</t>
  </si>
  <si>
    <t>4 ↑ +0.38%</t>
  </si>
  <si>
    <t>20 ↓ -0.65%</t>
  </si>
  <si>
    <t>25 ↓ -0.64%</t>
  </si>
  <si>
    <t>12 ↓ -1.40%</t>
  </si>
  <si>
    <t>25 ↓ -0.11%</t>
  </si>
  <si>
    <t>11 ↓ -0.54%</t>
  </si>
  <si>
    <t>4 ↑ +0.69%</t>
  </si>
  <si>
    <t>20 ↓ -0.62%</t>
  </si>
  <si>
    <t>25 ↓ -0.42%</t>
  </si>
  <si>
    <t>11 ↓ -0.75%</t>
  </si>
  <si>
    <t>7 ↓ -0.79%</t>
  </si>
  <si>
    <t>4 ↓ -1.53%</t>
  </si>
  <si>
    <t>12 ↑ +0.01%</t>
  </si>
  <si>
    <t>5 ↑ +1.14%</t>
  </si>
  <si>
    <t>6 ↑ +1.25%</t>
  </si>
  <si>
    <t>19 ↑ +0.25%</t>
  </si>
  <si>
    <t>25 ↑ +0.19%</t>
  </si>
  <si>
    <t>12 ↑ +0.42%</t>
  </si>
  <si>
    <t>6 ↑ +1.05%</t>
  </si>
  <si>
    <t>5 ↑ +1.52%</t>
  </si>
  <si>
    <t>20 ↑ +0.14%</t>
  </si>
  <si>
    <t>25 ↑ +0.13%</t>
  </si>
  <si>
    <t>21 ↑ +0.05%</t>
  </si>
  <si>
    <t>24 ↑ +0.29%</t>
  </si>
  <si>
    <t>13 ↓ -0.26%</t>
  </si>
  <si>
    <t>6 ↓ -1.13%</t>
  </si>
  <si>
    <t>21 ↓ -0.15%</t>
  </si>
  <si>
    <t>6 ↓ -1.25%</t>
  </si>
  <si>
    <t>23 ↓ -0.01%</t>
  </si>
  <si>
    <t>5 ↑ +1.20%</t>
  </si>
  <si>
    <t>5 ↑ +4.42%</t>
  </si>
  <si>
    <t>1 ↑ +0.45%</t>
  </si>
  <si>
    <t>20 ↓ -0.34%</t>
  </si>
  <si>
    <t>24 ↑ +0.06%</t>
  </si>
  <si>
    <t>5 ↓ -0.72%</t>
  </si>
  <si>
    <t>1 ↓ -0.35%</t>
  </si>
  <si>
    <t>21 ↓ -0.43%</t>
  </si>
  <si>
    <t>11 ↓ -0.36%</t>
  </si>
  <si>
    <t>6 ↓ -0.47%</t>
  </si>
  <si>
    <t>19 ↑ +0.03%</t>
  </si>
  <si>
    <t>22 ↑ +0.33%</t>
  </si>
  <si>
    <t>5 ↑ +0.67%</t>
  </si>
  <si>
    <t>5 ↑ +1.04%</t>
  </si>
  <si>
    <t>19 ↓ -0.19%</t>
  </si>
  <si>
    <t>20 ↓ -0.11%</t>
  </si>
  <si>
    <t>5 ↓ -0.23%</t>
  </si>
  <si>
    <t>5 ↑ +1.25%</t>
  </si>
  <si>
    <t>20 ↑ +0.19%</t>
  </si>
  <si>
    <t>20 ↑ +0.28%</t>
  </si>
  <si>
    <t>5 ↑ +1.66%</t>
  </si>
  <si>
    <t>5 ↑ +1.37%</t>
  </si>
  <si>
    <t>1 ↑ +2.69%</t>
  </si>
  <si>
    <t>19 ↑ +0.39%</t>
  </si>
  <si>
    <t>12 ↑ +1.98%</t>
  </si>
  <si>
    <t>4 ↑ +3.76%</t>
  </si>
  <si>
    <t>20 ↑ +0.17%</t>
  </si>
  <si>
    <t>23 ↑ +0.15%</t>
  </si>
  <si>
    <t>12 ↑ +0.52%</t>
  </si>
  <si>
    <t>4 ↑ +1.81%</t>
  </si>
  <si>
    <t>19 ↑ +0.38%</t>
  </si>
  <si>
    <t>24 ↑ +0.27%</t>
  </si>
  <si>
    <t>13 ↑ +1.11%</t>
  </si>
  <si>
    <t>3 ↑ +0.71%</t>
  </si>
  <si>
    <t>20 ↓ -0.16%</t>
  </si>
  <si>
    <t>26 ↓ -0.45%</t>
  </si>
  <si>
    <t>10 ↑ +0.05%</t>
  </si>
  <si>
    <t>21 ↓ -0.03%</t>
  </si>
  <si>
    <t>21 ↑ +0.29%</t>
  </si>
  <si>
    <t>14 ↓ -0.15%</t>
  </si>
  <si>
    <t>4 ↑ +1.44%</t>
  </si>
  <si>
    <t>21 ↓ -0.29%</t>
  </si>
  <si>
    <t>20 ↓ -0.85%</t>
  </si>
  <si>
    <t>15 ↓ -0.82%</t>
  </si>
  <si>
    <t>4 ↓ -0.53%</t>
  </si>
  <si>
    <t>3 ↓ -1.33%</t>
  </si>
  <si>
    <t>1 ↑ +0.63%</t>
  </si>
  <si>
    <t>19 ↓ -0.56%</t>
  </si>
  <si>
    <t>20 ↓ -0.17%</t>
  </si>
  <si>
    <t>3 ↑ +2.65%</t>
  </si>
  <si>
    <t>19 ↑ +1.16%</t>
  </si>
  <si>
    <t>15 ↑ +1.49%</t>
  </si>
  <si>
    <t>6 ↑ +2.88%</t>
  </si>
  <si>
    <t>3 ↑ +3.60%</t>
  </si>
  <si>
    <t>1 ↓ -8.23%</t>
  </si>
  <si>
    <t>20 ↓ -0.96%</t>
  </si>
  <si>
    <t>22 ↓ -1.08%</t>
  </si>
  <si>
    <t>13 ↓ -1.59%</t>
  </si>
  <si>
    <t>5 ↓ -1.35%</t>
  </si>
  <si>
    <t>2 ↓ -3.58%</t>
  </si>
  <si>
    <t>20 ↓ -0.56%</t>
  </si>
  <si>
    <t>19 ↓ -0.81%</t>
  </si>
  <si>
    <t>16 ↓ -0.52%</t>
  </si>
  <si>
    <t>20 ↑ +0.36%</t>
  </si>
  <si>
    <t>15 ↑ +0.35%</t>
  </si>
  <si>
    <t>17 ↑ +0.13%</t>
  </si>
  <si>
    <t>21 ↑ +0.04%</t>
  </si>
  <si>
    <t>16 ↑ +0.51%</t>
  </si>
  <si>
    <t>4 ↑ +3.83%</t>
  </si>
  <si>
    <t>18 ↓ -1.10%</t>
  </si>
  <si>
    <t>17 ↓ -0.35%</t>
  </si>
  <si>
    <t>21 ↓ -0.52%</t>
  </si>
  <si>
    <t>17 ↓ -0.62%</t>
  </si>
  <si>
    <t>5 ↑ +0.08%</t>
  </si>
  <si>
    <t>2 ↑ +3.43%</t>
  </si>
  <si>
    <t>18 ↓ -0.16%</t>
  </si>
  <si>
    <t>17 ↓ -0.42%</t>
  </si>
  <si>
    <t>18 ↓ -0.06%</t>
  </si>
  <si>
    <t>17 ↓ -0.58%</t>
  </si>
  <si>
    <t>3 ↓ -0.80%</t>
  </si>
  <si>
    <t>17 ↑ +0.44%</t>
  </si>
  <si>
    <t>3 ↑ +1.91%</t>
  </si>
  <si>
    <t>17 ↓ -0.38%</t>
  </si>
  <si>
    <t>19 ↓ -0.04%</t>
  </si>
  <si>
    <t>15 ↑ +1.27%</t>
  </si>
  <si>
    <t>21 ↑ +0.24%</t>
  </si>
  <si>
    <t>15 ↓ -0.14%</t>
  </si>
  <si>
    <t>2 ↑ +0.14%</t>
  </si>
  <si>
    <t>13 ↑ +0.17%</t>
  </si>
  <si>
    <t>16 ↓ -0.08%</t>
  </si>
  <si>
    <t>5 ↓ -0.57%</t>
  </si>
  <si>
    <t>2 ↓ -2.12%</t>
  </si>
  <si>
    <t>16 ↓ -0.25%</t>
  </si>
  <si>
    <t>3 ↑ +0.44%</t>
  </si>
  <si>
    <t>23 ↑ +0.35%</t>
  </si>
  <si>
    <t>16 ↑ +1.14%</t>
  </si>
  <si>
    <t>3 ↑ +2.43%</t>
  </si>
  <si>
    <t>15 ↑ +0.18%</t>
  </si>
  <si>
    <t>22 ↑ +0.51%</t>
  </si>
  <si>
    <t>16 ↑ +0.89%</t>
  </si>
  <si>
    <t>3 ↑ +2.16%</t>
  </si>
  <si>
    <t>3 ↑ +3.21%</t>
  </si>
  <si>
    <t>15 ↓ -0.20%</t>
  </si>
  <si>
    <t>22 ↑ +0.23%</t>
  </si>
  <si>
    <t>17 ↓ -0.04%</t>
  </si>
  <si>
    <t>1 ↑ +0.90%</t>
  </si>
  <si>
    <t>15 ↓ -0.01%</t>
  </si>
  <si>
    <t>15 ↑ +0.51%</t>
  </si>
  <si>
    <t>17 ↑ +1.25%</t>
  </si>
  <si>
    <t>4 ↑ +1.48%</t>
  </si>
  <si>
    <t>16 ↑ +0.16%</t>
  </si>
  <si>
    <t>4 ↑ +2.24%</t>
  </si>
  <si>
    <t>1 ↑ +4.17%</t>
  </si>
  <si>
    <t>16 ↓ -1.32%</t>
  </si>
  <si>
    <t>24 ↓ -1.12%</t>
  </si>
  <si>
    <t>13 ↓ -1.65%</t>
  </si>
  <si>
    <t>4 ↓ -3.16%</t>
  </si>
  <si>
    <t>21 ↑ +0.20%</t>
  </si>
  <si>
    <t>18 ↓ -0.43%</t>
  </si>
  <si>
    <t>13 ↑ +0.00%</t>
  </si>
  <si>
    <t>21 ↑ +0.08%</t>
  </si>
  <si>
    <t>1 ↓ -1.63%</t>
  </si>
  <si>
    <t>12 ↓ -0.14%</t>
  </si>
  <si>
    <t>7 ↑ +0.03%</t>
  </si>
  <si>
    <t>13 ↓ -0.17%</t>
  </si>
  <si>
    <t>12 ↑ +1.45%</t>
  </si>
  <si>
    <t>2 ↑ +1.17%</t>
  </si>
  <si>
    <t>12 ↑ +0.09%</t>
  </si>
  <si>
    <t>24 ↑ +0.05%</t>
  </si>
  <si>
    <t>1 ↓ -1.58%</t>
  </si>
  <si>
    <t>12 ↓ -0.23%</t>
  </si>
  <si>
    <t>23 ↓ -0.35%</t>
  </si>
  <si>
    <t>13 ↓ -0.06%</t>
  </si>
  <si>
    <t>6 ↑ +0.58%</t>
  </si>
  <si>
    <t>11 ↓ -0.56%</t>
  </si>
  <si>
    <t>23 ↓ -0.42%</t>
  </si>
  <si>
    <t>14 ↓ -0.59%</t>
  </si>
  <si>
    <t>1 ↑ +0.37%</t>
  </si>
  <si>
    <t>10 ↑ +0.01%</t>
  </si>
  <si>
    <t>6 ↓ -0.22%</t>
  </si>
  <si>
    <t>2 ↓ -2.73%</t>
  </si>
  <si>
    <t>11 ↑ +0.80%</t>
  </si>
  <si>
    <t>21 ↑ +0.80%</t>
  </si>
  <si>
    <t>14 ↑ +1.52%</t>
  </si>
  <si>
    <t>6 ↑ +1.49%</t>
  </si>
  <si>
    <t>2 ↑ +1.39%</t>
  </si>
  <si>
    <t>12 ↑ +0.11%</t>
  </si>
  <si>
    <t>15 ↑ +0.79%</t>
  </si>
  <si>
    <t>2 ↑ +0.94%</t>
  </si>
  <si>
    <t>2 ↑ +0.89%</t>
  </si>
  <si>
    <t>22 ↑ +0.11%</t>
  </si>
  <si>
    <t>15 ↑ +0.20%</t>
  </si>
  <si>
    <t>3 ↑ +0.43%</t>
  </si>
  <si>
    <t>15 ↓ -0.23%</t>
  </si>
  <si>
    <t>3 ↓ -1.12%</t>
  </si>
  <si>
    <t>1 ↓ -1.35%</t>
  </si>
  <si>
    <t>15 ↑ +0.01%</t>
  </si>
  <si>
    <t>3 ↑ +0.19%</t>
  </si>
  <si>
    <t>14 ↓ -0.02%</t>
  </si>
  <si>
    <t>14 ↑ +1.20%</t>
  </si>
  <si>
    <t>2 ↓ -1.02%</t>
  </si>
  <si>
    <t>15 ↓ -0.00%</t>
  </si>
  <si>
    <t>20 ↓ -0.37%</t>
  </si>
  <si>
    <t>15 ↓ -1.15%</t>
  </si>
  <si>
    <t>2 ↓ -2.49%</t>
  </si>
  <si>
    <t>14 ↑ +0.23%</t>
  </si>
  <si>
    <t>3 ↑ +0.39%</t>
  </si>
  <si>
    <t>2 ↑ +3.36%</t>
  </si>
  <si>
    <t>14 ↓ -0.03%</t>
  </si>
  <si>
    <t>21 ↓ -0.18%</t>
  </si>
  <si>
    <t>15 ↓ -0.49%</t>
  </si>
  <si>
    <t>13 ↓ -0.14%</t>
  </si>
  <si>
    <t>20 ↓ -0.05%</t>
  </si>
  <si>
    <t>16 ↓ -0.73%</t>
  </si>
  <si>
    <t>4 ↑ +0.46%</t>
  </si>
  <si>
    <t>17 ↑ +0.93%</t>
  </si>
  <si>
    <t>14 ↑ +1.53%</t>
  </si>
  <si>
    <t>7 ↑ +1.02%</t>
  </si>
  <si>
    <t>1 ↑ +4.23%</t>
  </si>
  <si>
    <t>1 ↑ +1.32%</t>
  </si>
  <si>
    <t>17 ↑ +0.34%</t>
  </si>
  <si>
    <t>19 ↑ +0.44%</t>
  </si>
  <si>
    <t>10 ↑ +1.56%</t>
  </si>
  <si>
    <t>7 ↑ +1.83%</t>
  </si>
  <si>
    <t>1 ↑ +0.96%</t>
  </si>
  <si>
    <t>4 ↑ +1.16%</t>
  </si>
  <si>
    <t>1 ↑ +0.82%</t>
  </si>
  <si>
    <t>14 ↑ +1.24%</t>
  </si>
  <si>
    <t>1 ↑ +3.77%</t>
  </si>
  <si>
    <t>19 ↑ +0.95%</t>
  </si>
  <si>
    <t>20 ↑ +1.94%</t>
  </si>
  <si>
    <t>12 ↑ +2.60%</t>
  </si>
  <si>
    <t>1 ↑ +5.48%</t>
  </si>
  <si>
    <t>1 ↑ +3.17%</t>
  </si>
  <si>
    <t>22 ↓ -1.17%</t>
  </si>
  <si>
    <t>21 ↓ -2.15%</t>
  </si>
  <si>
    <t>9 ↓ -3.78%</t>
  </si>
  <si>
    <t>1 ↓ -8.56%</t>
  </si>
  <si>
    <t>18 ↑ +0.21%</t>
  </si>
  <si>
    <t>19 ↑ +0.14%</t>
  </si>
  <si>
    <t>10 ↑ +0.18%</t>
  </si>
  <si>
    <t>4 ↓ -1.14%</t>
  </si>
  <si>
    <t>20 ↓ -0.87%</t>
  </si>
  <si>
    <t>18 ↓ -0.85%</t>
  </si>
  <si>
    <t>8 ↓ -2.17%</t>
  </si>
  <si>
    <t>5 ↓ -2.10%</t>
  </si>
  <si>
    <t>1 ↓ -2.73%</t>
  </si>
  <si>
    <t>18 ↓ -0.21%</t>
  </si>
  <si>
    <t>10 ↑ +0.61%</t>
  </si>
  <si>
    <t>5 ↑ +2.65%</t>
  </si>
  <si>
    <t>2 ↑ +3.63%</t>
  </si>
  <si>
    <t>15 ↑ +0.48%</t>
  </si>
  <si>
    <t>20 ↑ +0.21%</t>
  </si>
  <si>
    <t>11 ↑ +1.49%</t>
  </si>
  <si>
    <t>5 ↑ +1.12%</t>
  </si>
  <si>
    <t>1 ↓ -0.49%</t>
  </si>
  <si>
    <t>18 ↓ -1.12%</t>
  </si>
  <si>
    <t>19 ↓ -1.42%</t>
  </si>
  <si>
    <t>10 ↓ -0.93%</t>
  </si>
  <si>
    <t>14 ↓ -0.67%</t>
  </si>
  <si>
    <t>19 ↓ -0.89%</t>
  </si>
  <si>
    <t>1 ↑ +1.46%</t>
  </si>
  <si>
    <t>12 ↓ -0.02%</t>
  </si>
  <si>
    <t>13 ↓ -1.03%</t>
  </si>
  <si>
    <t>13 ↓ -1.27%</t>
  </si>
  <si>
    <t>17 ↓ -0.97%</t>
  </si>
  <si>
    <t>12 ↓ -2.50%</t>
  </si>
  <si>
    <t>5 ↑ +1.46%</t>
  </si>
  <si>
    <t>18 ↑ +0.06%</t>
  </si>
  <si>
    <t>12 ↑ +1.30%</t>
  </si>
  <si>
    <t>8 ↑ +0.39%</t>
  </si>
  <si>
    <t>17 ↑ +1.09%</t>
  </si>
  <si>
    <t>13 ↑ +0.48%</t>
  </si>
  <si>
    <t>10 ↑ +0.97%</t>
  </si>
  <si>
    <t>16 ↑ +0.96%</t>
  </si>
  <si>
    <t>10 ↑ +1.02%</t>
  </si>
  <si>
    <t>6 ↑ +1.02%</t>
  </si>
  <si>
    <t>4 ↑ +0.90%</t>
  </si>
  <si>
    <t>2 ↑ +0.69%</t>
  </si>
  <si>
    <t>13 ↑ +0.69%</t>
  </si>
  <si>
    <t>13 ↑ +1.43%</t>
  </si>
  <si>
    <t>13 ↑ +1.63%</t>
  </si>
  <si>
    <t>4 ↑ +0.84%</t>
  </si>
  <si>
    <t>1 ↑ +3.41%</t>
  </si>
  <si>
    <t>10 ↑ +0.88%</t>
  </si>
  <si>
    <t>6 ↑ +1.31%</t>
  </si>
  <si>
    <t>15 ↑ +0.15%</t>
  </si>
  <si>
    <t>13 ↑ +1.01%</t>
  </si>
  <si>
    <t>4 ↑ +2.63%</t>
  </si>
  <si>
    <t>16 ↓ -0.12%</t>
  </si>
  <si>
    <t>12 ↑ +0.53%</t>
  </si>
  <si>
    <t>3 ↑ +7.39%</t>
  </si>
  <si>
    <t>14 ↓ -1.20%</t>
  </si>
  <si>
    <t>11 ↓ -1.02%</t>
  </si>
  <si>
    <t>12 ↓ -1.17%</t>
  </si>
  <si>
    <t>13 ↓ -0.11%</t>
  </si>
  <si>
    <t>9 ↑ +0.55%</t>
  </si>
  <si>
    <t>12 ↓ -0.51%</t>
  </si>
  <si>
    <t>12 ↓ -0.48%</t>
  </si>
  <si>
    <t>3 ↓ -0.65%</t>
  </si>
  <si>
    <t>10 ↓ -0.52%</t>
  </si>
  <si>
    <t>12 ↓ -0.15%</t>
  </si>
  <si>
    <t>10 ↓ -0.67%</t>
  </si>
  <si>
    <t>13 ↑ +0.18%</t>
  </si>
  <si>
    <t>3 ↓ -0.08%</t>
  </si>
  <si>
    <t>1 ↑ +1.68%</t>
  </si>
  <si>
    <t>13 ↑ +1.19%</t>
  </si>
  <si>
    <t>9 ↑ +0.37%</t>
  </si>
  <si>
    <t>4 ↑ +0.97%</t>
  </si>
  <si>
    <t>1 ↑ +2.42%</t>
  </si>
  <si>
    <t>13 ↑ +0.32%</t>
  </si>
  <si>
    <t>11 ↑ +0.36%</t>
  </si>
  <si>
    <t>6 ↑ +0.41%</t>
  </si>
  <si>
    <t>6 ↑ +1.36%</t>
  </si>
  <si>
    <t>6 ↑ +2.10%</t>
  </si>
  <si>
    <t>14 ↑ +0.54%</t>
  </si>
  <si>
    <t>11 ↑ +0.79%</t>
  </si>
  <si>
    <t>10 ↑ +1.25%</t>
  </si>
  <si>
    <t>1 ↑ +4.05%</t>
  </si>
  <si>
    <t>17 ↑ +0.41%</t>
  </si>
  <si>
    <t>8 ↑ +0.74%</t>
  </si>
  <si>
    <t>科力股份</t>
  </si>
  <si>
    <t>聚星科技</t>
  </si>
  <si>
    <t>总成本</t>
  </si>
  <si>
    <t>合伙人投入</t>
  </si>
  <si>
    <t>合伙人比例</t>
  </si>
  <si>
    <t>中新股资金</t>
  </si>
  <si>
    <t>合伙人中新股成本</t>
  </si>
  <si>
    <t>新股卖出后收回总资金</t>
  </si>
  <si>
    <t>合伙人分红</t>
  </si>
  <si>
    <t>合伙人分红扣除中新股成本</t>
  </si>
  <si>
    <t>年化收益率</t>
  </si>
  <si>
    <t>自己分红</t>
  </si>
  <si>
    <t>科拜尔</t>
  </si>
  <si>
    <t>交大铁发</t>
  </si>
  <si>
    <t>万源通</t>
  </si>
  <si>
    <t>广信科技</t>
  </si>
  <si>
    <t>胜业电气</t>
  </si>
  <si>
    <t>鼎佳精密</t>
  </si>
  <si>
    <t>科隆新材</t>
  </si>
  <si>
    <t>宏远股份</t>
  </si>
  <si>
    <t>方正阀门</t>
  </si>
  <si>
    <t>能之光</t>
  </si>
  <si>
    <t>星图测控</t>
  </si>
  <si>
    <t>锦华新材</t>
  </si>
  <si>
    <t>宏海科技</t>
  </si>
  <si>
    <t>俞</t>
  </si>
  <si>
    <t>奥美森</t>
  </si>
  <si>
    <t>开发科技</t>
  </si>
  <si>
    <t>朱</t>
  </si>
  <si>
    <t>天工股份</t>
  </si>
  <si>
    <t>长江能科</t>
  </si>
  <si>
    <t>泰凯英</t>
  </si>
  <si>
    <t>马可波罗</t>
  </si>
  <si>
    <t>一般2吨原煤洗出一吨精煤</t>
  </si>
  <si>
    <t>售价</t>
  </si>
  <si>
    <t>销售成本</t>
  </si>
  <si>
    <t>生产成本</t>
  </si>
  <si>
    <t>运输成本</t>
  </si>
  <si>
    <t>其他成本</t>
  </si>
  <si>
    <t>产量</t>
  </si>
  <si>
    <t>销量</t>
  </si>
  <si>
    <t>秦皇岛标煤均价</t>
  </si>
  <si>
    <t>山煤国际</t>
  </si>
  <si>
    <t>2022Q2</t>
  </si>
  <si>
    <t>2025Q2，火电发电下滑，煤炭产量增长，销量下滑</t>
  </si>
  <si>
    <t>2023Q2</t>
  </si>
  <si>
    <t>1-9月，秦皇岛5500卡均价681，同比-21.7%</t>
  </si>
  <si>
    <t>2025Q1</t>
  </si>
  <si>
    <t>2024年煤炭行业平均完全成本（含运输）约323元/吨</t>
  </si>
  <si>
    <t>2025Q2</t>
  </si>
  <si>
    <t>2025Q3</t>
  </si>
  <si>
    <t>2025Q4</t>
  </si>
  <si>
    <t>陕西煤业</t>
  </si>
  <si>
    <t>2024S2</t>
  </si>
  <si>
    <t>中国神华</t>
  </si>
  <si>
    <t>2024Q3</t>
  </si>
  <si>
    <t>2024S1</t>
  </si>
  <si>
    <t>水</t>
  </si>
  <si>
    <t>风</t>
  </si>
  <si>
    <t>核</t>
  </si>
  <si>
    <t>火</t>
  </si>
  <si>
    <t>装机量</t>
  </si>
  <si>
    <t>发电量</t>
  </si>
  <si>
    <t>含税电价</t>
  </si>
  <si>
    <t>标煤单价</t>
  </si>
  <si>
    <t>度电利润分</t>
  </si>
  <si>
    <t>亿千瓦</t>
  </si>
  <si>
    <t>总装机</t>
  </si>
  <si>
    <t>皖能电力</t>
  </si>
  <si>
    <t>总装占比</t>
  </si>
  <si>
    <t>2025S1</t>
  </si>
  <si>
    <t>新增装机</t>
  </si>
  <si>
    <t>发电占比</t>
  </si>
  <si>
    <t>弃风率</t>
  </si>
  <si>
    <t>弃光率</t>
  </si>
  <si>
    <t>用电量</t>
  </si>
  <si>
    <t>原煤产量</t>
  </si>
  <si>
    <t>进口煤</t>
  </si>
  <si>
    <t>消费煤</t>
  </si>
  <si>
    <t>钢铁产</t>
  </si>
  <si>
    <t>水泥</t>
  </si>
  <si>
    <t>同比</t>
  </si>
  <si>
    <t>2025S2</t>
  </si>
  <si>
    <t>新能源发电全面进入市场交易，会拉低电价</t>
  </si>
  <si>
    <t>统计每年没有实际退市的带星股票到年底的涨幅，买点统一从带星后的10个自然日
ST板块指数跟微盘股相关性很大</t>
  </si>
  <si>
    <t>12月的行情主要是超跌反弹，特别是保壳概率还极度不确定的票，比如净资产略负的，大股东一个豁免就保住了</t>
  </si>
  <si>
    <t>数量要能轮动起来</t>
  </si>
  <si>
    <t>股票数量</t>
  </si>
  <si>
    <t>涨的数量</t>
  </si>
  <si>
    <t>胜率</t>
  </si>
  <si>
    <t>胜率差</t>
  </si>
  <si>
    <t>平均涨幅不含退市</t>
  </si>
  <si>
    <t>涨幅差</t>
  </si>
  <si>
    <t>回撤</t>
  </si>
  <si>
    <t>小市值轮动-10日-10支</t>
  </si>
  <si>
    <t>带星后20日</t>
  </si>
  <si>
    <t>平均涨幅</t>
  </si>
  <si>
    <t>持有封基</t>
  </si>
  <si>
    <t>累计收益率</t>
  </si>
  <si>
    <t>无退市含重整股</t>
  </si>
  <si>
    <t>1-4月总跌幅</t>
  </si>
  <si>
    <t>年份\月份</t>
  </si>
  <si>
    <t>91</t>
  </si>
  <si>
    <t>含退市</t>
  </si>
  <si>
    <t>不包含预重整股的ST*明细</t>
  </si>
  <si>
    <t>58/84</t>
  </si>
  <si>
    <t>24/27</t>
  </si>
  <si>
    <t>12/14</t>
  </si>
  <si>
    <t>10/14</t>
  </si>
  <si>
    <t>13/15</t>
  </si>
  <si>
    <t>71/77</t>
  </si>
  <si>
    <t>不含退市和重整</t>
  </si>
  <si>
    <t>重整股的明细</t>
  </si>
  <si>
    <t>11/13</t>
  </si>
  <si>
    <t>15/16</t>
  </si>
  <si>
    <t>10/11</t>
  </si>
  <si>
    <t>9/15</t>
  </si>
  <si>
    <t>9/10</t>
  </si>
  <si>
    <t>7/14</t>
  </si>
  <si>
    <t>ST股的明细</t>
  </si>
  <si>
    <t>股票</t>
  </si>
  <si>
    <t>立案日期</t>
  </si>
  <si>
    <t>2023-2024年较大比例收入从总额法追溯为净额法</t>
  </si>
  <si>
    <t>海德股份</t>
  </si>
  <si>
    <t>非经营资金占用8.84，年报审计前已归还，但自然年前未归还，内控给了强调事项</t>
  </si>
  <si>
    <t>豪尔赛</t>
  </si>
  <si>
    <t>先收到北京证监局警示函，公司实控人因行贿罪被调查，但公司未披露公告</t>
  </si>
  <si>
    <t>福能东方</t>
  </si>
  <si>
    <t>信披违规</t>
  </si>
  <si>
    <t>反转指标</t>
  </si>
  <si>
    <t>仔猪上量好像都是开年的3月份开始的，估计跟9-10月是旺季有关</t>
  </si>
  <si>
    <t>牧原股份</t>
  </si>
  <si>
    <t>神农集团</t>
  </si>
  <si>
    <t>京基智农</t>
  </si>
  <si>
    <t>温氏股份</t>
  </si>
  <si>
    <t>天康生物</t>
  </si>
  <si>
    <t>新希望</t>
  </si>
  <si>
    <t>巨星农牧</t>
  </si>
  <si>
    <t>唐人神</t>
  </si>
  <si>
    <t>德康农牧</t>
  </si>
  <si>
    <t>中粮家佳康</t>
  </si>
  <si>
    <t>大北农</t>
  </si>
  <si>
    <t>金新农</t>
  </si>
  <si>
    <t>也就是说对散户讲3-6月是决策月</t>
  </si>
  <si>
    <t>产地</t>
  </si>
  <si>
    <t>新疆、河南、甘肃</t>
  </si>
  <si>
    <t>产能利用率</t>
  </si>
  <si>
    <t>完全成本</t>
  </si>
  <si>
    <t>27-28</t>
  </si>
  <si>
    <t>PSY</t>
  </si>
  <si>
    <t>26-27</t>
  </si>
  <si>
    <t>25-26</t>
  </si>
  <si>
    <t>存活率</t>
  </si>
  <si>
    <t>80</t>
  </si>
  <si>
    <t>仔猪成本</t>
  </si>
  <si>
    <t>出栏量</t>
  </si>
  <si>
    <t>总股本</t>
  </si>
  <si>
    <t>前十</t>
  </si>
  <si>
    <t>股东人数</t>
  </si>
  <si>
    <t>散户人均</t>
  </si>
  <si>
    <t>外购原料的生产成本约8.3万吨</t>
  </si>
  <si>
    <t>锂资源产量</t>
  </si>
  <si>
    <t>澳大利亚</t>
  </si>
  <si>
    <t>储能吉瓦</t>
  </si>
  <si>
    <t>动力电池装车量</t>
  </si>
  <si>
    <t>碳酸锂需求</t>
  </si>
  <si>
    <t>碳酸锂</t>
  </si>
  <si>
    <t>盐湖提锂</t>
  </si>
  <si>
    <t>锂云母</t>
  </si>
  <si>
    <t>锂辉石</t>
  </si>
  <si>
    <t>外购李云母</t>
  </si>
  <si>
    <t>外购锂辉石</t>
  </si>
  <si>
    <t>锂化工</t>
  </si>
  <si>
    <t>开工率</t>
  </si>
  <si>
    <t>时间</t>
  </si>
  <si>
    <t>内容</t>
  </si>
  <si>
    <t>标的净资产</t>
  </si>
  <si>
    <t>标的利润</t>
  </si>
  <si>
    <t>收入</t>
  </si>
  <si>
    <t>方式</t>
  </si>
  <si>
    <t>启动市值</t>
  </si>
  <si>
    <t>公告后涨幅</t>
  </si>
  <si>
    <t>是否借壳上市</t>
  </si>
  <si>
    <t>华康股份</t>
  </si>
  <si>
    <t>收购豫鑫糖醇</t>
  </si>
  <si>
    <t>现金和股份</t>
  </si>
  <si>
    <t>豫鑫糖醇的大客户福田药业债务危机却大额采购它的产品，还是总经理的关联公司</t>
  </si>
  <si>
    <t>安通控股</t>
  </si>
  <si>
    <t>2024年新增ST</t>
  </si>
  <si>
    <t>实控公司人</t>
  </si>
  <si>
    <t>行业</t>
  </si>
  <si>
    <t>| 地区</t>
  </si>
  <si>
    <t>最新带帽带星原因</t>
  </si>
  <si>
    <t>最后结果</t>
  </si>
  <si>
    <t>ST易联众</t>
  </si>
  <si>
    <t>2024年1月2日</t>
  </si>
  <si>
    <t>周口市财政局</t>
  </si>
  <si>
    <t>在民生行业信息化领域拥有国内领先的技术和研究成果</t>
  </si>
  <si>
    <t>福建省厦仃市</t>
  </si>
  <si>
    <t>资金占用或违规担保严重（其他风险警示）</t>
  </si>
  <si>
    <t>未退市</t>
  </si>
  <si>
    <t>ST天喻</t>
  </si>
  <si>
    <t>2024年1月29日</t>
  </si>
  <si>
    <t>武汉同喻投资合伙企业（24. 58%）——闫春雨、艾迪（19. 58%）</t>
  </si>
  <si>
    <t>主要研制面向金融和通信行业的金融终端、金融IC
卡、SIM卡</t>
  </si>
  <si>
    <t>湖北省武汉市</t>
  </si>
  <si>
    <t>申请摘帽</t>
  </si>
  <si>
    <t>F</t>
  </si>
  <si>
    <t>2024年2月27日</t>
  </si>
  <si>
    <t>庄小红+庄展诺+庄重（31 90%）</t>
  </si>
  <si>
    <t>装修装饰、光伏工程</t>
  </si>
  <si>
    <t>广东省粤港澳大
湾区</t>
  </si>
  <si>
    <t>公司主要银行账户被冻结（其他风险警示）</t>
  </si>
  <si>
    <t>*ST汉马</t>
  </si>
  <si>
    <t>2024年4月1日</t>
  </si>
  <si>
    <t>李书福(25. 52%)</t>
  </si>
  <si>
    <t>重卡、专用汽车、汽车零部件生产研发销售</t>
  </si>
  <si>
    <t>安徽省马鞍山市</t>
  </si>
  <si>
    <t>1、连续三年扣非为负+持续经营不确定性（其他风险警示）
2、净资产为负（退市风险）</t>
  </si>
  <si>
    <t>ST墨龙</t>
  </si>
  <si>
    <t>寿光市国资委（29. 53酚而科级</t>
  </si>
  <si>
    <t>国内唯一一家全产业链石
油钻采设备提供商</t>
  </si>
  <si>
    <t>山东省潍坊市</t>
  </si>
  <si>
    <t>连续三年扣非为负+持续经营存在不确定性（其他风险警示）</t>
  </si>
  <si>
    <t>*ST宁科</t>
  </si>
  <si>
    <t>2024年4月8日</t>
  </si>
  <si>
    <t>上海中能企业发展（集团）有限公司 29. 20%—-虞建明28. 32%</t>
  </si>
  <si>
    <t>活性炭、长链二元酸</t>
  </si>
  <si>
    <t>宁夏回族自治区</t>
  </si>
  <si>
    <t>1、公司生产经营活动受到严重影响且预计在3个月内不能恢复正常
（其他风险警示）
2、2023年年报被否（退市风险警示）</t>
  </si>
  <si>
    <t>*ST人乐</t>
  </si>
  <si>
    <t>2024年4月19日</t>
  </si>
  <si>
    <t>西安曲江新区管委会（21.15%）副厅
级</t>
  </si>
  <si>
    <t>商品零售连锁经营</t>
  </si>
  <si>
    <t>1、连续三年扣非为负十持续经营不确定性（其他风险警示）
2、净资产为负（退市风险）</t>
  </si>
  <si>
    <t>退市</t>
  </si>
  <si>
    <t>▼ 8</t>
  </si>
  <si>
    <t>’000961</t>
  </si>
  <si>
    <t>ST中南</t>
  </si>
  <si>
    <t>2024年4月24日</t>
  </si>
  <si>
    <t>房地产族</t>
  </si>
  <si>
    <t>江苏省</t>
  </si>
  <si>
    <t>持续经营不确定性。净资产负。面退</t>
  </si>
  <si>
    <t>r</t>
  </si>
  <si>
    <t>*ST金科</t>
  </si>
  <si>
    <t>重庆市金科投资控股（集团）有限责任公司（4.55%）——黄红云
（11. 10%）</t>
  </si>
  <si>
    <t>重庆市</t>
  </si>
  <si>
    <t>裁定重整（退市风险）</t>
  </si>
  <si>
    <t>ST九芝</t>
  </si>
  <si>
    <t>2024年4月26日</t>
  </si>
  <si>
    <t>李振国（25.17%）</t>
  </si>
  <si>
    <t>国家重点重要企业•中国著名老字号</t>
  </si>
  <si>
    <t>湖南省</t>
  </si>
  <si>
    <t>2023年度内控被否（其他风险警示）</t>
  </si>
  <si>
    <t>*ST恒宇</t>
  </si>
  <si>
    <t>饶丹妮+王舒公62. 31%</t>
  </si>
  <si>
    <t>直升机粽合显示控制设备
的研发、生产、销售、服务。</t>
  </si>
  <si>
    <t>北京市</t>
  </si>
  <si>
    <t>2023年度主营低于一亿十扣非为负（退市风险）</t>
  </si>
  <si>
    <t>‘603963</t>
  </si>
  <si>
    <t>*ST大药</t>
  </si>
  <si>
    <t>2024年4月29日</t>
  </si>
  <si>
    <t>杨君祥+杨清龙+尹翠仙38. 31%</t>
  </si>
  <si>
    <t>云南省</t>
  </si>
  <si>
    <t>2023年度主管低于一亿+扣非为负（退市风险）</t>
  </si>
  <si>
    <t>*ST交投</t>
  </si>
  <si>
    <t>北京市国资委（17.43%）正厅级</t>
  </si>
  <si>
    <t>院线</t>
  </si>
  <si>
    <t>1、连续三年扣非为负+持续经营不确定性（其他风险警示〉
2、净资产为负（退市风险）</t>
  </si>
  <si>
    <t>*ST新城</t>
  </si>
  <si>
    <t>2024年4月29日（2</t>
  </si>
  <si>
    <t>北京和展中达科•技有限公司
5. 00%）——刘名 + 杨宇（10. 00%</t>
  </si>
  <si>
    <t>）      房地产开发</t>
  </si>
  <si>
    <t>辽宁省</t>
  </si>
  <si>
    <t>2023年度主营低于一亿+扣非为负（退巾风险）</t>
  </si>
  <si>
    <t>*ST贤丰</t>
  </si>
  <si>
    <t>谢松锋十谢海韬38. 06%</t>
  </si>
  <si>
    <t>猪苗</t>
  </si>
  <si>
    <t>1、2023年度主营低于一亿+扣非为负（退市风险）
2、2023年度内控被否（其他风险警示）</t>
  </si>
  <si>
    <t>*ST嘉寓</t>
  </si>
  <si>
    <t>嘉寓新新投资有限公司（38. 03%） -一田家玉（34. 23%）</t>
  </si>
  <si>
    <t>新能源业务（光伏业务）</t>
  </si>
  <si>
    <t>1、连续三年扣非为负+持续经营不确定性（其他风险弊示）
2、净资产为负（退市风险）
重整失败，投资人中途退出协议</t>
  </si>
  <si>
    <t>*ST中迪</t>
  </si>
  <si>
    <t>广东润鸿富创科技中心（23.77%） -一吴母（12. 00%）</t>
  </si>
  <si>
    <t>1、连续三年扣非为负+持续经营不确定性（其他风险警示〉
2、2023年度主营低于一亿+扣非为负（退市风险）</t>
  </si>
  <si>
    <t>*ST名家</t>
  </si>
  <si>
    <t>程宗玉20. 67%</t>
  </si>
  <si>
    <t>装修装饰</t>
  </si>
  <si>
    <t>广东省深圳市</t>
  </si>
  <si>
    <t>1、连续三年扣非为负十持续经营不确定性（其他风险警示）
2、2023年度主营低于一亿+扣非为负（退巾风险）</t>
  </si>
  <si>
    <t>*ST东园</t>
  </si>
  <si>
    <t>2024年4月30日</t>
  </si>
  <si>
    <t>北京市朝阳区国资委10%」E处级</t>
  </si>
  <si>
    <t>环境治理-综合环境治理</t>
  </si>
  <si>
    <t>ST聆达</t>
  </si>
  <si>
    <t>杭州光恒昱企业管理合伙企业
（21. 84%）-一黄双（13. 43%）</t>
  </si>
  <si>
    <t>高效光伏太阳能电池片业务、光伏发电业务</t>
  </si>
  <si>
    <t>1、连续三年扣非为负十持续经营不确定性（其他风险弊示）
2、2023年度内控被否（其他风险警示）
3、公司生产经营活动受到严重影响且预计在3个月内不能恢复正常（其他风险警示）</t>
  </si>
  <si>
    <t>重整中</t>
  </si>
  <si>
    <t>ST航高</t>
  </si>
  <si>
    <t>黄卿乐+黄文佳+黄文博L 97%</t>
  </si>
  <si>
    <t>空冷系统、光能发电系统</t>
  </si>
  <si>
    <t>甘肃省</t>
  </si>
  <si>
    <t>应收款无法退回占用，在建工程没调试验收，被立案调查，居然直接跌到1元以下退市了。否定报告
面退</t>
  </si>
  <si>
    <t>ST元成</t>
  </si>
  <si>
    <t>祝昌仁22. 66%</t>
  </si>
  <si>
    <t>园林工程</t>
  </si>
  <si>
    <t>浙江省</t>
  </si>
  <si>
    <t>ST新潮</t>
  </si>
  <si>
    <t>石油天然气开采</t>
  </si>
  <si>
    <t>山东省</t>
  </si>
  <si>
    <t>停牌中</t>
  </si>
  <si>
    <t>*ST中程</t>
  </si>
  <si>
    <t>青岛市国资委30. 85黑副厅级</t>
  </si>
  <si>
    <t>锂矿开发、建造业务</t>
  </si>
  <si>
    <t>净资产负，保留意见。
2024继续保留意见和否定意见，净资产转正。</t>
  </si>
  <si>
    <t>*ST新宁</t>
  </si>
  <si>
    <t>第一大股东郑州市财政局7. 43%</t>
  </si>
  <si>
    <t>仓储物流</t>
  </si>
  <si>
    <t>河南省</t>
  </si>
  <si>
    <t>1、连续三年扣非为负+持续经营不确定性（其他风险警示）
3、净资产为负（退市风险）</t>
  </si>
  <si>
    <t>*ST科新</t>
  </si>
  <si>
    <t>黄绍嘉32. 80%</t>
  </si>
  <si>
    <t>装饰</t>
  </si>
  <si>
    <t>山西省</t>
  </si>
  <si>
    <t>ST加加</t>
  </si>
  <si>
    <t>湖南卓越投资有限公司18. 79%--杨振
+肖赛平+杨子江42. 29%</t>
  </si>
  <si>
    <t>调味拈</t>
  </si>
  <si>
    <t>*ST农尚</t>
  </si>
  <si>
    <t>海南芯联微科技有限公司20. 00%--林峰 14. 00%</t>
  </si>
  <si>
    <t>2023年度主营低于一亿+扣非为负（退市风险）</t>
  </si>
  <si>
    <t>*ST保力</t>
  </si>
  <si>
    <t>高保清13. 79%</t>
  </si>
  <si>
    <t>陕西省</t>
  </si>
  <si>
    <t>收入不足1亿，保留意见审计报告。面退</t>
  </si>
  <si>
    <t>ST永悦</t>
  </si>
  <si>
    <t>2024年5月6日</t>
  </si>
  <si>
    <t>陈翔13. 40%</t>
  </si>
  <si>
    <t>福建地区较大的不饱和聚酯树脂生产企业之一</t>
  </si>
  <si>
    <t>福建省泉州市</t>
  </si>
  <si>
    <t>ST阳光</t>
  </si>
  <si>
    <t>202好5月6日</t>
  </si>
  <si>
    <t>陆克平&amp; 39%</t>
  </si>
  <si>
    <t>精纺呢绒行业龙头</t>
  </si>
  <si>
    <t>江苏省无锡市</t>
  </si>
  <si>
    <t>面退</t>
  </si>
  <si>
    <t>ST智知</t>
  </si>
  <si>
    <t>新高能源供应链有限公司42.19%-—王
玉锁44. 97%</t>
  </si>
  <si>
    <t>城市安全的数智运营商</t>
  </si>
  <si>
    <t>广西壮族自治区</t>
  </si>
  <si>
    <t>*ST亚星</t>
  </si>
  <si>
    <t>山东省国资委43. 30%正厅级</t>
  </si>
  <si>
    <t>客车</t>
  </si>
  <si>
    <t>主动退市</t>
  </si>
  <si>
    <t>*ST威帝</t>
  </si>
  <si>
    <t>丽水经开区管委会C21.19%）副厅级</t>
  </si>
  <si>
    <t>汽车零部件-汽车电子电气系统</t>
  </si>
  <si>
    <t>黑龙江省黑龙江自贸区</t>
  </si>
  <si>
    <t>ST春天</t>
  </si>
  <si>
    <t>肖融28. 95%</t>
  </si>
  <si>
    <t>冬虫夏草、中成药、酒水</t>
  </si>
  <si>
    <t>青海省</t>
  </si>
  <si>
    <t>连续三年扣非为负+持续经营存在不确定性（其他风险警示〉</t>
  </si>
  <si>
    <t>ST百利</t>
  </si>
  <si>
    <t>王海荣+王立言29. 80%</t>
  </si>
  <si>
    <t>工程总承包、锂电智能产线、锂电销售设备</t>
  </si>
  <si>
    <t>湖南省岳阳市</t>
  </si>
  <si>
    <t>ST东时</t>
  </si>
  <si>
    <t>徐雄23. 38%</t>
  </si>
  <si>
    <t>机动驾驶培训、民用航空器驾驶员培训</t>
  </si>
  <si>
    <t>ST柯利达</t>
  </si>
  <si>
    <t>顾益明+顾龙棣+顾佳35. 68%</t>
  </si>
  <si>
    <t>ST联络</t>
  </si>
  <si>
    <t>202妁三5月6日</t>
  </si>
  <si>
    <t>何志涛10. 20%</t>
  </si>
  <si>
    <t>电商、文化传媒</t>
  </si>
  <si>
    <t>浙江省杭州||j</t>
  </si>
  <si>
    <t>ST迪马</t>
  </si>
  <si>
    <t>罗韶宇29. 97%</t>
  </si>
  <si>
    <t>地产</t>
  </si>
  <si>
    <t>ST华微</t>
  </si>
  <si>
    <t>曾涛6. 63%</t>
  </si>
  <si>
    <t>中国功率半导体器件占有
率第一</t>
  </si>
  <si>
    <t>吉林省</t>
  </si>
  <si>
    <t>*ST龙宇</t>
  </si>
  <si>
    <t>上海龙宇控股有限公司29. 1璐--徐增
增+刘策+刘振光33. 88%</t>
  </si>
  <si>
    <t>大宗商品销售、数据中心</t>
  </si>
  <si>
    <t>上海市</t>
  </si>
  <si>
    <t>1、2023年度内控被否（其他风险警示）
2、2023年年报被否（退市风险警示）
3、2024继续无法表示意见和否定意见</t>
  </si>
  <si>
    <t>ST亿利</t>
  </si>
  <si>
    <t>王文彪14. 52%</t>
  </si>
  <si>
    <t>化学原料</t>
  </si>
  <si>
    <t>内蒙古自治区</t>
  </si>
  <si>
    <t>直接跌停面退
大股东资金占用40亿</t>
  </si>
  <si>
    <t>*ST银江</t>
  </si>
  <si>
    <t>王辉+刘健6. 02%</t>
  </si>
  <si>
    <t>智慧城市、智慧交通</t>
  </si>
  <si>
    <t>2023年年报被否（退市风险警示）</t>
  </si>
  <si>
    <t>*ST天创</t>
  </si>
  <si>
    <t>青岛天天贸易合伙企业17. 45%-一季林
14. 94%</t>
  </si>
  <si>
    <t>女桂、包</t>
  </si>
  <si>
    <t>广东省</t>
  </si>
  <si>
    <t>1、2023年度内控被否（其他风险警示）
2、2023年年报被否（退市风险警示）</t>
  </si>
  <si>
    <t>*ST博信</t>
  </si>
  <si>
    <t>苏州市姑苏区国资委正处级</t>
  </si>
  <si>
    <t>智能硬件、装备综合服务</t>
  </si>
  <si>
    <t>净资产为负（退市风险）</t>
  </si>
  <si>
    <t>*ST开元</t>
  </si>
  <si>
    <t>蔡志华L 13%</t>
  </si>
  <si>
    <t>教育</t>
  </si>
  <si>
    <t>1、连续三年扣非为负十持续经营不确定性（其他风险警示〉
2、净资产为负（退市风险）</t>
  </si>
  <si>
    <t>ST先锋</t>
  </si>
  <si>
    <t>卢先锋15. 55%</t>
  </si>
  <si>
    <t>阳光面料、遮阳材料</t>
  </si>
  <si>
    <t>ST爱康</t>
  </si>
  <si>
    <t>邹承慧2. 7蜴</t>
  </si>
  <si>
    <t>保留意见和否定意见。
面退</t>
  </si>
  <si>
    <t>ST证通</t>
  </si>
  <si>
    <t>曾胜强+许忠桂18. 67%</t>
  </si>
  <si>
    <t>云计算业务</t>
  </si>
  <si>
    <t>*ST导航</t>
  </si>
  <si>
    <t>汪渤等7人58. 56%</t>
  </si>
  <si>
    <t>航天装备（军工、无人机
、卫星导航）</t>
  </si>
  <si>
    <t>*ST傲农</t>
  </si>
  <si>
    <t>吴有林30. 09%</t>
  </si>
  <si>
    <t>饲料</t>
  </si>
  <si>
    <t>福建省</t>
  </si>
  <si>
    <t>*ST龙津</t>
  </si>
  <si>
    <t>樊献俄32.11%</t>
  </si>
  <si>
    <t>2023年度主营低于一亿十扣非为负（退市风险）
2024继续主营不足</t>
  </si>
  <si>
    <t>*ST大邦</t>
  </si>
  <si>
    <t>张邦辉14. 84%</t>
  </si>
  <si>
    <t>生猪、食品加工</t>
  </si>
  <si>
    <t>*ST易连</t>
  </si>
  <si>
    <t>方丽梅14. 06%</t>
  </si>
  <si>
    <t>*ST合泰</t>
  </si>
  <si>
    <t>福建省国资委（21.13%）正厅级</t>
  </si>
  <si>
    <t>触摸屏</t>
  </si>
  <si>
    <t>*ST景峰</t>
  </si>
  <si>
    <t>叶湘武13. 74%</t>
  </si>
  <si>
    <t>医药-化学制药</t>
  </si>
  <si>
    <t>1、连续三年扣非为负+持续经营不确定性（其他风险弊示）
2、净资产为负（退市风险）
3、2023年内控被否（其他风险警示）</t>
  </si>
  <si>
    <t>*ST美吉</t>
  </si>
  <si>
    <t>解直银30.侬</t>
  </si>
  <si>
    <t>*ST洪涛</t>
  </si>
  <si>
    <t>刘年新18. 56%</t>
  </si>
  <si>
    <t>装修装</t>
  </si>
  <si>
    <t>ST百灵</t>
  </si>
  <si>
    <t>姜伟17. 39%</t>
  </si>
  <si>
    <t>中成药</t>
  </si>
  <si>
    <t>贵州省</t>
  </si>
  <si>
    <t>*ST超华</t>
  </si>
  <si>
    <t>粱健风+粱俊丰14. 92%</t>
  </si>
  <si>
    <t>印刷电路板</t>
  </si>
  <si>
    <t>ST英飞拓</t>
  </si>
  <si>
    <t>深圳市国资委26. 35%副厅级</t>
  </si>
  <si>
    <t>高端安防产品供应商</t>
  </si>
  <si>
    <t>*ST恒立</t>
  </si>
  <si>
    <t>第一大股东山东省国际信托17. 87跄山东财政厅正厅级</t>
  </si>
  <si>
    <t>汽车空调</t>
  </si>
  <si>
    <t>1、连续三年扣非为负十持续经营不确定性（其他风险弊示）
2、2023年度主营低于一亿+扣非为负（退市风险）</t>
  </si>
  <si>
    <t>*ST巴安</t>
  </si>
  <si>
    <t>水务+水处理</t>
  </si>
  <si>
    <t>无法表示意见审计报告，持续经营不确定性，面退</t>
  </si>
  <si>
    <t>ST艮康</t>
  </si>
  <si>
    <t>202均三5月6日</t>
  </si>
  <si>
    <t>郁全和等4人13. 55%</t>
  </si>
  <si>
    <t>医药、电梯导轨</t>
  </si>
  <si>
    <t>ST新纶</t>
  </si>
  <si>
    <t>侯毅16. 07%</t>
  </si>
  <si>
    <t>新能源材料</t>
  </si>
  <si>
    <t>»«：t
面退</t>
  </si>
  <si>
    <t>*ST中泗</t>
  </si>
  <si>
    <t>宁波冉盛盛远投资管理合伙企业 25. 08%--郭昌玮0. 020%</t>
  </si>
  <si>
    <t>黄金销售</t>
  </si>
  <si>
    <t>1、2023年度内控被否（其他风险警示）
2、2023年年报被否（退市风险警示）
3、连续三年扣非为负+持续经营不确定性（其他风险警示）</t>
  </si>
  <si>
    <t>2024年5月 6 H</t>
  </si>
  <si>
    <t>第一大股东电信科学技术研究院有限公司12. 86%国务院国资委正部级</t>
  </si>
  <si>
    <t>计算机、通信设备</t>
  </si>
  <si>
    <t>1、2023年度内控被否（其他风险警示）
2、连续三年扣非为负+持续经营不确定性（其他风险笔示）</t>
  </si>
  <si>
    <t>ST富通</t>
  </si>
  <si>
    <t>王建沂10. 49%</t>
  </si>
  <si>
    <t>光通信网络</t>
  </si>
  <si>
    <t>天津市</t>
  </si>
  <si>
    <t>否定意见内控报告，面退。
债务逾期，大额预付款项，6亿多</t>
  </si>
  <si>
    <t>ST汇金</t>
  </si>
  <si>
    <t>2024年5月14日</t>
  </si>
  <si>
    <t>邯郸市国资委29. 09%</t>
  </si>
  <si>
    <t>运维加工服务及配件耗材销售</t>
  </si>
  <si>
    <t>河北省-雄安新区</t>
  </si>
  <si>
    <t>根据中国证监会行政处罚事先告知付载明的事实，公司披露的年度报告财务指标存在虚假记载♦但未涉及重大违法强制退市（其他风险警示）</t>
  </si>
  <si>
    <t>ST特信</t>
  </si>
  <si>
    <t>深圳市国资委23. 69%</t>
  </si>
  <si>
    <t>线缆、光电制造</t>
  </si>
  <si>
    <t>深圳市</t>
  </si>
  <si>
    <t>根据中国证监会行政处罚事先告知书载明的事实，公司披露的年度报告财务指标存在虚假记载,但未涉及重大违法强制退市（其他风险警示）</t>
  </si>
  <si>
    <t>ST峡创</t>
  </si>
  <si>
    <t>平潭综合实验区国有资产管理局 16. 00%</t>
  </si>
  <si>
    <t>领先的新型智慧城市服务
商</t>
  </si>
  <si>
    <t>根据中国证监会行政处罚事先告知目载明的事实，公司披露的年度报告财务指标存在虚假记载•但未涉及重大违法强制退市（其他风险警示）</t>
  </si>
  <si>
    <t>ST世龙</t>
  </si>
  <si>
    <t>2024年5月17日</t>
  </si>
  <si>
    <t>江西电化高科有限责任公司44. 44%</t>
  </si>
  <si>
    <t>氯碱</t>
  </si>
  <si>
    <t>江西省</t>
  </si>
  <si>
    <t>ST中泰</t>
  </si>
  <si>
    <t>2024年5月21日</t>
  </si>
  <si>
    <t>新疆维吾尔自治区国资委27. 84%</t>
  </si>
  <si>
    <t>新疆</t>
  </si>
  <si>
    <t>根据中国证监会行政处罚邪先告知仔载明的事实，公司披露的年度报告财务指标存在虚假记载♦但未涉及重大违法强制退市（其他风险警示）</t>
  </si>
  <si>
    <t>ST瑞科</t>
  </si>
  <si>
    <t>浙江省国资委30. 24%</t>
  </si>
  <si>
    <t>航海装备</t>
  </si>
  <si>
    <t>根据中国证监会行政处罚事先告知书载明的事实，公司披露的年度报告
财务指标存在虚假记载,但未涉及重大违法强制退市（其他风险警示）</t>
  </si>
  <si>
    <t>2024年6月4日</t>
  </si>
  <si>
    <t>北方区域性港口</t>
  </si>
  <si>
    <t>ST易事特</t>
  </si>
  <si>
    <t>2024年7月9日</t>
  </si>
  <si>
    <t>智慧电源、数据中心、新能源</t>
  </si>
  <si>
    <t>ST舜天</t>
  </si>
  <si>
    <t>江苏省国资委50. 92%</t>
  </si>
  <si>
    <t>贸易</t>
  </si>
  <si>
    <t>ST广网</t>
  </si>
  <si>
    <t>中共陕西省委宣传部29. 22%</t>
  </si>
  <si>
    <t>电视广播</t>
  </si>
  <si>
    <t>根据中国证监会行政处罚事先告知书载明的事实，公司披露的年度报告财务指标存在虚假记载,但未涉及重大违法强制退市一（其他风险警示）</t>
  </si>
  <si>
    <t>*ST威创</t>
  </si>
  <si>
    <t>202仰7月9日</t>
  </si>
  <si>
    <t>台州市中数威科投资合伙24. 22%</t>
  </si>
  <si>
    <t>超高分辨率数字拼接系统</t>
  </si>
  <si>
    <t>无法在法定期限内披露报告，主要被拟收购人非法划走资金13亿且没归还。面退</t>
  </si>
  <si>
    <t>ST旭电</t>
  </si>
  <si>
    <t>李兆廷10.17%</t>
  </si>
  <si>
    <t>液晶玻璃基板</t>
  </si>
  <si>
    <t>河北省</t>
  </si>
  <si>
    <t>李兆廷19.16%</t>
  </si>
  <si>
    <t>光伏发电</t>
  </si>
  <si>
    <t>1、资金占用或违规担保严重（其他风险警示）；
2、内控被否（其他风险警示）
没能按时整改完成，归还资金。两个月退市。</t>
  </si>
  <si>
    <t>ST盛屯</t>
  </si>
  <si>
    <t>2024年8月1日</t>
  </si>
  <si>
    <t>姚雄杰12. 79%</t>
  </si>
  <si>
    <t>有色金属矿产采掘、贸易</t>
  </si>
  <si>
    <t>根据中国证监会行政处罚浜先告知付载明的事实，公司披露的年度报告财务指标存在虚假记载♦但未涉及重大违法强制退市（其他风险警示）</t>
  </si>
  <si>
    <t>ST亚联</t>
  </si>
  <si>
    <t>2024年8月6日</t>
  </si>
  <si>
    <t>大连致利投资发展有限公司13. 29%-一
王永彬19. 26%</t>
  </si>
  <si>
    <t>W16-网领域</t>
  </si>
  <si>
    <t>ST广物</t>
  </si>
  <si>
    <t>2024年9月3日</t>
  </si>
  <si>
    <t>新疆广汇实业投资46. 60%-—孙广信
23. 33%</t>
  </si>
  <si>
    <t>四川省</t>
  </si>
  <si>
    <t>ST惠程</t>
  </si>
  <si>
    <t>2024年9月19日</t>
  </si>
  <si>
    <t>重庆绿发城市建设有限公司12.15%——
重庆市璧山区财政局</t>
  </si>
  <si>
    <t>配电设备</t>
  </si>
  <si>
    <t>ST凯文</t>
  </si>
  <si>
    <t>凯撒集团（香港）有限公司19.59%-一陈玉琴+郑合明22. 51%</t>
  </si>
  <si>
    <t>ST浩丰</t>
  </si>
  <si>
    <t>2024年10月29日</t>
  </si>
  <si>
    <t>王广宇10. 50%</t>
  </si>
  <si>
    <t>IT系统解决方案</t>
  </si>
  <si>
    <t>*ST卓朗</t>
  </si>
  <si>
    <t>2024年11月1日</t>
  </si>
  <si>
    <t>天津是国资委27. 67%</t>
  </si>
  <si>
    <t>IT服务</t>
  </si>
  <si>
    <t>财务造假触及重大违法强制退而（退市风险警示）</t>
  </si>
  <si>
    <t>ST观典</t>
  </si>
  <si>
    <t>2024年11月2日</t>
  </si>
  <si>
    <t>高明40. 35%</t>
  </si>
  <si>
    <t>无人机系统及智能安防装备</t>
  </si>
  <si>
    <t>ST华通</t>
  </si>
  <si>
    <t>2024年11月8日</t>
  </si>
  <si>
    <t>第二大股东腾讯集团10. 00%</t>
  </si>
  <si>
    <t>网络游戏和汽车塑料零部件</t>
  </si>
  <si>
    <t>上海浦东新区</t>
  </si>
  <si>
    <t>根据中国证监会行政处罚事先告知书载明的事实，公司披露的年度报告
财务指标存在虚假记载,但未涉及垂大违法强制退市一（其他风险警示）</t>
  </si>
  <si>
    <t>ST先河</t>
  </si>
  <si>
    <t>2024年11月12日</t>
  </si>
  <si>
    <t>t岛清利新能源有限公司L 06%</t>
  </si>
  <si>
    <t>中国环境监测仪器仪表行业知名品牌</t>
  </si>
  <si>
    <t>根据中国证监会行政处罚事先告知竹载明的事实。公司披露的年度报告
财务指标存在虚假记载，但未涉及重大违法强制退市（其他风险警示）</t>
  </si>
  <si>
    <t>ST新亚</t>
  </si>
  <si>
    <t>2024年11月13日</t>
  </si>
  <si>
    <t>王伟华4. 69%</t>
  </si>
  <si>
    <t>电子制程方案、产品、产业配套服务</t>
  </si>
  <si>
    <t>ST天瑞</t>
  </si>
  <si>
    <t>2024年12月10日</t>
  </si>
  <si>
    <t>刘召贵16.13%</t>
  </si>
  <si>
    <t>仪器设备</t>
  </si>
  <si>
    <t>江苏省苏州市</t>
  </si>
  <si>
    <t>根据中国证监会行政处罚”睁知书载明’的事实,公司披露的年度报告财务指标存在虚电记薪,庐氏沙笈后大违法弼制退十J1池警示）</t>
  </si>
  <si>
    <t>ST智云</t>
  </si>
  <si>
    <t>2024年12月12日</t>
  </si>
  <si>
    <t>平板显示模组设备、汽车智能制造装备</t>
  </si>
  <si>
    <t>辽宁省大连市</t>
  </si>
  <si>
    <t>根据中国证监会;加％沛宇先传好村载明的事实，公司披巾的早发报告
财务指标存在虚假记载，但未涉及重大违法强制退市（其他风险警示）</t>
  </si>
  <si>
    <t>新增ST</t>
  </si>
  <si>
    <t>退市数量</t>
  </si>
  <si>
    <t>跌破面退数量</t>
  </si>
  <si>
    <t>主营不足数量</t>
  </si>
  <si>
    <t>退市风险数量</t>
  </si>
  <si>
    <t>ETF申购价</t>
  </si>
  <si>
    <t>场内买入</t>
  </si>
  <si>
    <t>场内卖出</t>
  </si>
  <si>
    <t>暂停申购</t>
  </si>
  <si>
    <t>开放赎回</t>
  </si>
  <si>
    <t>序号</t>
  </si>
  <si>
    <t>股票余额</t>
  </si>
  <si>
    <t>冻结数量</t>
  </si>
  <si>
    <t>参考成本</t>
  </si>
  <si>
    <t>总盈亏</t>
  </si>
  <si>
    <t>盈亏比例(%)</t>
  </si>
  <si>
    <t>当日盈亏</t>
  </si>
  <si>
    <t>当日盈亏比(%)</t>
  </si>
  <si>
    <t>市值</t>
  </si>
  <si>
    <t>仓位占比(%)</t>
  </si>
  <si>
    <t>当日买入</t>
  </si>
  <si>
    <t>当日卖出</t>
  </si>
  <si>
    <t>交易市场</t>
  </si>
  <si>
    <t>持股天数</t>
  </si>
  <si>
    <t>深圳A股</t>
  </si>
  <si>
    <t>上海A股</t>
  </si>
  <si>
    <t>收盘价</t>
  </si>
  <si>
    <t>结算价</t>
  </si>
  <si>
    <t>开仓资金</t>
  </si>
  <si>
    <t>对应合约价值</t>
  </si>
  <si>
    <t>基金净值</t>
  </si>
  <si>
    <t>申购份数</t>
  </si>
  <si>
    <t>总资金</t>
  </si>
  <si>
    <t>结束收盘价</t>
  </si>
  <si>
    <t>结束结算价</t>
  </si>
  <si>
    <t>结束合约价值</t>
  </si>
  <si>
    <t>结束基金净值</t>
  </si>
  <si>
    <t>结束基金价值</t>
  </si>
  <si>
    <t>基金利润</t>
  </si>
  <si>
    <t>合约利润</t>
  </si>
  <si>
    <t>总利润</t>
  </si>
  <si>
    <t>前提条件</t>
  </si>
  <si>
    <t>极大概率</t>
  </si>
  <si>
    <t>1、发改委、商务部、外管局、政府批准</t>
  </si>
  <si>
    <t>2、要约方股东大会批准</t>
  </si>
  <si>
    <t>3、联交所和证监会批准上市</t>
  </si>
  <si>
    <t>大概率</t>
  </si>
  <si>
    <t>4、被吸收方股东大会出席会议投票的2/3同意</t>
  </si>
  <si>
    <t>不确定</t>
  </si>
  <si>
    <t>5、被吸收方股东大会上H股股东参与投票的75%同意且反对票数不超过10%</t>
  </si>
  <si>
    <t>特别股息</t>
  </si>
  <si>
    <t>被吸收方定价</t>
  </si>
  <si>
    <t>存续方定价</t>
  </si>
  <si>
    <t>换股比例</t>
  </si>
  <si>
    <t>公告前股价</t>
  </si>
  <si>
    <t>异议股东现金选择权</t>
  </si>
  <si>
    <t>10-13.16</t>
  </si>
  <si>
    <t>下面是存续方上市当日股价不同档位跌幅对应的被吸收方的安全股价</t>
  </si>
  <si>
    <t>跌幅%</t>
  </si>
  <si>
    <t>存续方股价</t>
  </si>
  <si>
    <t>被吸收方股价</t>
  </si>
  <si>
    <t>被吸收方加股息后股价</t>
  </si>
  <si>
    <t>对应市值</t>
  </si>
  <si>
    <t>预算</t>
  </si>
  <si>
    <t>实际</t>
  </si>
  <si>
    <t>偏差</t>
  </si>
  <si>
    <t>厨房</t>
  </si>
  <si>
    <t>冰箱</t>
  </si>
  <si>
    <t>燃气热水器</t>
  </si>
  <si>
    <t>全屋</t>
  </si>
  <si>
    <t>窗帘</t>
  </si>
  <si>
    <t>灯具</t>
  </si>
  <si>
    <t>床2张</t>
  </si>
  <si>
    <t>甲醛治理</t>
  </si>
  <si>
    <t>墙布</t>
  </si>
  <si>
    <t>扫地机器人</t>
  </si>
  <si>
    <t>柜子</t>
  </si>
  <si>
    <t>书房</t>
  </si>
  <si>
    <t>升降书桌</t>
  </si>
  <si>
    <t>显示屏支架</t>
  </si>
  <si>
    <t>显示屏1个</t>
  </si>
  <si>
    <t>书架</t>
  </si>
  <si>
    <t>人体工学椅</t>
  </si>
  <si>
    <t>阳台</t>
  </si>
  <si>
    <t>洗烘机</t>
  </si>
  <si>
    <t>美缝</t>
  </si>
  <si>
    <t>升降衣架</t>
  </si>
  <si>
    <t>阳台柜</t>
  </si>
  <si>
    <t>通铺</t>
  </si>
  <si>
    <t>包两个阳台</t>
  </si>
  <si>
    <t>客厅</t>
  </si>
  <si>
    <t>电动沙发</t>
  </si>
  <si>
    <t>岛台和餐桌</t>
  </si>
  <si>
    <t>饮水机</t>
  </si>
  <si>
    <t>电视机</t>
  </si>
  <si>
    <t>税费</t>
  </si>
  <si>
    <t>契税</t>
  </si>
  <si>
    <t>维修基金</t>
  </si>
  <si>
    <t>物业费</t>
  </si>
  <si>
    <t>西门子洗烘套装8585</t>
  </si>
  <si>
    <t>查看</t>
  </si>
  <si>
    <t>齐翔转2</t>
  </si>
  <si>
    <t>*ST三房</t>
  </si>
  <si>
    <t>中煤能源</t>
  </si>
  <si>
    <t>宝丰能源</t>
  </si>
  <si>
    <t>宏川转债</t>
  </si>
  <si>
    <t>昂瑞微</t>
  </si>
  <si>
    <t>贝达药业</t>
  </si>
  <si>
    <t>帝欧转债</t>
  </si>
  <si>
    <t>健信超导</t>
  </si>
  <si>
    <t>首华转债</t>
  </si>
  <si>
    <t>晶科能源</t>
  </si>
  <si>
    <t>海优转债</t>
  </si>
  <si>
    <t>腾达建设</t>
  </si>
  <si>
    <t>恩威医药</t>
  </si>
  <si>
    <t>欧22转债</t>
  </si>
  <si>
    <t>欧普照明</t>
  </si>
  <si>
    <t>旺能转债</t>
  </si>
  <si>
    <t>恩华药业</t>
  </si>
  <si>
    <t>天壕转债</t>
  </si>
  <si>
    <t>永顺泰</t>
  </si>
  <si>
    <t>公元股份</t>
  </si>
  <si>
    <t>芳源股份</t>
  </si>
  <si>
    <t>凯淳股份</t>
  </si>
  <si>
    <t>美锦能源</t>
  </si>
  <si>
    <t>晶澳科技</t>
  </si>
  <si>
    <t>新巨丰</t>
  </si>
  <si>
    <t>华大智造</t>
  </si>
  <si>
    <t>科达制造</t>
  </si>
  <si>
    <t>莱克转债</t>
  </si>
  <si>
    <t>天合光能</t>
  </si>
  <si>
    <t>富瀚微</t>
  </si>
  <si>
    <t>三诺生物</t>
  </si>
  <si>
    <t>趣睡科技</t>
  </si>
  <si>
    <t>银微转债</t>
  </si>
  <si>
    <t>晶雪节能</t>
  </si>
  <si>
    <t>威唐工业</t>
  </si>
  <si>
    <t>宏川智慧</t>
  </si>
  <si>
    <t>卫宁健康</t>
  </si>
  <si>
    <t>富煌钢构</t>
  </si>
  <si>
    <t>百川转2</t>
  </si>
  <si>
    <t>东宝生物</t>
  </si>
  <si>
    <t>嘉元转债</t>
  </si>
  <si>
    <t>旺能环境</t>
  </si>
  <si>
    <t>华业香料</t>
  </si>
  <si>
    <t>美农生物</t>
  </si>
  <si>
    <t>景嘉微</t>
  </si>
  <si>
    <t>惠通科技</t>
  </si>
  <si>
    <t>光力转债</t>
  </si>
  <si>
    <t>蓝箭电子</t>
  </si>
  <si>
    <t>普门科技</t>
  </si>
  <si>
    <t>文科股份</t>
  </si>
  <si>
    <t>明阳科技</t>
  </si>
  <si>
    <t>齐翔腾达</t>
  </si>
  <si>
    <t>沪硅产业</t>
  </si>
  <si>
    <t>金利华电</t>
  </si>
  <si>
    <t>亚联机械</t>
  </si>
  <si>
    <t>五 粮 液</t>
  </si>
  <si>
    <t>贵州燃气</t>
  </si>
  <si>
    <t>帝欧水华</t>
  </si>
  <si>
    <t>新乡化纤</t>
  </si>
  <si>
    <t>海能实业</t>
  </si>
  <si>
    <t>ST宏达</t>
  </si>
  <si>
    <t>九阳股份</t>
  </si>
  <si>
    <t>美诺华</t>
  </si>
  <si>
    <t>格科微</t>
  </si>
  <si>
    <t>美诺转债</t>
  </si>
  <si>
    <t>斯达转债</t>
  </si>
  <si>
    <t>恒逸转2</t>
  </si>
  <si>
    <t>新凤鸣</t>
  </si>
  <si>
    <t>强达电路</t>
  </si>
  <si>
    <t>杭州园林</t>
  </si>
  <si>
    <t>隆22转债</t>
  </si>
  <si>
    <t>老白干酒</t>
  </si>
  <si>
    <t>维力医疗</t>
  </si>
  <si>
    <t>ST麦趣</t>
  </si>
  <si>
    <t>中国银行</t>
  </si>
  <si>
    <t>*ST莫高</t>
  </si>
  <si>
    <t>唯捷创芯</t>
  </si>
  <si>
    <t>嘉诚转债</t>
  </si>
  <si>
    <t>家悦转债</t>
  </si>
  <si>
    <t>游戏ETF</t>
  </si>
  <si>
    <t>白银基金</t>
  </si>
  <si>
    <t>华阳智能</t>
  </si>
  <si>
    <t>华大九天</t>
  </si>
  <si>
    <t>山大电力</t>
  </si>
  <si>
    <t>锦鸡转债</t>
  </si>
  <si>
    <t>上海贝岭</t>
  </si>
  <si>
    <t>牧原转债</t>
  </si>
  <si>
    <t>南芯科技</t>
  </si>
  <si>
    <t>三星电气</t>
  </si>
  <si>
    <t>中陆转债</t>
  </si>
  <si>
    <t>超声转债</t>
  </si>
  <si>
    <t>双良节能</t>
  </si>
  <si>
    <t>*ST西旅</t>
  </si>
  <si>
    <t>金健米业</t>
  </si>
  <si>
    <t>奥佳华</t>
  </si>
  <si>
    <t>颖泰生物</t>
  </si>
  <si>
    <t>明新转债</t>
  </si>
  <si>
    <t>宏图转债</t>
  </si>
  <si>
    <t>吉林化纤</t>
  </si>
  <si>
    <t>*ST特迅</t>
  </si>
  <si>
    <t>国安达</t>
  </si>
  <si>
    <t>奥赛康</t>
  </si>
  <si>
    <t>天元股份</t>
  </si>
  <si>
    <t>我武生物</t>
  </si>
  <si>
    <t>万讯自控</t>
  </si>
  <si>
    <t>泰福泵业</t>
  </si>
  <si>
    <t>神马股份</t>
  </si>
  <si>
    <t>东方财富</t>
  </si>
  <si>
    <t>晶瑞转2</t>
  </si>
  <si>
    <t>纳百川</t>
  </si>
  <si>
    <t>盛泰转债</t>
  </si>
  <si>
    <t>君实生物</t>
  </si>
  <si>
    <t>皖天然气</t>
  </si>
  <si>
    <t>欧派家居</t>
  </si>
  <si>
    <t>天和磁材</t>
  </si>
  <si>
    <t>联合动力</t>
  </si>
  <si>
    <t>韦尔转债</t>
  </si>
  <si>
    <t>东阿阿胶</t>
  </si>
  <si>
    <t>纽威股份</t>
  </si>
  <si>
    <t>燕塘乳业</t>
  </si>
  <si>
    <t>华润材料</t>
  </si>
  <si>
    <t>元创股份</t>
  </si>
  <si>
    <t>豪威集团</t>
  </si>
  <si>
    <t>黄山谷捷</t>
  </si>
  <si>
    <t>联合光电</t>
  </si>
  <si>
    <t>志晟信息</t>
  </si>
  <si>
    <t>*ST西发</t>
  </si>
  <si>
    <t>新兴铸管</t>
  </si>
  <si>
    <t>万顺转2</t>
  </si>
  <si>
    <t>旅游ETF</t>
  </si>
  <si>
    <t>广誉远</t>
  </si>
  <si>
    <t>日久光电</t>
  </si>
  <si>
    <t>山东矿机</t>
  </si>
  <si>
    <t>正元智慧</t>
  </si>
  <si>
    <t>荣安地产</t>
  </si>
  <si>
    <t>晶科转债</t>
  </si>
  <si>
    <t>天富龙</t>
  </si>
  <si>
    <t>实丰文化</t>
  </si>
  <si>
    <t>天溯计量</t>
  </si>
  <si>
    <t>1000ETF</t>
  </si>
  <si>
    <t>国联煤炭</t>
  </si>
  <si>
    <t>华海药业</t>
  </si>
  <si>
    <t>荣盛石化</t>
  </si>
  <si>
    <t>九强转债</t>
  </si>
  <si>
    <t>铭利转债</t>
  </si>
  <si>
    <t>肇民科技</t>
  </si>
  <si>
    <t>永安期货</t>
  </si>
  <si>
    <t>华恒生物</t>
  </si>
  <si>
    <t>光伏ETF</t>
  </si>
  <si>
    <t>京东方Ａ</t>
  </si>
  <si>
    <t>盛泰集团</t>
  </si>
  <si>
    <t>仲景食品</t>
  </si>
  <si>
    <t>蒙娜转债</t>
  </si>
  <si>
    <t>神驰机电</t>
  </si>
  <si>
    <t>古麒绒材</t>
  </si>
  <si>
    <t>中南传媒</t>
  </si>
  <si>
    <t>富岭股份</t>
  </si>
  <si>
    <t>兴业银行</t>
  </si>
  <si>
    <t>ST新华锦</t>
  </si>
  <si>
    <t>*ST中岩</t>
  </si>
  <si>
    <t>荃银高科</t>
  </si>
  <si>
    <t>江山欧派</t>
  </si>
  <si>
    <t>*ST康佳A</t>
  </si>
  <si>
    <t>武进不锈</t>
  </si>
  <si>
    <t>珠江啤酒</t>
  </si>
  <si>
    <t>中装转2</t>
  </si>
  <si>
    <t>东方盛虹</t>
  </si>
  <si>
    <t>浙矿股份</t>
  </si>
  <si>
    <t>中药ETF</t>
  </si>
  <si>
    <t>桂发祥</t>
  </si>
  <si>
    <t>银星能源</t>
  </si>
  <si>
    <t>电魂网络</t>
  </si>
  <si>
    <t>鸿辉光通</t>
  </si>
  <si>
    <t>韵达股份</t>
  </si>
  <si>
    <t>*ST景谷</t>
  </si>
  <si>
    <t>桃李面包</t>
  </si>
  <si>
    <t>易瑞生物</t>
  </si>
  <si>
    <t>机器人AI</t>
  </si>
  <si>
    <t>*ST八钢</t>
  </si>
  <si>
    <t>江南化工</t>
  </si>
  <si>
    <t>富安娜</t>
  </si>
  <si>
    <t>乐惠国际</t>
  </si>
  <si>
    <t>新亚电缆</t>
  </si>
  <si>
    <t>逸豪新材</t>
  </si>
  <si>
    <t>瑞鹄模具</t>
  </si>
  <si>
    <t>炬华科技</t>
  </si>
  <si>
    <t>长海转债</t>
  </si>
  <si>
    <t>垒知集团</t>
  </si>
  <si>
    <t>锡华科技</t>
  </si>
  <si>
    <t>涪陵榨菜</t>
  </si>
  <si>
    <t>信泰航空</t>
  </si>
  <si>
    <t>华新精科</t>
  </si>
  <si>
    <t>盛航股份</t>
  </si>
  <si>
    <t>佳力图</t>
  </si>
  <si>
    <t>中机认检</t>
  </si>
  <si>
    <t>家电ETF</t>
  </si>
  <si>
    <t>浙江震元</t>
  </si>
  <si>
    <t>ST际华</t>
  </si>
  <si>
    <t>天士力</t>
  </si>
  <si>
    <t>康泰医学</t>
  </si>
  <si>
    <t>中电环保</t>
  </si>
  <si>
    <t>XD苏轴股</t>
  </si>
  <si>
    <t>天有为</t>
  </si>
  <si>
    <t>陕西金叶</t>
  </si>
  <si>
    <t>中仑新材</t>
  </si>
  <si>
    <t>湘佳股份</t>
  </si>
  <si>
    <t>天准科技</t>
  </si>
  <si>
    <t>冠宇转债</t>
  </si>
  <si>
    <t>双欣材料</t>
  </si>
  <si>
    <t>中国瑞林</t>
  </si>
  <si>
    <t>安克创新</t>
  </si>
  <si>
    <t>海优新材</t>
  </si>
  <si>
    <t>信通电子</t>
  </si>
  <si>
    <t>*ST长投</t>
  </si>
  <si>
    <t>信达证券</t>
  </si>
  <si>
    <t>天壕能源</t>
  </si>
  <si>
    <t>金天钛业</t>
  </si>
  <si>
    <t>长川科技</t>
  </si>
  <si>
    <t>马应龙</t>
  </si>
  <si>
    <t>*ST摩登</t>
  </si>
  <si>
    <t>托普云农</t>
  </si>
  <si>
    <t>六九一二</t>
  </si>
  <si>
    <t>百洋医药</t>
  </si>
  <si>
    <t>双乐股份</t>
  </si>
  <si>
    <t>寿22转债</t>
  </si>
  <si>
    <t>大明电子</t>
  </si>
  <si>
    <t>红四方</t>
  </si>
  <si>
    <t>神宇股份</t>
  </si>
  <si>
    <t>海阳科技</t>
  </si>
  <si>
    <t>弘景光电</t>
  </si>
  <si>
    <t>华荣股份</t>
  </si>
  <si>
    <t>永22转债</t>
  </si>
  <si>
    <t>德艺文创</t>
  </si>
  <si>
    <t>天坛生物</t>
  </si>
  <si>
    <t>珠海冠宇</t>
  </si>
  <si>
    <t>孚能科技</t>
  </si>
  <si>
    <t>中国石化</t>
  </si>
  <si>
    <t>南京熊猫</t>
  </si>
  <si>
    <t>爱玛科技</t>
  </si>
  <si>
    <t>中汽股份</t>
  </si>
  <si>
    <t>晶科科技</t>
  </si>
  <si>
    <t>电工合金</t>
  </si>
  <si>
    <t>博瑞医药</t>
  </si>
  <si>
    <t>艾芬达</t>
  </si>
  <si>
    <t>汉邦科技</t>
  </si>
  <si>
    <t>方盛制药</t>
  </si>
  <si>
    <t>消费ETF</t>
  </si>
  <si>
    <t>同庆楼</t>
  </si>
  <si>
    <t>立高食品</t>
  </si>
  <si>
    <t>银河微电</t>
  </si>
  <si>
    <t>亿纬锂能</t>
  </si>
  <si>
    <t>五矿发展</t>
  </si>
  <si>
    <t>开滦股份</t>
  </si>
  <si>
    <t>辰欣药业</t>
  </si>
  <si>
    <t>融捷健康</t>
  </si>
  <si>
    <t>海利尔</t>
  </si>
  <si>
    <t>*ST顾地</t>
  </si>
  <si>
    <t>毓恬冠佳</t>
  </si>
  <si>
    <t>凤21转债</t>
  </si>
  <si>
    <t>泰林生物</t>
  </si>
  <si>
    <t>北方导航</t>
  </si>
  <si>
    <t>诺思兰德</t>
  </si>
  <si>
    <t>医药ETF</t>
  </si>
  <si>
    <t>*ST棒杰</t>
  </si>
  <si>
    <t>*ST威领</t>
  </si>
  <si>
    <t>九强生物</t>
  </si>
  <si>
    <t>启迪设计</t>
  </si>
  <si>
    <t>昊海生科</t>
  </si>
  <si>
    <t>鲁抗医药</t>
  </si>
  <si>
    <t>军工ETF</t>
  </si>
  <si>
    <t>台华新材</t>
  </si>
  <si>
    <t>联影医疗</t>
  </si>
  <si>
    <t>泸州老窖</t>
  </si>
  <si>
    <t>清源股份</t>
  </si>
  <si>
    <t>*ST皇庭</t>
  </si>
  <si>
    <t>梦百合</t>
  </si>
  <si>
    <t>TCL中环</t>
  </si>
  <si>
    <t>亨迪药业</t>
  </si>
  <si>
    <t>万华化学</t>
  </si>
  <si>
    <t>华海转债</t>
  </si>
  <si>
    <t>汽车零件</t>
  </si>
  <si>
    <t>百润股份</t>
  </si>
  <si>
    <t>软件ETF</t>
  </si>
  <si>
    <t>恒力石化</t>
  </si>
  <si>
    <t>润达医疗</t>
  </si>
  <si>
    <t>凯因科技</t>
  </si>
  <si>
    <t>强力新材</t>
  </si>
  <si>
    <t>ST龙大</t>
  </si>
  <si>
    <t>森麒麟</t>
  </si>
  <si>
    <t>汇顶科技</t>
  </si>
  <si>
    <t>宝钢股份</t>
  </si>
  <si>
    <t>寿仙谷</t>
  </si>
  <si>
    <t>华润微</t>
  </si>
  <si>
    <t>古井贡酒</t>
  </si>
  <si>
    <t>用友网络</t>
  </si>
  <si>
    <t>圣农发展</t>
  </si>
  <si>
    <t>中信博</t>
  </si>
  <si>
    <t>漱玉平民</t>
  </si>
  <si>
    <t>家家悦</t>
  </si>
  <si>
    <t>晓鸣股份</t>
  </si>
  <si>
    <t>汤姆猫</t>
  </si>
  <si>
    <t>口子窖</t>
  </si>
  <si>
    <t>文科转债</t>
  </si>
  <si>
    <t>医疗ETF</t>
  </si>
  <si>
    <t>惠丰钻石</t>
  </si>
  <si>
    <t>龙大转债</t>
  </si>
  <si>
    <t>花园生物</t>
  </si>
  <si>
    <t>生物药30</t>
  </si>
  <si>
    <t>中金公司</t>
  </si>
  <si>
    <t>南方航空</t>
  </si>
  <si>
    <t>艾迪精密</t>
  </si>
  <si>
    <t>华峰化学</t>
  </si>
  <si>
    <t>仙乐健康</t>
  </si>
  <si>
    <t>山西汾酒</t>
  </si>
  <si>
    <t>万孚生物</t>
  </si>
  <si>
    <t>中创智领</t>
  </si>
  <si>
    <t>博雅生物</t>
  </si>
  <si>
    <t>数据加载完成</t>
  </si>
  <si>
    <t>股票代码</t>
  </si>
  <si>
    <t>股票名称</t>
  </si>
  <si>
    <t>累计收益</t>
  </si>
  <si>
    <t>持有天数（自然日）</t>
  </si>
  <si>
    <t>五洲医疗</t>
  </si>
  <si>
    <t>昊海生物科技</t>
  </si>
  <si>
    <t>中盐红四方</t>
  </si>
  <si>
    <t>三角防务</t>
  </si>
  <si>
    <t>科博达</t>
  </si>
  <si>
    <t>山石转债</t>
  </si>
  <si>
    <t>川网传媒</t>
  </si>
  <si>
    <t>上海艾录</t>
  </si>
  <si>
    <t>浙江华远</t>
  </si>
  <si>
    <t>富春染织</t>
  </si>
  <si>
    <t>上海汽配</t>
  </si>
  <si>
    <t>天顺股份</t>
  </si>
  <si>
    <t>苏交科</t>
  </si>
  <si>
    <t>锦鸡股份</t>
  </si>
  <si>
    <t>中证2000ETF南方</t>
  </si>
  <si>
    <t>美邦股份</t>
  </si>
  <si>
    <t>双象股份</t>
  </si>
  <si>
    <t>志邦家居</t>
  </si>
  <si>
    <t>大宏立</t>
  </si>
  <si>
    <t>沪光股份</t>
  </si>
  <si>
    <t>N科博转</t>
  </si>
  <si>
    <t>航发控制</t>
  </si>
  <si>
    <t>中兰环保</t>
  </si>
  <si>
    <t>*ST湘邮</t>
  </si>
  <si>
    <t>力合微电子</t>
  </si>
  <si>
    <t>德尔玛</t>
  </si>
  <si>
    <t>恒大高新</t>
  </si>
  <si>
    <t>日辰股份</t>
  </si>
  <si>
    <t>春雪食品</t>
  </si>
  <si>
    <t>嘉曼服饰</t>
  </si>
  <si>
    <t>安记食品</t>
  </si>
  <si>
    <t>汇隆新材</t>
  </si>
  <si>
    <t>海波重科</t>
  </si>
  <si>
    <t>中证2000ETF华泰柏瑞</t>
  </si>
  <si>
    <t>宏鑫科技</t>
  </si>
  <si>
    <t>濮阳惠成</t>
  </si>
  <si>
    <t>三维天地</t>
  </si>
  <si>
    <t>龙图光罩</t>
  </si>
  <si>
    <t>美亚光电</t>
  </si>
  <si>
    <t>双枪科技</t>
  </si>
  <si>
    <t>九典制药</t>
  </si>
  <si>
    <t>曼卡龙</t>
  </si>
  <si>
    <t>铁科轨道</t>
  </si>
  <si>
    <t>中源家居</t>
  </si>
  <si>
    <t>特发服务</t>
  </si>
  <si>
    <t>大港股份</t>
  </si>
  <si>
    <t>山河转债</t>
  </si>
  <si>
    <t>恒坤新材</t>
  </si>
  <si>
    <t>协昌科技</t>
  </si>
  <si>
    <t>湘投金天钛业</t>
  </si>
  <si>
    <t>华阳国际</t>
  </si>
  <si>
    <t>丽珠集团</t>
  </si>
  <si>
    <t>奥康国际</t>
  </si>
  <si>
    <t>佳力奇</t>
  </si>
  <si>
    <t>华能蒙电</t>
  </si>
  <si>
    <t>金杯汽车</t>
  </si>
  <si>
    <t>甘源食品</t>
  </si>
  <si>
    <t>ST亚光</t>
  </si>
  <si>
    <t>众望布艺</t>
  </si>
  <si>
    <t>森赫股份</t>
  </si>
  <si>
    <t>金岭矿业</t>
  </si>
  <si>
    <t>恒顺醋业</t>
  </si>
  <si>
    <t>贝斯美</t>
  </si>
  <si>
    <t>健尔康</t>
  </si>
  <si>
    <t>新代码</t>
  </si>
  <si>
    <t>联创光电</t>
  </si>
  <si>
    <t>中简科技</t>
  </si>
  <si>
    <t>佳禾食品</t>
  </si>
  <si>
    <t>严牌股份</t>
  </si>
  <si>
    <t>肯特股份</t>
  </si>
  <si>
    <t>博思软件</t>
  </si>
  <si>
    <t>湘电股份</t>
  </si>
  <si>
    <t>昆船智能</t>
  </si>
  <si>
    <t>智迪科技</t>
  </si>
  <si>
    <t>新乳业</t>
  </si>
  <si>
    <t>山东药玻</t>
  </si>
  <si>
    <t>腾达科技</t>
  </si>
  <si>
    <t>亿田智能</t>
  </si>
  <si>
    <t>速达股份</t>
  </si>
  <si>
    <t>亚太科技</t>
  </si>
  <si>
    <t>银信科技</t>
  </si>
  <si>
    <t>联芸科技</t>
  </si>
  <si>
    <t>倍轻松科技</t>
  </si>
  <si>
    <t>北京凯因科技</t>
  </si>
  <si>
    <t>东北证券</t>
  </si>
  <si>
    <t>强邦新材</t>
  </si>
  <si>
    <t>铭利达</t>
  </si>
  <si>
    <t>华泰证券</t>
  </si>
  <si>
    <t>英思特</t>
  </si>
  <si>
    <t>江山股份</t>
  </si>
  <si>
    <t>博亚精工</t>
  </si>
  <si>
    <t>奥特维科技</t>
  </si>
  <si>
    <t>永贵电器</t>
  </si>
  <si>
    <t>*ST冀凯</t>
  </si>
  <si>
    <t>级别</t>
  </si>
  <si>
    <t>后续</t>
  </si>
  <si>
    <t>大</t>
  </si>
  <si>
    <t>小</t>
  </si>
  <si>
    <t>债券名称</t>
  </si>
  <si>
    <t>债券代码</t>
  </si>
  <si>
    <t>强赎价</t>
  </si>
  <si>
    <t>到期价</t>
  </si>
  <si>
    <t>下修价</t>
  </si>
  <si>
    <t>转股溢价率</t>
  </si>
  <si>
    <t>剩余年限</t>
  </si>
  <si>
    <t>最后交易日</t>
  </si>
  <si>
    <t>最后转股日</t>
  </si>
  <si>
    <t>剩余规模(亿)</t>
  </si>
  <si>
    <t>到期日</t>
  </si>
  <si>
    <t>转债最新价</t>
  </si>
  <si>
    <t>转债涨跌幅</t>
  </si>
  <si>
    <t>正股最新价</t>
  </si>
  <si>
    <t>正股涨跌幅</t>
  </si>
  <si>
    <t>隆新转债</t>
  </si>
  <si>
    <t>123288</t>
  </si>
  <si>
    <t>301149</t>
  </si>
  <si>
    <t>隆华新材</t>
  </si>
  <si>
    <t>未满足</t>
  </si>
  <si>
    <t>-</t>
  </si>
  <si>
    <t>莱特转债</t>
  </si>
  <si>
    <t>118077</t>
  </si>
  <si>
    <t>688150</t>
  </si>
  <si>
    <t>莱特光电</t>
  </si>
  <si>
    <t>满坤转债</t>
  </si>
  <si>
    <t>123287</t>
  </si>
  <si>
    <t>301132</t>
  </si>
  <si>
    <t>满坤科技</t>
  </si>
  <si>
    <t>常青转债</t>
  </si>
  <si>
    <t>113711</t>
  </si>
  <si>
    <t>603125</t>
  </si>
  <si>
    <t>常青科技</t>
  </si>
  <si>
    <t>奥士转债</t>
  </si>
  <si>
    <t>127117</t>
  </si>
  <si>
    <t>002913</t>
  </si>
  <si>
    <t>奥士康</t>
  </si>
  <si>
    <t>国科转债</t>
  </si>
  <si>
    <t>123286</t>
  </si>
  <si>
    <t>301571</t>
  </si>
  <si>
    <t>国科天成</t>
  </si>
  <si>
    <t>瑞鹄转02</t>
  </si>
  <si>
    <t>127116</t>
  </si>
  <si>
    <t>002997</t>
  </si>
  <si>
    <t>润禾转02</t>
  </si>
  <si>
    <t>123285</t>
  </si>
  <si>
    <t>300727</t>
  </si>
  <si>
    <t>润禾材料</t>
  </si>
  <si>
    <t>四方转债</t>
  </si>
  <si>
    <t>113710</t>
  </si>
  <si>
    <t>603339</t>
  </si>
  <si>
    <t>四方科技</t>
  </si>
  <si>
    <t>强达转债</t>
  </si>
  <si>
    <t>123284</t>
  </si>
  <si>
    <t>301628</t>
  </si>
  <si>
    <t>丰茂转债</t>
  </si>
  <si>
    <t>123283</t>
  </si>
  <si>
    <t>301459</t>
  </si>
  <si>
    <t>丰茂股份</t>
  </si>
  <si>
    <t>震裕转02</t>
  </si>
  <si>
    <t>123282</t>
  </si>
  <si>
    <t>300953</t>
  </si>
  <si>
    <t>震裕科技</t>
  </si>
  <si>
    <t>中仑转债</t>
  </si>
  <si>
    <t>123281</t>
  </si>
  <si>
    <t>301565</t>
  </si>
  <si>
    <t>先锋转债</t>
  </si>
  <si>
    <t>118076</t>
  </si>
  <si>
    <t>688605</t>
  </si>
  <si>
    <t>先锋精科</t>
  </si>
  <si>
    <t>派克转债</t>
  </si>
  <si>
    <t>111026</t>
  </si>
  <si>
    <t>605123</t>
  </si>
  <si>
    <t>派克新材</t>
  </si>
  <si>
    <t>三鑫转债</t>
  </si>
  <si>
    <t>123280</t>
  </si>
  <si>
    <t>300453</t>
  </si>
  <si>
    <t>三鑫医疗</t>
  </si>
  <si>
    <t>天脉转债</t>
  </si>
  <si>
    <t>123279</t>
  </si>
  <si>
    <t>301626</t>
  </si>
  <si>
    <t>苏州天脉</t>
  </si>
  <si>
    <t>合金转债</t>
  </si>
  <si>
    <t>123278</t>
  </si>
  <si>
    <t>300697</t>
  </si>
  <si>
    <t>振26转债</t>
  </si>
  <si>
    <t>113709</t>
  </si>
  <si>
    <t>603067</t>
  </si>
  <si>
    <t>振华股份</t>
  </si>
  <si>
    <t>玉禾转债</t>
  </si>
  <si>
    <t>123277</t>
  </si>
  <si>
    <t>300815</t>
  </si>
  <si>
    <t>玉禾田</t>
  </si>
  <si>
    <t>奥普转债</t>
  </si>
  <si>
    <t>118075</t>
  </si>
  <si>
    <t>688686</t>
  </si>
  <si>
    <t>奥普特</t>
  </si>
  <si>
    <t>特宝转债</t>
  </si>
  <si>
    <t>118074</t>
  </si>
  <si>
    <t>688278</t>
  </si>
  <si>
    <t>特宝生物</t>
  </si>
  <si>
    <t>炬申转债</t>
  </si>
  <si>
    <t>127115</t>
  </si>
  <si>
    <t>001202</t>
  </si>
  <si>
    <t>炬申股份</t>
  </si>
  <si>
    <t>申能转债</t>
  </si>
  <si>
    <t>110103</t>
  </si>
  <si>
    <t>600642</t>
  </si>
  <si>
    <t>申能股份</t>
  </si>
  <si>
    <t>久吾转02</t>
  </si>
  <si>
    <t>123276</t>
  </si>
  <si>
    <t>300631</t>
  </si>
  <si>
    <t>久吾高科</t>
  </si>
  <si>
    <t>赛斯转债</t>
  </si>
  <si>
    <t>118073</t>
  </si>
  <si>
    <t>688480</t>
  </si>
  <si>
    <t>赛恩斯</t>
  </si>
  <si>
    <t>曙26转债</t>
  </si>
  <si>
    <t>113708</t>
  </si>
  <si>
    <t>603019</t>
  </si>
  <si>
    <t>中科曙光</t>
  </si>
  <si>
    <t>江农转债</t>
  </si>
  <si>
    <t>110102</t>
  </si>
  <si>
    <t>600389</t>
  </si>
  <si>
    <t>肇民转债</t>
  </si>
  <si>
    <t>123275</t>
  </si>
  <si>
    <t>301000</t>
  </si>
  <si>
    <t>科博转债</t>
  </si>
  <si>
    <t>113707</t>
  </si>
  <si>
    <t>603786</t>
  </si>
  <si>
    <t>宜化转债</t>
  </si>
  <si>
    <t>127114</t>
  </si>
  <si>
    <t>000422</t>
  </si>
  <si>
    <t>湖北宜化</t>
  </si>
  <si>
    <t>维科转债</t>
  </si>
  <si>
    <t>123274</t>
  </si>
  <si>
    <t>301499</t>
  </si>
  <si>
    <t>维科精密</t>
  </si>
  <si>
    <t>圣泉转债</t>
  </si>
  <si>
    <t>111025</t>
  </si>
  <si>
    <t>605589</t>
  </si>
  <si>
    <t>圣泉集团</t>
  </si>
  <si>
    <t>鼎通转债</t>
  </si>
  <si>
    <t>118072</t>
  </si>
  <si>
    <t>688668</t>
  </si>
  <si>
    <t>XD鼎通科</t>
  </si>
  <si>
    <t>宝钛转债</t>
  </si>
  <si>
    <t>110101</t>
  </si>
  <si>
    <t>600456</t>
  </si>
  <si>
    <t>宝钛股份</t>
  </si>
  <si>
    <t>华峰转债</t>
  </si>
  <si>
    <t>118071</t>
  </si>
  <si>
    <t>688200</t>
  </si>
  <si>
    <t>华峰测控</t>
  </si>
  <si>
    <t>南芯转债</t>
  </si>
  <si>
    <t>118070</t>
  </si>
  <si>
    <t>688484</t>
  </si>
  <si>
    <t>三江转债</t>
  </si>
  <si>
    <t>123273</t>
  </si>
  <si>
    <t>301059</t>
  </si>
  <si>
    <t>金三江</t>
  </si>
  <si>
    <t>金帝转债</t>
  </si>
  <si>
    <t>113706</t>
  </si>
  <si>
    <t>603270</t>
  </si>
  <si>
    <t>金帝股份</t>
  </si>
  <si>
    <t>豪26转债</t>
  </si>
  <si>
    <t>113705</t>
  </si>
  <si>
    <t>603809</t>
  </si>
  <si>
    <t>豪能股份</t>
  </si>
  <si>
    <t>中汽转债</t>
  </si>
  <si>
    <t>123272</t>
  </si>
  <si>
    <t>301215</t>
  </si>
  <si>
    <t>爱科转债</t>
  </si>
  <si>
    <t>118069</t>
  </si>
  <si>
    <t>688092</t>
  </si>
  <si>
    <t>爱科科技</t>
  </si>
  <si>
    <t>春风转债</t>
  </si>
  <si>
    <t>113704</t>
  </si>
  <si>
    <t>603129</t>
  </si>
  <si>
    <t>春风动力</t>
  </si>
  <si>
    <t>翔26转债</t>
  </si>
  <si>
    <t>113703</t>
  </si>
  <si>
    <t>603112</t>
  </si>
  <si>
    <t>华翔股份</t>
  </si>
  <si>
    <t>迪威转债</t>
  </si>
  <si>
    <t>118068</t>
  </si>
  <si>
    <t>688377</t>
  </si>
  <si>
    <t>迪威尔</t>
  </si>
  <si>
    <t>通合转债</t>
  </si>
  <si>
    <t>123271</t>
  </si>
  <si>
    <t>300491</t>
  </si>
  <si>
    <t>通合科技</t>
  </si>
  <si>
    <t>盛德转债</t>
  </si>
  <si>
    <t>123270</t>
  </si>
  <si>
    <t>300881</t>
  </si>
  <si>
    <t>盛德鑫泰</t>
  </si>
  <si>
    <t>金杨转债</t>
  </si>
  <si>
    <t>123269</t>
  </si>
  <si>
    <t>301210</t>
  </si>
  <si>
    <t>金杨精密</t>
  </si>
  <si>
    <t>本川转债</t>
  </si>
  <si>
    <t>123268</t>
  </si>
  <si>
    <t>300964</t>
  </si>
  <si>
    <t>本川智能</t>
  </si>
  <si>
    <t>珂玛转债</t>
  </si>
  <si>
    <t>123267</t>
  </si>
  <si>
    <t>301611</t>
  </si>
  <si>
    <t>珂玛科技</t>
  </si>
  <si>
    <t>113702</t>
  </si>
  <si>
    <t>603290</t>
  </si>
  <si>
    <t>斯达半导</t>
  </si>
  <si>
    <t>博士转债</t>
  </si>
  <si>
    <t>123266</t>
  </si>
  <si>
    <t>300622</t>
  </si>
  <si>
    <t>博士眼镜</t>
  </si>
  <si>
    <t>上26转债</t>
  </si>
  <si>
    <t>118067</t>
  </si>
  <si>
    <t>688533</t>
  </si>
  <si>
    <t>上声电子</t>
  </si>
  <si>
    <t>长高转债</t>
  </si>
  <si>
    <t>127113</t>
  </si>
  <si>
    <t>002452</t>
  </si>
  <si>
    <t>长高电气</t>
  </si>
  <si>
    <t>祥和转债</t>
  </si>
  <si>
    <t>113701</t>
  </si>
  <si>
    <t>603500</t>
  </si>
  <si>
    <t>祥和实业</t>
  </si>
  <si>
    <t>统联转债</t>
  </si>
  <si>
    <t>118066</t>
  </si>
  <si>
    <t>688210</t>
  </si>
  <si>
    <t>统联精密</t>
  </si>
  <si>
    <t>海天转债</t>
  </si>
  <si>
    <t>113700</t>
  </si>
  <si>
    <t>603759</t>
  </si>
  <si>
    <t>海天股份</t>
  </si>
  <si>
    <t>艾为转债</t>
  </si>
  <si>
    <t>118065</t>
  </si>
  <si>
    <t>688798</t>
  </si>
  <si>
    <t>艾为电子</t>
  </si>
  <si>
    <t>龙建转债</t>
  </si>
  <si>
    <t>110100</t>
  </si>
  <si>
    <t>600853</t>
  </si>
  <si>
    <t>龙建股份</t>
  </si>
  <si>
    <t>尚太转债</t>
  </si>
  <si>
    <t>127112</t>
  </si>
  <si>
    <t>001301</t>
  </si>
  <si>
    <t>尚太科技</t>
  </si>
  <si>
    <t>耐普转02</t>
  </si>
  <si>
    <t>123265</t>
  </si>
  <si>
    <t>300818</t>
  </si>
  <si>
    <t>耐普矿机</t>
  </si>
  <si>
    <t>联瑞转债</t>
  </si>
  <si>
    <t>118064</t>
  </si>
  <si>
    <t>688300</t>
  </si>
  <si>
    <t>联瑞新材</t>
  </si>
  <si>
    <t>暂不强赎</t>
  </si>
  <si>
    <t>双乐转债</t>
  </si>
  <si>
    <t>123264</t>
  </si>
  <si>
    <t>301036</t>
  </si>
  <si>
    <t>金05转债</t>
  </si>
  <si>
    <t>118063</t>
  </si>
  <si>
    <t>688676</t>
  </si>
  <si>
    <t>金盘科技</t>
  </si>
  <si>
    <t>鼎捷转债</t>
  </si>
  <si>
    <t>123263</t>
  </si>
  <si>
    <t>300378</t>
  </si>
  <si>
    <t>鼎捷数智</t>
  </si>
  <si>
    <t>天准转债</t>
  </si>
  <si>
    <t>118062</t>
  </si>
  <si>
    <t>688003</t>
  </si>
  <si>
    <t>神宇转债</t>
  </si>
  <si>
    <t>123262</t>
  </si>
  <si>
    <t>300563</t>
  </si>
  <si>
    <t>澳弘转债</t>
  </si>
  <si>
    <t>111024</t>
  </si>
  <si>
    <t>605058</t>
  </si>
  <si>
    <t>澳弘电子</t>
  </si>
  <si>
    <t>计数中</t>
  </si>
  <si>
    <t>普联转债</t>
  </si>
  <si>
    <t>123261</t>
  </si>
  <si>
    <t>300996</t>
  </si>
  <si>
    <t>茂莱转债</t>
  </si>
  <si>
    <t>118061</t>
  </si>
  <si>
    <t>688502</t>
  </si>
  <si>
    <t>茂莱光学</t>
  </si>
  <si>
    <t>瑞可转债</t>
  </si>
  <si>
    <t>118060</t>
  </si>
  <si>
    <t>688800</t>
  </si>
  <si>
    <t>瑞可达</t>
  </si>
  <si>
    <t>卓镁转债</t>
  </si>
  <si>
    <t>123260</t>
  </si>
  <si>
    <t>301398</t>
  </si>
  <si>
    <t>星源卓镁</t>
  </si>
  <si>
    <t>颀中转债</t>
  </si>
  <si>
    <t>118059</t>
  </si>
  <si>
    <t>688352</t>
  </si>
  <si>
    <t>颀中科技</t>
  </si>
  <si>
    <t>锦浪转02</t>
  </si>
  <si>
    <t>123259</t>
  </si>
  <si>
    <t>300763</t>
  </si>
  <si>
    <t>锦浪科技</t>
  </si>
  <si>
    <t>福能转债</t>
  </si>
  <si>
    <t>110099</t>
  </si>
  <si>
    <t>600483</t>
  </si>
  <si>
    <t>福能股份</t>
  </si>
  <si>
    <t>金25转债</t>
  </si>
  <si>
    <t>113699</t>
  </si>
  <si>
    <t>603979</t>
  </si>
  <si>
    <t>金诚信</t>
  </si>
  <si>
    <t>胜蓝转02</t>
  </si>
  <si>
    <t>123258</t>
  </si>
  <si>
    <t>300843</t>
  </si>
  <si>
    <t>胜蓝股份</t>
  </si>
  <si>
    <t>2026-09-29</t>
  </si>
  <si>
    <t>2026-10-09</t>
  </si>
  <si>
    <t>金威转债</t>
  </si>
  <si>
    <t>127111</t>
  </si>
  <si>
    <t>002626</t>
  </si>
  <si>
    <t>金达威</t>
  </si>
  <si>
    <t>凯众转债</t>
  </si>
  <si>
    <t>113698</t>
  </si>
  <si>
    <t>603037</t>
  </si>
  <si>
    <t>凯众股份</t>
  </si>
  <si>
    <t>微导转债</t>
  </si>
  <si>
    <t>118058</t>
  </si>
  <si>
    <t>688147</t>
  </si>
  <si>
    <t>微导纳米</t>
  </si>
  <si>
    <t>127110</t>
  </si>
  <si>
    <t>003816</t>
  </si>
  <si>
    <t>中国广核</t>
  </si>
  <si>
    <t>伯25转债</t>
  </si>
  <si>
    <t>113696</t>
  </si>
  <si>
    <t>603596</t>
  </si>
  <si>
    <t>伯特利</t>
  </si>
  <si>
    <t>华辰转债</t>
  </si>
  <si>
    <t>113695</t>
  </si>
  <si>
    <t>603097</t>
  </si>
  <si>
    <t>江苏华辰</t>
  </si>
  <si>
    <t>锡振转债</t>
  </si>
  <si>
    <t>111022</t>
  </si>
  <si>
    <t>605319</t>
  </si>
  <si>
    <t>XD无锡振</t>
  </si>
  <si>
    <t>电化转债</t>
  </si>
  <si>
    <t>127109</t>
  </si>
  <si>
    <t>002125</t>
  </si>
  <si>
    <t>湘潭电化</t>
  </si>
  <si>
    <t>安克转债</t>
  </si>
  <si>
    <t>123257</t>
  </si>
  <si>
    <t>300866</t>
  </si>
  <si>
    <t>路维转债</t>
  </si>
  <si>
    <t>118056</t>
  </si>
  <si>
    <t>688401</t>
  </si>
  <si>
    <t>路维光电</t>
  </si>
  <si>
    <t>清源转债</t>
  </si>
  <si>
    <t>113694</t>
  </si>
  <si>
    <t>603628</t>
  </si>
  <si>
    <t>鼎龙转债</t>
  </si>
  <si>
    <t>123255</t>
  </si>
  <si>
    <t>300054</t>
  </si>
  <si>
    <t>鼎龙股份</t>
  </si>
  <si>
    <t>127108</t>
  </si>
  <si>
    <t>000591</t>
  </si>
  <si>
    <t>太阳能</t>
  </si>
  <si>
    <t>志邦转债</t>
  </si>
  <si>
    <t>113693</t>
  </si>
  <si>
    <t>603801</t>
  </si>
  <si>
    <t>123253</t>
  </si>
  <si>
    <t>300351</t>
  </si>
  <si>
    <t>浩瀚转债</t>
  </si>
  <si>
    <t>118052</t>
  </si>
  <si>
    <t>688292</t>
  </si>
  <si>
    <t>浩瀚深度</t>
  </si>
  <si>
    <t>渝水转债</t>
  </si>
  <si>
    <t>113070</t>
  </si>
  <si>
    <t>601158</t>
  </si>
  <si>
    <t>重庆水务</t>
  </si>
  <si>
    <t>银邦转债</t>
  </si>
  <si>
    <t>123252</t>
  </si>
  <si>
    <t>300337</t>
  </si>
  <si>
    <t>银邦股份</t>
  </si>
  <si>
    <t>南药转债</t>
  </si>
  <si>
    <t>110098</t>
  </si>
  <si>
    <t>600713</t>
  </si>
  <si>
    <t>南京医药</t>
  </si>
  <si>
    <t>皓元转债</t>
  </si>
  <si>
    <t>118051</t>
  </si>
  <si>
    <t>688131</t>
  </si>
  <si>
    <t>皓元医药</t>
  </si>
  <si>
    <t>嘉益转债</t>
  </si>
  <si>
    <t>123250</t>
  </si>
  <si>
    <t>301004</t>
  </si>
  <si>
    <t>嘉益股份</t>
  </si>
  <si>
    <t>保隆转债</t>
  </si>
  <si>
    <t>113692</t>
  </si>
  <si>
    <t>603197</t>
  </si>
  <si>
    <t>保隆科技</t>
  </si>
  <si>
    <t>和邦转债</t>
  </si>
  <si>
    <t>113691</t>
  </si>
  <si>
    <t>603077</t>
  </si>
  <si>
    <t>和邦生物</t>
  </si>
  <si>
    <t>天润转债</t>
  </si>
  <si>
    <t>110097</t>
  </si>
  <si>
    <t>600419</t>
  </si>
  <si>
    <t>天润乳业</t>
  </si>
  <si>
    <t>国检转债</t>
  </si>
  <si>
    <t>113688</t>
  </si>
  <si>
    <t>603060</t>
  </si>
  <si>
    <t>国检集团</t>
  </si>
  <si>
    <t>航宇转债</t>
  </si>
  <si>
    <t>118050</t>
  </si>
  <si>
    <t>688239</t>
  </si>
  <si>
    <t>航宇科技</t>
  </si>
  <si>
    <t>万凯转债</t>
  </si>
  <si>
    <t>123247</t>
  </si>
  <si>
    <t>301216</t>
  </si>
  <si>
    <t>万凯新材</t>
  </si>
  <si>
    <t>集智转债</t>
  </si>
  <si>
    <t>123245</t>
  </si>
  <si>
    <t>300553</t>
  </si>
  <si>
    <t>集智股份</t>
  </si>
  <si>
    <t>奥锐转债</t>
  </si>
  <si>
    <t>111021</t>
  </si>
  <si>
    <t>605116</t>
  </si>
  <si>
    <t>奥锐特</t>
  </si>
  <si>
    <t>合顺转债</t>
  </si>
  <si>
    <t>111020</t>
  </si>
  <si>
    <t>605166</t>
  </si>
  <si>
    <t>聚合顺</t>
  </si>
  <si>
    <t>严牌转债</t>
  </si>
  <si>
    <t>123243</t>
  </si>
  <si>
    <t>301081</t>
  </si>
  <si>
    <t>欧通转债</t>
  </si>
  <si>
    <t>123241</t>
  </si>
  <si>
    <t>300870</t>
  </si>
  <si>
    <t>欧陆通</t>
  </si>
  <si>
    <t>113686</t>
  </si>
  <si>
    <t>603289</t>
  </si>
  <si>
    <t>泰瑞机器</t>
  </si>
  <si>
    <t>益丰转债</t>
  </si>
  <si>
    <t>113682</t>
  </si>
  <si>
    <t>603939</t>
  </si>
  <si>
    <t>XD益丰药</t>
  </si>
  <si>
    <t>龙星转债</t>
  </si>
  <si>
    <t>127105</t>
  </si>
  <si>
    <t>002442</t>
  </si>
  <si>
    <t>龙星科技</t>
  </si>
  <si>
    <t>姚记转债</t>
  </si>
  <si>
    <t>127104</t>
  </si>
  <si>
    <t>002605</t>
  </si>
  <si>
    <t>姚记科技</t>
  </si>
  <si>
    <t>佳禾转债</t>
  </si>
  <si>
    <t>123237</t>
  </si>
  <si>
    <t>300793</t>
  </si>
  <si>
    <t>佳禾智能</t>
  </si>
  <si>
    <t>东南转债</t>
  </si>
  <si>
    <t>127103</t>
  </si>
  <si>
    <t>002135</t>
  </si>
  <si>
    <t>东南网架</t>
  </si>
  <si>
    <t>113681</t>
  </si>
  <si>
    <t>603213</t>
  </si>
  <si>
    <t>浙建转债</t>
  </si>
  <si>
    <t>127102</t>
  </si>
  <si>
    <t>002761</t>
  </si>
  <si>
    <t>浙江建投</t>
  </si>
  <si>
    <t>华康转债</t>
  </si>
  <si>
    <t>111018</t>
  </si>
  <si>
    <t>605077</t>
  </si>
  <si>
    <t>亿田转债</t>
  </si>
  <si>
    <t>123235</t>
  </si>
  <si>
    <t>300911</t>
  </si>
  <si>
    <t>盛航转债</t>
  </si>
  <si>
    <t>127099</t>
  </si>
  <si>
    <t>001205</t>
  </si>
  <si>
    <t>127098</t>
  </si>
  <si>
    <t>001269</t>
  </si>
  <si>
    <t>欧晶科技</t>
  </si>
  <si>
    <t>113680</t>
  </si>
  <si>
    <t>603937</t>
  </si>
  <si>
    <t>丽岛新材</t>
  </si>
  <si>
    <t>芯能转债</t>
  </si>
  <si>
    <t>113679</t>
  </si>
  <si>
    <t>603105</t>
  </si>
  <si>
    <t>芯能科技</t>
  </si>
  <si>
    <t>泰坦转债</t>
  </si>
  <si>
    <t>127096</t>
  </si>
  <si>
    <t>003036</t>
  </si>
  <si>
    <t>泰坦股份</t>
  </si>
  <si>
    <t>艾录转债</t>
  </si>
  <si>
    <t>123229</t>
  </si>
  <si>
    <t>301062</t>
  </si>
  <si>
    <t>中贝转债</t>
  </si>
  <si>
    <t>113678</t>
  </si>
  <si>
    <t>603220</t>
  </si>
  <si>
    <t>中贝通信</t>
  </si>
  <si>
    <t>广泰转债</t>
  </si>
  <si>
    <t>127095</t>
  </si>
  <si>
    <t>002111</t>
  </si>
  <si>
    <t>威海广泰</t>
  </si>
  <si>
    <t>章鼓转债</t>
  </si>
  <si>
    <t>127093</t>
  </si>
  <si>
    <t>002598</t>
  </si>
  <si>
    <t>ST章鼓</t>
  </si>
  <si>
    <t>翔丰转债</t>
  </si>
  <si>
    <t>123225</t>
  </si>
  <si>
    <t>300890</t>
  </si>
  <si>
    <t>翔丰华</t>
  </si>
  <si>
    <t>运机转债</t>
  </si>
  <si>
    <t>127092</t>
  </si>
  <si>
    <t>001288</t>
  </si>
  <si>
    <t>运机集团</t>
  </si>
  <si>
    <t>123224</t>
  </si>
  <si>
    <t>301266</t>
  </si>
  <si>
    <t>九典转02</t>
  </si>
  <si>
    <t>123223</t>
  </si>
  <si>
    <t>300705</t>
  </si>
  <si>
    <t>华懋转债</t>
  </si>
  <si>
    <t>113677</t>
  </si>
  <si>
    <t>603306</t>
  </si>
  <si>
    <t>赛特转债</t>
  </si>
  <si>
    <t>118044</t>
  </si>
  <si>
    <t>688398</t>
  </si>
  <si>
    <t>赛特新材</t>
  </si>
  <si>
    <t>123222</t>
  </si>
  <si>
    <t>300926</t>
  </si>
  <si>
    <t>博俊科技</t>
  </si>
  <si>
    <t>123220</t>
  </si>
  <si>
    <t>300942</t>
  </si>
  <si>
    <t>蓝天转债</t>
  </si>
  <si>
    <t>111017</t>
  </si>
  <si>
    <t>605368</t>
  </si>
  <si>
    <t>蓝天燃气</t>
  </si>
  <si>
    <t>奥维转债</t>
  </si>
  <si>
    <t>118042</t>
  </si>
  <si>
    <t>688516</t>
  </si>
  <si>
    <t>奥特维</t>
  </si>
  <si>
    <t>110095</t>
  </si>
  <si>
    <t>600481</t>
  </si>
  <si>
    <t>123216</t>
  </si>
  <si>
    <t>300737</t>
  </si>
  <si>
    <t>科顺股份</t>
  </si>
  <si>
    <t>123215</t>
  </si>
  <si>
    <t>301268</t>
  </si>
  <si>
    <t>123214</t>
  </si>
  <si>
    <t>300239</t>
  </si>
  <si>
    <t>天源转债</t>
  </si>
  <si>
    <t>123213</t>
  </si>
  <si>
    <t>301127</t>
  </si>
  <si>
    <t>武汉天源</t>
  </si>
  <si>
    <t>123211</t>
  </si>
  <si>
    <t>300121</t>
  </si>
  <si>
    <t>阳谷华泰</t>
  </si>
  <si>
    <t>燃23转债</t>
  </si>
  <si>
    <t>113067</t>
  </si>
  <si>
    <t>601139</t>
  </si>
  <si>
    <t>深圳燃气</t>
  </si>
  <si>
    <t>123209</t>
  </si>
  <si>
    <t>300644</t>
  </si>
  <si>
    <t>南京聚隆</t>
  </si>
  <si>
    <t>冠中转债</t>
  </si>
  <si>
    <t>123207</t>
  </si>
  <si>
    <t>300948</t>
  </si>
  <si>
    <t>华设转债</t>
  </si>
  <si>
    <t>113674</t>
  </si>
  <si>
    <t>603018</t>
  </si>
  <si>
    <t>华设集团</t>
  </si>
  <si>
    <t>煜邦转债</t>
  </si>
  <si>
    <t>118039</t>
  </si>
  <si>
    <t>688597</t>
  </si>
  <si>
    <t>煜邦电力</t>
  </si>
  <si>
    <t>127089</t>
  </si>
  <si>
    <t>002459</t>
  </si>
  <si>
    <t>岱美转债</t>
  </si>
  <si>
    <t>113673</t>
  </si>
  <si>
    <t>603730</t>
  </si>
  <si>
    <t>岱美股份</t>
  </si>
  <si>
    <t>武进转债</t>
  </si>
  <si>
    <t>113671</t>
  </si>
  <si>
    <t>603878</t>
  </si>
  <si>
    <t>118037</t>
  </si>
  <si>
    <t>111015</t>
  </si>
  <si>
    <t>605177</t>
  </si>
  <si>
    <t>东亚药业</t>
  </si>
  <si>
    <t>赫达转债</t>
  </si>
  <si>
    <t>127088</t>
  </si>
  <si>
    <t>002810</t>
  </si>
  <si>
    <t>山东赫达</t>
  </si>
  <si>
    <t>118036</t>
  </si>
  <si>
    <t>688589</t>
  </si>
  <si>
    <t>力合微</t>
  </si>
  <si>
    <t>李子转债</t>
  </si>
  <si>
    <t>111014</t>
  </si>
  <si>
    <t>605337</t>
  </si>
  <si>
    <t>李子园</t>
  </si>
  <si>
    <t>123199</t>
  </si>
  <si>
    <t>300452</t>
  </si>
  <si>
    <t>山河药辅</t>
  </si>
  <si>
    <t>国力转债</t>
  </si>
  <si>
    <t>118035</t>
  </si>
  <si>
    <t>688103</t>
  </si>
  <si>
    <t>国力电子</t>
  </si>
  <si>
    <t>118034</t>
  </si>
  <si>
    <t>688223</t>
  </si>
  <si>
    <t>123196</t>
  </si>
  <si>
    <t>300645</t>
  </si>
  <si>
    <t>蓝晓转02</t>
  </si>
  <si>
    <t>123195</t>
  </si>
  <si>
    <t>300487</t>
  </si>
  <si>
    <t>蓝晓科技</t>
  </si>
  <si>
    <t>金23转债</t>
  </si>
  <si>
    <t>113670</t>
  </si>
  <si>
    <t>603180</t>
  </si>
  <si>
    <t>金牌家居</t>
  </si>
  <si>
    <t>123194</t>
  </si>
  <si>
    <t>301015</t>
  </si>
  <si>
    <t>海能转债</t>
  </si>
  <si>
    <t>123193</t>
  </si>
  <si>
    <t>300787</t>
  </si>
  <si>
    <t>科思转债</t>
  </si>
  <si>
    <t>123192</t>
  </si>
  <si>
    <t>300856</t>
  </si>
  <si>
    <t>科思股份</t>
  </si>
  <si>
    <t>韵达转债</t>
  </si>
  <si>
    <t>127085</t>
  </si>
  <si>
    <t>002120</t>
  </si>
  <si>
    <t>123189</t>
  </si>
  <si>
    <t>300967</t>
  </si>
  <si>
    <t>超达转债</t>
  </si>
  <si>
    <t>123187</t>
  </si>
  <si>
    <t>301186</t>
  </si>
  <si>
    <t>超达装备</t>
  </si>
  <si>
    <t>柳工转2</t>
  </si>
  <si>
    <t>127084</t>
  </si>
  <si>
    <t>000528</t>
  </si>
  <si>
    <t>柳    工</t>
  </si>
  <si>
    <t>山路转债</t>
  </si>
  <si>
    <t>127083</t>
  </si>
  <si>
    <t>000498</t>
  </si>
  <si>
    <t>山东路桥</t>
  </si>
  <si>
    <t>123183</t>
  </si>
  <si>
    <t>300501</t>
  </si>
  <si>
    <t>海顺新材</t>
  </si>
  <si>
    <t>平煤转债</t>
  </si>
  <si>
    <t>113066</t>
  </si>
  <si>
    <t>601666</t>
  </si>
  <si>
    <t>平煤股份</t>
  </si>
  <si>
    <t>110093</t>
  </si>
  <si>
    <t>600810</t>
  </si>
  <si>
    <t>127082</t>
  </si>
  <si>
    <t>002540</t>
  </si>
  <si>
    <t>浙矿转债</t>
  </si>
  <si>
    <t>123180</t>
  </si>
  <si>
    <t>300837</t>
  </si>
  <si>
    <t>建龙转债</t>
  </si>
  <si>
    <t>118032</t>
  </si>
  <si>
    <t>688357</t>
  </si>
  <si>
    <t>建龙微纳</t>
  </si>
  <si>
    <t>123179</t>
  </si>
  <si>
    <t>300973</t>
  </si>
  <si>
    <t>123178</t>
  </si>
  <si>
    <t>300401</t>
  </si>
  <si>
    <t>精测转2</t>
  </si>
  <si>
    <t>123176</t>
  </si>
  <si>
    <t>300567</t>
  </si>
  <si>
    <t>精测电子</t>
  </si>
  <si>
    <t>爱玛转债</t>
  </si>
  <si>
    <t>113666</t>
  </si>
  <si>
    <t>603529</t>
  </si>
  <si>
    <t>123175</t>
  </si>
  <si>
    <t>300614</t>
  </si>
  <si>
    <t>百川畅银</t>
  </si>
  <si>
    <t>118031</t>
  </si>
  <si>
    <t>688599</t>
  </si>
  <si>
    <t>110092</t>
  </si>
  <si>
    <t>600370</t>
  </si>
  <si>
    <t>福新转债</t>
  </si>
  <si>
    <t>111012</t>
  </si>
  <si>
    <t>605488</t>
  </si>
  <si>
    <t>福莱新材</t>
  </si>
  <si>
    <t>声迅转债</t>
  </si>
  <si>
    <t>127080</t>
  </si>
  <si>
    <t>003004</t>
  </si>
  <si>
    <t>声迅股份</t>
  </si>
  <si>
    <t>恒锋转债</t>
  </si>
  <si>
    <t>123173</t>
  </si>
  <si>
    <t>300605</t>
  </si>
  <si>
    <t>恒锋信息</t>
  </si>
  <si>
    <t>睿创转债</t>
  </si>
  <si>
    <t>118030</t>
  </si>
  <si>
    <t>688002</t>
  </si>
  <si>
    <t>睿创微纳</t>
  </si>
  <si>
    <t>123172</t>
  </si>
  <si>
    <t>301017</t>
  </si>
  <si>
    <t>113665</t>
  </si>
  <si>
    <t>603176</t>
  </si>
  <si>
    <t>汇通集团</t>
  </si>
  <si>
    <t>优彩转债</t>
  </si>
  <si>
    <t>127078</t>
  </si>
  <si>
    <t>002998</t>
  </si>
  <si>
    <t>123171</t>
  </si>
  <si>
    <t>300966</t>
  </si>
  <si>
    <t>共同药业</t>
  </si>
  <si>
    <t>118027</t>
  </si>
  <si>
    <t>688066</t>
  </si>
  <si>
    <t>*ST航图</t>
  </si>
  <si>
    <t>惠云转债</t>
  </si>
  <si>
    <t>123168</t>
  </si>
  <si>
    <t>300891</t>
  </si>
  <si>
    <t>惠云钛业</t>
  </si>
  <si>
    <t>113661</t>
  </si>
  <si>
    <t>603806</t>
  </si>
  <si>
    <t>福斯特</t>
  </si>
  <si>
    <t>113660</t>
  </si>
  <si>
    <t>603896</t>
  </si>
  <si>
    <t>111009</t>
  </si>
  <si>
    <t>605138</t>
  </si>
  <si>
    <t>回天转债</t>
  </si>
  <si>
    <t>123165</t>
  </si>
  <si>
    <t>300041</t>
  </si>
  <si>
    <t>回天新材</t>
  </si>
  <si>
    <t>118024</t>
  </si>
  <si>
    <t>688772</t>
  </si>
  <si>
    <t>113659</t>
  </si>
  <si>
    <t>603355</t>
  </si>
  <si>
    <t>莱克电气</t>
  </si>
  <si>
    <t>锂科转债</t>
  </si>
  <si>
    <t>118022</t>
  </si>
  <si>
    <t>688779</t>
  </si>
  <si>
    <t>五矿新能</t>
  </si>
  <si>
    <t>123160</t>
  </si>
  <si>
    <t>300992</t>
  </si>
  <si>
    <t>宙邦转债</t>
  </si>
  <si>
    <t>123158</t>
  </si>
  <si>
    <t>300037</t>
  </si>
  <si>
    <t>新宙邦</t>
  </si>
  <si>
    <t>118020</t>
  </si>
  <si>
    <t>688148</t>
  </si>
  <si>
    <t>爱迪转债</t>
  </si>
  <si>
    <t>110090</t>
  </si>
  <si>
    <t>600933</t>
  </si>
  <si>
    <t>爱柯迪</t>
  </si>
  <si>
    <t>博实转债</t>
  </si>
  <si>
    <t>127072</t>
  </si>
  <si>
    <t>002698</t>
  </si>
  <si>
    <t>博实股份</t>
  </si>
  <si>
    <t>常银转债</t>
  </si>
  <si>
    <t>113062</t>
  </si>
  <si>
    <t>601128</t>
  </si>
  <si>
    <t>常熟银行</t>
  </si>
  <si>
    <t>113656</t>
  </si>
  <si>
    <t>603535</t>
  </si>
  <si>
    <t>嘉诚国际</t>
  </si>
  <si>
    <t>科蓝转债</t>
  </si>
  <si>
    <t>123157</t>
  </si>
  <si>
    <t>300663</t>
  </si>
  <si>
    <t>科蓝软件</t>
  </si>
  <si>
    <t>大中转债</t>
  </si>
  <si>
    <t>127070</t>
  </si>
  <si>
    <t>001203</t>
  </si>
  <si>
    <t>大中矿业</t>
  </si>
  <si>
    <t>127069</t>
  </si>
  <si>
    <t>002959</t>
  </si>
  <si>
    <t>小熊电器</t>
  </si>
  <si>
    <t>顺博转债</t>
  </si>
  <si>
    <t>127068</t>
  </si>
  <si>
    <t>002996</t>
  </si>
  <si>
    <t>顺博合金</t>
  </si>
  <si>
    <t>123155</t>
  </si>
  <si>
    <t>301040</t>
  </si>
  <si>
    <t>火星转债</t>
  </si>
  <si>
    <t>123154</t>
  </si>
  <si>
    <t>300894</t>
  </si>
  <si>
    <t>火星人</t>
  </si>
  <si>
    <t>京源转债</t>
  </si>
  <si>
    <t>118016</t>
  </si>
  <si>
    <t>688096</t>
  </si>
  <si>
    <t>京源环保</t>
  </si>
  <si>
    <t>113655</t>
  </si>
  <si>
    <t>603833</t>
  </si>
  <si>
    <t>113652</t>
  </si>
  <si>
    <t>603568</t>
  </si>
  <si>
    <t>伟明环保</t>
  </si>
  <si>
    <t>芯海转债</t>
  </si>
  <si>
    <t>118015</t>
  </si>
  <si>
    <t>688595</t>
  </si>
  <si>
    <t>芯海科技</t>
  </si>
  <si>
    <t>道通转债</t>
  </si>
  <si>
    <t>118013</t>
  </si>
  <si>
    <t>688208</t>
  </si>
  <si>
    <t>XD道通科</t>
  </si>
  <si>
    <t>微芯转债</t>
  </si>
  <si>
    <t>118012</t>
  </si>
  <si>
    <t>688321</t>
  </si>
  <si>
    <t>微芯生物</t>
  </si>
  <si>
    <t>123151</t>
  </si>
  <si>
    <t>300869</t>
  </si>
  <si>
    <t>博22转债</t>
  </si>
  <si>
    <t>113650</t>
  </si>
  <si>
    <t>603916</t>
  </si>
  <si>
    <t>苏博特</t>
  </si>
  <si>
    <t>123150</t>
  </si>
  <si>
    <t>300406</t>
  </si>
  <si>
    <t>洁特转债</t>
  </si>
  <si>
    <t>118010</t>
  </si>
  <si>
    <t>688026</t>
  </si>
  <si>
    <t>洁特生物</t>
  </si>
  <si>
    <t>丰山转债</t>
  </si>
  <si>
    <t>113649</t>
  </si>
  <si>
    <t>603810</t>
  </si>
  <si>
    <t>丰山集团</t>
  </si>
  <si>
    <t>110087</t>
  </si>
  <si>
    <t>600075</t>
  </si>
  <si>
    <t>新疆天业</t>
  </si>
  <si>
    <t>123149</t>
  </si>
  <si>
    <t>300185</t>
  </si>
  <si>
    <t>通裕重工</t>
  </si>
  <si>
    <t>福莱转债</t>
  </si>
  <si>
    <t>113059</t>
  </si>
  <si>
    <t>601865</t>
  </si>
  <si>
    <t>福莱特</t>
  </si>
  <si>
    <t>杭氧转债</t>
  </si>
  <si>
    <t>127064</t>
  </si>
  <si>
    <t>002430</t>
  </si>
  <si>
    <t>杭氧股份</t>
  </si>
  <si>
    <t>巨星转债</t>
  </si>
  <si>
    <t>113648</t>
  </si>
  <si>
    <t>603477</t>
  </si>
  <si>
    <t>禾丰转债</t>
  </si>
  <si>
    <t>113647</t>
  </si>
  <si>
    <t>603609</t>
  </si>
  <si>
    <t>禾丰股份</t>
  </si>
  <si>
    <t>精工转债</t>
  </si>
  <si>
    <t>110086</t>
  </si>
  <si>
    <t>600496</t>
  </si>
  <si>
    <t>精工钢构</t>
  </si>
  <si>
    <t>127062</t>
  </si>
  <si>
    <t>002398</t>
  </si>
  <si>
    <t>127061</t>
  </si>
  <si>
    <t>000723</t>
  </si>
  <si>
    <t>湘佳转债</t>
  </si>
  <si>
    <t>127060</t>
  </si>
  <si>
    <t>002982</t>
  </si>
  <si>
    <t>113646</t>
  </si>
  <si>
    <t>603058</t>
  </si>
  <si>
    <t>永吉股份</t>
  </si>
  <si>
    <t>123144</t>
  </si>
  <si>
    <t>300305</t>
  </si>
  <si>
    <t>裕兴股份</t>
  </si>
  <si>
    <t>127059</t>
  </si>
  <si>
    <t>002753</t>
  </si>
  <si>
    <t>永东股份</t>
  </si>
  <si>
    <t>113058</t>
  </si>
  <si>
    <t>601686</t>
  </si>
  <si>
    <t>友发集团</t>
  </si>
  <si>
    <t>111004</t>
  </si>
  <si>
    <t>605068</t>
  </si>
  <si>
    <t>明新旭腾</t>
  </si>
  <si>
    <t>风语转债</t>
  </si>
  <si>
    <t>113643</t>
  </si>
  <si>
    <t>603466</t>
  </si>
  <si>
    <t>风语筑</t>
  </si>
  <si>
    <t>重银转债</t>
  </si>
  <si>
    <t>113056</t>
  </si>
  <si>
    <t>601963</t>
  </si>
  <si>
    <t>重庆银行</t>
  </si>
  <si>
    <t>118007</t>
  </si>
  <si>
    <t>688030</t>
  </si>
  <si>
    <t>山石网科</t>
  </si>
  <si>
    <t>123142</t>
  </si>
  <si>
    <t>300853</t>
  </si>
  <si>
    <t>申昊科技</t>
  </si>
  <si>
    <t>聚合转债</t>
  </si>
  <si>
    <t>111003</t>
  </si>
  <si>
    <t>丝路转债</t>
  </si>
  <si>
    <t>123138</t>
  </si>
  <si>
    <t>300556</t>
  </si>
  <si>
    <t>丝路视觉</t>
  </si>
  <si>
    <t>中特转债</t>
  </si>
  <si>
    <t>127056</t>
  </si>
  <si>
    <t>000708</t>
  </si>
  <si>
    <t>中信特钢</t>
  </si>
  <si>
    <t>113054</t>
  </si>
  <si>
    <t>601330</t>
  </si>
  <si>
    <t>绿色动力</t>
  </si>
  <si>
    <t>通22转债</t>
  </si>
  <si>
    <t>110085</t>
  </si>
  <si>
    <t>600438</t>
  </si>
  <si>
    <t>通威股份</t>
  </si>
  <si>
    <t>精装转债</t>
  </si>
  <si>
    <t>127055</t>
  </si>
  <si>
    <t>002989</t>
  </si>
  <si>
    <t>中天精装</t>
  </si>
  <si>
    <t>113640</t>
  </si>
  <si>
    <t>603585</t>
  </si>
  <si>
    <t>苏利股份</t>
  </si>
  <si>
    <t>双箭转债</t>
  </si>
  <si>
    <t>127054</t>
  </si>
  <si>
    <t>002381</t>
  </si>
  <si>
    <t>双箭股份</t>
  </si>
  <si>
    <t>天奈转债</t>
  </si>
  <si>
    <t>118005</t>
  </si>
  <si>
    <t>688116</t>
  </si>
  <si>
    <t>天奈科技</t>
  </si>
  <si>
    <t>豪美转债</t>
  </si>
  <si>
    <t>127053</t>
  </si>
  <si>
    <t>002988</t>
  </si>
  <si>
    <t>豪美新材</t>
  </si>
  <si>
    <t>113053</t>
  </si>
  <si>
    <t>601012</t>
  </si>
  <si>
    <t>隆基绿能</t>
  </si>
  <si>
    <t>113638</t>
  </si>
  <si>
    <t>603055</t>
  </si>
  <si>
    <t>兴业转债</t>
  </si>
  <si>
    <t>113052</t>
  </si>
  <si>
    <t>601166</t>
  </si>
  <si>
    <t>110084</t>
  </si>
  <si>
    <t>600903</t>
  </si>
  <si>
    <t>佩蒂转债</t>
  </si>
  <si>
    <t>123133</t>
  </si>
  <si>
    <t>300673</t>
  </si>
  <si>
    <t>佩蒂股份</t>
  </si>
  <si>
    <t>甬金转债</t>
  </si>
  <si>
    <t>113636</t>
  </si>
  <si>
    <t>603995</t>
  </si>
  <si>
    <t>甬金股份</t>
  </si>
  <si>
    <t>珀莱转债</t>
  </si>
  <si>
    <t>113634</t>
  </si>
  <si>
    <t>603605</t>
  </si>
  <si>
    <t>珀莱雅</t>
  </si>
  <si>
    <t>特纸转债</t>
  </si>
  <si>
    <t>111002</t>
  </si>
  <si>
    <t>605007</t>
  </si>
  <si>
    <t>五洲特纸</t>
  </si>
  <si>
    <t>奥飞转债</t>
  </si>
  <si>
    <t>123131</t>
  </si>
  <si>
    <t>300738</t>
  </si>
  <si>
    <t>奥飞数据</t>
  </si>
  <si>
    <t>科沃转债</t>
  </si>
  <si>
    <t>113633</t>
  </si>
  <si>
    <t>603486</t>
  </si>
  <si>
    <t>科沃斯</t>
  </si>
  <si>
    <t>麒麟转债</t>
  </si>
  <si>
    <t>127050</t>
  </si>
  <si>
    <t>002984</t>
  </si>
  <si>
    <t>113631</t>
  </si>
  <si>
    <t>603689</t>
  </si>
  <si>
    <t>希望转2</t>
  </si>
  <si>
    <t>127049</t>
  </si>
  <si>
    <t>000876</t>
  </si>
  <si>
    <t>新 希 望</t>
  </si>
  <si>
    <t>127047</t>
  </si>
  <si>
    <t>002798</t>
  </si>
  <si>
    <t>127046</t>
  </si>
  <si>
    <t>002568</t>
  </si>
  <si>
    <t>127045</t>
  </si>
  <si>
    <t>002714</t>
  </si>
  <si>
    <t>127044</t>
  </si>
  <si>
    <t>002918</t>
  </si>
  <si>
    <t>蒙娜丽莎</t>
  </si>
  <si>
    <t>123124</t>
  </si>
  <si>
    <t>300655</t>
  </si>
  <si>
    <t>晶瑞电材</t>
  </si>
  <si>
    <t>123122</t>
  </si>
  <si>
    <t>300613</t>
  </si>
  <si>
    <t>110081</t>
  </si>
  <si>
    <t>600745</t>
  </si>
  <si>
    <t>*ST闻泰</t>
  </si>
  <si>
    <t>康泰转2</t>
  </si>
  <si>
    <t>123119</t>
  </si>
  <si>
    <t>300601</t>
  </si>
  <si>
    <t>康泰生物</t>
  </si>
  <si>
    <t>太平转债</t>
  </si>
  <si>
    <t>113627</t>
  </si>
  <si>
    <t>603877</t>
  </si>
  <si>
    <t>太平鸟</t>
  </si>
  <si>
    <t>127040</t>
  </si>
  <si>
    <t>002091</t>
  </si>
  <si>
    <t>江苏国泰</t>
  </si>
  <si>
    <t>惠城转债</t>
  </si>
  <si>
    <t>123118</t>
  </si>
  <si>
    <t>300779</t>
  </si>
  <si>
    <t>惠城环保</t>
  </si>
  <si>
    <t>123117</t>
  </si>
  <si>
    <t>300529</t>
  </si>
  <si>
    <t>健帆生物</t>
  </si>
  <si>
    <t>节能转债</t>
  </si>
  <si>
    <t>113051</t>
  </si>
  <si>
    <t>601016</t>
  </si>
  <si>
    <t>节能风电</t>
  </si>
  <si>
    <t>江山转债</t>
  </si>
  <si>
    <t>113625</t>
  </si>
  <si>
    <t>603208</t>
  </si>
  <si>
    <t>国微转债</t>
  </si>
  <si>
    <t>127038</t>
  </si>
  <si>
    <t>002049</t>
  </si>
  <si>
    <t>紫光国微</t>
  </si>
  <si>
    <t>长汽转债</t>
  </si>
  <si>
    <t>113049</t>
  </si>
  <si>
    <t>601633</t>
  </si>
  <si>
    <t>长城汽车</t>
  </si>
  <si>
    <t>银轮转债</t>
  </si>
  <si>
    <t>127037</t>
  </si>
  <si>
    <t>002126</t>
  </si>
  <si>
    <t>银轮股份</t>
  </si>
  <si>
    <t>123114</t>
  </si>
  <si>
    <t>300775</t>
  </si>
  <si>
    <t>起帆转债</t>
  </si>
  <si>
    <t>111000</t>
  </si>
  <si>
    <t>605222</t>
  </si>
  <si>
    <t>起帆电缆</t>
  </si>
  <si>
    <t>127034</t>
  </si>
  <si>
    <t>002887</t>
  </si>
  <si>
    <t>绿茵生态</t>
  </si>
  <si>
    <t>113048</t>
  </si>
  <si>
    <t>601778</t>
  </si>
  <si>
    <t>仙乐转债</t>
  </si>
  <si>
    <t>123113</t>
  </si>
  <si>
    <t>300791</t>
  </si>
  <si>
    <t>127033</t>
  </si>
  <si>
    <t>002822</t>
  </si>
  <si>
    <t>2025-09-03</t>
  </si>
  <si>
    <t>2025-09-18</t>
  </si>
  <si>
    <t>昌红转债</t>
  </si>
  <si>
    <t>123109</t>
  </si>
  <si>
    <t>300151</t>
  </si>
  <si>
    <t>昌红科技</t>
  </si>
  <si>
    <t>123107</t>
  </si>
  <si>
    <t>300498</t>
  </si>
  <si>
    <t>洋丰转债</t>
  </si>
  <si>
    <t>127031</t>
  </si>
  <si>
    <t>000902</t>
  </si>
  <si>
    <t>新洋丰</t>
  </si>
  <si>
    <t>盛虹转债</t>
  </si>
  <si>
    <t>127030</t>
  </si>
  <si>
    <t>000301</t>
  </si>
  <si>
    <t>113046</t>
  </si>
  <si>
    <t>601609</t>
  </si>
  <si>
    <t>金田股份</t>
  </si>
  <si>
    <t>公告强赎</t>
  </si>
  <si>
    <t>123104</t>
  </si>
  <si>
    <t>300253</t>
  </si>
  <si>
    <t>上银转债</t>
  </si>
  <si>
    <t>113042</t>
  </si>
  <si>
    <t>601229</t>
  </si>
  <si>
    <t>上海银行</t>
  </si>
  <si>
    <t>113616</t>
  </si>
  <si>
    <t>603501</t>
  </si>
  <si>
    <t>123092</t>
  </si>
  <si>
    <t>300332</t>
  </si>
  <si>
    <t>123091</t>
  </si>
  <si>
    <t>300196</t>
  </si>
  <si>
    <t>长海股份</t>
  </si>
  <si>
    <t>金诚转债</t>
  </si>
  <si>
    <t>113615</t>
  </si>
  <si>
    <t>存续期内不强赎</t>
  </si>
  <si>
    <t>三诺转债</t>
  </si>
  <si>
    <t>123090</t>
  </si>
  <si>
    <t>300298</t>
  </si>
  <si>
    <t>128142</t>
  </si>
  <si>
    <t>002946</t>
  </si>
  <si>
    <t>威唐转债</t>
  </si>
  <si>
    <t>123088</t>
  </si>
  <si>
    <t>300707</t>
  </si>
  <si>
    <t>能化转债</t>
  </si>
  <si>
    <t>127027</t>
  </si>
  <si>
    <t>000552</t>
  </si>
  <si>
    <t>甘肃能化</t>
  </si>
  <si>
    <t>财通转债</t>
  </si>
  <si>
    <t>113043</t>
  </si>
  <si>
    <t>601108</t>
  </si>
  <si>
    <t>财通证券</t>
  </si>
  <si>
    <t>海波转债</t>
  </si>
  <si>
    <t>123080</t>
  </si>
  <si>
    <t>300517</t>
  </si>
  <si>
    <t>灵康转债</t>
  </si>
  <si>
    <t>113610</t>
  </si>
  <si>
    <t>603669</t>
  </si>
  <si>
    <t>灵康药业</t>
  </si>
  <si>
    <t>洪城转债</t>
  </si>
  <si>
    <t>110077</t>
  </si>
  <si>
    <t>600461</t>
  </si>
  <si>
    <t>洪城环境</t>
  </si>
  <si>
    <t>强力转债</t>
  </si>
  <si>
    <t>123076</t>
  </si>
  <si>
    <t>300429</t>
  </si>
  <si>
    <t>侨银转债</t>
  </si>
  <si>
    <t>128138</t>
  </si>
  <si>
    <t>002973</t>
  </si>
  <si>
    <t>侨银股份</t>
  </si>
  <si>
    <t>冀东转债</t>
  </si>
  <si>
    <t>127025</t>
  </si>
  <si>
    <t>000401</t>
  </si>
  <si>
    <t>金隅冀东</t>
  </si>
  <si>
    <t>2026-10-30</t>
  </si>
  <si>
    <t>2026-11-04</t>
  </si>
  <si>
    <t>立讯转债</t>
  </si>
  <si>
    <t>128136</t>
  </si>
  <si>
    <t>002475</t>
  </si>
  <si>
    <t>立讯精密</t>
  </si>
  <si>
    <t>2026-10-28</t>
  </si>
  <si>
    <t>2026-11-02</t>
  </si>
  <si>
    <t>110076</t>
  </si>
  <si>
    <t>600521</t>
  </si>
  <si>
    <t>2026-10-27</t>
  </si>
  <si>
    <t>大参转债</t>
  </si>
  <si>
    <t>113605</t>
  </si>
  <si>
    <t>603233</t>
  </si>
  <si>
    <t>大参林</t>
  </si>
  <si>
    <t>2026-10-16</t>
  </si>
  <si>
    <t>2026-10-21</t>
  </si>
  <si>
    <t>乐歌转债</t>
  </si>
  <si>
    <t>123072</t>
  </si>
  <si>
    <t>300729</t>
  </si>
  <si>
    <t>乐歌股份</t>
  </si>
  <si>
    <t>2026-10-15</t>
  </si>
  <si>
    <t>2026-10-20</t>
  </si>
  <si>
    <t>天能转债</t>
  </si>
  <si>
    <t>123071</t>
  </si>
  <si>
    <t>300569</t>
  </si>
  <si>
    <t>天能重工</t>
  </si>
  <si>
    <t>洽洽转债</t>
  </si>
  <si>
    <t>128135</t>
  </si>
  <si>
    <t>002557</t>
  </si>
  <si>
    <t>洽洽食品</t>
  </si>
  <si>
    <t>2026-10-14</t>
  </si>
  <si>
    <t>2026-10-19</t>
  </si>
  <si>
    <t>110075</t>
  </si>
  <si>
    <t>600029</t>
  </si>
  <si>
    <t>鸿路转债</t>
  </si>
  <si>
    <t>128134</t>
  </si>
  <si>
    <t>002541</t>
  </si>
  <si>
    <t>鸿路钢构</t>
  </si>
  <si>
    <t>2026-09-28</t>
  </si>
  <si>
    <t>2026-10-08</t>
  </si>
  <si>
    <t>202610汇总</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</si>
</sst>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 #,##0.00_ ;_ * \-#,##0.00_ ;_ * &quot;-&quot;??_ ;_ @_ "/>
    <numFmt numFmtId="176" formatCode="yyyy/m/d\ h:mm:ss"/>
    <numFmt numFmtId="177" formatCode="hh:mm:ss"/>
    <numFmt numFmtId="178" formatCode="yyyy/m/d\ hh:mm:ss"/>
    <numFmt numFmtId="179" formatCode="000000"/>
    <numFmt numFmtId="180" formatCode="0.000"/>
    <numFmt numFmtId="181" formatCode="0.000000000"/>
    <numFmt numFmtId="182" formatCode="0.000%"/>
    <numFmt numFmtId="183" formatCode="0.0%"/>
    <numFmt numFmtId="184" formatCode="_ * #,##0.000000_ ;_ * \-#,##0.000000_ ;_ * &quot;-&quot;??_ ;_ @_ "/>
    <numFmt numFmtId="185" formatCode="0.00_);[Red]\(0.00\)"/>
    <numFmt numFmtId="186" formatCode="0.00_ "/>
    <numFmt numFmtId="187" formatCode="0_);[Red]\(0\)"/>
  </numFmts>
  <fonts count="42" x14ac:knownFonts="1">
    <font>
      <sz val="11"/>
      <color theme="1"/>
      <name val="等线"/>
      <family val="2"/>
      <charset val="134"/>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9"/>
      <name val="等线"/>
      <family val="2"/>
      <charset val="134"/>
      <scheme val="minor"/>
    </font>
    <font>
      <sz val="11"/>
      <color theme="1"/>
      <name val="等线"/>
      <family val="2"/>
      <charset val="134"/>
      <scheme val="minor"/>
    </font>
    <font>
      <sz val="14"/>
      <color theme="1"/>
      <name val="微软雅黑"/>
      <family val="2"/>
      <charset val="134"/>
    </font>
    <font>
      <sz val="14"/>
      <color theme="1"/>
      <name val="等线"/>
      <family val="2"/>
      <charset val="134"/>
      <scheme val="minor"/>
    </font>
    <font>
      <sz val="11"/>
      <color rgb="FFFF0000"/>
      <name val="等线"/>
      <family val="3"/>
      <charset val="134"/>
      <scheme val="minor"/>
    </font>
    <font>
      <sz val="11"/>
      <name val="等线"/>
      <family val="3"/>
      <charset val="134"/>
      <scheme val="minor"/>
    </font>
    <font>
      <sz val="10"/>
      <color rgb="FF000000"/>
      <name val="Times New Roman"/>
      <family val="1"/>
    </font>
    <font>
      <sz val="14"/>
      <name val="宋体"/>
      <family val="3"/>
      <charset val="134"/>
    </font>
    <font>
      <sz val="10"/>
      <color rgb="FF000000"/>
      <name val="宋体"/>
      <family val="2"/>
    </font>
    <font>
      <sz val="10"/>
      <name val="宋体"/>
      <family val="3"/>
      <charset val="134"/>
    </font>
    <font>
      <sz val="10"/>
      <color rgb="FF2C500D"/>
      <name val="宋体"/>
      <family val="2"/>
    </font>
    <font>
      <sz val="10"/>
      <color rgb="FF3A5638"/>
      <name val="宋体"/>
      <family val="2"/>
    </font>
    <font>
      <sz val="10"/>
      <color rgb="FF6D2427"/>
      <name val="宋体"/>
      <family val="2"/>
    </font>
    <font>
      <sz val="10"/>
      <color rgb="FFFFFFFF"/>
      <name val="宋体"/>
      <family val="2"/>
    </font>
    <font>
      <sz val="10"/>
      <color rgb="FF6D2427"/>
      <name val="宋体"/>
      <family val="3"/>
      <charset val="134"/>
    </font>
    <font>
      <sz val="10"/>
      <color rgb="FF000000"/>
      <name val="宋体"/>
      <family val="3"/>
      <charset val="134"/>
    </font>
    <font>
      <sz val="10"/>
      <color rgb="FF000000"/>
      <name val="宋体"/>
      <family val="1"/>
      <charset val="134"/>
    </font>
    <font>
      <sz val="10"/>
      <color rgb="FF000000"/>
      <name val="Times New Roman"/>
      <family val="3"/>
      <charset val="134"/>
    </font>
    <font>
      <sz val="11"/>
      <color rgb="FF444444"/>
      <name val="等线"/>
      <family val="2"/>
      <charset val="134"/>
    </font>
    <font>
      <sz val="8"/>
      <color rgb="FF101423"/>
      <name val="Arial"/>
      <family val="2"/>
    </font>
    <font>
      <sz val="11"/>
      <name val="等线"/>
      <family val="2"/>
      <charset val="134"/>
      <scheme val="minor"/>
    </font>
    <font>
      <sz val="11"/>
      <color rgb="FFFF0000"/>
      <name val="等线"/>
      <family val="2"/>
      <charset val="134"/>
      <scheme val="minor"/>
    </font>
    <font>
      <sz val="8"/>
      <color rgb="FF101423"/>
      <name val="Arial"/>
      <family val="2"/>
      <charset val="134"/>
    </font>
    <font>
      <b/>
      <sz val="11"/>
      <color theme="0"/>
      <name val="等线"/>
      <family val="2"/>
      <charset val="134"/>
      <scheme val="minor"/>
    </font>
    <font>
      <b/>
      <sz val="11"/>
      <color rgb="FFFF0000"/>
      <name val="等线"/>
      <family val="3"/>
      <charset val="134"/>
      <scheme val="minor"/>
    </font>
    <font>
      <b/>
      <sz val="11"/>
      <color theme="1"/>
      <name val="等线"/>
      <family val="3"/>
      <charset val="134"/>
      <scheme val="minor"/>
    </font>
  </fonts>
  <fills count="106">
    <fill>
      <patternFill patternType="none"/>
    </fill>
    <fill>
      <patternFill patternType="gray125"/>
    </fill>
    <fill>
      <patternFill patternType="solid">
        <fgColor rgb="FFFF0000"/>
        <bgColor indexed="64"/>
      </patternFill>
    </fill>
    <fill>
      <patternFill patternType="solid">
        <fgColor rgb="FF000000"/>
      </patternFill>
    </fill>
    <fill>
      <patternFill patternType="solid">
        <fgColor rgb="FF04B0F3"/>
      </patternFill>
    </fill>
    <fill>
      <patternFill patternType="solid">
        <fgColor rgb="FF04B0F1"/>
      </patternFill>
    </fill>
    <fill>
      <patternFill patternType="solid">
        <fgColor rgb="FF03B0F3"/>
      </patternFill>
    </fill>
    <fill>
      <patternFill patternType="solid">
        <fgColor rgb="FFFCFDFD"/>
      </patternFill>
    </fill>
    <fill>
      <patternFill patternType="solid">
        <fgColor rgb="FFFCFCFC"/>
      </patternFill>
    </fill>
    <fill>
      <patternFill patternType="solid">
        <fgColor rgb="FFFDFDFC"/>
      </patternFill>
    </fill>
    <fill>
      <patternFill patternType="solid">
        <fgColor rgb="FFFBFCFB"/>
      </patternFill>
    </fill>
    <fill>
      <patternFill patternType="solid">
        <fgColor rgb="FF93D152"/>
      </patternFill>
    </fill>
    <fill>
      <patternFill patternType="solid">
        <fgColor rgb="FF92D152"/>
      </patternFill>
    </fill>
    <fill>
      <patternFill patternType="solid">
        <fgColor rgb="FF94D154"/>
      </patternFill>
    </fill>
    <fill>
      <patternFill patternType="solid">
        <fgColor rgb="FFFCFCFB"/>
      </patternFill>
    </fill>
    <fill>
      <patternFill patternType="solid">
        <fgColor rgb="FFFCFDFC"/>
      </patternFill>
    </fill>
    <fill>
      <patternFill patternType="solid">
        <fgColor rgb="FFFDFDFD"/>
      </patternFill>
    </fill>
    <fill>
      <patternFill patternType="solid">
        <fgColor rgb="FFF8B7B8"/>
      </patternFill>
    </fill>
    <fill>
      <patternFill patternType="solid">
        <fgColor rgb="FFF79B9D"/>
      </patternFill>
    </fill>
    <fill>
      <patternFill patternType="solid">
        <fgColor rgb="FFF49A9B"/>
      </patternFill>
    </fill>
    <fill>
      <patternFill patternType="solid">
        <fgColor rgb="FFFA9A9C"/>
      </patternFill>
    </fill>
    <fill>
      <patternFill patternType="solid">
        <fgColor rgb="FFF99A9B"/>
      </patternFill>
    </fill>
    <fill>
      <patternFill patternType="solid">
        <fgColor rgb="FFFB9A9B"/>
      </patternFill>
    </fill>
    <fill>
      <patternFill patternType="solid">
        <fgColor rgb="FFFBFBFA"/>
      </patternFill>
    </fill>
    <fill>
      <patternFill patternType="solid">
        <fgColor rgb="FFFBFBFB"/>
      </patternFill>
    </fill>
    <fill>
      <patternFill patternType="solid">
        <fgColor rgb="FFFCFBFB"/>
      </patternFill>
    </fill>
    <fill>
      <patternFill patternType="solid">
        <fgColor rgb="FFF8999B"/>
      </patternFill>
    </fill>
    <fill>
      <patternFill patternType="solid">
        <fgColor rgb="FFF8B6B8"/>
      </patternFill>
    </fill>
    <fill>
      <patternFill patternType="solid">
        <fgColor rgb="FFF89A9C"/>
      </patternFill>
    </fill>
    <fill>
      <patternFill patternType="solid">
        <fgColor rgb="FFF49A9C"/>
      </patternFill>
    </fill>
    <fill>
      <patternFill patternType="solid">
        <fgColor rgb="FFF89A9B"/>
      </patternFill>
    </fill>
    <fill>
      <patternFill patternType="solid">
        <fgColor rgb="FFF59A9B"/>
      </patternFill>
    </fill>
    <fill>
      <patternFill patternType="solid">
        <fgColor rgb="FFFA9A9B"/>
      </patternFill>
    </fill>
    <fill>
      <patternFill patternType="solid">
        <fgColor rgb="FFFC999B"/>
      </patternFill>
    </fill>
    <fill>
      <patternFill patternType="solid">
        <fgColor rgb="FFFAFBFA"/>
      </patternFill>
    </fill>
    <fill>
      <patternFill patternType="solid">
        <fgColor rgb="FFFCFCFA"/>
      </patternFill>
    </fill>
    <fill>
      <patternFill patternType="solid">
        <fgColor rgb="FFFDFCFC"/>
      </patternFill>
    </fill>
    <fill>
      <patternFill patternType="solid">
        <fgColor rgb="FFFCFCFD"/>
      </patternFill>
    </fill>
    <fill>
      <patternFill patternType="solid">
        <fgColor rgb="FFF8B7B7"/>
      </patternFill>
    </fill>
    <fill>
      <patternFill patternType="solid">
        <fgColor rgb="FFF79A9E"/>
      </patternFill>
    </fill>
    <fill>
      <patternFill patternType="solid">
        <fgColor rgb="FFF6A6A7"/>
      </patternFill>
    </fill>
    <fill>
      <patternFill patternType="solid">
        <fgColor rgb="FFFB9A9C"/>
      </patternFill>
    </fill>
    <fill>
      <patternFill patternType="solid">
        <fgColor rgb="FFF69A9B"/>
      </patternFill>
    </fill>
    <fill>
      <patternFill patternType="solid">
        <fgColor rgb="FFF5999B"/>
      </patternFill>
    </fill>
    <fill>
      <patternFill patternType="solid">
        <fgColor rgb="FFF9979A"/>
      </patternFill>
    </fill>
    <fill>
      <patternFill patternType="solid">
        <fgColor rgb="FFF8999A"/>
      </patternFill>
    </fill>
    <fill>
      <patternFill patternType="solid">
        <fgColor rgb="FFFA979A"/>
      </patternFill>
    </fill>
    <fill>
      <patternFill patternType="solid">
        <fgColor rgb="FFFCFC0C"/>
      </patternFill>
    </fill>
    <fill>
      <patternFill patternType="solid">
        <fgColor rgb="FFF8F918"/>
      </patternFill>
    </fill>
    <fill>
      <patternFill patternType="solid">
        <fgColor rgb="FFF9FB16"/>
      </patternFill>
    </fill>
    <fill>
      <patternFill patternType="solid">
        <fgColor rgb="FFFAFA0F"/>
      </patternFill>
    </fill>
    <fill>
      <patternFill patternType="solid">
        <fgColor rgb="FFFBFB0D"/>
      </patternFill>
    </fill>
    <fill>
      <patternFill patternType="solid">
        <fgColor rgb="FFFCFC09"/>
      </patternFill>
    </fill>
    <fill>
      <patternFill patternType="solid">
        <fgColor rgb="FFFBFC0C"/>
      </patternFill>
    </fill>
    <fill>
      <patternFill patternType="solid">
        <fgColor rgb="FFFBFCFC"/>
      </patternFill>
    </fill>
    <fill>
      <patternFill patternType="solid">
        <fgColor rgb="FFF9999A"/>
      </patternFill>
    </fill>
    <fill>
      <patternFill patternType="solid">
        <fgColor rgb="FFF8B6B7"/>
      </patternFill>
    </fill>
    <fill>
      <patternFill patternType="solid">
        <fgColor rgb="FFF5999A"/>
      </patternFill>
    </fill>
    <fill>
      <patternFill patternType="solid">
        <fgColor rgb="FFF99999"/>
      </patternFill>
    </fill>
    <fill>
      <patternFill patternType="solid">
        <fgColor rgb="FFF99799"/>
      </patternFill>
    </fill>
    <fill>
      <patternFill patternType="solid">
        <fgColor rgb="FFF7A7A8"/>
      </patternFill>
    </fill>
    <fill>
      <patternFill patternType="solid">
        <fgColor rgb="FFFC9999"/>
      </patternFill>
    </fill>
    <fill>
      <patternFill patternType="solid">
        <fgColor rgb="FFF79B9C"/>
      </patternFill>
    </fill>
    <fill>
      <patternFill patternType="solid">
        <fgColor rgb="FFF59A9A"/>
      </patternFill>
    </fill>
    <fill>
      <patternFill patternType="solid">
        <fgColor rgb="FFF99A9A"/>
      </patternFill>
    </fill>
    <fill>
      <patternFill patternType="solid">
        <fgColor rgb="FFFA9B9B"/>
      </patternFill>
    </fill>
    <fill>
      <patternFill patternType="solid">
        <fgColor rgb="FFEDA4A7"/>
      </patternFill>
    </fill>
    <fill>
      <patternFill patternType="solid">
        <fgColor rgb="FFF5979A"/>
      </patternFill>
    </fill>
    <fill>
      <patternFill patternType="solid">
        <fgColor rgb="FFFB999A"/>
      </patternFill>
    </fill>
    <fill>
      <patternFill patternType="solid">
        <fgColor rgb="FFF8D1D2"/>
      </patternFill>
    </fill>
    <fill>
      <patternFill patternType="solid">
        <fgColor rgb="FFF6999A"/>
      </patternFill>
    </fill>
    <fill>
      <patternFill patternType="solid">
        <fgColor rgb="FFFC999A"/>
      </patternFill>
    </fill>
    <fill>
      <patternFill patternType="solid">
        <fgColor rgb="FFFAFBFB"/>
      </patternFill>
    </fill>
    <fill>
      <patternFill patternType="solid">
        <fgColor rgb="FFFBFBFC"/>
      </patternFill>
    </fill>
    <fill>
      <patternFill patternType="solid">
        <fgColor rgb="FFEBA4A8"/>
      </patternFill>
    </fill>
    <fill>
      <patternFill patternType="solid">
        <fgColor rgb="FFF6999B"/>
      </patternFill>
    </fill>
    <fill>
      <patternFill patternType="solid">
        <fgColor rgb="FFFD999A"/>
      </patternFill>
    </fill>
    <fill>
      <patternFill patternType="solid">
        <fgColor rgb="FFFA999A"/>
      </patternFill>
    </fill>
    <fill>
      <patternFill patternType="solid">
        <fgColor rgb="FFFAFCFB"/>
      </patternFill>
    </fill>
    <fill>
      <patternFill patternType="solid">
        <fgColor rgb="FFFAFAFB"/>
      </patternFill>
    </fill>
    <fill>
      <patternFill patternType="solid">
        <fgColor rgb="FFEBA4A7"/>
      </patternFill>
    </fill>
    <fill>
      <patternFill patternType="solid">
        <fgColor rgb="FFF59A9C"/>
      </patternFill>
    </fill>
    <fill>
      <patternFill patternType="solid">
        <fgColor rgb="FFF8B5B8"/>
      </patternFill>
    </fill>
    <fill>
      <patternFill patternType="solid">
        <fgColor rgb="FFF9B6B8"/>
      </patternFill>
    </fill>
    <fill>
      <patternFill patternType="solid">
        <fgColor rgb="FFF69B9D"/>
      </patternFill>
    </fill>
    <fill>
      <patternFill patternType="solid">
        <fgColor rgb="FFFA9A9A"/>
      </patternFill>
    </fill>
    <fill>
      <patternFill patternType="solid">
        <fgColor rgb="FFFB9A9A"/>
      </patternFill>
    </fill>
    <fill>
      <patternFill patternType="solid">
        <fgColor rgb="FFF59B9C"/>
      </patternFill>
    </fill>
    <fill>
      <patternFill patternType="solid">
        <fgColor rgb="FFF4999E"/>
      </patternFill>
    </fill>
    <fill>
      <patternFill patternType="solid">
        <fgColor rgb="FFF5999C"/>
      </patternFill>
    </fill>
    <fill>
      <patternFill patternType="solid">
        <fgColor rgb="FFFA999B"/>
      </patternFill>
    </fill>
    <fill>
      <patternFill patternType="solid">
        <fgColor rgb="FFF6979C"/>
      </patternFill>
    </fill>
    <fill>
      <patternFill patternType="solid">
        <fgColor rgb="FFF89999"/>
      </patternFill>
    </fill>
    <fill>
      <patternFill patternType="solid">
        <fgColor rgb="FFFA9999"/>
      </patternFill>
    </fill>
    <fill>
      <patternFill patternType="solid">
        <fgColor rgb="FFF79A9C"/>
      </patternFill>
    </fill>
    <fill>
      <patternFill patternType="solid">
        <fgColor rgb="FFF7B5B7"/>
      </patternFill>
    </fill>
    <fill>
      <patternFill patternType="solid">
        <fgColor rgb="FFEBA9A9"/>
      </patternFill>
    </fill>
    <fill>
      <patternFill patternType="solid">
        <fgColor rgb="FFFD999B"/>
      </patternFill>
    </fill>
    <fill>
      <patternFill patternType="solid">
        <fgColor rgb="FFFBFAFA"/>
      </patternFill>
    </fill>
    <fill>
      <patternFill patternType="solid">
        <fgColor rgb="FFF49A9D"/>
      </patternFill>
    </fill>
    <fill>
      <patternFill patternType="solid">
        <fgColor rgb="FFF5A6A8"/>
      </patternFill>
    </fill>
    <fill>
      <patternFill patternType="solid">
        <fgColor rgb="FFFB9B9A"/>
      </patternFill>
    </fill>
    <fill>
      <patternFill patternType="solid">
        <fgColor rgb="FFEE0000"/>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s>
  <borders count="26">
    <border>
      <left/>
      <right/>
      <top/>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DEE0E3"/>
      </left>
      <right style="medium">
        <color rgb="FFDEE0E3"/>
      </right>
      <top style="medium">
        <color rgb="FFDEE0E3"/>
      </top>
      <bottom style="medium">
        <color rgb="FFDEE0E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theme="4" tint="0.39997558519241921"/>
      </top>
      <bottom style="thin">
        <color indexed="64"/>
      </bottom>
      <diagonal/>
    </border>
  </borders>
  <cellStyleXfs count="5">
    <xf numFmtId="0" fontId="0" fillId="0" borderId="0">
      <alignment vertical="center"/>
    </xf>
    <xf numFmtId="43" fontId="17" fillId="0" borderId="0">
      <alignment vertical="center"/>
    </xf>
    <xf numFmtId="0" fontId="15" fillId="0" borderId="0"/>
    <xf numFmtId="0" fontId="22" fillId="0" borderId="0"/>
    <xf numFmtId="9" fontId="17" fillId="0" borderId="0">
      <alignment vertical="center"/>
    </xf>
  </cellStyleXfs>
  <cellXfs count="462">
    <xf numFmtId="0" fontId="0" fillId="0" borderId="0" xfId="0">
      <alignment vertical="center"/>
    </xf>
    <xf numFmtId="0" fontId="0" fillId="0" borderId="1" xfId="0" applyBorder="1">
      <alignment vertical="center"/>
    </xf>
    <xf numFmtId="43" fontId="18" fillId="0" borderId="0" xfId="1" applyFont="1">
      <alignment vertical="center"/>
    </xf>
    <xf numFmtId="0" fontId="19" fillId="0" borderId="0" xfId="0" applyFont="1">
      <alignment vertical="center"/>
    </xf>
    <xf numFmtId="0" fontId="15" fillId="0" borderId="0" xfId="2"/>
    <xf numFmtId="176" fontId="0" fillId="0" borderId="0" xfId="0" applyNumberFormat="1">
      <alignment vertical="center"/>
    </xf>
    <xf numFmtId="177" fontId="0" fillId="0" borderId="0" xfId="0" applyNumberFormat="1">
      <alignment vertical="center"/>
    </xf>
    <xf numFmtId="178" fontId="0" fillId="0" borderId="0" xfId="0" applyNumberFormat="1">
      <alignment vertical="center"/>
    </xf>
    <xf numFmtId="0" fontId="0" fillId="0" borderId="0" xfId="0" applyAlignment="1">
      <alignment vertical="center" wrapText="1"/>
    </xf>
    <xf numFmtId="10" fontId="0" fillId="0" borderId="0" xfId="0" applyNumberFormat="1">
      <alignment vertical="center"/>
    </xf>
    <xf numFmtId="9" fontId="0" fillId="0" borderId="0" xfId="0" applyNumberFormat="1">
      <alignment vertical="center"/>
    </xf>
    <xf numFmtId="0" fontId="20" fillId="0" borderId="0" xfId="0" applyFont="1" applyAlignment="1">
      <alignment vertical="center" wrapText="1"/>
    </xf>
    <xf numFmtId="0" fontId="21" fillId="0" borderId="0" xfId="0" applyFont="1" applyAlignment="1">
      <alignment vertical="center" wrapText="1"/>
    </xf>
    <xf numFmtId="0" fontId="0" fillId="2" borderId="0" xfId="0" applyFill="1">
      <alignment vertical="center"/>
    </xf>
    <xf numFmtId="0" fontId="14" fillId="0" borderId="0" xfId="2" applyFont="1"/>
    <xf numFmtId="0" fontId="21" fillId="0" borderId="0" xfId="0" applyFont="1">
      <alignment vertical="center"/>
    </xf>
    <xf numFmtId="0" fontId="0" fillId="0" borderId="0" xfId="0" applyAlignment="1">
      <alignment horizontal="right" vertical="center" wrapText="1"/>
    </xf>
    <xf numFmtId="0" fontId="22" fillId="0" borderId="0" xfId="3" applyAlignment="1">
      <alignment horizontal="left" vertical="center" wrapText="1"/>
    </xf>
    <xf numFmtId="0" fontId="22" fillId="0" borderId="0" xfId="3" applyAlignment="1">
      <alignment horizontal="left" vertical="top" wrapText="1"/>
    </xf>
    <xf numFmtId="0" fontId="23" fillId="4" borderId="2" xfId="3" applyFont="1" applyFill="1" applyBorder="1" applyAlignment="1">
      <alignment horizontal="center" vertical="top" wrapText="1"/>
    </xf>
    <xf numFmtId="0" fontId="23" fillId="5" borderId="2" xfId="3" applyFont="1" applyFill="1" applyBorder="1" applyAlignment="1">
      <alignment horizontal="left" vertical="top" wrapText="1"/>
    </xf>
    <xf numFmtId="0" fontId="23" fillId="6" borderId="2" xfId="3" applyFont="1" applyFill="1" applyBorder="1" applyAlignment="1">
      <alignment horizontal="center" vertical="top" wrapText="1"/>
    </xf>
    <xf numFmtId="1" fontId="24" fillId="8" borderId="6" xfId="3" applyNumberFormat="1" applyFont="1" applyFill="1" applyBorder="1" applyAlignment="1">
      <alignment horizontal="center" vertical="center" shrinkToFit="1"/>
    </xf>
    <xf numFmtId="0" fontId="25" fillId="0" borderId="6" xfId="3" applyFont="1" applyBorder="1" applyAlignment="1">
      <alignment horizontal="center" vertical="center" wrapText="1"/>
    </xf>
    <xf numFmtId="0" fontId="25" fillId="9" borderId="6" xfId="3" applyFont="1" applyFill="1" applyBorder="1" applyAlignment="1">
      <alignment horizontal="left" vertical="center" wrapText="1" indent="1"/>
    </xf>
    <xf numFmtId="0" fontId="25" fillId="0" borderId="7" xfId="3" applyFont="1" applyBorder="1" applyAlignment="1">
      <alignment horizontal="center" vertical="center" wrapText="1"/>
    </xf>
    <xf numFmtId="0" fontId="25" fillId="9" borderId="7" xfId="3" applyFont="1" applyFill="1" applyBorder="1" applyAlignment="1">
      <alignment horizontal="left" vertical="center" wrapText="1" indent="1"/>
    </xf>
    <xf numFmtId="0" fontId="25" fillId="0" borderId="7" xfId="3" applyFont="1" applyBorder="1" applyAlignment="1">
      <alignment horizontal="left" vertical="center" wrapText="1"/>
    </xf>
    <xf numFmtId="1" fontId="26" fillId="12" borderId="7" xfId="3" applyNumberFormat="1" applyFont="1" applyFill="1" applyBorder="1" applyAlignment="1">
      <alignment horizontal="center" vertical="center" shrinkToFit="1"/>
    </xf>
    <xf numFmtId="0" fontId="25" fillId="12" borderId="7" xfId="3" applyFont="1" applyFill="1" applyBorder="1" applyAlignment="1">
      <alignment horizontal="center" vertical="center" wrapText="1"/>
    </xf>
    <xf numFmtId="0" fontId="25" fillId="11" borderId="7" xfId="3" applyFont="1" applyFill="1" applyBorder="1" applyAlignment="1">
      <alignment horizontal="left" vertical="center" wrapText="1"/>
    </xf>
    <xf numFmtId="0" fontId="25" fillId="11" borderId="7" xfId="3" applyFont="1" applyFill="1" applyBorder="1" applyAlignment="1">
      <alignment horizontal="left" vertical="top" wrapText="1"/>
    </xf>
    <xf numFmtId="0" fontId="25" fillId="11" borderId="7" xfId="3" applyFont="1" applyFill="1" applyBorder="1" applyAlignment="1">
      <alignment horizontal="left" vertical="center" wrapText="1" indent="1"/>
    </xf>
    <xf numFmtId="0" fontId="25" fillId="12" borderId="7" xfId="3" applyFont="1" applyFill="1" applyBorder="1" applyAlignment="1">
      <alignment horizontal="left" vertical="center" wrapText="1"/>
    </xf>
    <xf numFmtId="0" fontId="25" fillId="9" borderId="2" xfId="3" applyFont="1" applyFill="1" applyBorder="1" applyAlignment="1">
      <alignment horizontal="left" vertical="center" wrapText="1"/>
    </xf>
    <xf numFmtId="1" fontId="24" fillId="9" borderId="9" xfId="3" applyNumberFormat="1" applyFont="1" applyFill="1" applyBorder="1" applyAlignment="1">
      <alignment horizontal="left" vertical="top" indent="1" shrinkToFit="1"/>
    </xf>
    <xf numFmtId="179" fontId="24" fillId="14" borderId="7" xfId="3" applyNumberFormat="1" applyFont="1" applyFill="1" applyBorder="1" applyAlignment="1">
      <alignment horizontal="center" vertical="top" shrinkToFit="1"/>
    </xf>
    <xf numFmtId="0" fontId="25" fillId="8" borderId="7" xfId="3" applyFont="1" applyFill="1" applyBorder="1" applyAlignment="1">
      <alignment horizontal="center" vertical="top" wrapText="1"/>
    </xf>
    <xf numFmtId="0" fontId="25" fillId="8" borderId="7" xfId="3" applyFont="1" applyFill="1" applyBorder="1" applyAlignment="1">
      <alignment horizontal="left" vertical="top" wrapText="1"/>
    </xf>
    <xf numFmtId="0" fontId="22" fillId="8" borderId="7" xfId="3" applyFill="1" applyBorder="1" applyAlignment="1">
      <alignment horizontal="center" vertical="top" wrapText="1"/>
    </xf>
    <xf numFmtId="0" fontId="25" fillId="9" borderId="7" xfId="3" applyFont="1" applyFill="1" applyBorder="1" applyAlignment="1">
      <alignment horizontal="left" vertical="top" wrapText="1"/>
    </xf>
    <xf numFmtId="1" fontId="24" fillId="0" borderId="7" xfId="3" applyNumberFormat="1" applyFont="1" applyBorder="1" applyAlignment="1">
      <alignment horizontal="center" vertical="top" shrinkToFit="1"/>
    </xf>
    <xf numFmtId="0" fontId="25" fillId="0" borderId="7" xfId="3" applyFont="1" applyBorder="1" applyAlignment="1">
      <alignment horizontal="center" vertical="top" wrapText="1"/>
    </xf>
    <xf numFmtId="0" fontId="25" fillId="0" borderId="7" xfId="3" applyFont="1" applyBorder="1" applyAlignment="1">
      <alignment horizontal="left" vertical="top" wrapText="1" indent="1"/>
    </xf>
    <xf numFmtId="0" fontId="25" fillId="8" borderId="7" xfId="3" applyFont="1" applyFill="1" applyBorder="1" applyAlignment="1">
      <alignment horizontal="left" vertical="top" wrapText="1" indent="1"/>
    </xf>
    <xf numFmtId="0" fontId="22" fillId="8" borderId="7" xfId="3" applyFill="1" applyBorder="1" applyAlignment="1">
      <alignment horizontal="left" vertical="top" wrapText="1"/>
    </xf>
    <xf numFmtId="0" fontId="25" fillId="16" borderId="2" xfId="3" applyFont="1" applyFill="1" applyBorder="1" applyAlignment="1">
      <alignment horizontal="left" vertical="top" wrapText="1"/>
    </xf>
    <xf numFmtId="1" fontId="24" fillId="16" borderId="9" xfId="3" applyNumberFormat="1" applyFont="1" applyFill="1" applyBorder="1" applyAlignment="1">
      <alignment horizontal="left" vertical="top" indent="1" shrinkToFit="1"/>
    </xf>
    <xf numFmtId="179" fontId="24" fillId="8" borderId="7" xfId="3" applyNumberFormat="1" applyFont="1" applyFill="1" applyBorder="1" applyAlignment="1">
      <alignment horizontal="center" vertical="top" shrinkToFit="1"/>
    </xf>
    <xf numFmtId="0" fontId="22" fillId="14" borderId="7" xfId="3" applyFill="1" applyBorder="1" applyAlignment="1">
      <alignment horizontal="center" vertical="top" wrapText="1"/>
    </xf>
    <xf numFmtId="1" fontId="24" fillId="16" borderId="9" xfId="3" applyNumberFormat="1" applyFont="1" applyFill="1" applyBorder="1" applyAlignment="1">
      <alignment horizontal="left" vertical="center" indent="1" shrinkToFit="1"/>
    </xf>
    <xf numFmtId="1" fontId="24" fillId="0" borderId="7" xfId="3" applyNumberFormat="1" applyFont="1" applyBorder="1" applyAlignment="1">
      <alignment horizontal="center" vertical="center" shrinkToFit="1"/>
    </xf>
    <xf numFmtId="0" fontId="25" fillId="0" borderId="7" xfId="3" applyFont="1" applyBorder="1" applyAlignment="1">
      <alignment horizontal="left" vertical="center" wrapText="1" indent="1"/>
    </xf>
    <xf numFmtId="0" fontId="25" fillId="15" borderId="7" xfId="3" applyFont="1" applyFill="1" applyBorder="1" applyAlignment="1">
      <alignment horizontal="left" vertical="top" wrapText="1" indent="1"/>
    </xf>
    <xf numFmtId="179" fontId="24" fillId="15" borderId="7" xfId="3" applyNumberFormat="1" applyFont="1" applyFill="1" applyBorder="1" applyAlignment="1">
      <alignment horizontal="center" vertical="top" shrinkToFit="1"/>
    </xf>
    <xf numFmtId="0" fontId="25" fillId="15" borderId="7" xfId="3" applyFont="1" applyFill="1" applyBorder="1" applyAlignment="1">
      <alignment horizontal="center" vertical="top" wrapText="1"/>
    </xf>
    <xf numFmtId="0" fontId="25" fillId="9" borderId="2" xfId="3" applyFont="1" applyFill="1" applyBorder="1" applyAlignment="1">
      <alignment horizontal="left" vertical="top" wrapText="1"/>
    </xf>
    <xf numFmtId="0" fontId="25" fillId="17" borderId="7" xfId="3" applyFont="1" applyFill="1" applyBorder="1" applyAlignment="1">
      <alignment horizontal="center" vertical="top" wrapText="1"/>
    </xf>
    <xf numFmtId="0" fontId="25" fillId="18" borderId="7" xfId="3" applyFont="1" applyFill="1" applyBorder="1" applyAlignment="1">
      <alignment horizontal="center" vertical="top" wrapText="1"/>
    </xf>
    <xf numFmtId="0" fontId="25" fillId="19" borderId="8" xfId="3" applyFont="1" applyFill="1" applyBorder="1" applyAlignment="1">
      <alignment horizontal="left" vertical="top" wrapText="1"/>
    </xf>
    <xf numFmtId="0" fontId="22" fillId="20" borderId="2" xfId="3" applyFill="1" applyBorder="1" applyAlignment="1">
      <alignment horizontal="left" wrapText="1"/>
    </xf>
    <xf numFmtId="0" fontId="25" fillId="21" borderId="7" xfId="3" applyFont="1" applyFill="1" applyBorder="1" applyAlignment="1">
      <alignment horizontal="left" vertical="top" wrapText="1" indent="3"/>
    </xf>
    <xf numFmtId="0" fontId="25" fillId="22" borderId="7" xfId="3" applyFont="1" applyFill="1" applyBorder="1" applyAlignment="1">
      <alignment horizontal="left" vertical="top" wrapText="1"/>
    </xf>
    <xf numFmtId="1" fontId="24" fillId="9" borderId="9" xfId="3" applyNumberFormat="1" applyFont="1" applyFill="1" applyBorder="1" applyAlignment="1">
      <alignment horizontal="left" vertical="center" indent="1" shrinkToFit="1"/>
    </xf>
    <xf numFmtId="179" fontId="24" fillId="8" borderId="7" xfId="3" applyNumberFormat="1" applyFont="1" applyFill="1" applyBorder="1" applyAlignment="1">
      <alignment horizontal="center" vertical="center" shrinkToFit="1"/>
    </xf>
    <xf numFmtId="0" fontId="25" fillId="9" borderId="7" xfId="3" applyFont="1" applyFill="1" applyBorder="1" applyAlignment="1">
      <alignment horizontal="center" vertical="center" wrapText="1"/>
    </xf>
    <xf numFmtId="0" fontId="25" fillId="8" borderId="7" xfId="3" applyFont="1" applyFill="1" applyBorder="1" applyAlignment="1">
      <alignment horizontal="left" vertical="center" wrapText="1"/>
    </xf>
    <xf numFmtId="0" fontId="25" fillId="0" borderId="7" xfId="3" applyFont="1" applyBorder="1" applyAlignment="1">
      <alignment horizontal="left" vertical="center" wrapText="1" indent="3"/>
    </xf>
    <xf numFmtId="0" fontId="25" fillId="0" borderId="7" xfId="3" applyFont="1" applyBorder="1" applyAlignment="1">
      <alignment horizontal="left" vertical="top" wrapText="1" indent="3"/>
    </xf>
    <xf numFmtId="0" fontId="25" fillId="0" borderId="7" xfId="3" applyFont="1" applyBorder="1" applyAlignment="1">
      <alignment horizontal="left" vertical="top" wrapText="1"/>
    </xf>
    <xf numFmtId="0" fontId="25" fillId="0" borderId="2" xfId="3" applyFont="1" applyBorder="1" applyAlignment="1">
      <alignment horizontal="left" vertical="top" wrapText="1"/>
    </xf>
    <xf numFmtId="1" fontId="24" fillId="0" borderId="9" xfId="3" applyNumberFormat="1" applyFont="1" applyBorder="1" applyAlignment="1">
      <alignment horizontal="left" vertical="center" shrinkToFit="1"/>
    </xf>
    <xf numFmtId="0" fontId="22" fillId="0" borderId="7" xfId="3" applyBorder="1" applyAlignment="1">
      <alignment horizontal="left" vertical="center" wrapText="1"/>
    </xf>
    <xf numFmtId="0" fontId="25" fillId="23" borderId="7" xfId="3" applyFont="1" applyFill="1" applyBorder="1" applyAlignment="1">
      <alignment horizontal="center" vertical="top" wrapText="1"/>
    </xf>
    <xf numFmtId="0" fontId="25" fillId="14" borderId="7" xfId="3" applyFont="1" applyFill="1" applyBorder="1" applyAlignment="1">
      <alignment horizontal="center" vertical="top" wrapText="1"/>
    </xf>
    <xf numFmtId="0" fontId="25" fillId="24" borderId="7" xfId="3" applyFont="1" applyFill="1" applyBorder="1" applyAlignment="1">
      <alignment horizontal="left" vertical="top" wrapText="1"/>
    </xf>
    <xf numFmtId="0" fontId="25" fillId="24" borderId="7" xfId="3" applyFont="1" applyFill="1" applyBorder="1" applyAlignment="1">
      <alignment horizontal="center" vertical="top" wrapText="1"/>
    </xf>
    <xf numFmtId="0" fontId="25" fillId="8" borderId="7" xfId="3" applyFont="1" applyFill="1" applyBorder="1" applyAlignment="1">
      <alignment horizontal="left" vertical="top" wrapText="1" indent="3"/>
    </xf>
    <xf numFmtId="0" fontId="25" fillId="14" borderId="7" xfId="3" applyFont="1" applyFill="1" applyBorder="1" applyAlignment="1">
      <alignment horizontal="left" vertical="top" wrapText="1"/>
    </xf>
    <xf numFmtId="1" fontId="24" fillId="16" borderId="9" xfId="3" applyNumberFormat="1" applyFont="1" applyFill="1" applyBorder="1" applyAlignment="1">
      <alignment horizontal="left" vertical="top" shrinkToFit="1"/>
    </xf>
    <xf numFmtId="1" fontId="24" fillId="9" borderId="7" xfId="3" applyNumberFormat="1" applyFont="1" applyFill="1" applyBorder="1" applyAlignment="1">
      <alignment horizontal="center" vertical="top" shrinkToFit="1"/>
    </xf>
    <xf numFmtId="0" fontId="25" fillId="9" borderId="7" xfId="3" applyFont="1" applyFill="1" applyBorder="1" applyAlignment="1">
      <alignment horizontal="center" vertical="top" wrapText="1"/>
    </xf>
    <xf numFmtId="0" fontId="22" fillId="8" borderId="7" xfId="3" applyFill="1" applyBorder="1" applyAlignment="1">
      <alignment horizontal="left" vertical="top" wrapText="1" indent="1"/>
    </xf>
    <xf numFmtId="179" fontId="24" fillId="0" borderId="7" xfId="3" applyNumberFormat="1" applyFont="1" applyBorder="1" applyAlignment="1">
      <alignment horizontal="center" vertical="top" shrinkToFit="1"/>
    </xf>
    <xf numFmtId="1" fontId="24" fillId="8" borderId="7" xfId="3" applyNumberFormat="1" applyFont="1" applyFill="1" applyBorder="1" applyAlignment="1">
      <alignment horizontal="center" vertical="top" shrinkToFit="1"/>
    </xf>
    <xf numFmtId="0" fontId="22" fillId="25" borderId="7" xfId="3" applyFill="1" applyBorder="1" applyAlignment="1">
      <alignment horizontal="left" vertical="top" wrapText="1"/>
    </xf>
    <xf numFmtId="0" fontId="22" fillId="14" borderId="7" xfId="3" applyFill="1" applyBorder="1" applyAlignment="1">
      <alignment horizontal="left" vertical="top" wrapText="1"/>
    </xf>
    <xf numFmtId="0" fontId="25" fillId="9" borderId="7" xfId="3" applyFont="1" applyFill="1" applyBorder="1" applyAlignment="1">
      <alignment horizontal="left" vertical="top" wrapText="1" indent="1"/>
    </xf>
    <xf numFmtId="0" fontId="22" fillId="0" borderId="7" xfId="3" applyBorder="1" applyAlignment="1">
      <alignment horizontal="center" vertical="top" wrapText="1"/>
    </xf>
    <xf numFmtId="179" fontId="28" fillId="27" borderId="7" xfId="3" applyNumberFormat="1" applyFont="1" applyFill="1" applyBorder="1" applyAlignment="1">
      <alignment horizontal="center" vertical="top" shrinkToFit="1"/>
    </xf>
    <xf numFmtId="0" fontId="25" fillId="28" borderId="7" xfId="3" applyFont="1" applyFill="1" applyBorder="1" applyAlignment="1">
      <alignment horizontal="center" vertical="top" wrapText="1"/>
    </xf>
    <xf numFmtId="0" fontId="25" fillId="29" borderId="7" xfId="3" applyFont="1" applyFill="1" applyBorder="1" applyAlignment="1">
      <alignment horizontal="left" vertical="top" wrapText="1"/>
    </xf>
    <xf numFmtId="0" fontId="25" fillId="30" borderId="7" xfId="3" applyFont="1" applyFill="1" applyBorder="1" applyAlignment="1">
      <alignment horizontal="center" vertical="top" wrapText="1"/>
    </xf>
    <xf numFmtId="0" fontId="25" fillId="32" borderId="7" xfId="3" applyFont="1" applyFill="1" applyBorder="1" applyAlignment="1">
      <alignment horizontal="left" vertical="top" wrapText="1" indent="3"/>
    </xf>
    <xf numFmtId="1" fontId="24" fillId="34" borderId="7" xfId="3" applyNumberFormat="1" applyFont="1" applyFill="1" applyBorder="1" applyAlignment="1">
      <alignment horizontal="center" vertical="top" shrinkToFit="1"/>
    </xf>
    <xf numFmtId="0" fontId="25" fillId="34" borderId="7" xfId="3" applyFont="1" applyFill="1" applyBorder="1" applyAlignment="1">
      <alignment horizontal="left" vertical="top" wrapText="1"/>
    </xf>
    <xf numFmtId="0" fontId="25" fillId="14" borderId="7" xfId="3" applyFont="1" applyFill="1" applyBorder="1" applyAlignment="1">
      <alignment horizontal="left" vertical="top" wrapText="1" indent="3"/>
    </xf>
    <xf numFmtId="0" fontId="25" fillId="35" borderId="7" xfId="3" applyFont="1" applyFill="1" applyBorder="1" applyAlignment="1">
      <alignment horizontal="left" vertical="top" wrapText="1"/>
    </xf>
    <xf numFmtId="1" fontId="24" fillId="24" borderId="7" xfId="3" applyNumberFormat="1" applyFont="1" applyFill="1" applyBorder="1" applyAlignment="1">
      <alignment horizontal="center" vertical="top" shrinkToFit="1"/>
    </xf>
    <xf numFmtId="0" fontId="25" fillId="9" borderId="7" xfId="3" applyFont="1" applyFill="1" applyBorder="1" applyAlignment="1">
      <alignment horizontal="left" vertical="top" wrapText="1" indent="3"/>
    </xf>
    <xf numFmtId="0" fontId="25" fillId="36" borderId="7" xfId="3" applyFont="1" applyFill="1" applyBorder="1" applyAlignment="1">
      <alignment horizontal="left" vertical="top" wrapText="1"/>
    </xf>
    <xf numFmtId="0" fontId="25" fillId="23" borderId="7" xfId="3" applyFont="1" applyFill="1" applyBorder="1" applyAlignment="1">
      <alignment horizontal="left" vertical="top" wrapText="1"/>
    </xf>
    <xf numFmtId="1" fontId="24" fillId="7" borderId="7" xfId="3" applyNumberFormat="1" applyFont="1" applyFill="1" applyBorder="1" applyAlignment="1">
      <alignment horizontal="center" vertical="top" shrinkToFit="1"/>
    </xf>
    <xf numFmtId="0" fontId="25" fillId="7" borderId="7" xfId="3" applyFont="1" applyFill="1" applyBorder="1" applyAlignment="1">
      <alignment horizontal="center" vertical="top" wrapText="1"/>
    </xf>
    <xf numFmtId="0" fontId="25" fillId="37" borderId="7" xfId="3" applyFont="1" applyFill="1" applyBorder="1" applyAlignment="1">
      <alignment horizontal="left" vertical="top" wrapText="1" indent="1"/>
    </xf>
    <xf numFmtId="0" fontId="22" fillId="7" borderId="7" xfId="3" applyFill="1" applyBorder="1" applyAlignment="1">
      <alignment horizontal="left" vertical="top" wrapText="1"/>
    </xf>
    <xf numFmtId="1" fontId="28" fillId="38" borderId="7" xfId="3" applyNumberFormat="1" applyFont="1" applyFill="1" applyBorder="1" applyAlignment="1">
      <alignment horizontal="center" vertical="top" shrinkToFit="1"/>
    </xf>
    <xf numFmtId="0" fontId="25" fillId="40" borderId="7" xfId="3" applyFont="1" applyFill="1" applyBorder="1" applyAlignment="1">
      <alignment horizontal="left" vertical="top" wrapText="1"/>
    </xf>
    <xf numFmtId="0" fontId="25" fillId="32" borderId="7" xfId="3" applyFont="1" applyFill="1" applyBorder="1" applyAlignment="1">
      <alignment horizontal="center" vertical="top" wrapText="1"/>
    </xf>
    <xf numFmtId="0" fontId="25" fillId="41" borderId="7" xfId="3" applyFont="1" applyFill="1" applyBorder="1" applyAlignment="1">
      <alignment horizontal="left" vertical="top" wrapText="1"/>
    </xf>
    <xf numFmtId="1" fontId="24" fillId="23" borderId="7" xfId="3" applyNumberFormat="1" applyFont="1" applyFill="1" applyBorder="1" applyAlignment="1">
      <alignment horizontal="center" vertical="top" shrinkToFit="1"/>
    </xf>
    <xf numFmtId="0" fontId="25" fillId="10" borderId="7" xfId="3" applyFont="1" applyFill="1" applyBorder="1" applyAlignment="1">
      <alignment horizontal="left" vertical="top" wrapText="1" indent="1"/>
    </xf>
    <xf numFmtId="0" fontId="25" fillId="24" borderId="7" xfId="3" applyFont="1" applyFill="1" applyBorder="1" applyAlignment="1">
      <alignment horizontal="left" vertical="top" wrapText="1" indent="1"/>
    </xf>
    <xf numFmtId="0" fontId="25" fillId="14" borderId="7" xfId="3" applyFont="1" applyFill="1" applyBorder="1" applyAlignment="1">
      <alignment horizontal="left" vertical="top" wrapText="1" indent="1"/>
    </xf>
    <xf numFmtId="1" fontId="28" fillId="17" borderId="7" xfId="3" applyNumberFormat="1" applyFont="1" applyFill="1" applyBorder="1" applyAlignment="1">
      <alignment horizontal="center" vertical="top" shrinkToFit="1"/>
    </xf>
    <xf numFmtId="0" fontId="25" fillId="42" borderId="7" xfId="3" applyFont="1" applyFill="1" applyBorder="1" applyAlignment="1">
      <alignment horizontal="center" vertical="top" wrapText="1"/>
    </xf>
    <xf numFmtId="0" fontId="25" fillId="43" borderId="7" xfId="3" applyFont="1" applyFill="1" applyBorder="1" applyAlignment="1">
      <alignment horizontal="left" vertical="top" wrapText="1" indent="1"/>
    </xf>
    <xf numFmtId="0" fontId="25" fillId="44" borderId="7" xfId="3" applyFont="1" applyFill="1" applyBorder="1" applyAlignment="1">
      <alignment horizontal="center" vertical="top" wrapText="1"/>
    </xf>
    <xf numFmtId="0" fontId="25" fillId="45" borderId="7" xfId="3" applyFont="1" applyFill="1" applyBorder="1" applyAlignment="1">
      <alignment horizontal="left" vertical="top" wrapText="1" indent="3"/>
    </xf>
    <xf numFmtId="0" fontId="25" fillId="46" borderId="7" xfId="3" applyFont="1" applyFill="1" applyBorder="1" applyAlignment="1">
      <alignment horizontal="left" vertical="top" wrapText="1"/>
    </xf>
    <xf numFmtId="0" fontId="25" fillId="16" borderId="7" xfId="3" applyFont="1" applyFill="1" applyBorder="1" applyAlignment="1">
      <alignment horizontal="left" vertical="top" wrapText="1"/>
    </xf>
    <xf numFmtId="1" fontId="26" fillId="48" borderId="7" xfId="3" applyNumberFormat="1" applyFont="1" applyFill="1" applyBorder="1" applyAlignment="1">
      <alignment horizontal="center" vertical="top" shrinkToFit="1"/>
    </xf>
    <xf numFmtId="0" fontId="25" fillId="49" borderId="7" xfId="3" applyFont="1" applyFill="1" applyBorder="1" applyAlignment="1">
      <alignment horizontal="center" vertical="top" wrapText="1"/>
    </xf>
    <xf numFmtId="0" fontId="25" fillId="50" borderId="7" xfId="3" applyFont="1" applyFill="1" applyBorder="1" applyAlignment="1">
      <alignment horizontal="left" vertical="top" wrapText="1" indent="1"/>
    </xf>
    <xf numFmtId="0" fontId="25" fillId="51" borderId="7" xfId="3" applyFont="1" applyFill="1" applyBorder="1" applyAlignment="1">
      <alignment horizontal="center" vertical="top" wrapText="1"/>
    </xf>
    <xf numFmtId="0" fontId="25" fillId="53" borderId="7" xfId="3" applyFont="1" applyFill="1" applyBorder="1" applyAlignment="1">
      <alignment horizontal="left" vertical="top" wrapText="1" indent="3"/>
    </xf>
    <xf numFmtId="0" fontId="25" fillId="52" borderId="7" xfId="3" applyFont="1" applyFill="1" applyBorder="1" applyAlignment="1">
      <alignment horizontal="left" vertical="top" wrapText="1"/>
    </xf>
    <xf numFmtId="0" fontId="25" fillId="10" borderId="7" xfId="3" applyFont="1" applyFill="1" applyBorder="1" applyAlignment="1">
      <alignment horizontal="center" vertical="top" wrapText="1"/>
    </xf>
    <xf numFmtId="0" fontId="25" fillId="54" borderId="7" xfId="3" applyFont="1" applyFill="1" applyBorder="1" applyAlignment="1">
      <alignment horizontal="left" vertical="top" wrapText="1" indent="3"/>
    </xf>
    <xf numFmtId="179" fontId="28" fillId="56" borderId="7" xfId="3" applyNumberFormat="1" applyFont="1" applyFill="1" applyBorder="1" applyAlignment="1">
      <alignment horizontal="center" vertical="top" shrinkToFit="1"/>
    </xf>
    <xf numFmtId="0" fontId="25" fillId="57" borderId="7" xfId="3" applyFont="1" applyFill="1" applyBorder="1" applyAlignment="1">
      <alignment horizontal="left" vertical="top" wrapText="1" indent="1"/>
    </xf>
    <xf numFmtId="0" fontId="25" fillId="58" borderId="7" xfId="3" applyFont="1" applyFill="1" applyBorder="1" applyAlignment="1">
      <alignment horizontal="center" vertical="top" wrapText="1"/>
    </xf>
    <xf numFmtId="0" fontId="25" fillId="60" borderId="7" xfId="3" applyFont="1" applyFill="1" applyBorder="1" applyAlignment="1">
      <alignment horizontal="left" vertical="top" wrapText="1" indent="1"/>
    </xf>
    <xf numFmtId="0" fontId="25" fillId="61" borderId="7" xfId="3" applyFont="1" applyFill="1" applyBorder="1" applyAlignment="1">
      <alignment horizontal="left" vertical="top" wrapText="1"/>
    </xf>
    <xf numFmtId="1" fontId="28" fillId="56" borderId="7" xfId="3" applyNumberFormat="1" applyFont="1" applyFill="1" applyBorder="1" applyAlignment="1">
      <alignment horizontal="center" vertical="top" shrinkToFit="1"/>
    </xf>
    <xf numFmtId="0" fontId="25" fillId="62" borderId="7" xfId="3" applyFont="1" applyFill="1" applyBorder="1" applyAlignment="1">
      <alignment horizontal="center" vertical="top" wrapText="1"/>
    </xf>
    <xf numFmtId="0" fontId="25" fillId="63" borderId="7" xfId="3" applyFont="1" applyFill="1" applyBorder="1" applyAlignment="1">
      <alignment horizontal="left" vertical="top" wrapText="1" indent="1"/>
    </xf>
    <xf numFmtId="0" fontId="25" fillId="64" borderId="8" xfId="3" applyFont="1" applyFill="1" applyBorder="1" applyAlignment="1">
      <alignment horizontal="center" vertical="top" wrapText="1"/>
    </xf>
    <xf numFmtId="0" fontId="22" fillId="21" borderId="7" xfId="3" applyFill="1" applyBorder="1" applyAlignment="1">
      <alignment horizontal="left" wrapText="1"/>
    </xf>
    <xf numFmtId="0" fontId="25" fillId="65" borderId="7" xfId="3" applyFont="1" applyFill="1" applyBorder="1" applyAlignment="1">
      <alignment horizontal="left" vertical="top" wrapText="1"/>
    </xf>
    <xf numFmtId="1" fontId="24" fillId="25" borderId="7" xfId="3" applyNumberFormat="1" applyFont="1" applyFill="1" applyBorder="1" applyAlignment="1">
      <alignment horizontal="center" vertical="top" shrinkToFit="1"/>
    </xf>
    <xf numFmtId="0" fontId="22" fillId="24" borderId="7" xfId="3" applyFill="1" applyBorder="1" applyAlignment="1">
      <alignment horizontal="center" vertical="top" wrapText="1"/>
    </xf>
    <xf numFmtId="1" fontId="28" fillId="66" borderId="7" xfId="3" applyNumberFormat="1" applyFont="1" applyFill="1" applyBorder="1" applyAlignment="1">
      <alignment horizontal="center" vertical="top" shrinkToFit="1"/>
    </xf>
    <xf numFmtId="0" fontId="25" fillId="67" borderId="7" xfId="3" applyFont="1" applyFill="1" applyBorder="1" applyAlignment="1">
      <alignment horizontal="left" vertical="top" wrapText="1" indent="1"/>
    </xf>
    <xf numFmtId="0" fontId="25" fillId="68" borderId="7" xfId="3" applyFont="1" applyFill="1" applyBorder="1" applyAlignment="1">
      <alignment horizontal="center" vertical="top" wrapText="1"/>
    </xf>
    <xf numFmtId="0" fontId="25" fillId="70" borderId="7" xfId="3" applyFont="1" applyFill="1" applyBorder="1" applyAlignment="1">
      <alignment horizontal="left" vertical="top" wrapText="1" indent="1"/>
    </xf>
    <xf numFmtId="0" fontId="25" fillId="71" borderId="7" xfId="3" applyFont="1" applyFill="1" applyBorder="1" applyAlignment="1">
      <alignment horizontal="left" vertical="top" wrapText="1"/>
    </xf>
    <xf numFmtId="0" fontId="25" fillId="72" borderId="7" xfId="3" applyFont="1" applyFill="1" applyBorder="1" applyAlignment="1">
      <alignment horizontal="center" vertical="top" wrapText="1"/>
    </xf>
    <xf numFmtId="0" fontId="25" fillId="72" borderId="7" xfId="3" applyFont="1" applyFill="1" applyBorder="1" applyAlignment="1">
      <alignment horizontal="left" vertical="top" wrapText="1" indent="1"/>
    </xf>
    <xf numFmtId="0" fontId="25" fillId="54" borderId="7" xfId="3" applyFont="1" applyFill="1" applyBorder="1" applyAlignment="1">
      <alignment horizontal="center" vertical="top" wrapText="1"/>
    </xf>
    <xf numFmtId="0" fontId="25" fillId="10" borderId="7" xfId="3" applyFont="1" applyFill="1" applyBorder="1" applyAlignment="1">
      <alignment horizontal="left" vertical="top" wrapText="1" indent="3"/>
    </xf>
    <xf numFmtId="0" fontId="25" fillId="10" borderId="7" xfId="3" applyFont="1" applyFill="1" applyBorder="1" applyAlignment="1">
      <alignment horizontal="left" vertical="top" wrapText="1"/>
    </xf>
    <xf numFmtId="0" fontId="25" fillId="25" borderId="7" xfId="3" applyFont="1" applyFill="1" applyBorder="1" applyAlignment="1">
      <alignment horizontal="center" vertical="top" wrapText="1"/>
    </xf>
    <xf numFmtId="0" fontId="25" fillId="37" borderId="7" xfId="3" applyFont="1" applyFill="1" applyBorder="1" applyAlignment="1">
      <alignment horizontal="center" vertical="top" wrapText="1"/>
    </xf>
    <xf numFmtId="179" fontId="28" fillId="74" borderId="7" xfId="3" applyNumberFormat="1" applyFont="1" applyFill="1" applyBorder="1" applyAlignment="1">
      <alignment horizontal="center" vertical="top" shrinkToFit="1"/>
    </xf>
    <xf numFmtId="0" fontId="25" fillId="75" borderId="7" xfId="3" applyFont="1" applyFill="1" applyBorder="1" applyAlignment="1">
      <alignment horizontal="center" vertical="top" wrapText="1"/>
    </xf>
    <xf numFmtId="0" fontId="25" fillId="77" borderId="7" xfId="3" applyFont="1" applyFill="1" applyBorder="1" applyAlignment="1">
      <alignment horizontal="left" vertical="top" wrapText="1" indent="3"/>
    </xf>
    <xf numFmtId="179" fontId="24" fillId="34" borderId="7" xfId="3" applyNumberFormat="1" applyFont="1" applyFill="1" applyBorder="1" applyAlignment="1">
      <alignment horizontal="center" vertical="top" shrinkToFit="1"/>
    </xf>
    <xf numFmtId="0" fontId="25" fillId="78" borderId="7" xfId="3" applyFont="1" applyFill="1" applyBorder="1" applyAlignment="1">
      <alignment horizontal="center" vertical="top" wrapText="1"/>
    </xf>
    <xf numFmtId="179" fontId="24" fillId="24" borderId="7" xfId="3" applyNumberFormat="1" applyFont="1" applyFill="1" applyBorder="1" applyAlignment="1">
      <alignment horizontal="center" vertical="top" shrinkToFit="1"/>
    </xf>
    <xf numFmtId="179" fontId="24" fillId="79" borderId="7" xfId="3" applyNumberFormat="1" applyFont="1" applyFill="1" applyBorder="1" applyAlignment="1">
      <alignment horizontal="center" vertical="top" shrinkToFit="1"/>
    </xf>
    <xf numFmtId="0" fontId="22" fillId="24" borderId="7" xfId="3" applyFill="1" applyBorder="1" applyAlignment="1">
      <alignment horizontal="left" vertical="top" wrapText="1"/>
    </xf>
    <xf numFmtId="1" fontId="28" fillId="80" borderId="7" xfId="3" applyNumberFormat="1" applyFont="1" applyFill="1" applyBorder="1" applyAlignment="1">
      <alignment horizontal="center" vertical="top" shrinkToFit="1"/>
    </xf>
    <xf numFmtId="0" fontId="25" fillId="81" borderId="7" xfId="3" applyFont="1" applyFill="1" applyBorder="1" applyAlignment="1">
      <alignment horizontal="center" vertical="top" wrapText="1"/>
    </xf>
    <xf numFmtId="0" fontId="25" fillId="55" borderId="9" xfId="3" applyFont="1" applyFill="1" applyBorder="1" applyAlignment="1">
      <alignment horizontal="left" vertical="top" wrapText="1" indent="3"/>
    </xf>
    <xf numFmtId="0" fontId="25" fillId="15" borderId="7" xfId="3" applyFont="1" applyFill="1" applyBorder="1" applyAlignment="1">
      <alignment horizontal="left" vertical="top" wrapText="1" indent="3"/>
    </xf>
    <xf numFmtId="179" fontId="24" fillId="0" borderId="7" xfId="3" applyNumberFormat="1" applyFont="1" applyBorder="1" applyAlignment="1">
      <alignment horizontal="center" vertical="center" shrinkToFit="1"/>
    </xf>
    <xf numFmtId="179" fontId="28" fillId="82" borderId="7" xfId="3" applyNumberFormat="1" applyFont="1" applyFill="1" applyBorder="1" applyAlignment="1">
      <alignment horizontal="center" vertical="top" shrinkToFit="1"/>
    </xf>
    <xf numFmtId="0" fontId="25" fillId="55" borderId="7" xfId="3" applyFont="1" applyFill="1" applyBorder="1" applyAlignment="1">
      <alignment horizontal="center" vertical="top" wrapText="1"/>
    </xf>
    <xf numFmtId="0" fontId="25" fillId="77" borderId="7" xfId="3" applyFont="1" applyFill="1" applyBorder="1" applyAlignment="1">
      <alignment horizontal="left" vertical="top" wrapText="1"/>
    </xf>
    <xf numFmtId="179" fontId="28" fillId="83" borderId="7" xfId="3" applyNumberFormat="1" applyFont="1" applyFill="1" applyBorder="1" applyAlignment="1">
      <alignment horizontal="center" vertical="top" shrinkToFit="1"/>
    </xf>
    <xf numFmtId="0" fontId="25" fillId="31" borderId="7" xfId="3" applyFont="1" applyFill="1" applyBorder="1" applyAlignment="1">
      <alignment horizontal="left" vertical="top" wrapText="1" indent="1"/>
    </xf>
    <xf numFmtId="0" fontId="25" fillId="85" borderId="7" xfId="3" applyFont="1" applyFill="1" applyBorder="1" applyAlignment="1">
      <alignment horizontal="center" vertical="top" wrapText="1"/>
    </xf>
    <xf numFmtId="0" fontId="25" fillId="86" borderId="7" xfId="3" applyFont="1" applyFill="1" applyBorder="1" applyAlignment="1">
      <alignment horizontal="left" vertical="top" wrapText="1"/>
    </xf>
    <xf numFmtId="0" fontId="25" fillId="34" borderId="7" xfId="3" applyFont="1" applyFill="1" applyBorder="1" applyAlignment="1">
      <alignment horizontal="left" vertical="top" wrapText="1" indent="1"/>
    </xf>
    <xf numFmtId="179" fontId="28" fillId="17" borderId="7" xfId="3" applyNumberFormat="1" applyFont="1" applyFill="1" applyBorder="1" applyAlignment="1">
      <alignment horizontal="center" vertical="top" shrinkToFit="1"/>
    </xf>
    <xf numFmtId="0" fontId="25" fillId="87" borderId="7" xfId="3" applyFont="1" applyFill="1" applyBorder="1" applyAlignment="1">
      <alignment horizontal="center" vertical="top" wrapText="1"/>
    </xf>
    <xf numFmtId="0" fontId="25" fillId="42" borderId="7" xfId="3" applyFont="1" applyFill="1" applyBorder="1" applyAlignment="1">
      <alignment horizontal="left" vertical="top" wrapText="1" indent="1"/>
    </xf>
    <xf numFmtId="0" fontId="25" fillId="64" borderId="7" xfId="3" applyFont="1" applyFill="1" applyBorder="1" applyAlignment="1">
      <alignment horizontal="center" vertical="top" wrapText="1"/>
    </xf>
    <xf numFmtId="0" fontId="25" fillId="64" borderId="7" xfId="3" applyFont="1" applyFill="1" applyBorder="1" applyAlignment="1">
      <alignment horizontal="left" vertical="top" wrapText="1" indent="3"/>
    </xf>
    <xf numFmtId="0" fontId="25" fillId="68" borderId="7" xfId="3" applyFont="1" applyFill="1" applyBorder="1" applyAlignment="1">
      <alignment horizontal="left" vertical="top" wrapText="1"/>
    </xf>
    <xf numFmtId="0" fontId="25" fillId="23" borderId="7" xfId="3" applyFont="1" applyFill="1" applyBorder="1" applyAlignment="1">
      <alignment horizontal="left" vertical="top" wrapText="1" indent="1"/>
    </xf>
    <xf numFmtId="0" fontId="25" fillId="88" borderId="7" xfId="3" applyFont="1" applyFill="1" applyBorder="1" applyAlignment="1">
      <alignment horizontal="center" vertical="top" wrapText="1"/>
    </xf>
    <xf numFmtId="0" fontId="25" fillId="89" borderId="7" xfId="3" applyFont="1" applyFill="1" applyBorder="1" applyAlignment="1">
      <alignment horizontal="left" vertical="top" wrapText="1" indent="1"/>
    </xf>
    <xf numFmtId="0" fontId="25" fillId="90" borderId="7" xfId="3" applyFont="1" applyFill="1" applyBorder="1" applyAlignment="1">
      <alignment horizontal="left" vertical="top" wrapText="1" indent="3"/>
    </xf>
    <xf numFmtId="0" fontId="25" fillId="91" borderId="7" xfId="3" applyFont="1" applyFill="1" applyBorder="1" applyAlignment="1">
      <alignment horizontal="left" vertical="top" wrapText="1" indent="1"/>
    </xf>
    <xf numFmtId="0" fontId="25" fillId="92" borderId="7" xfId="3" applyFont="1" applyFill="1" applyBorder="1" applyAlignment="1">
      <alignment horizontal="center" vertical="top" wrapText="1"/>
    </xf>
    <xf numFmtId="0" fontId="25" fillId="55" borderId="7" xfId="3" applyFont="1" applyFill="1" applyBorder="1" applyAlignment="1">
      <alignment horizontal="left" vertical="top" wrapText="1" indent="3"/>
    </xf>
    <xf numFmtId="0" fontId="25" fillId="93" borderId="7" xfId="3" applyFont="1" applyFill="1" applyBorder="1" applyAlignment="1">
      <alignment horizontal="left" vertical="top" wrapText="1"/>
    </xf>
    <xf numFmtId="0" fontId="25" fillId="94" borderId="7" xfId="3" applyFont="1" applyFill="1" applyBorder="1" applyAlignment="1">
      <alignment horizontal="center" vertical="top" wrapText="1"/>
    </xf>
    <xf numFmtId="0" fontId="25" fillId="86" borderId="7" xfId="3" applyFont="1" applyFill="1" applyBorder="1" applyAlignment="1">
      <alignment horizontal="center" vertical="top" wrapText="1"/>
    </xf>
    <xf numFmtId="0" fontId="22" fillId="86" borderId="7" xfId="3" applyFill="1" applyBorder="1" applyAlignment="1">
      <alignment horizontal="left" vertical="top" wrapText="1"/>
    </xf>
    <xf numFmtId="0" fontId="25" fillId="8" borderId="7" xfId="3" applyFont="1" applyFill="1" applyBorder="1" applyAlignment="1">
      <alignment horizontal="left" vertical="top" wrapText="1" indent="2"/>
    </xf>
    <xf numFmtId="179" fontId="28" fillId="95" borderId="7" xfId="3" applyNumberFormat="1" applyFont="1" applyFill="1" applyBorder="1" applyAlignment="1">
      <alignment horizontal="center" vertical="top" shrinkToFit="1"/>
    </xf>
    <xf numFmtId="0" fontId="25" fillId="90" borderId="7" xfId="3" applyFont="1" applyFill="1" applyBorder="1" applyAlignment="1">
      <alignment horizontal="center" vertical="top" wrapText="1"/>
    </xf>
    <xf numFmtId="0" fontId="25" fillId="22" borderId="7" xfId="3" applyFont="1" applyFill="1" applyBorder="1" applyAlignment="1">
      <alignment horizontal="left" vertical="top" wrapText="1" indent="3"/>
    </xf>
    <xf numFmtId="0" fontId="25" fillId="15" borderId="7" xfId="3" applyFont="1" applyFill="1" applyBorder="1" applyAlignment="1">
      <alignment horizontal="left" vertical="top" wrapText="1"/>
    </xf>
    <xf numFmtId="0" fontId="22" fillId="98" borderId="7" xfId="3" applyFill="1" applyBorder="1" applyAlignment="1">
      <alignment horizontal="left" vertical="top" wrapText="1"/>
    </xf>
    <xf numFmtId="0" fontId="25" fillId="9" borderId="7" xfId="3" applyFont="1" applyFill="1" applyBorder="1" applyAlignment="1">
      <alignment horizontal="left" vertical="top" wrapText="1" indent="2"/>
    </xf>
    <xf numFmtId="0" fontId="22" fillId="23" borderId="7" xfId="3" applyFill="1" applyBorder="1" applyAlignment="1">
      <alignment horizontal="left" vertical="top" wrapText="1"/>
    </xf>
    <xf numFmtId="0" fontId="25" fillId="56" borderId="7" xfId="3" applyFont="1" applyFill="1" applyBorder="1" applyAlignment="1">
      <alignment horizontal="center" vertical="top" wrapText="1"/>
    </xf>
    <xf numFmtId="0" fontId="25" fillId="99" borderId="7" xfId="3" applyFont="1" applyFill="1" applyBorder="1" applyAlignment="1">
      <alignment horizontal="center" vertical="top" wrapText="1"/>
    </xf>
    <xf numFmtId="0" fontId="25" fillId="43" borderId="7" xfId="3" applyFont="1" applyFill="1" applyBorder="1" applyAlignment="1">
      <alignment horizontal="center" vertical="top" wrapText="1"/>
    </xf>
    <xf numFmtId="0" fontId="25" fillId="21" borderId="7" xfId="3" applyFont="1" applyFill="1" applyBorder="1" applyAlignment="1">
      <alignment horizontal="center" vertical="top" wrapText="1"/>
    </xf>
    <xf numFmtId="0" fontId="25" fillId="101" borderId="7" xfId="3" applyFont="1" applyFill="1" applyBorder="1" applyAlignment="1">
      <alignment horizontal="left" vertical="top" wrapText="1"/>
    </xf>
    <xf numFmtId="179" fontId="24" fillId="25" borderId="7" xfId="3" applyNumberFormat="1" applyFont="1" applyFill="1" applyBorder="1" applyAlignment="1">
      <alignment horizontal="center" vertical="top" shrinkToFit="1"/>
    </xf>
    <xf numFmtId="0" fontId="25" fillId="36" borderId="7" xfId="3" applyFont="1" applyFill="1" applyBorder="1" applyAlignment="1">
      <alignment horizontal="left" vertical="top" wrapText="1" indent="3"/>
    </xf>
    <xf numFmtId="0" fontId="22" fillId="15" borderId="7" xfId="3" applyFill="1" applyBorder="1" applyAlignment="1">
      <alignment horizontal="center" vertical="top" wrapText="1"/>
    </xf>
    <xf numFmtId="0" fontId="25" fillId="16" borderId="7" xfId="3" applyFont="1" applyFill="1" applyBorder="1" applyAlignment="1">
      <alignment horizontal="left" vertical="top" wrapText="1" indent="1"/>
    </xf>
    <xf numFmtId="0" fontId="22" fillId="3" borderId="0" xfId="3" applyFill="1" applyAlignment="1">
      <alignment horizontal="left" vertical="center" wrapText="1"/>
    </xf>
    <xf numFmtId="1" fontId="24" fillId="0" borderId="5" xfId="3" applyNumberFormat="1" applyFont="1" applyBorder="1" applyAlignment="1">
      <alignment horizontal="center" vertical="center" shrinkToFit="1"/>
    </xf>
    <xf numFmtId="1" fontId="24" fillId="0" borderId="4" xfId="3" applyNumberFormat="1" applyFont="1" applyBorder="1" applyAlignment="1">
      <alignment horizontal="center" vertical="center" shrinkToFit="1"/>
    </xf>
    <xf numFmtId="1" fontId="24" fillId="11" borderId="8" xfId="3" applyNumberFormat="1" applyFont="1" applyFill="1" applyBorder="1" applyAlignment="1">
      <alignment horizontal="center" vertical="center" shrinkToFit="1"/>
    </xf>
    <xf numFmtId="1" fontId="24" fillId="11" borderId="9" xfId="3" applyNumberFormat="1" applyFont="1" applyFill="1" applyBorder="1" applyAlignment="1">
      <alignment horizontal="center" vertical="center" shrinkToFit="1"/>
    </xf>
    <xf numFmtId="1" fontId="24" fillId="16" borderId="2" xfId="3" applyNumberFormat="1" applyFont="1" applyFill="1" applyBorder="1" applyAlignment="1">
      <alignment horizontal="center" vertical="top" shrinkToFit="1"/>
    </xf>
    <xf numFmtId="1" fontId="24" fillId="16" borderId="9" xfId="3" applyNumberFormat="1" applyFont="1" applyFill="1" applyBorder="1" applyAlignment="1">
      <alignment horizontal="center" vertical="top" shrinkToFit="1"/>
    </xf>
    <xf numFmtId="0" fontId="25" fillId="9" borderId="9" xfId="3" applyFont="1" applyFill="1" applyBorder="1" applyAlignment="1">
      <alignment horizontal="left" vertical="top" wrapText="1"/>
    </xf>
    <xf numFmtId="1" fontId="24" fillId="0" borderId="2" xfId="3" applyNumberFormat="1" applyFont="1" applyBorder="1" applyAlignment="1">
      <alignment horizontal="center" vertical="top" shrinkToFit="1"/>
    </xf>
    <xf numFmtId="1" fontId="24" fillId="0" borderId="9" xfId="3" applyNumberFormat="1" applyFont="1" applyBorder="1" applyAlignment="1">
      <alignment horizontal="center" vertical="top" shrinkToFit="1"/>
    </xf>
    <xf numFmtId="3" fontId="27" fillId="14" borderId="2" xfId="3" applyNumberFormat="1" applyFont="1" applyFill="1" applyBorder="1" applyAlignment="1">
      <alignment horizontal="left" vertical="top" shrinkToFit="1"/>
    </xf>
    <xf numFmtId="3" fontId="27" fillId="14" borderId="9" xfId="3" applyNumberFormat="1" applyFont="1" applyFill="1" applyBorder="1" applyAlignment="1">
      <alignment horizontal="left" vertical="top" shrinkToFit="1"/>
    </xf>
    <xf numFmtId="1" fontId="24" fillId="26" borderId="2" xfId="3" applyNumberFormat="1" applyFont="1" applyFill="1" applyBorder="1" applyAlignment="1">
      <alignment horizontal="center" vertical="top" shrinkToFit="1"/>
    </xf>
    <xf numFmtId="1" fontId="24" fillId="26" borderId="9" xfId="3" applyNumberFormat="1" applyFont="1" applyFill="1" applyBorder="1" applyAlignment="1">
      <alignment horizontal="center" vertical="top" shrinkToFit="1"/>
    </xf>
    <xf numFmtId="1" fontId="24" fillId="14" borderId="2" xfId="3" applyNumberFormat="1" applyFont="1" applyFill="1" applyBorder="1" applyAlignment="1">
      <alignment horizontal="center" vertical="top" shrinkToFit="1"/>
    </xf>
    <xf numFmtId="1" fontId="24" fillId="14" borderId="9" xfId="3" applyNumberFormat="1" applyFont="1" applyFill="1" applyBorder="1" applyAlignment="1">
      <alignment horizontal="center" vertical="top" shrinkToFit="1"/>
    </xf>
    <xf numFmtId="1" fontId="24" fillId="8" borderId="2" xfId="3" applyNumberFormat="1" applyFont="1" applyFill="1" applyBorder="1" applyAlignment="1">
      <alignment horizontal="center" vertical="top" shrinkToFit="1"/>
    </xf>
    <xf numFmtId="1" fontId="24" fillId="8" borderId="9" xfId="3" applyNumberFormat="1" applyFont="1" applyFill="1" applyBorder="1" applyAlignment="1">
      <alignment horizontal="center" vertical="top" shrinkToFit="1"/>
    </xf>
    <xf numFmtId="1" fontId="24" fillId="21" borderId="2" xfId="3" applyNumberFormat="1" applyFont="1" applyFill="1" applyBorder="1" applyAlignment="1">
      <alignment horizontal="center" vertical="top" shrinkToFit="1"/>
    </xf>
    <xf numFmtId="1" fontId="24" fillId="21" borderId="9" xfId="3" applyNumberFormat="1" applyFont="1" applyFill="1" applyBorder="1" applyAlignment="1">
      <alignment horizontal="center" vertical="top" shrinkToFit="1"/>
    </xf>
    <xf numFmtId="1" fontId="24" fillId="47" borderId="2" xfId="3" applyNumberFormat="1" applyFont="1" applyFill="1" applyBorder="1" applyAlignment="1">
      <alignment horizontal="center" vertical="top" shrinkToFit="1"/>
    </xf>
    <xf numFmtId="1" fontId="24" fillId="47" borderId="9" xfId="3" applyNumberFormat="1" applyFont="1" applyFill="1" applyBorder="1" applyAlignment="1">
      <alignment horizontal="center" vertical="top" shrinkToFit="1"/>
    </xf>
    <xf numFmtId="1" fontId="24" fillId="54" borderId="2" xfId="3" applyNumberFormat="1" applyFont="1" applyFill="1" applyBorder="1" applyAlignment="1">
      <alignment horizontal="center" vertical="top" shrinkToFit="1"/>
    </xf>
    <xf numFmtId="1" fontId="24" fillId="54" borderId="9" xfId="3" applyNumberFormat="1" applyFont="1" applyFill="1" applyBorder="1" applyAlignment="1">
      <alignment horizontal="center" vertical="top" shrinkToFit="1"/>
    </xf>
    <xf numFmtId="1" fontId="24" fillId="55" borderId="2" xfId="3" applyNumberFormat="1" applyFont="1" applyFill="1" applyBorder="1" applyAlignment="1">
      <alignment horizontal="center" vertical="top" shrinkToFit="1"/>
    </xf>
    <xf numFmtId="1" fontId="24" fillId="55" borderId="9" xfId="3" applyNumberFormat="1" applyFont="1" applyFill="1" applyBorder="1" applyAlignment="1">
      <alignment horizontal="center" vertical="top" shrinkToFit="1"/>
    </xf>
    <xf numFmtId="1" fontId="28" fillId="30" borderId="2" xfId="3" applyNumberFormat="1" applyFont="1" applyFill="1" applyBorder="1" applyAlignment="1">
      <alignment horizontal="center" vertical="top" shrinkToFit="1"/>
    </xf>
    <xf numFmtId="1" fontId="28" fillId="30" borderId="9" xfId="3" applyNumberFormat="1" applyFont="1" applyFill="1" applyBorder="1" applyAlignment="1">
      <alignment horizontal="center" vertical="top" shrinkToFit="1"/>
    </xf>
    <xf numFmtId="1" fontId="24" fillId="36" borderId="2" xfId="3" applyNumberFormat="1" applyFont="1" applyFill="1" applyBorder="1" applyAlignment="1">
      <alignment horizontal="center" vertical="top" shrinkToFit="1"/>
    </xf>
    <xf numFmtId="1" fontId="24" fillId="36" borderId="9" xfId="3" applyNumberFormat="1" applyFont="1" applyFill="1" applyBorder="1" applyAlignment="1">
      <alignment horizontal="center" vertical="top" shrinkToFit="1"/>
    </xf>
    <xf numFmtId="1" fontId="28" fillId="44" borderId="2" xfId="3" applyNumberFormat="1" applyFont="1" applyFill="1" applyBorder="1" applyAlignment="1">
      <alignment horizontal="center" vertical="top" shrinkToFit="1"/>
    </xf>
    <xf numFmtId="1" fontId="28" fillId="44" borderId="9" xfId="3" applyNumberFormat="1" applyFont="1" applyFill="1" applyBorder="1" applyAlignment="1">
      <alignment horizontal="center" vertical="top" shrinkToFit="1"/>
    </xf>
    <xf numFmtId="1" fontId="28" fillId="58" borderId="2" xfId="3" applyNumberFormat="1" applyFont="1" applyFill="1" applyBorder="1" applyAlignment="1">
      <alignment horizontal="center" vertical="top" shrinkToFit="1"/>
    </xf>
    <xf numFmtId="1" fontId="28" fillId="58" borderId="9" xfId="3" applyNumberFormat="1" applyFont="1" applyFill="1" applyBorder="1" applyAlignment="1">
      <alignment horizontal="center" vertical="top" shrinkToFit="1"/>
    </xf>
    <xf numFmtId="1" fontId="24" fillId="7" borderId="2" xfId="3" applyNumberFormat="1" applyFont="1" applyFill="1" applyBorder="1" applyAlignment="1">
      <alignment horizontal="center" vertical="top" shrinkToFit="1"/>
    </xf>
    <xf numFmtId="1" fontId="24" fillId="7" borderId="9" xfId="3" applyNumberFormat="1" applyFont="1" applyFill="1" applyBorder="1" applyAlignment="1">
      <alignment horizontal="center" vertical="top" shrinkToFit="1"/>
    </xf>
    <xf numFmtId="1" fontId="24" fillId="0" borderId="2" xfId="3" applyNumberFormat="1" applyFont="1" applyBorder="1" applyAlignment="1">
      <alignment horizontal="center" vertical="center" shrinkToFit="1"/>
    </xf>
    <xf numFmtId="1" fontId="24" fillId="0" borderId="9" xfId="3" applyNumberFormat="1" applyFont="1" applyBorder="1" applyAlignment="1">
      <alignment horizontal="center" vertical="center" shrinkToFit="1"/>
    </xf>
    <xf numFmtId="1" fontId="24" fillId="30" borderId="2" xfId="3" applyNumberFormat="1" applyFont="1" applyFill="1" applyBorder="1" applyAlignment="1">
      <alignment horizontal="center" vertical="top" shrinkToFit="1"/>
    </xf>
    <xf numFmtId="1" fontId="24" fillId="30" borderId="9" xfId="3" applyNumberFormat="1" applyFont="1" applyFill="1" applyBorder="1" applyAlignment="1">
      <alignment horizontal="center" vertical="top" shrinkToFit="1"/>
    </xf>
    <xf numFmtId="1" fontId="24" fillId="45" borderId="2" xfId="3" applyNumberFormat="1" applyFont="1" applyFill="1" applyBorder="1" applyAlignment="1">
      <alignment horizontal="center" vertical="top" shrinkToFit="1"/>
    </xf>
    <xf numFmtId="1" fontId="24" fillId="45" borderId="9" xfId="3" applyNumberFormat="1" applyFont="1" applyFill="1" applyBorder="1" applyAlignment="1">
      <alignment horizontal="center" vertical="top" shrinkToFit="1"/>
    </xf>
    <xf numFmtId="1" fontId="28" fillId="21" borderId="2" xfId="3" applyNumberFormat="1" applyFont="1" applyFill="1" applyBorder="1" applyAlignment="1">
      <alignment horizontal="center" vertical="top" shrinkToFit="1"/>
    </xf>
    <xf numFmtId="1" fontId="28" fillId="21" borderId="9" xfId="3" applyNumberFormat="1" applyFont="1" applyFill="1" applyBorder="1" applyAlignment="1">
      <alignment horizontal="center" vertical="top" shrinkToFit="1"/>
    </xf>
    <xf numFmtId="1" fontId="28" fillId="55" borderId="2" xfId="3" applyNumberFormat="1" applyFont="1" applyFill="1" applyBorder="1" applyAlignment="1">
      <alignment horizontal="center" vertical="top" shrinkToFit="1"/>
    </xf>
    <xf numFmtId="1" fontId="28" fillId="55" borderId="9" xfId="3" applyNumberFormat="1" applyFont="1" applyFill="1" applyBorder="1" applyAlignment="1">
      <alignment horizontal="center" vertical="top" shrinkToFit="1"/>
    </xf>
    <xf numFmtId="1" fontId="24" fillId="9" borderId="2" xfId="3" applyNumberFormat="1" applyFont="1" applyFill="1" applyBorder="1" applyAlignment="1">
      <alignment horizontal="center" vertical="top" shrinkToFit="1"/>
    </xf>
    <xf numFmtId="1" fontId="24" fillId="9" borderId="9" xfId="3" applyNumberFormat="1" applyFont="1" applyFill="1" applyBorder="1" applyAlignment="1">
      <alignment horizontal="center" vertical="top" shrinkToFit="1"/>
    </xf>
    <xf numFmtId="1" fontId="28" fillId="45" borderId="2" xfId="3" applyNumberFormat="1" applyFont="1" applyFill="1" applyBorder="1" applyAlignment="1">
      <alignment horizontal="center" vertical="top" shrinkToFit="1"/>
    </xf>
    <xf numFmtId="1" fontId="28" fillId="45" borderId="9" xfId="3" applyNumberFormat="1" applyFont="1" applyFill="1" applyBorder="1" applyAlignment="1">
      <alignment horizontal="center" vertical="top" shrinkToFit="1"/>
    </xf>
    <xf numFmtId="0" fontId="30" fillId="61" borderId="7" xfId="3" applyFont="1" applyFill="1" applyBorder="1" applyAlignment="1">
      <alignment horizontal="left" vertical="top" wrapText="1"/>
    </xf>
    <xf numFmtId="0" fontId="32" fillId="8" borderId="7" xfId="3" applyFont="1" applyFill="1" applyBorder="1" applyAlignment="1">
      <alignment horizontal="left" vertical="top" wrapText="1"/>
    </xf>
    <xf numFmtId="0" fontId="31" fillId="8" borderId="7" xfId="3" applyFont="1" applyFill="1" applyBorder="1" applyAlignment="1">
      <alignment horizontal="left" vertical="top" wrapText="1"/>
    </xf>
    <xf numFmtId="0" fontId="30" fillId="39" borderId="7" xfId="3" applyFont="1" applyFill="1" applyBorder="1" applyAlignment="1">
      <alignment horizontal="center" vertical="top" wrapText="1"/>
    </xf>
    <xf numFmtId="0" fontId="30" fillId="84" borderId="7" xfId="3" applyFont="1" applyFill="1" applyBorder="1" applyAlignment="1">
      <alignment horizontal="center" vertical="top" wrapText="1"/>
    </xf>
    <xf numFmtId="0" fontId="30" fillId="94" borderId="7" xfId="3" applyFont="1" applyFill="1" applyBorder="1" applyAlignment="1">
      <alignment horizontal="center" vertical="top" wrapText="1"/>
    </xf>
    <xf numFmtId="0" fontId="32" fillId="97" borderId="7" xfId="3" applyFont="1" applyFill="1" applyBorder="1" applyAlignment="1">
      <alignment horizontal="left" wrapText="1"/>
    </xf>
    <xf numFmtId="0" fontId="33" fillId="8" borderId="7" xfId="3" applyFont="1" applyFill="1" applyBorder="1" applyAlignment="1">
      <alignment horizontal="left" vertical="top" wrapText="1"/>
    </xf>
    <xf numFmtId="0" fontId="30" fillId="33" borderId="7" xfId="3" applyFont="1" applyFill="1" applyBorder="1" applyAlignment="1">
      <alignment horizontal="left" vertical="top" wrapText="1"/>
    </xf>
    <xf numFmtId="10" fontId="0" fillId="0" borderId="0" xfId="0" applyNumberFormat="1" applyAlignment="1">
      <alignment vertical="center" wrapText="1"/>
    </xf>
    <xf numFmtId="9" fontId="0" fillId="0" borderId="0" xfId="0" applyNumberFormat="1" applyAlignment="1">
      <alignment vertical="center" wrapText="1"/>
    </xf>
    <xf numFmtId="0" fontId="34" fillId="0" borderId="0" xfId="0" applyFont="1" applyAlignment="1">
      <alignment vertical="center" wrapText="1"/>
    </xf>
    <xf numFmtId="2" fontId="0" fillId="0" borderId="0" xfId="0" applyNumberFormat="1">
      <alignment vertical="center"/>
    </xf>
    <xf numFmtId="180" fontId="0" fillId="0" borderId="0" xfId="0" applyNumberFormat="1">
      <alignment vertical="center"/>
    </xf>
    <xf numFmtId="181" fontId="0" fillId="0" borderId="0" xfId="0" applyNumberFormat="1">
      <alignment vertical="center"/>
    </xf>
    <xf numFmtId="0" fontId="13" fillId="0" borderId="0" xfId="2" applyFont="1"/>
    <xf numFmtId="0" fontId="15" fillId="0" borderId="0" xfId="2" applyAlignment="1">
      <alignment wrapText="1"/>
    </xf>
    <xf numFmtId="0" fontId="13" fillId="0" borderId="0" xfId="2" applyFont="1" applyAlignment="1">
      <alignment wrapText="1"/>
    </xf>
    <xf numFmtId="182" fontId="0" fillId="0" borderId="0" xfId="4" applyNumberFormat="1" applyFont="1" applyAlignment="1">
      <alignment vertical="center" wrapText="1"/>
    </xf>
    <xf numFmtId="183" fontId="0" fillId="0" borderId="0" xfId="4" applyNumberFormat="1" applyFont="1" applyAlignment="1">
      <alignment vertical="center" wrapText="1"/>
    </xf>
    <xf numFmtId="10" fontId="0" fillId="0" borderId="0" xfId="4" applyNumberFormat="1" applyFont="1">
      <alignment vertical="center"/>
    </xf>
    <xf numFmtId="0" fontId="36" fillId="102" borderId="0" xfId="0" applyFont="1" applyFill="1">
      <alignment vertical="center"/>
    </xf>
    <xf numFmtId="0" fontId="36" fillId="2" borderId="0" xfId="0" applyFont="1" applyFill="1">
      <alignment vertical="center"/>
    </xf>
    <xf numFmtId="0" fontId="36" fillId="2" borderId="0" xfId="0" applyFont="1" applyFill="1" applyAlignment="1">
      <alignment vertical="center" wrapText="1"/>
    </xf>
    <xf numFmtId="0" fontId="12" fillId="0" borderId="0" xfId="2" applyFont="1"/>
    <xf numFmtId="184" fontId="18" fillId="0" borderId="0" xfId="1" applyNumberFormat="1" applyFont="1">
      <alignment vertical="center"/>
    </xf>
    <xf numFmtId="9" fontId="0" fillId="0" borderId="0" xfId="4" applyFont="1" applyAlignment="1">
      <alignment vertical="center" wrapText="1"/>
    </xf>
    <xf numFmtId="0" fontId="11" fillId="0" borderId="0" xfId="2" applyFont="1"/>
    <xf numFmtId="0" fontId="10" fillId="0" borderId="0" xfId="2" applyFont="1"/>
    <xf numFmtId="9" fontId="0" fillId="0" borderId="0" xfId="4" applyFont="1">
      <alignment vertical="center"/>
    </xf>
    <xf numFmtId="0" fontId="9" fillId="0" borderId="0" xfId="2" applyFont="1"/>
    <xf numFmtId="0" fontId="8" fillId="0" borderId="0" xfId="2" applyFont="1"/>
    <xf numFmtId="0" fontId="7" fillId="0" borderId="0" xfId="2" applyFont="1"/>
    <xf numFmtId="0" fontId="6" fillId="0" borderId="0" xfId="2" applyFont="1"/>
    <xf numFmtId="10" fontId="0" fillId="0" borderId="0" xfId="4" applyNumberFormat="1" applyFont="1" applyAlignment="1">
      <alignment vertical="center" wrapText="1"/>
    </xf>
    <xf numFmtId="0" fontId="5" fillId="0" borderId="0" xfId="2" applyFont="1"/>
    <xf numFmtId="0" fontId="37" fillId="0" borderId="0" xfId="0" applyFont="1" applyAlignment="1">
      <alignment horizontal="right" vertical="center"/>
    </xf>
    <xf numFmtId="10" fontId="20" fillId="0" borderId="0" xfId="4" applyNumberFormat="1" applyFont="1">
      <alignment vertical="center"/>
    </xf>
    <xf numFmtId="0" fontId="0" fillId="103" borderId="0" xfId="0" applyFill="1">
      <alignment vertical="center"/>
    </xf>
    <xf numFmtId="0" fontId="4" fillId="0" borderId="0" xfId="2" applyFont="1"/>
    <xf numFmtId="14" fontId="0" fillId="0" borderId="0" xfId="0" applyNumberFormat="1">
      <alignment vertical="center"/>
    </xf>
    <xf numFmtId="49" fontId="0" fillId="0" borderId="0" xfId="4" applyNumberFormat="1" applyFont="1">
      <alignment vertical="center"/>
    </xf>
    <xf numFmtId="0" fontId="3" fillId="0" borderId="0" xfId="2" applyFont="1"/>
    <xf numFmtId="185" fontId="0" fillId="0" borderId="0" xfId="4" applyNumberFormat="1" applyFont="1" applyAlignment="1">
      <alignment vertical="center" wrapText="1"/>
    </xf>
    <xf numFmtId="186" fontId="0" fillId="0" borderId="0" xfId="4" applyNumberFormat="1" applyFont="1" applyAlignment="1">
      <alignment vertical="center" wrapText="1"/>
    </xf>
    <xf numFmtId="186" fontId="20" fillId="0" borderId="0" xfId="4" applyNumberFormat="1" applyFont="1">
      <alignment vertical="center"/>
    </xf>
    <xf numFmtId="186" fontId="0" fillId="0" borderId="0" xfId="4" applyNumberFormat="1" applyFont="1">
      <alignment vertical="center"/>
    </xf>
    <xf numFmtId="186" fontId="37" fillId="0" borderId="0" xfId="4" applyNumberFormat="1" applyFont="1">
      <alignment vertical="center"/>
    </xf>
    <xf numFmtId="0" fontId="2" fillId="0" borderId="0" xfId="2" applyFont="1"/>
    <xf numFmtId="14" fontId="0" fillId="0" borderId="0" xfId="0" applyNumberFormat="1" applyAlignment="1">
      <alignment vertical="center" wrapText="1"/>
    </xf>
    <xf numFmtId="0" fontId="1" fillId="0" borderId="0" xfId="2" applyFont="1"/>
    <xf numFmtId="49" fontId="0" fillId="0" borderId="0" xfId="4" applyNumberFormat="1" applyFont="1" applyAlignment="1">
      <alignment horizontal="left" vertical="center"/>
    </xf>
    <xf numFmtId="0" fontId="0" fillId="0" borderId="0" xfId="0" applyAlignment="1">
      <alignment horizontal="left" vertical="center"/>
    </xf>
    <xf numFmtId="10" fontId="0" fillId="0" borderId="0" xfId="4" applyNumberFormat="1" applyFont="1" applyAlignment="1">
      <alignment horizontal="left" vertical="center"/>
    </xf>
    <xf numFmtId="49" fontId="0" fillId="0" borderId="0" xfId="4" applyNumberFormat="1" applyFont="1" applyAlignment="1">
      <alignment horizontal="left" vertical="center" wrapText="1"/>
    </xf>
    <xf numFmtId="0" fontId="0" fillId="0" borderId="0" xfId="0" applyAlignment="1">
      <alignment horizontal="left" vertical="center" wrapText="1"/>
    </xf>
    <xf numFmtId="187" fontId="20" fillId="0" borderId="0" xfId="4" applyNumberFormat="1" applyFont="1">
      <alignment vertical="center"/>
    </xf>
    <xf numFmtId="0" fontId="37" fillId="0" borderId="0" xfId="0" applyFont="1" applyAlignment="1">
      <alignment vertical="center" wrapText="1"/>
    </xf>
    <xf numFmtId="49" fontId="0" fillId="0" borderId="0" xfId="4" applyNumberFormat="1" applyFont="1" applyAlignment="1">
      <alignment vertical="center" wrapText="1"/>
    </xf>
    <xf numFmtId="49" fontId="0" fillId="0" borderId="0" xfId="0" applyNumberFormat="1">
      <alignment vertical="center"/>
    </xf>
    <xf numFmtId="2" fontId="0" fillId="0" borderId="0" xfId="0" applyNumberFormat="1" applyAlignment="1">
      <alignment vertical="center" wrapText="1"/>
    </xf>
    <xf numFmtId="0" fontId="0" fillId="0" borderId="10" xfId="0" applyBorder="1" applyAlignment="1">
      <alignment vertical="center" wrapText="1"/>
    </xf>
    <xf numFmtId="0" fontId="0" fillId="0" borderId="11" xfId="0" applyBorder="1">
      <alignment vertical="center"/>
    </xf>
    <xf numFmtId="0" fontId="0" fillId="0" borderId="12" xfId="0" applyBorder="1">
      <alignment vertical="center"/>
    </xf>
    <xf numFmtId="0" fontId="37" fillId="0" borderId="12" xfId="0" applyFont="1" applyBorder="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0" borderId="16" xfId="0" applyBorder="1">
      <alignment vertical="center"/>
    </xf>
    <xf numFmtId="0" fontId="0" fillId="0" borderId="17" xfId="0" applyBorder="1">
      <alignment vertical="center"/>
    </xf>
    <xf numFmtId="0" fontId="0" fillId="0" borderId="18" xfId="0" applyBorder="1">
      <alignment vertical="center"/>
    </xf>
    <xf numFmtId="0" fontId="0" fillId="0" borderId="19" xfId="0" applyBorder="1">
      <alignment vertical="center"/>
    </xf>
    <xf numFmtId="0" fontId="0" fillId="0" borderId="21" xfId="0" applyBorder="1">
      <alignment vertical="center"/>
    </xf>
    <xf numFmtId="0" fontId="0" fillId="0" borderId="15" xfId="0" applyBorder="1" applyAlignment="1">
      <alignment horizontal="left" vertical="center"/>
    </xf>
    <xf numFmtId="186" fontId="0" fillId="0" borderId="0" xfId="0" applyNumberFormat="1" applyAlignment="1">
      <alignment vertical="center" wrapText="1"/>
    </xf>
    <xf numFmtId="186" fontId="35" fillId="0" borderId="0" xfId="0" applyNumberFormat="1" applyFont="1">
      <alignment vertical="center"/>
    </xf>
    <xf numFmtId="186" fontId="38" fillId="0" borderId="0" xfId="0" applyNumberFormat="1" applyFont="1">
      <alignment vertical="center"/>
    </xf>
    <xf numFmtId="49" fontId="37" fillId="0" borderId="0" xfId="4" applyNumberFormat="1" applyFont="1" applyAlignment="1">
      <alignment horizontal="left" vertical="center"/>
    </xf>
    <xf numFmtId="0" fontId="20" fillId="0" borderId="0" xfId="0" applyFont="1" applyAlignment="1">
      <alignment horizontal="left" vertical="center"/>
    </xf>
    <xf numFmtId="10" fontId="20" fillId="0" borderId="0" xfId="4" applyNumberFormat="1" applyFont="1" applyAlignment="1">
      <alignment horizontal="left" vertical="center"/>
    </xf>
    <xf numFmtId="0" fontId="20" fillId="0" borderId="0" xfId="0" applyFont="1">
      <alignment vertical="center"/>
    </xf>
    <xf numFmtId="49" fontId="37" fillId="0" borderId="0" xfId="4" applyNumberFormat="1" applyFont="1" applyAlignment="1">
      <alignment horizontal="left" vertical="center" wrapText="1"/>
    </xf>
    <xf numFmtId="0" fontId="20" fillId="0" borderId="0" xfId="0" applyFont="1" applyAlignment="1">
      <alignment horizontal="left" vertical="center" wrapText="1"/>
    </xf>
    <xf numFmtId="0" fontId="37" fillId="0" borderId="0" xfId="0" applyFont="1">
      <alignment vertical="center"/>
    </xf>
    <xf numFmtId="186" fontId="0" fillId="0" borderId="0" xfId="0" applyNumberFormat="1">
      <alignment vertical="center"/>
    </xf>
    <xf numFmtId="2" fontId="37" fillId="0" borderId="0" xfId="4" applyNumberFormat="1" applyFont="1">
      <alignment vertical="center"/>
    </xf>
    <xf numFmtId="185" fontId="0" fillId="0" borderId="0" xfId="0" applyNumberFormat="1" applyAlignment="1">
      <alignment vertical="center" wrapText="1"/>
    </xf>
    <xf numFmtId="185" fontId="0" fillId="0" borderId="0" xfId="0" applyNumberFormat="1">
      <alignment vertical="center"/>
    </xf>
    <xf numFmtId="10" fontId="17" fillId="0" borderId="0" xfId="4" applyNumberFormat="1">
      <alignment vertical="center"/>
    </xf>
    <xf numFmtId="187" fontId="0" fillId="0" borderId="0" xfId="4" applyNumberFormat="1" applyFont="1" applyAlignment="1">
      <alignment vertical="center" wrapText="1"/>
    </xf>
    <xf numFmtId="187" fontId="0" fillId="0" borderId="0" xfId="4" applyNumberFormat="1" applyFont="1">
      <alignment vertical="center"/>
    </xf>
    <xf numFmtId="0" fontId="0" fillId="0" borderId="0" xfId="0" applyAlignment="1"/>
    <xf numFmtId="10" fontId="0" fillId="0" borderId="0" xfId="0" applyNumberFormat="1" applyAlignment="1"/>
    <xf numFmtId="0" fontId="0" fillId="0" borderId="0" xfId="0" applyAlignment="1">
      <alignment wrapText="1"/>
    </xf>
    <xf numFmtId="2" fontId="0" fillId="0" borderId="0" xfId="0" applyNumberFormat="1" applyAlignment="1"/>
    <xf numFmtId="183" fontId="17" fillId="0" borderId="0" xfId="4" applyNumberFormat="1">
      <alignment vertical="center"/>
    </xf>
    <xf numFmtId="9" fontId="0" fillId="0" borderId="23" xfId="0" applyNumberFormat="1" applyBorder="1">
      <alignment vertical="center"/>
    </xf>
    <xf numFmtId="0" fontId="0" fillId="0" borderId="23" xfId="0" applyBorder="1">
      <alignment vertical="center"/>
    </xf>
    <xf numFmtId="9" fontId="0" fillId="0" borderId="17" xfId="0" applyNumberFormat="1" applyBorder="1">
      <alignment vertical="center"/>
    </xf>
    <xf numFmtId="10" fontId="17" fillId="0" borderId="1" xfId="4" applyNumberFormat="1" applyBorder="1">
      <alignment vertical="center"/>
    </xf>
    <xf numFmtId="10" fontId="17" fillId="0" borderId="11" xfId="4" applyNumberFormat="1" applyBorder="1">
      <alignment vertical="center"/>
    </xf>
    <xf numFmtId="0" fontId="0" fillId="0" borderId="24" xfId="0" applyBorder="1">
      <alignment vertical="center"/>
    </xf>
    <xf numFmtId="10" fontId="17" fillId="0" borderId="24" xfId="4" applyNumberFormat="1" applyBorder="1">
      <alignment vertical="center"/>
    </xf>
    <xf numFmtId="10" fontId="17" fillId="0" borderId="14" xfId="4" applyNumberFormat="1" applyBorder="1">
      <alignment vertical="center"/>
    </xf>
    <xf numFmtId="10" fontId="0" fillId="0" borderId="1" xfId="0" applyNumberFormat="1" applyBorder="1">
      <alignment vertical="center"/>
    </xf>
    <xf numFmtId="10" fontId="0" fillId="0" borderId="24" xfId="0" applyNumberFormat="1" applyBorder="1">
      <alignment vertical="center"/>
    </xf>
    <xf numFmtId="0" fontId="17" fillId="0" borderId="23" xfId="4" applyNumberFormat="1" applyBorder="1">
      <alignment vertical="center"/>
    </xf>
    <xf numFmtId="0" fontId="17" fillId="0" borderId="1" xfId="4" applyNumberFormat="1" applyBorder="1">
      <alignment vertical="center"/>
    </xf>
    <xf numFmtId="0" fontId="17" fillId="0" borderId="24" xfId="4" applyNumberFormat="1" applyBorder="1">
      <alignment vertical="center"/>
    </xf>
    <xf numFmtId="0" fontId="0" fillId="0" borderId="24" xfId="0" applyBorder="1" applyAlignment="1"/>
    <xf numFmtId="10" fontId="0" fillId="0" borderId="24" xfId="0" applyNumberFormat="1" applyBorder="1" applyAlignment="1"/>
    <xf numFmtId="0" fontId="39" fillId="104" borderId="1" xfId="0" applyFont="1" applyFill="1" applyBorder="1">
      <alignment vertical="center"/>
    </xf>
    <xf numFmtId="9" fontId="39" fillId="104" borderId="1" xfId="0" applyNumberFormat="1" applyFont="1" applyFill="1" applyBorder="1">
      <alignment vertical="center"/>
    </xf>
    <xf numFmtId="9" fontId="39" fillId="104" borderId="11" xfId="0" applyNumberFormat="1" applyFont="1" applyFill="1" applyBorder="1">
      <alignment vertical="center"/>
    </xf>
    <xf numFmtId="0" fontId="0" fillId="105" borderId="25" xfId="0" applyFill="1" applyBorder="1">
      <alignment vertical="center"/>
    </xf>
    <xf numFmtId="0" fontId="0" fillId="105" borderId="1" xfId="0" applyFill="1" applyBorder="1">
      <alignment vertical="center"/>
    </xf>
    <xf numFmtId="10" fontId="0" fillId="105" borderId="1" xfId="4" applyNumberFormat="1" applyFont="1" applyFill="1" applyBorder="1">
      <alignment vertical="center"/>
    </xf>
    <xf numFmtId="10" fontId="0" fillId="105" borderId="11" xfId="4" applyNumberFormat="1" applyFont="1" applyFill="1" applyBorder="1">
      <alignment vertical="center"/>
    </xf>
    <xf numFmtId="0" fontId="0" fillId="0" borderId="25" xfId="0" applyBorder="1">
      <alignment vertical="center"/>
    </xf>
    <xf numFmtId="10" fontId="0" fillId="0" borderId="1" xfId="4" applyNumberFormat="1" applyFont="1" applyBorder="1">
      <alignment vertical="center"/>
    </xf>
    <xf numFmtId="10" fontId="0" fillId="0" borderId="11" xfId="4" applyNumberFormat="1" applyFont="1" applyBorder="1">
      <alignment vertical="center"/>
    </xf>
    <xf numFmtId="9" fontId="39" fillId="104" borderId="20" xfId="0" applyNumberFormat="1" applyFont="1" applyFill="1" applyBorder="1">
      <alignment vertical="center"/>
    </xf>
    <xf numFmtId="0" fontId="40" fillId="0" borderId="0" xfId="0" applyFont="1" applyAlignment="1">
      <alignment horizontal="right" vertical="center"/>
    </xf>
    <xf numFmtId="10" fontId="41" fillId="0" borderId="0" xfId="4" applyNumberFormat="1" applyFont="1">
      <alignment vertical="center"/>
    </xf>
    <xf numFmtId="0" fontId="41" fillId="0" borderId="0" xfId="0" applyFont="1" applyAlignment="1">
      <alignment vertical="center" wrapText="1"/>
    </xf>
    <xf numFmtId="14" fontId="0" fillId="0" borderId="0" xfId="0" applyNumberFormat="1" applyAlignment="1"/>
    <xf numFmtId="14" fontId="17" fillId="0" borderId="0" xfId="0" applyNumberFormat="1" applyFont="1" applyAlignment="1">
      <alignment vertical="center" wrapText="1"/>
    </xf>
    <xf numFmtId="185" fontId="17" fillId="0" borderId="0" xfId="0" applyNumberFormat="1" applyFont="1" applyAlignment="1">
      <alignment vertical="center" wrapText="1"/>
    </xf>
    <xf numFmtId="0" fontId="17" fillId="0" borderId="0" xfId="0" applyFont="1" applyAlignment="1">
      <alignment vertical="center" wrapText="1"/>
    </xf>
    <xf numFmtId="10" fontId="17" fillId="0" borderId="0" xfId="0" applyNumberFormat="1" applyFont="1" applyAlignment="1">
      <alignment vertical="center" wrapText="1"/>
    </xf>
    <xf numFmtId="14" fontId="17" fillId="0" borderId="0" xfId="0" applyNumberFormat="1" applyFont="1" applyAlignment="1"/>
    <xf numFmtId="0" fontId="17" fillId="0" borderId="0" xfId="0" applyFont="1">
      <alignment vertical="center"/>
    </xf>
    <xf numFmtId="187" fontId="0" fillId="0" borderId="0" xfId="0" applyNumberFormat="1">
      <alignment vertical="center"/>
    </xf>
    <xf numFmtId="187" fontId="0" fillId="0" borderId="0" xfId="0" applyNumberFormat="1" applyAlignment="1">
      <alignment vertical="center" wrapText="1"/>
    </xf>
    <xf numFmtId="187" fontId="0" fillId="0" borderId="0" xfId="0" applyNumberFormat="1" applyAlignment="1"/>
    <xf numFmtId="0" fontId="0" fillId="0" borderId="0" xfId="0" applyAlignment="1">
      <alignment horizontal="left" vertical="center" wrapText="1"/>
    </xf>
    <xf numFmtId="0" fontId="0" fillId="0" borderId="0" xfId="0" applyAlignment="1"/>
    <xf numFmtId="0" fontId="0" fillId="0" borderId="0" xfId="0">
      <alignment vertical="center"/>
    </xf>
    <xf numFmtId="0" fontId="0" fillId="0" borderId="17" xfId="0" applyBorder="1" applyAlignment="1">
      <alignment horizontal="center" vertical="center"/>
    </xf>
    <xf numFmtId="0" fontId="0" fillId="0" borderId="20" xfId="0" applyBorder="1" applyAlignment="1"/>
    <xf numFmtId="0" fontId="0" fillId="0" borderId="17" xfId="0" applyBorder="1" applyAlignment="1"/>
    <xf numFmtId="0" fontId="22" fillId="13" borderId="7" xfId="3" applyFill="1" applyBorder="1" applyAlignment="1">
      <alignment horizontal="center" vertical="top" wrapText="1"/>
    </xf>
    <xf numFmtId="0" fontId="0" fillId="0" borderId="9" xfId="0" applyBorder="1" applyAlignment="1"/>
    <xf numFmtId="0" fontId="25" fillId="0" borderId="7" xfId="3" applyFont="1" applyBorder="1" applyAlignment="1">
      <alignment horizontal="center" vertical="top" wrapText="1"/>
    </xf>
    <xf numFmtId="0" fontId="25" fillId="41" borderId="7" xfId="3" applyFont="1" applyFill="1" applyBorder="1" applyAlignment="1">
      <alignment horizontal="center" vertical="top" wrapText="1"/>
    </xf>
    <xf numFmtId="0" fontId="25" fillId="24" borderId="7" xfId="3" applyFont="1" applyFill="1" applyBorder="1" applyAlignment="1">
      <alignment horizontal="left" vertical="top" wrapText="1" indent="2"/>
    </xf>
    <xf numFmtId="0" fontId="25" fillId="10" borderId="7" xfId="3" applyFont="1" applyFill="1" applyBorder="1" applyAlignment="1">
      <alignment horizontal="center" vertical="top" wrapText="1"/>
    </xf>
    <xf numFmtId="0" fontId="22" fillId="14" borderId="7" xfId="3" applyFill="1" applyBorder="1" applyAlignment="1">
      <alignment horizontal="center" vertical="top" wrapText="1"/>
    </xf>
    <xf numFmtId="0" fontId="25" fillId="54" borderId="7" xfId="3" applyFont="1" applyFill="1" applyBorder="1" applyAlignment="1">
      <alignment horizontal="left" vertical="top" wrapText="1" indent="5"/>
    </xf>
    <xf numFmtId="0" fontId="25" fillId="8" borderId="7" xfId="3" applyFont="1" applyFill="1" applyBorder="1" applyAlignment="1">
      <alignment horizontal="left" vertical="top" wrapText="1"/>
    </xf>
    <xf numFmtId="0" fontId="25" fillId="100" borderId="7" xfId="3" applyFont="1" applyFill="1" applyBorder="1" applyAlignment="1">
      <alignment horizontal="left" vertical="top" wrapText="1"/>
    </xf>
    <xf numFmtId="0" fontId="22" fillId="8" borderId="7" xfId="3" applyFill="1" applyBorder="1" applyAlignment="1">
      <alignment horizontal="center" vertical="top" wrapText="1"/>
    </xf>
    <xf numFmtId="0" fontId="22" fillId="0" borderId="7" xfId="3" applyBorder="1" applyAlignment="1">
      <alignment horizontal="center" vertical="top" wrapText="1"/>
    </xf>
    <xf numFmtId="0" fontId="25" fillId="21" borderId="7" xfId="3" applyFont="1" applyFill="1" applyBorder="1" applyAlignment="1">
      <alignment horizontal="left" vertical="top" wrapText="1" indent="4"/>
    </xf>
    <xf numFmtId="0" fontId="25" fillId="9" borderId="7" xfId="3" applyFont="1" applyFill="1" applyBorder="1" applyAlignment="1">
      <alignment horizontal="left" vertical="top" wrapText="1" indent="1"/>
    </xf>
    <xf numFmtId="0" fontId="25" fillId="69" borderId="7" xfId="3" applyFont="1" applyFill="1" applyBorder="1" applyAlignment="1">
      <alignment horizontal="center" vertical="top" wrapText="1"/>
    </xf>
    <xf numFmtId="0" fontId="25" fillId="14" borderId="7" xfId="3" applyFont="1" applyFill="1" applyBorder="1" applyAlignment="1">
      <alignment horizontal="left" vertical="top" wrapText="1" indent="2"/>
    </xf>
    <xf numFmtId="0" fontId="25" fillId="8" borderId="7" xfId="3" applyFont="1" applyFill="1" applyBorder="1" applyAlignment="1">
      <alignment horizontal="left" vertical="top" wrapText="1" indent="1"/>
    </xf>
    <xf numFmtId="0" fontId="25" fillId="0" borderId="7" xfId="3" applyFont="1" applyBorder="1" applyAlignment="1">
      <alignment horizontal="left" vertical="top" wrapText="1" indent="3"/>
    </xf>
    <xf numFmtId="1" fontId="29" fillId="76" borderId="7" xfId="3" applyNumberFormat="1" applyFont="1" applyFill="1" applyBorder="1" applyAlignment="1">
      <alignment horizontal="center" vertical="top" shrinkToFit="1"/>
    </xf>
    <xf numFmtId="0" fontId="25" fillId="85" borderId="7" xfId="3" applyFont="1" applyFill="1" applyBorder="1" applyAlignment="1">
      <alignment horizontal="left" vertical="top" wrapText="1" indent="5"/>
    </xf>
    <xf numFmtId="0" fontId="25" fillId="8" borderId="7" xfId="3" applyFont="1" applyFill="1" applyBorder="1" applyAlignment="1">
      <alignment horizontal="left" vertical="top" wrapText="1" indent="3"/>
    </xf>
    <xf numFmtId="0" fontId="23" fillId="5" borderId="3" xfId="3" applyFont="1" applyFill="1" applyBorder="1" applyAlignment="1">
      <alignment horizontal="center" vertical="top" wrapText="1"/>
    </xf>
    <xf numFmtId="0" fontId="0" fillId="0" borderId="3" xfId="0" applyBorder="1" applyAlignment="1"/>
    <xf numFmtId="0" fontId="25" fillId="45" borderId="9" xfId="3" applyFont="1" applyFill="1" applyBorder="1" applyAlignment="1">
      <alignment horizontal="center" vertical="top" wrapText="1"/>
    </xf>
    <xf numFmtId="0" fontId="25" fillId="0" borderId="7" xfId="3" applyFont="1" applyBorder="1" applyAlignment="1">
      <alignment horizontal="left" vertical="center" wrapText="1" indent="5"/>
    </xf>
    <xf numFmtId="0" fontId="25" fillId="24" borderId="7" xfId="3" applyFont="1" applyFill="1" applyBorder="1" applyAlignment="1">
      <alignment horizontal="left" vertical="top" wrapText="1"/>
    </xf>
    <xf numFmtId="0" fontId="22" fillId="8" borderId="7" xfId="3" applyFill="1" applyBorder="1" applyAlignment="1">
      <alignment horizontal="left" vertical="top" wrapText="1"/>
    </xf>
    <xf numFmtId="0" fontId="25" fillId="24" borderId="7" xfId="3" applyFont="1" applyFill="1" applyBorder="1" applyAlignment="1">
      <alignment horizontal="left" vertical="top" wrapText="1" indent="1"/>
    </xf>
    <xf numFmtId="0" fontId="25" fillId="59" borderId="7" xfId="3" applyFont="1" applyFill="1" applyBorder="1" applyAlignment="1">
      <alignment horizontal="left" vertical="top" wrapText="1" indent="3"/>
    </xf>
    <xf numFmtId="0" fontId="25" fillId="0" borderId="7" xfId="3" applyFont="1" applyBorder="1" applyAlignment="1">
      <alignment horizontal="left" vertical="center" wrapText="1" indent="2"/>
    </xf>
    <xf numFmtId="0" fontId="25" fillId="21" borderId="9" xfId="3" applyFont="1" applyFill="1" applyBorder="1" applyAlignment="1">
      <alignment horizontal="left" vertical="top" wrapText="1" indent="5"/>
    </xf>
    <xf numFmtId="0" fontId="25" fillId="0" borderId="7" xfId="3" applyFont="1" applyBorder="1" applyAlignment="1">
      <alignment horizontal="left" vertical="top" wrapText="1" indent="5"/>
    </xf>
    <xf numFmtId="0" fontId="25" fillId="10" borderId="6" xfId="3" applyFont="1" applyFill="1" applyBorder="1" applyAlignment="1">
      <alignment horizontal="center" vertical="top" wrapText="1"/>
    </xf>
    <xf numFmtId="0" fontId="0" fillId="0" borderId="4" xfId="0" applyBorder="1" applyAlignment="1"/>
    <xf numFmtId="0" fontId="25" fillId="15" borderId="7" xfId="3" applyFont="1" applyFill="1" applyBorder="1" applyAlignment="1">
      <alignment horizontal="left" vertical="top" wrapText="1" indent="2"/>
    </xf>
    <xf numFmtId="0" fontId="25" fillId="14" borderId="7" xfId="3" applyFont="1" applyFill="1" applyBorder="1" applyAlignment="1">
      <alignment horizontal="left" vertical="top" wrapText="1" indent="1"/>
    </xf>
    <xf numFmtId="0" fontId="25" fillId="14" borderId="7" xfId="3" applyFont="1" applyFill="1" applyBorder="1" applyAlignment="1">
      <alignment horizontal="center" vertical="top" wrapText="1"/>
    </xf>
    <xf numFmtId="0" fontId="25" fillId="8" borderId="7" xfId="3" applyFont="1" applyFill="1" applyBorder="1" applyAlignment="1">
      <alignment horizontal="center" vertical="top" wrapText="1"/>
    </xf>
    <xf numFmtId="0" fontId="25" fillId="45" borderId="7" xfId="3" applyFont="1" applyFill="1" applyBorder="1" applyAlignment="1">
      <alignment horizontal="left" vertical="top" wrapText="1" indent="3"/>
    </xf>
    <xf numFmtId="0" fontId="25" fillId="0" borderId="7" xfId="3" applyFont="1" applyBorder="1" applyAlignment="1">
      <alignment horizontal="left" vertical="top" wrapText="1" indent="2"/>
    </xf>
    <xf numFmtId="0" fontId="25" fillId="52" borderId="7" xfId="3" applyFont="1" applyFill="1" applyBorder="1" applyAlignment="1">
      <alignment horizontal="center" vertical="top" wrapText="1"/>
    </xf>
    <xf numFmtId="0" fontId="22" fillId="16" borderId="7" xfId="3" applyFill="1" applyBorder="1" applyAlignment="1">
      <alignment horizontal="left" vertical="top" wrapText="1"/>
    </xf>
    <xf numFmtId="0" fontId="25" fillId="55" borderId="7" xfId="3" applyFont="1" applyFill="1" applyBorder="1" applyAlignment="1">
      <alignment horizontal="center" vertical="top" wrapText="1"/>
    </xf>
    <xf numFmtId="0" fontId="25" fillId="7" borderId="7" xfId="3" applyFont="1" applyFill="1" applyBorder="1" applyAlignment="1">
      <alignment horizontal="left" vertical="top" wrapText="1" indent="3"/>
    </xf>
    <xf numFmtId="0" fontId="25" fillId="73" borderId="7" xfId="3" applyFont="1" applyFill="1" applyBorder="1" applyAlignment="1">
      <alignment horizontal="left" vertical="top" wrapText="1" indent="2"/>
    </xf>
    <xf numFmtId="0" fontId="25" fillId="86" borderId="7" xfId="3" applyFont="1" applyFill="1" applyBorder="1" applyAlignment="1">
      <alignment horizontal="left" vertical="top" wrapText="1" indent="5"/>
    </xf>
    <xf numFmtId="0" fontId="25" fillId="0" borderId="7" xfId="3" applyFont="1" applyBorder="1" applyAlignment="1">
      <alignment horizontal="center" vertical="center" wrapText="1"/>
    </xf>
    <xf numFmtId="0" fontId="25" fillId="9" borderId="7" xfId="3" applyFont="1" applyFill="1" applyBorder="1" applyAlignment="1">
      <alignment horizontal="left" vertical="top" wrapText="1"/>
    </xf>
    <xf numFmtId="0" fontId="25" fillId="0" borderId="7" xfId="3" applyFont="1" applyBorder="1" applyAlignment="1">
      <alignment horizontal="left" vertical="top" wrapText="1" indent="1"/>
    </xf>
    <xf numFmtId="0" fontId="25" fillId="0" borderId="7" xfId="3" applyFont="1" applyBorder="1" applyAlignment="1">
      <alignment horizontal="left" vertical="center" wrapText="1" indent="4"/>
    </xf>
    <xf numFmtId="0" fontId="25" fillId="15" borderId="7" xfId="3" applyFont="1" applyFill="1" applyBorder="1" applyAlignment="1">
      <alignment horizontal="center" vertical="top" wrapText="1"/>
    </xf>
    <xf numFmtId="0" fontId="25" fillId="96" borderId="7" xfId="3" applyFont="1" applyFill="1" applyBorder="1" applyAlignment="1">
      <alignment horizontal="left" vertical="top" wrapText="1" indent="5"/>
    </xf>
    <xf numFmtId="0" fontId="25" fillId="31" borderId="7" xfId="3" applyFont="1" applyFill="1" applyBorder="1" applyAlignment="1">
      <alignment horizontal="left" vertical="top" wrapText="1"/>
    </xf>
    <xf numFmtId="1" fontId="29" fillId="68" borderId="8" xfId="3" applyNumberFormat="1" applyFont="1" applyFill="1" applyBorder="1" applyAlignment="1">
      <alignment horizontal="left" vertical="top" shrinkToFit="1"/>
    </xf>
    <xf numFmtId="0" fontId="0" fillId="0" borderId="2" xfId="0" applyBorder="1" applyAlignment="1"/>
    <xf numFmtId="0" fontId="25" fillId="90" borderId="7" xfId="3" applyFont="1" applyFill="1" applyBorder="1" applyAlignment="1">
      <alignment horizontal="left" vertical="top" wrapText="1" indent="4"/>
    </xf>
    <xf numFmtId="0" fontId="25" fillId="0" borderId="7" xfId="3" applyFont="1" applyBorder="1" applyAlignment="1">
      <alignment horizontal="left" vertical="top" wrapText="1"/>
    </xf>
    <xf numFmtId="0" fontId="25" fillId="9" borderId="7" xfId="3" applyFont="1" applyFill="1" applyBorder="1" applyAlignment="1">
      <alignment horizontal="center" vertical="top" wrapText="1"/>
    </xf>
    <xf numFmtId="0" fontId="0" fillId="0" borderId="1" xfId="0" applyBorder="1" applyAlignment="1">
      <alignment horizontal="center" vertical="center"/>
    </xf>
    <xf numFmtId="0" fontId="0" fillId="0" borderId="22" xfId="0" applyBorder="1" applyAlignment="1"/>
    <xf numFmtId="0" fontId="0" fillId="0" borderId="23" xfId="0" applyBorder="1" applyAlignment="1"/>
    <xf numFmtId="0" fontId="0" fillId="0" borderId="0" xfId="0" applyAlignment="1">
      <alignment vertical="center"/>
    </xf>
  </cellXfs>
  <cellStyles count="5">
    <cellStyle name="百分比" xfId="4" builtinId="5"/>
    <cellStyle name="常规" xfId="0" builtinId="0"/>
    <cellStyle name="常规 2" xfId="2" xr:uid="{00000000-0005-0000-0000-000002000000}"/>
    <cellStyle name="常规 3" xfId="3" xr:uid="{00000000-0005-0000-0000-000003000000}"/>
    <cellStyle name="千位分隔" xfId="1" builtinId="3"/>
  </cellStyles>
  <dxfs count="410">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8"/>
      </font>
    </dxf>
    <dxf>
      <font>
        <color rgb="FFFF000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FF0000"/>
      </font>
    </dxf>
    <dxf>
      <font>
        <color theme="8"/>
      </font>
    </dxf>
    <dxf>
      <font>
        <color theme="8"/>
      </font>
    </dxf>
    <dxf>
      <font>
        <color rgb="FFFF0000"/>
      </font>
    </dxf>
    <dxf>
      <font>
        <color rgb="FFFF0000"/>
      </font>
    </dxf>
    <dxf>
      <font>
        <color theme="8"/>
      </font>
    </dxf>
    <dxf>
      <font>
        <color theme="8"/>
      </font>
    </dxf>
    <dxf>
      <font>
        <color rgb="FFFF0000"/>
      </font>
    </dxf>
    <dxf>
      <font>
        <color rgb="FFFF0000"/>
      </font>
    </dxf>
    <dxf>
      <font>
        <color theme="8"/>
      </font>
    </dxf>
    <dxf>
      <font>
        <color rgb="FF006100"/>
      </font>
      <fill>
        <patternFill>
          <bgColor rgb="FFC6EFCE"/>
        </patternFill>
      </fill>
    </dxf>
    <dxf>
      <font>
        <color theme="8"/>
      </font>
    </dxf>
    <dxf>
      <font>
        <color rgb="FFFF0000"/>
      </font>
    </dxf>
    <dxf>
      <font>
        <color theme="8"/>
      </font>
    </dxf>
    <dxf>
      <font>
        <color rgb="FFFF0000"/>
      </font>
    </dxf>
    <dxf>
      <font>
        <color rgb="FFFF0000"/>
      </font>
    </dxf>
    <dxf>
      <font>
        <color theme="8"/>
      </font>
    </dxf>
    <dxf>
      <font>
        <color theme="8"/>
      </font>
    </dxf>
    <dxf>
      <font>
        <color rgb="FFFF0000"/>
      </font>
    </dxf>
    <dxf>
      <font>
        <color theme="8"/>
      </font>
    </dxf>
    <dxf>
      <font>
        <color rgb="FFFF0000"/>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dxf>
    <dxf>
      <font>
        <color rgb="FFFF0000"/>
      </font>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dxf>
    <dxf>
      <font>
        <color rgb="FF006100"/>
      </font>
      <fill>
        <patternFill>
          <bgColor rgb="FFC6EFCE"/>
        </patternFill>
      </fill>
    </dxf>
    <dxf>
      <font>
        <color rgb="FF9C0006"/>
      </font>
    </dxf>
    <dxf>
      <font>
        <color rgb="FF006100"/>
      </font>
      <fill>
        <patternFill>
          <bgColor rgb="FFC6EFCE"/>
        </patternFill>
      </fill>
    </dxf>
    <dxf>
      <font>
        <color rgb="FF006100"/>
      </font>
      <fill>
        <patternFill>
          <bgColor rgb="FFC6EFCE"/>
        </patternFill>
      </fill>
    </dxf>
    <dxf>
      <font>
        <color rgb="FF9C0006"/>
      </font>
    </dxf>
    <dxf>
      <numFmt numFmtId="0" formatCode="General"/>
      <border outline="0">
        <left style="thin">
          <color indexed="64"/>
        </left>
        <right style="thin">
          <color indexed="64"/>
        </right>
        <top style="thin">
          <color indexed="64"/>
        </top>
        <bottom style="thin">
          <color indexed="64"/>
        </bottom>
      </border>
    </dxf>
    <dxf>
      <numFmt numFmtId="0" formatCode="General"/>
      <border outline="0">
        <left style="thin">
          <color indexed="64"/>
        </left>
        <right style="thin">
          <color indexed="64"/>
        </right>
        <top style="thin">
          <color indexed="64"/>
        </top>
        <bottom style="thin">
          <color indexed="64"/>
        </bottom>
      </border>
    </dxf>
    <dxf>
      <numFmt numFmtId="14" formatCode="0.00%"/>
      <border outline="0">
        <left style="thin">
          <color indexed="64"/>
        </left>
        <right style="thin">
          <color indexed="64"/>
        </right>
        <top style="thin">
          <color indexed="64"/>
        </top>
        <bottom style="thin">
          <color indexed="64"/>
        </bottom>
      </border>
    </dxf>
    <dxf>
      <numFmt numFmtId="14" formatCode="0.00%"/>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border outline="0">
        <left style="thin">
          <color indexed="64"/>
        </left>
        <right/>
        <top style="thin">
          <color indexed="64"/>
        </top>
        <bottom style="thin">
          <color indexed="64"/>
        </bottom>
      </border>
    </dxf>
    <dxf>
      <numFmt numFmtId="14" formatCode="0.00%"/>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border>
        <bottom style="thin">
          <color indexed="64"/>
        </bottom>
      </border>
    </dxf>
    <dxf>
      <numFmt numFmtId="13" formatCode="0%"/>
      <border>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18</xdr:col>
      <xdr:colOff>368300</xdr:colOff>
      <xdr:row>152</xdr:row>
      <xdr:rowOff>69850</xdr:rowOff>
    </xdr:from>
    <xdr:to>
      <xdr:col>32</xdr:col>
      <xdr:colOff>116351</xdr:colOff>
      <xdr:row>187</xdr:row>
      <xdr:rowOff>18145</xdr:rowOff>
    </xdr:to>
    <xdr:pic>
      <xdr:nvPicPr>
        <xdr:cNvPr id="2" name="图片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15754350" y="1847850"/>
          <a:ext cx="8993651" cy="723809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50800</xdr:colOff>
      <xdr:row>13</xdr:row>
      <xdr:rowOff>69850</xdr:rowOff>
    </xdr:from>
    <xdr:to>
      <xdr:col>24</xdr:col>
      <xdr:colOff>39790</xdr:colOff>
      <xdr:row>42</xdr:row>
      <xdr:rowOff>104126</xdr:rowOff>
    </xdr:to>
    <xdr:pic>
      <xdr:nvPicPr>
        <xdr:cNvPr id="2" name="图片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4445000" y="2381250"/>
          <a:ext cx="11876190" cy="5190476"/>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358776</xdr:colOff>
      <xdr:row>19</xdr:row>
      <xdr:rowOff>215900</xdr:rowOff>
    </xdr:from>
    <xdr:to>
      <xdr:col>11</xdr:col>
      <xdr:colOff>1870</xdr:colOff>
      <xdr:row>38</xdr:row>
      <xdr:rowOff>15875</xdr:rowOff>
    </xdr:to>
    <xdr:pic>
      <xdr:nvPicPr>
        <xdr:cNvPr id="2" name="图片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1495426" y="4870450"/>
          <a:ext cx="10031694" cy="4260850"/>
        </a:xfrm>
        <a:prstGeom prst="rect">
          <a:avLst/>
        </a:prstGeom>
        <a:ln>
          <a:prstDash val="solid"/>
        </a:ln>
      </xdr:spPr>
    </xdr:pic>
    <xdr:clientData/>
  </xdr:twoCellAnchor>
  <xdr:twoCellAnchor editAs="oneCell">
    <xdr:from>
      <xdr:col>1</xdr:col>
      <xdr:colOff>0</xdr:colOff>
      <xdr:row>40</xdr:row>
      <xdr:rowOff>0</xdr:rowOff>
    </xdr:from>
    <xdr:to>
      <xdr:col>10</xdr:col>
      <xdr:colOff>628650</xdr:colOff>
      <xdr:row>52</xdr:row>
      <xdr:rowOff>109850</xdr:rowOff>
    </xdr:to>
    <xdr:pic>
      <xdr:nvPicPr>
        <xdr:cNvPr id="3" name="图片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2"/>
        <a:stretch>
          <a:fillRect/>
        </a:stretch>
      </xdr:blipFill>
      <xdr:spPr>
        <a:xfrm>
          <a:off x="685800" y="9582150"/>
          <a:ext cx="10782300" cy="2846700"/>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1</xdr:row>
      <xdr:rowOff>0</xdr:rowOff>
    </xdr:from>
    <xdr:to>
      <xdr:col>19</xdr:col>
      <xdr:colOff>389619</xdr:colOff>
      <xdr:row>10</xdr:row>
      <xdr:rowOff>104555</xdr:rowOff>
    </xdr:to>
    <xdr:pic>
      <xdr:nvPicPr>
        <xdr:cNvPr id="2" name="图片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stretch>
          <a:fillRect/>
        </a:stretch>
      </xdr:blipFill>
      <xdr:spPr>
        <a:xfrm>
          <a:off x="6261100" y="184150"/>
          <a:ext cx="7247619" cy="1761905"/>
        </a:xfrm>
        <a:prstGeom prst="rect">
          <a:avLst/>
        </a:prstGeom>
        <a:ln>
          <a:prstDash val="solid"/>
        </a:ln>
      </xdr:spPr>
    </xdr:pic>
    <xdr:clientData/>
  </xdr:twoCellAnchor>
  <xdr:twoCellAnchor editAs="oneCell">
    <xdr:from>
      <xdr:col>9</xdr:col>
      <xdr:colOff>19050</xdr:colOff>
      <xdr:row>13</xdr:row>
      <xdr:rowOff>63501</xdr:rowOff>
    </xdr:from>
    <xdr:to>
      <xdr:col>17</xdr:col>
      <xdr:colOff>562386</xdr:colOff>
      <xdr:row>22</xdr:row>
      <xdr:rowOff>136526</xdr:rowOff>
    </xdr:to>
    <xdr:pic>
      <xdr:nvPicPr>
        <xdr:cNvPr id="3" name="图片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2"/>
        <a:stretch>
          <a:fillRect/>
        </a:stretch>
      </xdr:blipFill>
      <xdr:spPr>
        <a:xfrm>
          <a:off x="6280150" y="2089151"/>
          <a:ext cx="6029736" cy="1730375"/>
        </a:xfrm>
        <a:prstGeom prst="rect">
          <a:avLst/>
        </a:prstGeom>
        <a:ln>
          <a:prstDash val="solid"/>
        </a:ln>
      </xdr:spPr>
    </xdr:pic>
    <xdr:clientData/>
  </xdr:twoCellAnchor>
  <xdr:twoCellAnchor editAs="oneCell">
    <xdr:from>
      <xdr:col>9</xdr:col>
      <xdr:colOff>0</xdr:colOff>
      <xdr:row>26</xdr:row>
      <xdr:rowOff>1</xdr:rowOff>
    </xdr:from>
    <xdr:to>
      <xdr:col>18</xdr:col>
      <xdr:colOff>478271</xdr:colOff>
      <xdr:row>32</xdr:row>
      <xdr:rowOff>82551</xdr:rowOff>
    </xdr:to>
    <xdr:pic>
      <xdr:nvPicPr>
        <xdr:cNvPr id="4" name="图片 3">
          <a:extLst>
            <a:ext uri="{FF2B5EF4-FFF2-40B4-BE49-F238E27FC236}">
              <a16:creationId xmlns:a16="http://schemas.microsoft.com/office/drawing/2014/main" id="{00000000-0008-0000-1D00-000004000000}"/>
            </a:ext>
          </a:extLst>
        </xdr:cNvPr>
        <xdr:cNvPicPr>
          <a:picLocks noChangeAspect="1"/>
        </xdr:cNvPicPr>
      </xdr:nvPicPr>
      <xdr:blipFill>
        <a:blip xmlns:r="http://schemas.openxmlformats.org/officeDocument/2006/relationships" r:embed="rId3"/>
        <a:stretch>
          <a:fillRect/>
        </a:stretch>
      </xdr:blipFill>
      <xdr:spPr>
        <a:xfrm>
          <a:off x="6261100" y="3867151"/>
          <a:ext cx="6650471" cy="1187450"/>
        </a:xfrm>
        <a:prstGeom prst="rect">
          <a:avLst/>
        </a:prstGeom>
        <a:ln>
          <a:prstDash val="solid"/>
        </a:ln>
      </xdr:spPr>
    </xdr:pic>
    <xdr:clientData/>
  </xdr:twoCellAnchor>
  <xdr:twoCellAnchor editAs="oneCell">
    <xdr:from>
      <xdr:col>0</xdr:col>
      <xdr:colOff>0</xdr:colOff>
      <xdr:row>34</xdr:row>
      <xdr:rowOff>12701</xdr:rowOff>
    </xdr:from>
    <xdr:to>
      <xdr:col>8</xdr:col>
      <xdr:colOff>338193</xdr:colOff>
      <xdr:row>54</xdr:row>
      <xdr:rowOff>146051</xdr:rowOff>
    </xdr:to>
    <xdr:pic>
      <xdr:nvPicPr>
        <xdr:cNvPr id="6" name="图片 5">
          <a:extLst>
            <a:ext uri="{FF2B5EF4-FFF2-40B4-BE49-F238E27FC236}">
              <a16:creationId xmlns:a16="http://schemas.microsoft.com/office/drawing/2014/main" id="{00000000-0008-0000-1D00-000006000000}"/>
            </a:ext>
          </a:extLst>
        </xdr:cNvPr>
        <xdr:cNvPicPr>
          <a:picLocks noChangeAspect="1"/>
        </xdr:cNvPicPr>
      </xdr:nvPicPr>
      <xdr:blipFill>
        <a:blip xmlns:r="http://schemas.openxmlformats.org/officeDocument/2006/relationships" r:embed="rId4"/>
        <a:stretch>
          <a:fillRect/>
        </a:stretch>
      </xdr:blipFill>
      <xdr:spPr>
        <a:xfrm>
          <a:off x="0" y="5168901"/>
          <a:ext cx="5729343" cy="3689350"/>
        </a:xfrm>
        <a:prstGeom prst="rect">
          <a:avLst/>
        </a:prstGeom>
        <a:ln>
          <a:prstDash val="solid"/>
        </a:ln>
      </xdr:spPr>
    </xdr:pic>
    <xdr:clientData/>
  </xdr:twoCellAnchor>
  <xdr:twoCellAnchor editAs="oneCell">
    <xdr:from>
      <xdr:col>20</xdr:col>
      <xdr:colOff>0</xdr:colOff>
      <xdr:row>28</xdr:row>
      <xdr:rowOff>0</xdr:rowOff>
    </xdr:from>
    <xdr:to>
      <xdr:col>30</xdr:col>
      <xdr:colOff>45447</xdr:colOff>
      <xdr:row>45</xdr:row>
      <xdr:rowOff>158750</xdr:rowOff>
    </xdr:to>
    <xdr:pic>
      <xdr:nvPicPr>
        <xdr:cNvPr id="7" name="图片 6">
          <a:extLst>
            <a:ext uri="{FF2B5EF4-FFF2-40B4-BE49-F238E27FC236}">
              <a16:creationId xmlns:a16="http://schemas.microsoft.com/office/drawing/2014/main" id="{00000000-0008-0000-1D00-000007000000}"/>
            </a:ext>
          </a:extLst>
        </xdr:cNvPr>
        <xdr:cNvPicPr>
          <a:picLocks noChangeAspect="1"/>
        </xdr:cNvPicPr>
      </xdr:nvPicPr>
      <xdr:blipFill>
        <a:blip xmlns:r="http://schemas.openxmlformats.org/officeDocument/2006/relationships" r:embed="rId5"/>
        <a:stretch>
          <a:fillRect/>
        </a:stretch>
      </xdr:blipFill>
      <xdr:spPr>
        <a:xfrm>
          <a:off x="13315950" y="4267200"/>
          <a:ext cx="6649447" cy="3181350"/>
        </a:xfrm>
        <a:prstGeom prst="rect">
          <a:avLst/>
        </a:prstGeom>
        <a:ln>
          <a:prstDash val="solid"/>
        </a:ln>
      </xdr:spPr>
    </xdr:pic>
    <xdr:clientData/>
  </xdr:twoCellAnchor>
  <xdr:twoCellAnchor editAs="oneCell">
    <xdr:from>
      <xdr:col>15</xdr:col>
      <xdr:colOff>82551</xdr:colOff>
      <xdr:row>44</xdr:row>
      <xdr:rowOff>101600</xdr:rowOff>
    </xdr:from>
    <xdr:to>
      <xdr:col>24</xdr:col>
      <xdr:colOff>445385</xdr:colOff>
      <xdr:row>62</xdr:row>
      <xdr:rowOff>171450</xdr:rowOff>
    </xdr:to>
    <xdr:pic>
      <xdr:nvPicPr>
        <xdr:cNvPr id="8" name="图片 7">
          <a:extLst>
            <a:ext uri="{FF2B5EF4-FFF2-40B4-BE49-F238E27FC236}">
              <a16:creationId xmlns:a16="http://schemas.microsoft.com/office/drawing/2014/main" id="{00000000-0008-0000-1D00-000008000000}"/>
            </a:ext>
          </a:extLst>
        </xdr:cNvPr>
        <xdr:cNvPicPr>
          <a:picLocks noChangeAspect="1"/>
        </xdr:cNvPicPr>
      </xdr:nvPicPr>
      <xdr:blipFill>
        <a:blip xmlns:r="http://schemas.openxmlformats.org/officeDocument/2006/relationships" r:embed="rId6"/>
        <a:stretch>
          <a:fillRect/>
        </a:stretch>
      </xdr:blipFill>
      <xdr:spPr>
        <a:xfrm>
          <a:off x="10096501" y="7213600"/>
          <a:ext cx="6306434" cy="3270250"/>
        </a:xfrm>
        <a:prstGeom prst="rect">
          <a:avLst/>
        </a:prstGeom>
        <a:ln>
          <a:prstDash val="solid"/>
        </a:ln>
      </xdr:spPr>
    </xdr:pic>
    <xdr:clientData/>
  </xdr:twoCellAnchor>
  <xdr:twoCellAnchor editAs="oneCell">
    <xdr:from>
      <xdr:col>9</xdr:col>
      <xdr:colOff>0</xdr:colOff>
      <xdr:row>40</xdr:row>
      <xdr:rowOff>95250</xdr:rowOff>
    </xdr:from>
    <xdr:to>
      <xdr:col>14</xdr:col>
      <xdr:colOff>451659</xdr:colOff>
      <xdr:row>50</xdr:row>
      <xdr:rowOff>25400</xdr:rowOff>
    </xdr:to>
    <xdr:pic>
      <xdr:nvPicPr>
        <xdr:cNvPr id="9" name="图片 8">
          <a:extLst>
            <a:ext uri="{FF2B5EF4-FFF2-40B4-BE49-F238E27FC236}">
              <a16:creationId xmlns:a16="http://schemas.microsoft.com/office/drawing/2014/main" id="{00000000-0008-0000-1D00-000009000000}"/>
            </a:ext>
          </a:extLst>
        </xdr:cNvPr>
        <xdr:cNvPicPr>
          <a:picLocks noChangeAspect="1"/>
        </xdr:cNvPicPr>
      </xdr:nvPicPr>
      <xdr:blipFill>
        <a:blip xmlns:r="http://schemas.openxmlformats.org/officeDocument/2006/relationships" r:embed="rId7"/>
        <a:stretch>
          <a:fillRect/>
        </a:stretch>
      </xdr:blipFill>
      <xdr:spPr>
        <a:xfrm>
          <a:off x="6051550" y="6496050"/>
          <a:ext cx="3753659" cy="1708150"/>
        </a:xfrm>
        <a:prstGeom prst="rect">
          <a:avLst/>
        </a:prstGeom>
        <a:ln>
          <a:prstDash val="solid"/>
        </a:ln>
      </xdr:spPr>
    </xdr:pic>
    <xdr:clientData/>
  </xdr:twoCellAnchor>
  <xdr:twoCellAnchor editAs="oneCell">
    <xdr:from>
      <xdr:col>0</xdr:col>
      <xdr:colOff>469901</xdr:colOff>
      <xdr:row>57</xdr:row>
      <xdr:rowOff>133350</xdr:rowOff>
    </xdr:from>
    <xdr:to>
      <xdr:col>5</xdr:col>
      <xdr:colOff>82551</xdr:colOff>
      <xdr:row>72</xdr:row>
      <xdr:rowOff>58023</xdr:rowOff>
    </xdr:to>
    <xdr:pic>
      <xdr:nvPicPr>
        <xdr:cNvPr id="5" name="图片 4">
          <a:extLst>
            <a:ext uri="{FF2B5EF4-FFF2-40B4-BE49-F238E27FC236}">
              <a16:creationId xmlns:a16="http://schemas.microsoft.com/office/drawing/2014/main" id="{00000000-0008-0000-1D00-000005000000}"/>
            </a:ext>
          </a:extLst>
        </xdr:cNvPr>
        <xdr:cNvPicPr>
          <a:picLocks noChangeAspect="1"/>
        </xdr:cNvPicPr>
      </xdr:nvPicPr>
      <xdr:blipFill>
        <a:blip xmlns:r="http://schemas.openxmlformats.org/officeDocument/2006/relationships" r:embed="rId8"/>
        <a:stretch>
          <a:fillRect/>
        </a:stretch>
      </xdr:blipFill>
      <xdr:spPr>
        <a:xfrm>
          <a:off x="469901" y="9556750"/>
          <a:ext cx="3022600" cy="2591673"/>
        </a:xfrm>
        <a:prstGeom prst="rect">
          <a:avLst/>
        </a:prstGeom>
        <a:ln>
          <a:prstDash val="solid"/>
        </a:ln>
      </xdr:spPr>
    </xdr:pic>
    <xdr:clientData/>
  </xdr:twoCellAnchor>
  <xdr:twoCellAnchor editAs="oneCell">
    <xdr:from>
      <xdr:col>15</xdr:col>
      <xdr:colOff>63501</xdr:colOff>
      <xdr:row>63</xdr:row>
      <xdr:rowOff>139700</xdr:rowOff>
    </xdr:from>
    <xdr:to>
      <xdr:col>24</xdr:col>
      <xdr:colOff>368300</xdr:colOff>
      <xdr:row>81</xdr:row>
      <xdr:rowOff>172302</xdr:rowOff>
    </xdr:to>
    <xdr:pic>
      <xdr:nvPicPr>
        <xdr:cNvPr id="10" name="图片 9">
          <a:extLst>
            <a:ext uri="{FF2B5EF4-FFF2-40B4-BE49-F238E27FC236}">
              <a16:creationId xmlns:a16="http://schemas.microsoft.com/office/drawing/2014/main" id="{00000000-0008-0000-1D00-00000A000000}"/>
            </a:ext>
          </a:extLst>
        </xdr:cNvPr>
        <xdr:cNvPicPr>
          <a:picLocks noChangeAspect="1"/>
        </xdr:cNvPicPr>
      </xdr:nvPicPr>
      <xdr:blipFill>
        <a:blip xmlns:r="http://schemas.openxmlformats.org/officeDocument/2006/relationships" r:embed="rId9"/>
        <a:stretch>
          <a:fillRect/>
        </a:stretch>
      </xdr:blipFill>
      <xdr:spPr>
        <a:xfrm>
          <a:off x="10077451" y="11163300"/>
          <a:ext cx="6248399" cy="3233002"/>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1" displayName="表1" ref="A1:V22" totalsRowShown="0" headerRowDxfId="409" headerRowBorderDxfId="408" tableBorderDxfId="407" totalsRowBorderDxfId="406">
  <tableColumns count="22">
    <tableColumn id="1" xr3:uid="{00000000-0010-0000-0000-000001000000}" name="年份" dataDxfId="405"/>
    <tableColumn id="2" xr3:uid="{00000000-0010-0000-0000-000002000000}" name="&lt;-50%" dataDxfId="404"/>
    <tableColumn id="3" xr3:uid="{00000000-0010-0000-0000-000003000000}" name="&lt;-40%" dataDxfId="403"/>
    <tableColumn id="4" xr3:uid="{00000000-0010-0000-0000-000004000000}" name="&lt;-30%" dataDxfId="402"/>
    <tableColumn id="5" xr3:uid="{00000000-0010-0000-0000-000005000000}" name="&lt;-20%" dataDxfId="401"/>
    <tableColumn id="6" xr3:uid="{00000000-0010-0000-0000-000006000000}" name="&lt;0%" dataDxfId="400"/>
    <tableColumn id="7" xr3:uid="{00000000-0010-0000-0000-000007000000}" name="&lt;20%" dataDxfId="399"/>
    <tableColumn id="8" xr3:uid="{00000000-0010-0000-0000-000008000000}" name="&lt;50%" dataDxfId="398"/>
    <tableColumn id="9" xr3:uid="{00000000-0010-0000-0000-000009000000}" name="&lt;100%" dataDxfId="397"/>
    <tableColumn id="10" xr3:uid="{00000000-0010-0000-0000-00000A000000}" name="&lt;200%" dataDxfId="396"/>
    <tableColumn id="11" xr3:uid="{00000000-0010-0000-0000-00000B000000}" name="&lt;500%" dataDxfId="395"/>
    <tableColumn id="12" xr3:uid="{00000000-0010-0000-0000-00000C000000}" name="&lt;1000%" dataDxfId="394"/>
    <tableColumn id="13" xr3:uid="{00000000-0010-0000-0000-00000D000000}" name="&lt;10000%" dataDxfId="393"/>
    <tableColumn id="14" xr3:uid="{00000000-0010-0000-0000-00000E000000}" name="总股票数" dataDxfId="392">
      <calculatedColumnFormula>SUM(B2:M2)</calculatedColumnFormula>
    </tableColumn>
    <tableColumn id="17" xr3:uid="{00000000-0010-0000-0000-000011000000}" name="下跌20%比例" dataDxfId="391">
      <calculatedColumnFormula>SUM(表1[[#This Row],[&lt;-50%]:[&lt;-20%]])/表1[[#This Row],[总股票数]]</calculatedColumnFormula>
    </tableColumn>
    <tableColumn id="15" xr3:uid="{00000000-0010-0000-0000-00000F000000}" name="下跌比例" dataDxfId="390" dataCellStyle="百分比">
      <calculatedColumnFormula>SUM(B2:F2)/N2</calculatedColumnFormula>
    </tableColumn>
    <tableColumn id="16" xr3:uid="{00000000-0010-0000-0000-000010000000}" name="涨超100比例" dataDxfId="389" dataCellStyle="百分比">
      <calculatedColumnFormula>SUM(J2:M2)/N2</calculatedColumnFormula>
    </tableColumn>
    <tableColumn id="18" xr3:uid="{00000000-0010-0000-0000-000012000000}" name="微盘收益" dataDxfId="388" dataCellStyle="百分比"/>
    <tableColumn id="19" xr3:uid="{00000000-0010-0000-0000-000013000000}" name="微盘β" dataDxfId="387" dataCellStyle="百分比"/>
    <tableColumn id="20" xr3:uid="{00000000-0010-0000-0000-000014000000}" name="微盘α" dataDxfId="386" dataCellStyle="百分比">
      <calculatedColumnFormula>表1[[#This Row],[微盘收益]]-表1[[#This Row],[微盘β]]</calculatedColumnFormula>
    </tableColumn>
    <tableColumn id="22" xr3:uid="{00000000-0010-0000-0000-000016000000}" name="平均市值" dataDxfId="385" dataCellStyle="百分比"/>
    <tableColumn id="21" xr3:uid="{00000000-0010-0000-0000-000015000000}" name="年份2" dataDxfId="384" dataCellStyle="百分比"/>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B1:I20"/>
  <sheetViews>
    <sheetView workbookViewId="0">
      <selection activeCell="K15" sqref="K15"/>
    </sheetView>
  </sheetViews>
  <sheetFormatPr defaultRowHeight="14" x14ac:dyDescent="0.3"/>
  <cols>
    <col min="5" max="5" width="31.58203125" style="8" customWidth="1"/>
    <col min="6" max="6" width="20.58203125" style="350" customWidth="1"/>
    <col min="9" max="9" width="16.83203125" style="8" customWidth="1"/>
  </cols>
  <sheetData>
    <row r="1" spans="2:9" x14ac:dyDescent="0.3">
      <c r="F1" t="s">
        <v>228</v>
      </c>
      <c r="H1" t="s">
        <v>229</v>
      </c>
    </row>
    <row r="2" spans="2:9" ht="42" customHeight="1" x14ac:dyDescent="0.3">
      <c r="B2" s="8">
        <v>600136</v>
      </c>
      <c r="C2" s="8" t="s">
        <v>230</v>
      </c>
      <c r="D2" s="8" t="s">
        <v>231</v>
      </c>
      <c r="E2" s="8" t="s">
        <v>232</v>
      </c>
      <c r="F2" s="8" t="s">
        <v>233</v>
      </c>
      <c r="G2" s="8" t="s">
        <v>234</v>
      </c>
      <c r="H2" s="8" t="s">
        <v>235</v>
      </c>
    </row>
    <row r="3" spans="2:9" x14ac:dyDescent="0.3">
      <c r="B3">
        <v>600165</v>
      </c>
      <c r="C3" t="s">
        <v>236</v>
      </c>
      <c r="D3" t="s">
        <v>237</v>
      </c>
      <c r="E3" s="8" t="s">
        <v>238</v>
      </c>
      <c r="F3" t="s">
        <v>239</v>
      </c>
      <c r="H3" t="s">
        <v>240</v>
      </c>
    </row>
    <row r="4" spans="2:9" ht="28" customHeight="1" x14ac:dyDescent="0.3">
      <c r="B4">
        <v>600190</v>
      </c>
      <c r="C4" t="s">
        <v>241</v>
      </c>
      <c r="D4" t="s">
        <v>242</v>
      </c>
      <c r="E4" s="8" t="s">
        <v>243</v>
      </c>
      <c r="F4" t="s">
        <v>244</v>
      </c>
      <c r="H4" t="s">
        <v>245</v>
      </c>
    </row>
    <row r="5" spans="2:9" ht="42" customHeight="1" x14ac:dyDescent="0.3">
      <c r="B5">
        <v>600234</v>
      </c>
      <c r="C5" t="s">
        <v>246</v>
      </c>
      <c r="D5" t="s">
        <v>237</v>
      </c>
      <c r="E5" s="8" t="s">
        <v>247</v>
      </c>
      <c r="F5" t="s">
        <v>248</v>
      </c>
      <c r="G5" t="s">
        <v>234</v>
      </c>
      <c r="H5" t="s">
        <v>235</v>
      </c>
      <c r="I5" s="8" t="s">
        <v>249</v>
      </c>
    </row>
    <row r="6" spans="2:9" ht="28" customHeight="1" x14ac:dyDescent="0.3">
      <c r="B6">
        <v>600243</v>
      </c>
      <c r="C6" t="s">
        <v>250</v>
      </c>
      <c r="D6" t="s">
        <v>237</v>
      </c>
      <c r="E6" s="8" t="s">
        <v>251</v>
      </c>
      <c r="F6" t="s">
        <v>252</v>
      </c>
      <c r="G6" t="s">
        <v>234</v>
      </c>
      <c r="H6" t="s">
        <v>235</v>
      </c>
      <c r="I6" s="8" t="s">
        <v>253</v>
      </c>
    </row>
    <row r="7" spans="2:9" ht="28" customHeight="1" x14ac:dyDescent="0.3">
      <c r="B7">
        <v>600287</v>
      </c>
      <c r="C7" t="s">
        <v>254</v>
      </c>
      <c r="D7" t="s">
        <v>255</v>
      </c>
      <c r="E7" s="8" t="s">
        <v>256</v>
      </c>
      <c r="F7" t="s">
        <v>248</v>
      </c>
      <c r="G7" t="s">
        <v>234</v>
      </c>
      <c r="H7" t="s">
        <v>235</v>
      </c>
      <c r="I7" s="8" t="s">
        <v>257</v>
      </c>
    </row>
    <row r="8" spans="2:9" ht="28" customHeight="1" x14ac:dyDescent="0.3">
      <c r="B8">
        <v>600289</v>
      </c>
      <c r="C8" t="s">
        <v>258</v>
      </c>
      <c r="D8" t="s">
        <v>237</v>
      </c>
      <c r="E8" s="8" t="s">
        <v>259</v>
      </c>
      <c r="F8" t="s">
        <v>260</v>
      </c>
      <c r="H8" t="s">
        <v>235</v>
      </c>
      <c r="I8" s="8" t="s">
        <v>261</v>
      </c>
    </row>
    <row r="9" spans="2:9" ht="28" customHeight="1" x14ac:dyDescent="0.3">
      <c r="B9">
        <v>600358</v>
      </c>
      <c r="C9" t="s">
        <v>262</v>
      </c>
      <c r="D9" t="s">
        <v>263</v>
      </c>
      <c r="E9" s="8" t="s">
        <v>264</v>
      </c>
      <c r="F9" t="s">
        <v>265</v>
      </c>
      <c r="H9" t="s">
        <v>235</v>
      </c>
      <c r="I9" s="8" t="s">
        <v>266</v>
      </c>
    </row>
    <row r="10" spans="2:9" ht="42" customHeight="1" x14ac:dyDescent="0.3">
      <c r="B10">
        <v>600360</v>
      </c>
      <c r="C10" t="s">
        <v>267</v>
      </c>
      <c r="D10" t="s">
        <v>237</v>
      </c>
      <c r="E10" s="8" t="s">
        <v>268</v>
      </c>
      <c r="F10" t="s">
        <v>269</v>
      </c>
      <c r="H10" t="s">
        <v>270</v>
      </c>
      <c r="I10" s="8" t="s">
        <v>271</v>
      </c>
    </row>
    <row r="11" spans="2:9" x14ac:dyDescent="0.3">
      <c r="B11">
        <v>600365</v>
      </c>
      <c r="C11" t="s">
        <v>272</v>
      </c>
      <c r="D11" t="s">
        <v>237</v>
      </c>
      <c r="E11" s="8" t="s">
        <v>273</v>
      </c>
      <c r="F11" t="s">
        <v>260</v>
      </c>
      <c r="H11" t="s">
        <v>235</v>
      </c>
    </row>
    <row r="12" spans="2:9" ht="28" customHeight="1" x14ac:dyDescent="0.3">
      <c r="B12">
        <v>600381</v>
      </c>
      <c r="C12" t="s">
        <v>274</v>
      </c>
      <c r="D12" t="s">
        <v>237</v>
      </c>
      <c r="E12" s="8" t="s">
        <v>275</v>
      </c>
      <c r="F12" t="s">
        <v>276</v>
      </c>
      <c r="G12" t="s">
        <v>234</v>
      </c>
    </row>
    <row r="13" spans="2:9" ht="28" customHeight="1" x14ac:dyDescent="0.3">
      <c r="B13">
        <v>2289</v>
      </c>
      <c r="C13" t="s">
        <v>277</v>
      </c>
      <c r="D13" t="s">
        <v>237</v>
      </c>
      <c r="E13" s="8" t="s">
        <v>278</v>
      </c>
      <c r="F13" t="s">
        <v>279</v>
      </c>
      <c r="G13" t="s">
        <v>234</v>
      </c>
      <c r="H13" t="s">
        <v>235</v>
      </c>
      <c r="I13" s="8" t="s">
        <v>280</v>
      </c>
    </row>
    <row r="14" spans="2:9" x14ac:dyDescent="0.3">
      <c r="B14">
        <v>600387</v>
      </c>
      <c r="C14" t="s">
        <v>281</v>
      </c>
      <c r="D14" t="s">
        <v>282</v>
      </c>
      <c r="E14" s="8" t="s">
        <v>283</v>
      </c>
      <c r="H14" t="s">
        <v>245</v>
      </c>
    </row>
    <row r="15" spans="2:9" ht="28" customHeight="1" x14ac:dyDescent="0.3">
      <c r="B15">
        <v>600462</v>
      </c>
      <c r="C15" t="s">
        <v>284</v>
      </c>
      <c r="D15" t="s">
        <v>237</v>
      </c>
      <c r="E15" s="8" t="s">
        <v>285</v>
      </c>
      <c r="H15" t="s">
        <v>270</v>
      </c>
    </row>
    <row r="16" spans="2:9" x14ac:dyDescent="0.3">
      <c r="B16">
        <v>600568</v>
      </c>
      <c r="C16" t="s">
        <v>286</v>
      </c>
      <c r="D16" t="s">
        <v>242</v>
      </c>
      <c r="E16" s="8" t="s">
        <v>287</v>
      </c>
      <c r="F16" t="s">
        <v>288</v>
      </c>
      <c r="G16" t="s">
        <v>234</v>
      </c>
      <c r="H16" t="s">
        <v>235</v>
      </c>
    </row>
    <row r="17" spans="2:9" ht="42" customHeight="1" x14ac:dyDescent="0.3">
      <c r="B17">
        <v>600599</v>
      </c>
      <c r="C17" t="s">
        <v>289</v>
      </c>
      <c r="D17" t="s">
        <v>237</v>
      </c>
      <c r="E17" s="8" t="s">
        <v>290</v>
      </c>
      <c r="F17" t="s">
        <v>291</v>
      </c>
      <c r="G17" t="s">
        <v>234</v>
      </c>
      <c r="H17" t="s">
        <v>235</v>
      </c>
    </row>
    <row r="18" spans="2:9" x14ac:dyDescent="0.3">
      <c r="B18">
        <v>600603</v>
      </c>
      <c r="C18" t="s">
        <v>292</v>
      </c>
      <c r="D18" t="s">
        <v>237</v>
      </c>
      <c r="E18" s="8" t="s">
        <v>293</v>
      </c>
      <c r="F18" t="s">
        <v>294</v>
      </c>
      <c r="H18" t="s">
        <v>235</v>
      </c>
      <c r="I18" s="8" t="s">
        <v>295</v>
      </c>
    </row>
    <row r="19" spans="2:9" ht="70" customHeight="1" x14ac:dyDescent="0.3">
      <c r="B19">
        <v>600608</v>
      </c>
      <c r="C19" t="s">
        <v>296</v>
      </c>
      <c r="D19" t="s">
        <v>297</v>
      </c>
      <c r="E19" s="8" t="s">
        <v>298</v>
      </c>
      <c r="F19" s="8" t="s">
        <v>299</v>
      </c>
      <c r="G19" t="s">
        <v>234</v>
      </c>
      <c r="H19" t="s">
        <v>235</v>
      </c>
    </row>
    <row r="20" spans="2:9" ht="56" customHeight="1" x14ac:dyDescent="0.3">
      <c r="B20">
        <v>2693</v>
      </c>
      <c r="C20" t="s">
        <v>300</v>
      </c>
      <c r="D20" t="s">
        <v>237</v>
      </c>
      <c r="E20" s="8" t="s">
        <v>301</v>
      </c>
      <c r="G20" t="s">
        <v>302</v>
      </c>
      <c r="H20" t="s">
        <v>270</v>
      </c>
    </row>
  </sheetData>
  <phoneticPr fontId="16" type="noConversion"/>
  <dataValidations count="1">
    <dataValidation type="list" allowBlank="1" showInputMessage="1" showErrorMessage="1" sqref="H1:H1048576" xr:uid="{00000000-0002-0000-0000-000000000000}">
      <formula1>"高,中高,中,中低,低"</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dimension ref="A1:K23"/>
  <sheetViews>
    <sheetView workbookViewId="0">
      <selection activeCell="K9" sqref="K9"/>
    </sheetView>
  </sheetViews>
  <sheetFormatPr defaultRowHeight="14" x14ac:dyDescent="0.3"/>
  <cols>
    <col min="1" max="1" width="10.58203125" style="350" customWidth="1"/>
    <col min="3" max="3" width="9.08203125" style="8" customWidth="1"/>
    <col min="5" max="5" width="9.33203125" style="278" customWidth="1"/>
    <col min="6" max="6" width="9.83203125" style="8" customWidth="1"/>
    <col min="7" max="7" width="10.33203125" style="8" customWidth="1"/>
    <col min="8" max="8" width="9.25" style="285" customWidth="1"/>
    <col min="9" max="10" width="9.08203125" style="350" bestFit="1" customWidth="1"/>
    <col min="11" max="11" width="9.08203125" style="288" bestFit="1" customWidth="1"/>
  </cols>
  <sheetData>
    <row r="1" spans="1:11" ht="28" customHeight="1" x14ac:dyDescent="0.3">
      <c r="A1" t="s">
        <v>303</v>
      </c>
      <c r="B1" t="s">
        <v>304</v>
      </c>
      <c r="C1" s="8" t="s">
        <v>305</v>
      </c>
      <c r="D1" t="s">
        <v>306</v>
      </c>
      <c r="E1" s="278" t="s">
        <v>307</v>
      </c>
      <c r="F1" s="8" t="s">
        <v>308</v>
      </c>
      <c r="G1" s="8" t="s">
        <v>309</v>
      </c>
      <c r="H1" s="285" t="s">
        <v>310</v>
      </c>
      <c r="I1" s="8" t="s">
        <v>311</v>
      </c>
      <c r="J1" s="8" t="s">
        <v>312</v>
      </c>
      <c r="K1" s="285" t="s">
        <v>313</v>
      </c>
    </row>
    <row r="2" spans="1:11" x14ac:dyDescent="0.3">
      <c r="A2" t="s">
        <v>314</v>
      </c>
      <c r="B2" t="s">
        <v>315</v>
      </c>
      <c r="C2" s="8" t="s">
        <v>316</v>
      </c>
      <c r="E2" s="278">
        <v>-1.4999999999999999E-2</v>
      </c>
      <c r="F2" s="8">
        <v>20250731</v>
      </c>
      <c r="K2" s="285"/>
    </row>
    <row r="3" spans="1:11" x14ac:dyDescent="0.3">
      <c r="A3" t="s">
        <v>317</v>
      </c>
      <c r="B3" t="s">
        <v>318</v>
      </c>
      <c r="C3" s="8" t="s">
        <v>316</v>
      </c>
      <c r="E3" s="278">
        <v>-0.45</v>
      </c>
    </row>
    <row r="4" spans="1:11" x14ac:dyDescent="0.3">
      <c r="A4" t="s">
        <v>319</v>
      </c>
      <c r="B4" t="s">
        <v>320</v>
      </c>
      <c r="C4" s="8" t="s">
        <v>321</v>
      </c>
      <c r="D4">
        <v>5000</v>
      </c>
      <c r="E4" s="278">
        <v>1.2E-2</v>
      </c>
      <c r="F4" s="8">
        <v>20250721</v>
      </c>
    </row>
    <row r="5" spans="1:11" x14ac:dyDescent="0.3">
      <c r="A5" t="s">
        <v>319</v>
      </c>
      <c r="B5" t="s">
        <v>320</v>
      </c>
      <c r="C5" s="8" t="s">
        <v>321</v>
      </c>
      <c r="D5">
        <v>10000</v>
      </c>
      <c r="E5" s="278">
        <v>0.01</v>
      </c>
      <c r="F5" s="8">
        <v>20250729</v>
      </c>
    </row>
    <row r="6" spans="1:11" x14ac:dyDescent="0.3">
      <c r="A6" t="s">
        <v>319</v>
      </c>
      <c r="B6" t="s">
        <v>320</v>
      </c>
      <c r="C6" s="8" t="s">
        <v>316</v>
      </c>
      <c r="D6">
        <v>16000</v>
      </c>
      <c r="F6">
        <v>20250811</v>
      </c>
    </row>
    <row r="7" spans="1:11" x14ac:dyDescent="0.3">
      <c r="A7" t="s">
        <v>322</v>
      </c>
      <c r="B7" t="s">
        <v>323</v>
      </c>
      <c r="G7" s="8">
        <v>20260112</v>
      </c>
      <c r="H7" s="288">
        <v>0.61</v>
      </c>
      <c r="I7">
        <v>8</v>
      </c>
      <c r="J7">
        <v>26</v>
      </c>
      <c r="K7" s="288">
        <f>I7/J7</f>
        <v>0.30769230769230771</v>
      </c>
    </row>
    <row r="8" spans="1:11" x14ac:dyDescent="0.3">
      <c r="A8" t="s">
        <v>322</v>
      </c>
      <c r="B8" t="s">
        <v>324</v>
      </c>
      <c r="C8" s="8" t="s">
        <v>316</v>
      </c>
      <c r="D8">
        <v>10000</v>
      </c>
      <c r="F8">
        <v>20250811</v>
      </c>
      <c r="G8" s="8">
        <v>20251220</v>
      </c>
      <c r="H8" s="285">
        <v>0.9</v>
      </c>
      <c r="I8">
        <v>13</v>
      </c>
      <c r="J8">
        <v>40</v>
      </c>
      <c r="K8" s="288">
        <f>I8/J8</f>
        <v>0.32500000000000001</v>
      </c>
    </row>
    <row r="9" spans="1:11" x14ac:dyDescent="0.3">
      <c r="A9" t="s">
        <v>322</v>
      </c>
      <c r="B9" t="s">
        <v>325</v>
      </c>
      <c r="G9" s="8">
        <v>20251127</v>
      </c>
      <c r="H9" s="285">
        <v>0.63</v>
      </c>
      <c r="I9">
        <v>31</v>
      </c>
      <c r="J9">
        <v>39</v>
      </c>
      <c r="K9" s="288">
        <f>I9/J9</f>
        <v>0.79487179487179482</v>
      </c>
    </row>
    <row r="10" spans="1:11" x14ac:dyDescent="0.3">
      <c r="A10" t="s">
        <v>322</v>
      </c>
      <c r="B10" t="s">
        <v>326</v>
      </c>
      <c r="G10" s="8">
        <v>20260401</v>
      </c>
      <c r="H10" s="285">
        <v>0.28000000000000003</v>
      </c>
      <c r="I10">
        <v>14</v>
      </c>
      <c r="J10">
        <v>30</v>
      </c>
      <c r="K10" s="288">
        <f>I10/J10</f>
        <v>0.46666666666666667</v>
      </c>
    </row>
    <row r="11" spans="1:11" x14ac:dyDescent="0.3">
      <c r="A11" t="s">
        <v>322</v>
      </c>
      <c r="B11" t="s">
        <v>327</v>
      </c>
      <c r="C11" s="8" t="s">
        <v>316</v>
      </c>
      <c r="G11" s="8">
        <v>20260401</v>
      </c>
      <c r="H11" s="285">
        <v>0.73</v>
      </c>
      <c r="I11">
        <v>13</v>
      </c>
      <c r="J11">
        <v>9</v>
      </c>
      <c r="K11" s="288">
        <f>I11/J11</f>
        <v>1.4444444444444444</v>
      </c>
    </row>
    <row r="12" spans="1:11" x14ac:dyDescent="0.3">
      <c r="A12" t="s">
        <v>328</v>
      </c>
      <c r="B12" t="s">
        <v>329</v>
      </c>
      <c r="C12" s="8" t="s">
        <v>321</v>
      </c>
      <c r="D12">
        <v>27000</v>
      </c>
      <c r="E12" s="278">
        <v>3.5999999999999997E-2</v>
      </c>
      <c r="F12" s="8">
        <v>20250808</v>
      </c>
    </row>
    <row r="13" spans="1:11" x14ac:dyDescent="0.3">
      <c r="A13" t="s">
        <v>279</v>
      </c>
      <c r="B13" t="s">
        <v>330</v>
      </c>
      <c r="G13" s="8">
        <v>20251231</v>
      </c>
    </row>
    <row r="14" spans="1:11" x14ac:dyDescent="0.3">
      <c r="A14" t="s">
        <v>279</v>
      </c>
      <c r="B14" t="s">
        <v>331</v>
      </c>
      <c r="G14" s="8">
        <v>20251231</v>
      </c>
    </row>
    <row r="15" spans="1:11" x14ac:dyDescent="0.3">
      <c r="A15" t="s">
        <v>279</v>
      </c>
      <c r="B15" t="s">
        <v>332</v>
      </c>
      <c r="G15" s="8">
        <v>20251231</v>
      </c>
    </row>
    <row r="16" spans="1:11" x14ac:dyDescent="0.3">
      <c r="A16" t="s">
        <v>279</v>
      </c>
      <c r="B16" t="s">
        <v>333</v>
      </c>
      <c r="G16" s="8">
        <v>20251231</v>
      </c>
    </row>
    <row r="17" spans="1:11" x14ac:dyDescent="0.3">
      <c r="A17" t="s">
        <v>279</v>
      </c>
      <c r="B17" t="s">
        <v>334</v>
      </c>
      <c r="G17" s="8">
        <v>20251231</v>
      </c>
    </row>
    <row r="18" spans="1:11" x14ac:dyDescent="0.3">
      <c r="A18" t="s">
        <v>279</v>
      </c>
      <c r="B18" t="s">
        <v>335</v>
      </c>
      <c r="G18" s="8">
        <v>20251231</v>
      </c>
    </row>
    <row r="19" spans="1:11" x14ac:dyDescent="0.3">
      <c r="A19" t="s">
        <v>279</v>
      </c>
      <c r="B19" t="s">
        <v>336</v>
      </c>
      <c r="G19" s="8">
        <v>20251231</v>
      </c>
    </row>
    <row r="20" spans="1:11" x14ac:dyDescent="0.3">
      <c r="A20" t="s">
        <v>279</v>
      </c>
      <c r="B20" t="s">
        <v>337</v>
      </c>
      <c r="G20" s="8">
        <v>20251231</v>
      </c>
    </row>
    <row r="21" spans="1:11" x14ac:dyDescent="0.3">
      <c r="A21" t="s">
        <v>279</v>
      </c>
      <c r="B21" t="s">
        <v>338</v>
      </c>
      <c r="G21" s="8">
        <v>20251231</v>
      </c>
    </row>
    <row r="22" spans="1:11" x14ac:dyDescent="0.3">
      <c r="A22" t="s">
        <v>279</v>
      </c>
      <c r="B22" t="s">
        <v>339</v>
      </c>
      <c r="G22" s="8">
        <v>20251231</v>
      </c>
    </row>
    <row r="23" spans="1:11" x14ac:dyDescent="0.3">
      <c r="A23" t="s">
        <v>322</v>
      </c>
      <c r="B23" t="s">
        <v>340</v>
      </c>
      <c r="C23" s="8" t="s">
        <v>316</v>
      </c>
      <c r="G23" s="8">
        <v>20260629</v>
      </c>
      <c r="H23" s="285">
        <v>0.74</v>
      </c>
      <c r="I23">
        <v>56</v>
      </c>
      <c r="J23">
        <v>32</v>
      </c>
      <c r="K23" s="288">
        <f>I23/J23</f>
        <v>1.75</v>
      </c>
    </row>
  </sheetData>
  <phoneticPr fontId="16" type="noConversion"/>
  <dataValidations count="2">
    <dataValidation type="list" allowBlank="1" showInputMessage="1" showErrorMessage="1" sqref="A1:A1048576" xr:uid="{00000000-0002-0000-0100-000000000000}">
      <formula1>"强赎,不强赎,下修,戴帽反弹,年报延期,要约波动,转债追涨,化债,退市,异议选择权,保壳"</formula1>
    </dataValidation>
    <dataValidation type="list" allowBlank="1" showInputMessage="1" showErrorMessage="1" sqref="C1:C1048576" xr:uid="{00000000-0002-0000-0100-000001000000}">
      <formula1>"成功,失败"</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2"/>
  <dimension ref="B1:L33"/>
  <sheetViews>
    <sheetView topLeftCell="A19" workbookViewId="0">
      <selection activeCell="E34" sqref="E34"/>
    </sheetView>
  </sheetViews>
  <sheetFormatPr defaultRowHeight="14" x14ac:dyDescent="0.3"/>
  <cols>
    <col min="4" max="4" width="21.83203125" style="8" customWidth="1"/>
    <col min="5" max="6" width="33.08203125" style="8" customWidth="1"/>
    <col min="7" max="7" width="11.75" style="350" customWidth="1"/>
  </cols>
  <sheetData>
    <row r="1" spans="2:12" x14ac:dyDescent="0.3">
      <c r="D1" s="8" t="s">
        <v>341</v>
      </c>
      <c r="E1" s="8" t="s">
        <v>342</v>
      </c>
      <c r="F1" s="8" t="s">
        <v>343</v>
      </c>
      <c r="G1" t="s">
        <v>344</v>
      </c>
      <c r="H1" t="s">
        <v>345</v>
      </c>
      <c r="I1" t="s">
        <v>346</v>
      </c>
      <c r="J1" t="s">
        <v>347</v>
      </c>
      <c r="K1" t="s">
        <v>348</v>
      </c>
      <c r="L1" t="s">
        <v>349</v>
      </c>
    </row>
    <row r="2" spans="2:12" ht="28" customHeight="1" x14ac:dyDescent="0.3">
      <c r="B2">
        <v>809</v>
      </c>
      <c r="C2" t="s">
        <v>350</v>
      </c>
      <c r="D2" s="8" t="s">
        <v>351</v>
      </c>
      <c r="E2" s="8" t="s">
        <v>352</v>
      </c>
      <c r="F2" s="8" t="s">
        <v>353</v>
      </c>
      <c r="G2">
        <v>30</v>
      </c>
      <c r="H2" t="s">
        <v>354</v>
      </c>
      <c r="J2" t="s">
        <v>355</v>
      </c>
      <c r="K2" s="9">
        <v>9.9699999999999997E-2</v>
      </c>
      <c r="L2" s="9">
        <v>5.2299999999999999E-2</v>
      </c>
    </row>
    <row r="3" spans="2:12" x14ac:dyDescent="0.3">
      <c r="B3">
        <v>603023</v>
      </c>
      <c r="C3" t="s">
        <v>356</v>
      </c>
      <c r="D3" s="8" t="s">
        <v>351</v>
      </c>
      <c r="E3" s="8" t="s">
        <v>357</v>
      </c>
      <c r="G3">
        <v>18</v>
      </c>
      <c r="H3" t="s">
        <v>354</v>
      </c>
      <c r="I3" t="s">
        <v>358</v>
      </c>
    </row>
    <row r="4" spans="2:12" ht="140" customHeight="1" x14ac:dyDescent="0.3">
      <c r="B4">
        <v>688282</v>
      </c>
      <c r="C4" t="s">
        <v>359</v>
      </c>
      <c r="D4" s="8" t="s">
        <v>360</v>
      </c>
      <c r="E4" s="8" t="s">
        <v>361</v>
      </c>
      <c r="F4" s="8" t="s">
        <v>362</v>
      </c>
      <c r="G4">
        <v>40</v>
      </c>
      <c r="H4" t="s">
        <v>354</v>
      </c>
    </row>
    <row r="5" spans="2:12" ht="140" customHeight="1" x14ac:dyDescent="0.3">
      <c r="B5">
        <v>600234</v>
      </c>
      <c r="C5" t="s">
        <v>246</v>
      </c>
      <c r="D5" s="8" t="s">
        <v>360</v>
      </c>
      <c r="E5" s="8" t="s">
        <v>363</v>
      </c>
      <c r="F5" s="8" t="s">
        <v>364</v>
      </c>
      <c r="G5">
        <v>18</v>
      </c>
      <c r="H5" t="s">
        <v>365</v>
      </c>
      <c r="I5" s="10">
        <v>0</v>
      </c>
    </row>
    <row r="6" spans="2:12" ht="28" customHeight="1" x14ac:dyDescent="0.3">
      <c r="B6">
        <v>600715</v>
      </c>
      <c r="C6" t="s">
        <v>366</v>
      </c>
      <c r="D6" s="8" t="s">
        <v>367</v>
      </c>
      <c r="E6" s="8" t="s">
        <v>368</v>
      </c>
      <c r="G6">
        <v>95</v>
      </c>
      <c r="H6" t="s">
        <v>369</v>
      </c>
    </row>
    <row r="7" spans="2:12" x14ac:dyDescent="0.3">
      <c r="B7">
        <v>603879</v>
      </c>
      <c r="C7" t="s">
        <v>370</v>
      </c>
      <c r="D7" s="8" t="s">
        <v>371</v>
      </c>
      <c r="G7">
        <v>18</v>
      </c>
      <c r="H7" t="s">
        <v>354</v>
      </c>
    </row>
    <row r="8" spans="2:12" ht="28" customHeight="1" x14ac:dyDescent="0.3">
      <c r="B8">
        <v>603608</v>
      </c>
      <c r="C8" t="s">
        <v>372</v>
      </c>
      <c r="D8" s="8" t="s">
        <v>373</v>
      </c>
      <c r="E8" s="8" t="s">
        <v>374</v>
      </c>
      <c r="G8">
        <v>21</v>
      </c>
      <c r="H8" t="s">
        <v>354</v>
      </c>
    </row>
    <row r="9" spans="2:12" ht="28" customHeight="1" x14ac:dyDescent="0.3">
      <c r="B9">
        <v>603557</v>
      </c>
      <c r="C9" t="s">
        <v>375</v>
      </c>
      <c r="D9" s="8" t="s">
        <v>376</v>
      </c>
      <c r="E9" s="8" t="s">
        <v>374</v>
      </c>
      <c r="G9">
        <v>14</v>
      </c>
      <c r="H9" s="10">
        <v>0.7</v>
      </c>
    </row>
    <row r="10" spans="2:12" ht="70" customHeight="1" x14ac:dyDescent="0.3">
      <c r="B10">
        <v>506</v>
      </c>
      <c r="C10" t="s">
        <v>377</v>
      </c>
      <c r="D10" s="8" t="s">
        <v>378</v>
      </c>
      <c r="E10" s="8" t="s">
        <v>379</v>
      </c>
      <c r="G10">
        <v>63</v>
      </c>
      <c r="H10" s="10">
        <v>7</v>
      </c>
    </row>
    <row r="11" spans="2:12" ht="28" customHeight="1" x14ac:dyDescent="0.3">
      <c r="B11">
        <v>2217</v>
      </c>
      <c r="C11" t="s">
        <v>380</v>
      </c>
      <c r="D11" s="8" t="s">
        <v>367</v>
      </c>
      <c r="E11" s="8" t="s">
        <v>368</v>
      </c>
      <c r="G11">
        <v>160</v>
      </c>
      <c r="H11" s="10">
        <v>1</v>
      </c>
      <c r="I11" s="10">
        <v>-0.05</v>
      </c>
    </row>
    <row r="12" spans="2:12" ht="28" customHeight="1" x14ac:dyDescent="0.3">
      <c r="B12">
        <v>2310</v>
      </c>
      <c r="C12" t="s">
        <v>381</v>
      </c>
      <c r="D12" s="8" t="s">
        <v>367</v>
      </c>
      <c r="E12" s="8" t="s">
        <v>368</v>
      </c>
      <c r="G12">
        <v>121</v>
      </c>
      <c r="H12" s="10">
        <v>1</v>
      </c>
      <c r="I12" s="10">
        <v>0.03</v>
      </c>
    </row>
    <row r="13" spans="2:12" ht="98" customHeight="1" x14ac:dyDescent="0.3">
      <c r="B13">
        <v>2141</v>
      </c>
      <c r="C13" t="s">
        <v>382</v>
      </c>
      <c r="D13" s="8" t="s">
        <v>383</v>
      </c>
      <c r="E13" s="8" t="s">
        <v>384</v>
      </c>
      <c r="G13">
        <v>22</v>
      </c>
      <c r="H13" s="10">
        <v>1</v>
      </c>
      <c r="I13" s="10">
        <v>0.05</v>
      </c>
    </row>
    <row r="14" spans="2:12" ht="182" customHeight="1" x14ac:dyDescent="0.3">
      <c r="B14">
        <v>2951</v>
      </c>
      <c r="C14" t="s">
        <v>385</v>
      </c>
      <c r="D14" s="8" t="s">
        <v>386</v>
      </c>
      <c r="E14" s="8" t="s">
        <v>387</v>
      </c>
      <c r="F14" s="8" t="s">
        <v>388</v>
      </c>
      <c r="G14">
        <v>32</v>
      </c>
      <c r="H14" s="10">
        <v>1</v>
      </c>
      <c r="I14" s="10">
        <v>-0.05</v>
      </c>
    </row>
    <row r="15" spans="2:12" ht="56" customHeight="1" x14ac:dyDescent="0.3">
      <c r="B15">
        <v>525</v>
      </c>
      <c r="C15" t="s">
        <v>389</v>
      </c>
      <c r="D15" s="8" t="s">
        <v>390</v>
      </c>
      <c r="E15" s="8" t="s">
        <v>391</v>
      </c>
      <c r="G15">
        <v>86</v>
      </c>
      <c r="H15" s="10">
        <v>0.2</v>
      </c>
      <c r="I15" s="10">
        <v>-0.05</v>
      </c>
    </row>
    <row r="16" spans="2:12" ht="28" customHeight="1" x14ac:dyDescent="0.3">
      <c r="B16">
        <v>2259</v>
      </c>
      <c r="C16" t="s">
        <v>392</v>
      </c>
      <c r="D16" s="8" t="s">
        <v>393</v>
      </c>
      <c r="E16" s="8" t="s">
        <v>374</v>
      </c>
      <c r="G16">
        <v>23</v>
      </c>
      <c r="H16" s="10">
        <v>0.5</v>
      </c>
      <c r="I16" s="10">
        <v>0</v>
      </c>
    </row>
    <row r="17" spans="2:12" ht="28" customHeight="1" x14ac:dyDescent="0.3">
      <c r="B17">
        <v>989</v>
      </c>
      <c r="C17" t="s">
        <v>394</v>
      </c>
      <c r="D17" s="8" t="s">
        <v>390</v>
      </c>
      <c r="E17" s="8" t="s">
        <v>395</v>
      </c>
      <c r="G17">
        <v>70</v>
      </c>
      <c r="H17" s="10">
        <v>0.3</v>
      </c>
      <c r="I17" s="10">
        <v>0.05</v>
      </c>
    </row>
    <row r="18" spans="2:12" ht="56" customHeight="1" x14ac:dyDescent="0.3">
      <c r="B18">
        <v>2052</v>
      </c>
      <c r="C18" t="s">
        <v>396</v>
      </c>
      <c r="D18" s="8" t="s">
        <v>397</v>
      </c>
      <c r="E18" s="8" t="s">
        <v>398</v>
      </c>
      <c r="G18">
        <v>57</v>
      </c>
      <c r="H18" s="10">
        <v>7</v>
      </c>
      <c r="I18" s="10">
        <v>0.05</v>
      </c>
      <c r="J18" s="10">
        <v>0.05</v>
      </c>
    </row>
    <row r="19" spans="2:12" ht="56" customHeight="1" x14ac:dyDescent="0.3">
      <c r="B19">
        <v>300965</v>
      </c>
      <c r="C19" t="s">
        <v>399</v>
      </c>
      <c r="D19" s="8" t="s">
        <v>400</v>
      </c>
      <c r="E19" s="8" t="s">
        <v>401</v>
      </c>
      <c r="G19">
        <v>22</v>
      </c>
      <c r="H19" s="10">
        <v>0.5</v>
      </c>
      <c r="I19" s="10">
        <v>-0.04</v>
      </c>
    </row>
    <row r="20" spans="2:12" ht="28" customHeight="1" x14ac:dyDescent="0.3">
      <c r="B20">
        <v>600375</v>
      </c>
      <c r="C20" t="s">
        <v>402</v>
      </c>
      <c r="D20" s="8" t="s">
        <v>367</v>
      </c>
      <c r="E20" s="8" t="s">
        <v>368</v>
      </c>
      <c r="G20">
        <v>90</v>
      </c>
      <c r="H20" s="10">
        <v>0.5</v>
      </c>
      <c r="I20" s="10">
        <v>0</v>
      </c>
    </row>
    <row r="21" spans="2:12" x14ac:dyDescent="0.3">
      <c r="B21">
        <v>2251</v>
      </c>
      <c r="C21" t="s">
        <v>403</v>
      </c>
      <c r="D21" s="8" t="s">
        <v>378</v>
      </c>
      <c r="E21" s="8" t="s">
        <v>368</v>
      </c>
      <c r="G21">
        <v>100</v>
      </c>
      <c r="H21" s="10">
        <v>0.7</v>
      </c>
      <c r="I21" s="10">
        <v>0.1</v>
      </c>
      <c r="J21" s="10">
        <v>0.1</v>
      </c>
      <c r="K21" s="10">
        <v>0.1</v>
      </c>
      <c r="L21" s="10">
        <v>0.1</v>
      </c>
    </row>
    <row r="22" spans="2:12" ht="42" customHeight="1" x14ac:dyDescent="0.3">
      <c r="B22">
        <v>600165</v>
      </c>
      <c r="C22" t="s">
        <v>404</v>
      </c>
      <c r="D22" s="8" t="s">
        <v>405</v>
      </c>
      <c r="E22" s="8" t="s">
        <v>406</v>
      </c>
    </row>
    <row r="23" spans="2:12" ht="28" customHeight="1" x14ac:dyDescent="0.3">
      <c r="B23">
        <v>300013</v>
      </c>
      <c r="C23" t="s">
        <v>407</v>
      </c>
      <c r="D23" s="8" t="s">
        <v>367</v>
      </c>
      <c r="E23" s="8" t="s">
        <v>408</v>
      </c>
    </row>
    <row r="33" spans="5:5" x14ac:dyDescent="0.3">
      <c r="E33" s="8">
        <f>22*1.3</f>
        <v>28.6</v>
      </c>
    </row>
  </sheetData>
  <phoneticPr fontId="1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5"/>
  <dimension ref="B2:I19"/>
  <sheetViews>
    <sheetView workbookViewId="0">
      <selection activeCell="C27" sqref="C27"/>
    </sheetView>
  </sheetViews>
  <sheetFormatPr defaultColWidth="8.58203125" defaultRowHeight="14" x14ac:dyDescent="0.3"/>
  <cols>
    <col min="1" max="7" width="8.58203125" style="8" customWidth="1"/>
    <col min="8" max="8" width="11.75" style="8" bestFit="1" customWidth="1"/>
    <col min="9" max="143" width="8.58203125" style="8" customWidth="1"/>
    <col min="144" max="16384" width="8.58203125" style="8"/>
  </cols>
  <sheetData>
    <row r="2" spans="2:9" ht="42" customHeight="1" x14ac:dyDescent="0.3">
      <c r="B2" s="8" t="s">
        <v>409</v>
      </c>
      <c r="C2" s="8" t="s">
        <v>410</v>
      </c>
      <c r="D2" s="8" t="s">
        <v>411</v>
      </c>
      <c r="E2" s="8" t="s">
        <v>412</v>
      </c>
      <c r="F2" s="8" t="s">
        <v>413</v>
      </c>
      <c r="G2" s="8" t="s">
        <v>414</v>
      </c>
      <c r="H2" s="8" t="s">
        <v>415</v>
      </c>
      <c r="I2" s="8" t="s">
        <v>416</v>
      </c>
    </row>
    <row r="3" spans="2:9" x14ac:dyDescent="0.3">
      <c r="B3" s="8" t="s">
        <v>399</v>
      </c>
      <c r="C3" s="8">
        <v>27</v>
      </c>
      <c r="D3" s="8">
        <v>27</v>
      </c>
      <c r="E3" s="8">
        <v>35.81</v>
      </c>
      <c r="G3" s="8">
        <v>42.6</v>
      </c>
      <c r="H3" s="8">
        <f t="shared" ref="H3:H19" si="0">E3/C3-1</f>
        <v>0.32629629629629631</v>
      </c>
      <c r="I3" s="8">
        <f t="shared" ref="I3:I19" si="1">E3/D3-1</f>
        <v>0.32629629629629631</v>
      </c>
    </row>
    <row r="4" spans="2:9" x14ac:dyDescent="0.3">
      <c r="B4" s="8" t="s">
        <v>394</v>
      </c>
      <c r="C4" s="8">
        <v>8.1</v>
      </c>
      <c r="D4" s="8">
        <v>7.48</v>
      </c>
      <c r="E4" s="8">
        <v>7.96</v>
      </c>
      <c r="G4" s="8">
        <v>9.27</v>
      </c>
      <c r="H4" s="8">
        <f t="shared" si="0"/>
        <v>-1.7283950617283939E-2</v>
      </c>
      <c r="I4" s="8">
        <f t="shared" si="1"/>
        <v>6.4171122994652441E-2</v>
      </c>
    </row>
    <row r="5" spans="2:9" x14ac:dyDescent="0.3">
      <c r="B5" s="8" t="s">
        <v>382</v>
      </c>
      <c r="C5" s="8">
        <v>1.06</v>
      </c>
      <c r="D5" s="8">
        <v>0.96</v>
      </c>
      <c r="E5" s="8">
        <v>1.76</v>
      </c>
      <c r="F5" s="8">
        <v>2.15</v>
      </c>
      <c r="H5" s="8">
        <f t="shared" si="0"/>
        <v>0.66037735849056589</v>
      </c>
      <c r="I5" s="8">
        <f t="shared" si="1"/>
        <v>0.83333333333333348</v>
      </c>
    </row>
    <row r="6" spans="2:9" x14ac:dyDescent="0.3">
      <c r="B6" s="8" t="s">
        <v>380</v>
      </c>
      <c r="C6" s="8">
        <v>1.22</v>
      </c>
      <c r="D6" s="8">
        <v>1.2</v>
      </c>
      <c r="E6" s="8">
        <v>2.39</v>
      </c>
      <c r="F6" s="8">
        <v>2.14</v>
      </c>
      <c r="H6" s="8">
        <f t="shared" si="0"/>
        <v>0.95901639344262302</v>
      </c>
      <c r="I6" s="8">
        <f t="shared" si="1"/>
        <v>0.99166666666666692</v>
      </c>
    </row>
    <row r="7" spans="2:9" x14ac:dyDescent="0.3">
      <c r="B7" s="8" t="s">
        <v>377</v>
      </c>
      <c r="C7" s="8">
        <v>4.5999999999999996</v>
      </c>
      <c r="D7" s="8">
        <v>2.75</v>
      </c>
      <c r="E7" s="8">
        <v>3.97</v>
      </c>
      <c r="H7" s="8">
        <f t="shared" si="0"/>
        <v>-0.13695652173913031</v>
      </c>
      <c r="I7" s="8">
        <f t="shared" si="1"/>
        <v>0.44363636363636361</v>
      </c>
    </row>
    <row r="8" spans="2:9" x14ac:dyDescent="0.3">
      <c r="B8" s="8" t="s">
        <v>370</v>
      </c>
      <c r="C8" s="8">
        <v>4.84</v>
      </c>
      <c r="D8" s="8">
        <v>3.2</v>
      </c>
      <c r="E8" s="8">
        <v>3.84</v>
      </c>
      <c r="H8" s="8">
        <f t="shared" si="0"/>
        <v>-0.20661157024793386</v>
      </c>
      <c r="I8" s="8">
        <f t="shared" si="1"/>
        <v>0.19999999999999996</v>
      </c>
    </row>
    <row r="9" spans="2:9" x14ac:dyDescent="0.3">
      <c r="B9" s="8" t="s">
        <v>372</v>
      </c>
      <c r="C9" s="8">
        <v>3.97</v>
      </c>
      <c r="D9" s="8">
        <v>2.92</v>
      </c>
      <c r="E9" s="8">
        <v>3.72</v>
      </c>
      <c r="H9" s="8">
        <f t="shared" si="0"/>
        <v>-6.2972292191435741E-2</v>
      </c>
      <c r="I9" s="8">
        <f t="shared" si="1"/>
        <v>0.27397260273972623</v>
      </c>
    </row>
    <row r="10" spans="2:9" x14ac:dyDescent="0.3">
      <c r="B10" s="8" t="s">
        <v>417</v>
      </c>
      <c r="C10" s="8">
        <v>2.75</v>
      </c>
      <c r="D10" s="8">
        <v>2.2400000000000002</v>
      </c>
      <c r="E10" s="8">
        <v>2.74</v>
      </c>
      <c r="H10" s="8">
        <f t="shared" si="0"/>
        <v>-3.6363636363635488E-3</v>
      </c>
      <c r="I10" s="8">
        <f t="shared" si="1"/>
        <v>0.22321428571428559</v>
      </c>
    </row>
    <row r="11" spans="2:9" x14ac:dyDescent="0.3">
      <c r="B11" s="8" t="s">
        <v>407</v>
      </c>
      <c r="C11" s="8">
        <v>1.95</v>
      </c>
      <c r="D11" s="8">
        <v>1.95</v>
      </c>
      <c r="E11" s="8">
        <v>3.47</v>
      </c>
      <c r="H11" s="8">
        <f t="shared" si="0"/>
        <v>0.7794871794871796</v>
      </c>
      <c r="I11" s="8">
        <f t="shared" si="1"/>
        <v>0.7794871794871796</v>
      </c>
    </row>
    <row r="12" spans="2:9" x14ac:dyDescent="0.3">
      <c r="B12" s="8" t="s">
        <v>418</v>
      </c>
      <c r="C12" s="8">
        <v>2.57</v>
      </c>
      <c r="D12" s="8">
        <v>2.3199999999999998</v>
      </c>
      <c r="E12" s="8">
        <v>2.79</v>
      </c>
      <c r="H12" s="8">
        <f t="shared" si="0"/>
        <v>8.5603112840467066E-2</v>
      </c>
      <c r="I12" s="8">
        <f t="shared" si="1"/>
        <v>0.20258620689655182</v>
      </c>
    </row>
    <row r="13" spans="2:9" x14ac:dyDescent="0.3">
      <c r="B13" s="8" t="s">
        <v>419</v>
      </c>
      <c r="C13" s="8">
        <v>7.16</v>
      </c>
      <c r="D13" s="8">
        <v>7.16</v>
      </c>
      <c r="E13" s="8">
        <v>6.65</v>
      </c>
      <c r="H13" s="8">
        <f t="shared" si="0"/>
        <v>-7.1229050279329575E-2</v>
      </c>
      <c r="I13" s="8">
        <f t="shared" si="1"/>
        <v>-7.1229050279329575E-2</v>
      </c>
    </row>
    <row r="14" spans="2:9" x14ac:dyDescent="0.3">
      <c r="B14" s="8" t="s">
        <v>246</v>
      </c>
      <c r="C14" s="8">
        <v>4.29</v>
      </c>
      <c r="D14" s="8">
        <v>2.71</v>
      </c>
      <c r="E14" s="8">
        <v>5.55</v>
      </c>
      <c r="H14" s="8">
        <f t="shared" si="0"/>
        <v>0.29370629370629375</v>
      </c>
      <c r="I14" s="8">
        <f t="shared" si="1"/>
        <v>1.0479704797047971</v>
      </c>
    </row>
    <row r="15" spans="2:9" x14ac:dyDescent="0.3">
      <c r="B15" s="8" t="s">
        <v>359</v>
      </c>
      <c r="C15" s="8">
        <v>20.11</v>
      </c>
      <c r="D15" s="8">
        <v>20.11</v>
      </c>
      <c r="E15" s="8">
        <v>30.9</v>
      </c>
      <c r="H15" s="8">
        <f t="shared" si="0"/>
        <v>0.53654898060666323</v>
      </c>
      <c r="I15" s="8">
        <f t="shared" si="1"/>
        <v>0.53654898060666323</v>
      </c>
    </row>
    <row r="16" spans="2:9" x14ac:dyDescent="0.3">
      <c r="B16" s="8" t="s">
        <v>350</v>
      </c>
      <c r="C16" s="8">
        <v>2.2799999999999998</v>
      </c>
      <c r="D16" s="8">
        <v>2.2799999999999998</v>
      </c>
      <c r="E16" s="8">
        <v>3.06</v>
      </c>
      <c r="H16" s="8">
        <f t="shared" si="0"/>
        <v>0.34210526315789491</v>
      </c>
      <c r="I16" s="8">
        <f t="shared" si="1"/>
        <v>0.34210526315789491</v>
      </c>
    </row>
    <row r="17" spans="2:9" x14ac:dyDescent="0.3">
      <c r="B17" s="8" t="s">
        <v>420</v>
      </c>
      <c r="C17" s="8">
        <v>3.56</v>
      </c>
      <c r="D17" s="8">
        <v>2.66</v>
      </c>
      <c r="E17" s="8">
        <v>3.83</v>
      </c>
      <c r="H17" s="8">
        <f t="shared" si="0"/>
        <v>7.5842696629213391E-2</v>
      </c>
      <c r="I17" s="8">
        <f t="shared" si="1"/>
        <v>0.43984962406015038</v>
      </c>
    </row>
    <row r="18" spans="2:9" x14ac:dyDescent="0.3">
      <c r="B18" s="8" t="s">
        <v>402</v>
      </c>
      <c r="C18" s="8">
        <v>4.83</v>
      </c>
      <c r="D18" s="8">
        <v>5.04</v>
      </c>
      <c r="E18" s="8">
        <v>5.51</v>
      </c>
      <c r="H18" s="8">
        <f t="shared" si="0"/>
        <v>0.14078674948240155</v>
      </c>
      <c r="I18" s="8">
        <f t="shared" si="1"/>
        <v>9.3253968253968145E-2</v>
      </c>
    </row>
    <row r="19" spans="2:9" x14ac:dyDescent="0.3">
      <c r="B19" s="8" t="s">
        <v>421</v>
      </c>
      <c r="C19" s="8">
        <v>3.22</v>
      </c>
      <c r="D19" s="8">
        <v>2.87</v>
      </c>
      <c r="E19" s="8">
        <v>2.78</v>
      </c>
      <c r="H19" s="8">
        <f t="shared" si="0"/>
        <v>-0.1366459627329194</v>
      </c>
      <c r="I19" s="8">
        <f t="shared" si="1"/>
        <v>-3.1358885017421678E-2</v>
      </c>
    </row>
  </sheetData>
  <phoneticPr fontId="1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dimension ref="B1:Q34"/>
  <sheetViews>
    <sheetView topLeftCell="B1" workbookViewId="0">
      <selection activeCell="Q26" sqref="Q26"/>
    </sheetView>
  </sheetViews>
  <sheetFormatPr defaultRowHeight="14" x14ac:dyDescent="0.3"/>
  <cols>
    <col min="4" max="4" width="8.5" style="8" bestFit="1" customWidth="1"/>
    <col min="5" max="5" width="29.83203125" style="8" customWidth="1"/>
    <col min="6" max="6" width="24.33203125" style="8" customWidth="1"/>
    <col min="7" max="7" width="10.08203125" style="350" customWidth="1"/>
    <col min="8" max="8" width="10.83203125" style="350" customWidth="1"/>
    <col min="9" max="9" width="10" style="350" customWidth="1"/>
  </cols>
  <sheetData>
    <row r="1" spans="2:17" x14ac:dyDescent="0.3">
      <c r="K1" t="s">
        <v>422</v>
      </c>
      <c r="L1" t="s">
        <v>423</v>
      </c>
      <c r="M1" t="s">
        <v>424</v>
      </c>
      <c r="N1" t="s">
        <v>425</v>
      </c>
      <c r="O1" t="s">
        <v>426</v>
      </c>
      <c r="P1" t="s">
        <v>427</v>
      </c>
      <c r="Q1" t="s">
        <v>428</v>
      </c>
    </row>
    <row r="2" spans="2:17" x14ac:dyDescent="0.3">
      <c r="B2" t="s">
        <v>429</v>
      </c>
      <c r="C2" t="s">
        <v>430</v>
      </c>
      <c r="D2" s="8" t="s">
        <v>431</v>
      </c>
      <c r="E2" s="8" t="s">
        <v>432</v>
      </c>
      <c r="F2" s="8" t="s">
        <v>433</v>
      </c>
      <c r="G2" t="s">
        <v>434</v>
      </c>
      <c r="H2" t="s">
        <v>435</v>
      </c>
      <c r="I2" s="8" t="s">
        <v>436</v>
      </c>
      <c r="K2">
        <v>2001</v>
      </c>
      <c r="L2">
        <f t="shared" ref="L2:L25" si="0">M2+N2</f>
        <v>5</v>
      </c>
      <c r="M2">
        <v>3</v>
      </c>
      <c r="N2">
        <v>2</v>
      </c>
    </row>
    <row r="3" spans="2:17" ht="28" customHeight="1" x14ac:dyDescent="0.3">
      <c r="B3">
        <v>2750</v>
      </c>
      <c r="C3" t="s">
        <v>437</v>
      </c>
      <c r="D3" s="8" t="s">
        <v>438</v>
      </c>
      <c r="E3" s="8" t="s">
        <v>439</v>
      </c>
      <c r="F3" s="8" t="s">
        <v>440</v>
      </c>
      <c r="G3">
        <v>4</v>
      </c>
      <c r="H3" s="8" t="s">
        <v>441</v>
      </c>
      <c r="I3" t="s">
        <v>442</v>
      </c>
      <c r="K3">
        <v>2002</v>
      </c>
      <c r="L3">
        <f t="shared" si="0"/>
        <v>8</v>
      </c>
      <c r="M3">
        <v>7</v>
      </c>
      <c r="N3">
        <v>1</v>
      </c>
    </row>
    <row r="4" spans="2:17" ht="28" customHeight="1" x14ac:dyDescent="0.3">
      <c r="B4">
        <v>603963</v>
      </c>
      <c r="C4" t="s">
        <v>443</v>
      </c>
      <c r="D4" s="8" t="s">
        <v>438</v>
      </c>
      <c r="E4" s="8" t="s">
        <v>439</v>
      </c>
      <c r="F4" s="8" t="s">
        <v>440</v>
      </c>
      <c r="G4">
        <v>2</v>
      </c>
      <c r="H4" s="8" t="s">
        <v>441</v>
      </c>
      <c r="I4" s="8" t="s">
        <v>444</v>
      </c>
      <c r="K4">
        <v>2003</v>
      </c>
      <c r="L4">
        <f t="shared" si="0"/>
        <v>4</v>
      </c>
      <c r="M4">
        <v>4</v>
      </c>
    </row>
    <row r="5" spans="2:17" ht="56" customHeight="1" x14ac:dyDescent="0.3">
      <c r="B5">
        <v>622</v>
      </c>
      <c r="C5" t="s">
        <v>445</v>
      </c>
      <c r="D5" s="8" t="s">
        <v>438</v>
      </c>
      <c r="E5" s="8" t="s">
        <v>446</v>
      </c>
      <c r="F5" s="8" t="s">
        <v>447</v>
      </c>
      <c r="G5">
        <v>8</v>
      </c>
      <c r="H5" s="8" t="s">
        <v>441</v>
      </c>
      <c r="I5" s="8" t="s">
        <v>448</v>
      </c>
      <c r="K5">
        <v>2004</v>
      </c>
      <c r="L5">
        <f t="shared" si="0"/>
        <v>11</v>
      </c>
      <c r="M5">
        <v>8</v>
      </c>
      <c r="N5">
        <v>3</v>
      </c>
    </row>
    <row r="6" spans="2:17" x14ac:dyDescent="0.3">
      <c r="B6">
        <v>851</v>
      </c>
      <c r="C6" t="s">
        <v>449</v>
      </c>
      <c r="D6" s="8" t="s">
        <v>450</v>
      </c>
      <c r="K6">
        <v>2005</v>
      </c>
      <c r="L6">
        <f t="shared" si="0"/>
        <v>12</v>
      </c>
      <c r="M6">
        <v>11</v>
      </c>
      <c r="N6">
        <v>1</v>
      </c>
    </row>
    <row r="7" spans="2:17" ht="56" customHeight="1" x14ac:dyDescent="0.3">
      <c r="B7">
        <v>600804</v>
      </c>
      <c r="C7" t="s">
        <v>451</v>
      </c>
      <c r="D7" s="8" t="s">
        <v>452</v>
      </c>
      <c r="E7" s="8" t="s">
        <v>453</v>
      </c>
      <c r="F7" s="8" t="s">
        <v>454</v>
      </c>
      <c r="G7">
        <v>2</v>
      </c>
      <c r="I7" s="8" t="s">
        <v>442</v>
      </c>
      <c r="K7">
        <v>2006</v>
      </c>
      <c r="L7">
        <f t="shared" si="0"/>
        <v>11</v>
      </c>
      <c r="M7">
        <v>10</v>
      </c>
      <c r="N7">
        <v>1</v>
      </c>
    </row>
    <row r="8" spans="2:17" x14ac:dyDescent="0.3">
      <c r="B8">
        <v>627</v>
      </c>
      <c r="C8" t="s">
        <v>318</v>
      </c>
      <c r="D8" s="8" t="s">
        <v>455</v>
      </c>
      <c r="H8" t="s">
        <v>441</v>
      </c>
      <c r="K8">
        <v>2007</v>
      </c>
      <c r="L8">
        <f t="shared" si="0"/>
        <v>10</v>
      </c>
      <c r="M8">
        <v>6</v>
      </c>
      <c r="N8">
        <v>4</v>
      </c>
    </row>
    <row r="9" spans="2:17" x14ac:dyDescent="0.3">
      <c r="B9">
        <v>600837</v>
      </c>
      <c r="C9" t="s">
        <v>456</v>
      </c>
      <c r="D9" s="8" t="s">
        <v>457</v>
      </c>
      <c r="H9" t="s">
        <v>458</v>
      </c>
      <c r="K9">
        <v>2008</v>
      </c>
      <c r="L9">
        <f t="shared" si="0"/>
        <v>2</v>
      </c>
      <c r="N9">
        <v>2</v>
      </c>
    </row>
    <row r="10" spans="2:17" x14ac:dyDescent="0.3">
      <c r="B10">
        <v>601519</v>
      </c>
      <c r="C10" t="s">
        <v>459</v>
      </c>
      <c r="D10" s="8" t="s">
        <v>457</v>
      </c>
      <c r="H10" t="s">
        <v>441</v>
      </c>
      <c r="K10">
        <v>2009</v>
      </c>
      <c r="L10">
        <f t="shared" si="0"/>
        <v>6</v>
      </c>
      <c r="N10">
        <v>6</v>
      </c>
    </row>
    <row r="11" spans="2:17" x14ac:dyDescent="0.3">
      <c r="B11">
        <v>688041</v>
      </c>
      <c r="C11" t="s">
        <v>329</v>
      </c>
      <c r="D11" s="8" t="s">
        <v>457</v>
      </c>
      <c r="H11" t="s">
        <v>458</v>
      </c>
      <c r="K11">
        <v>2010</v>
      </c>
      <c r="L11">
        <f t="shared" si="0"/>
        <v>4</v>
      </c>
      <c r="N11">
        <v>4</v>
      </c>
    </row>
    <row r="12" spans="2:17" x14ac:dyDescent="0.3">
      <c r="B12">
        <v>603213</v>
      </c>
      <c r="C12" t="s">
        <v>460</v>
      </c>
      <c r="D12" s="8" t="s">
        <v>457</v>
      </c>
      <c r="H12" t="s">
        <v>458</v>
      </c>
      <c r="K12">
        <v>2011</v>
      </c>
      <c r="L12">
        <f t="shared" si="0"/>
        <v>3</v>
      </c>
      <c r="N12">
        <v>3</v>
      </c>
    </row>
    <row r="13" spans="2:17" x14ac:dyDescent="0.3">
      <c r="B13">
        <v>601989</v>
      </c>
      <c r="C13" t="s">
        <v>461</v>
      </c>
      <c r="D13" s="8" t="s">
        <v>457</v>
      </c>
      <c r="H13" t="s">
        <v>458</v>
      </c>
      <c r="K13">
        <v>2012</v>
      </c>
      <c r="L13">
        <f t="shared" si="0"/>
        <v>4</v>
      </c>
      <c r="N13">
        <v>4</v>
      </c>
    </row>
    <row r="14" spans="2:17" x14ac:dyDescent="0.3">
      <c r="B14">
        <v>300379</v>
      </c>
      <c r="C14" t="s">
        <v>462</v>
      </c>
      <c r="D14" s="8" t="s">
        <v>450</v>
      </c>
      <c r="K14">
        <v>2013</v>
      </c>
      <c r="L14">
        <f t="shared" si="0"/>
        <v>7</v>
      </c>
      <c r="M14">
        <v>2</v>
      </c>
      <c r="N14">
        <v>5</v>
      </c>
    </row>
    <row r="15" spans="2:17" x14ac:dyDescent="0.3">
      <c r="B15">
        <v>600200</v>
      </c>
      <c r="C15" t="s">
        <v>463</v>
      </c>
      <c r="D15" s="8" t="s">
        <v>450</v>
      </c>
      <c r="K15">
        <v>2014</v>
      </c>
      <c r="L15">
        <f t="shared" si="0"/>
        <v>3</v>
      </c>
      <c r="M15">
        <v>1</v>
      </c>
      <c r="N15">
        <v>2</v>
      </c>
    </row>
    <row r="16" spans="2:17" x14ac:dyDescent="0.3">
      <c r="B16">
        <v>300280</v>
      </c>
      <c r="C16" t="s">
        <v>464</v>
      </c>
      <c r="D16" s="8" t="s">
        <v>465</v>
      </c>
      <c r="E16" s="8" t="s">
        <v>466</v>
      </c>
      <c r="K16">
        <v>2015</v>
      </c>
      <c r="L16">
        <f t="shared" si="0"/>
        <v>10</v>
      </c>
      <c r="M16">
        <v>2</v>
      </c>
      <c r="N16">
        <v>8</v>
      </c>
    </row>
    <row r="17" spans="2:17" ht="28" customHeight="1" x14ac:dyDescent="0.3">
      <c r="B17">
        <v>920680</v>
      </c>
      <c r="C17" t="s">
        <v>467</v>
      </c>
      <c r="D17" s="8" t="s">
        <v>450</v>
      </c>
      <c r="E17" s="8" t="s">
        <v>468</v>
      </c>
      <c r="I17" t="s">
        <v>444</v>
      </c>
      <c r="K17">
        <v>2016</v>
      </c>
      <c r="L17">
        <f t="shared" si="0"/>
        <v>2</v>
      </c>
      <c r="M17">
        <v>1</v>
      </c>
      <c r="N17">
        <v>1</v>
      </c>
    </row>
    <row r="18" spans="2:17" x14ac:dyDescent="0.3">
      <c r="B18">
        <v>600190</v>
      </c>
      <c r="C18" t="s">
        <v>469</v>
      </c>
      <c r="D18" s="8" t="s">
        <v>450</v>
      </c>
      <c r="E18" s="8" t="s">
        <v>470</v>
      </c>
      <c r="I18" t="s">
        <v>442</v>
      </c>
      <c r="K18">
        <v>2017</v>
      </c>
      <c r="L18">
        <f t="shared" si="0"/>
        <v>5</v>
      </c>
      <c r="M18">
        <v>2</v>
      </c>
      <c r="N18">
        <v>3</v>
      </c>
    </row>
    <row r="19" spans="2:17" ht="28" customHeight="1" x14ac:dyDescent="0.3">
      <c r="B19">
        <v>300208</v>
      </c>
      <c r="C19" t="s">
        <v>471</v>
      </c>
      <c r="D19" s="8" t="s">
        <v>438</v>
      </c>
      <c r="E19" s="8" t="s">
        <v>472</v>
      </c>
      <c r="H19" s="8" t="s">
        <v>458</v>
      </c>
      <c r="I19" t="s">
        <v>442</v>
      </c>
      <c r="K19">
        <v>2018</v>
      </c>
      <c r="L19">
        <f t="shared" si="0"/>
        <v>6</v>
      </c>
      <c r="M19">
        <v>4</v>
      </c>
      <c r="N19">
        <v>2</v>
      </c>
    </row>
    <row r="20" spans="2:17" ht="28" customHeight="1" x14ac:dyDescent="0.3">
      <c r="B20">
        <v>600462</v>
      </c>
      <c r="C20" t="s">
        <v>473</v>
      </c>
      <c r="D20" s="8" t="s">
        <v>438</v>
      </c>
      <c r="E20" s="8" t="s">
        <v>474</v>
      </c>
      <c r="H20" s="8" t="s">
        <v>441</v>
      </c>
      <c r="I20" t="s">
        <v>442</v>
      </c>
      <c r="K20">
        <v>2019</v>
      </c>
      <c r="L20">
        <f t="shared" si="0"/>
        <v>12</v>
      </c>
      <c r="M20">
        <v>9</v>
      </c>
      <c r="N20">
        <v>3</v>
      </c>
    </row>
    <row r="21" spans="2:17" ht="28" customHeight="1" x14ac:dyDescent="0.3">
      <c r="B21">
        <v>584</v>
      </c>
      <c r="C21" t="s">
        <v>475</v>
      </c>
      <c r="D21" s="8" t="s">
        <v>438</v>
      </c>
      <c r="E21" s="8" t="s">
        <v>476</v>
      </c>
      <c r="F21" s="8" t="s">
        <v>477</v>
      </c>
      <c r="H21" s="8" t="s">
        <v>441</v>
      </c>
      <c r="I21" t="s">
        <v>448</v>
      </c>
      <c r="K21">
        <v>2020</v>
      </c>
      <c r="L21">
        <f t="shared" si="0"/>
        <v>20</v>
      </c>
      <c r="M21">
        <v>17</v>
      </c>
      <c r="N21">
        <v>3</v>
      </c>
      <c r="O21">
        <v>98</v>
      </c>
      <c r="P21">
        <v>10</v>
      </c>
      <c r="Q21">
        <f t="shared" ref="Q21:Q26" si="1">P21/O21</f>
        <v>0.10204081632653061</v>
      </c>
    </row>
    <row r="22" spans="2:17" ht="28" customHeight="1" x14ac:dyDescent="0.3">
      <c r="B22">
        <v>600387</v>
      </c>
      <c r="C22" t="s">
        <v>478</v>
      </c>
      <c r="D22" s="8" t="s">
        <v>438</v>
      </c>
      <c r="E22" s="8" t="s">
        <v>476</v>
      </c>
      <c r="G22">
        <v>4</v>
      </c>
      <c r="H22" s="8" t="s">
        <v>458</v>
      </c>
      <c r="I22" t="s">
        <v>442</v>
      </c>
      <c r="K22">
        <v>2021</v>
      </c>
      <c r="L22">
        <f t="shared" si="0"/>
        <v>23</v>
      </c>
      <c r="M22">
        <v>17</v>
      </c>
      <c r="N22">
        <v>6</v>
      </c>
      <c r="O22">
        <v>54</v>
      </c>
      <c r="P22">
        <v>22</v>
      </c>
      <c r="Q22">
        <f t="shared" si="1"/>
        <v>0.40740740740740738</v>
      </c>
    </row>
    <row r="23" spans="2:17" ht="56" customHeight="1" x14ac:dyDescent="0.3">
      <c r="B23">
        <v>2336</v>
      </c>
      <c r="C23" t="s">
        <v>479</v>
      </c>
      <c r="D23" s="8" t="s">
        <v>438</v>
      </c>
      <c r="E23" s="8" t="s">
        <v>480</v>
      </c>
      <c r="F23" s="8" t="s">
        <v>481</v>
      </c>
      <c r="G23">
        <v>1.5</v>
      </c>
      <c r="H23" t="s">
        <v>458</v>
      </c>
      <c r="I23" t="s">
        <v>448</v>
      </c>
      <c r="K23">
        <v>2022</v>
      </c>
      <c r="L23">
        <f t="shared" si="0"/>
        <v>47</v>
      </c>
      <c r="M23">
        <v>42</v>
      </c>
      <c r="N23">
        <v>5</v>
      </c>
      <c r="O23">
        <v>45</v>
      </c>
      <c r="P23">
        <v>25</v>
      </c>
      <c r="Q23">
        <f t="shared" si="1"/>
        <v>0.55555555555555558</v>
      </c>
    </row>
    <row r="24" spans="2:17" ht="28" customHeight="1" x14ac:dyDescent="0.3">
      <c r="B24">
        <v>603003</v>
      </c>
      <c r="C24" t="s">
        <v>482</v>
      </c>
      <c r="D24" s="8" t="s">
        <v>438</v>
      </c>
      <c r="E24" s="8" t="s">
        <v>476</v>
      </c>
      <c r="F24" s="8" t="s">
        <v>483</v>
      </c>
      <c r="H24" s="8" t="s">
        <v>441</v>
      </c>
      <c r="I24" t="s">
        <v>442</v>
      </c>
      <c r="K24">
        <v>2023</v>
      </c>
      <c r="L24">
        <f t="shared" si="0"/>
        <v>46</v>
      </c>
      <c r="M24">
        <v>43</v>
      </c>
      <c r="N24">
        <v>3</v>
      </c>
      <c r="O24">
        <v>53</v>
      </c>
      <c r="P24">
        <v>27</v>
      </c>
      <c r="Q24">
        <f t="shared" si="1"/>
        <v>0.50943396226415094</v>
      </c>
    </row>
    <row r="25" spans="2:17" ht="28" customHeight="1" x14ac:dyDescent="0.3">
      <c r="B25">
        <v>600225</v>
      </c>
      <c r="C25" t="s">
        <v>484</v>
      </c>
      <c r="D25" s="8" t="s">
        <v>450</v>
      </c>
      <c r="F25" s="8" t="s">
        <v>485</v>
      </c>
      <c r="H25" t="s">
        <v>458</v>
      </c>
      <c r="I25" t="s">
        <v>444</v>
      </c>
      <c r="K25">
        <v>2024</v>
      </c>
      <c r="L25">
        <f t="shared" si="0"/>
        <v>54</v>
      </c>
      <c r="M25">
        <v>46</v>
      </c>
      <c r="N25">
        <v>8</v>
      </c>
      <c r="O25">
        <v>57</v>
      </c>
      <c r="P25">
        <v>29</v>
      </c>
      <c r="Q25">
        <f t="shared" si="1"/>
        <v>0.50877192982456143</v>
      </c>
    </row>
    <row r="26" spans="2:17" x14ac:dyDescent="0.3">
      <c r="B26">
        <v>601028</v>
      </c>
      <c r="C26" t="s">
        <v>486</v>
      </c>
      <c r="D26" s="8" t="s">
        <v>455</v>
      </c>
      <c r="H26" t="s">
        <v>458</v>
      </c>
      <c r="K26">
        <v>2025</v>
      </c>
      <c r="L26">
        <v>32</v>
      </c>
      <c r="M26">
        <v>25</v>
      </c>
      <c r="N26">
        <v>6</v>
      </c>
      <c r="O26">
        <v>97</v>
      </c>
      <c r="P26">
        <v>20</v>
      </c>
      <c r="Q26">
        <f t="shared" si="1"/>
        <v>0.20618556701030927</v>
      </c>
    </row>
    <row r="27" spans="2:17" x14ac:dyDescent="0.3">
      <c r="B27">
        <v>600705</v>
      </c>
      <c r="C27" t="s">
        <v>487</v>
      </c>
      <c r="D27" s="8" t="s">
        <v>455</v>
      </c>
      <c r="H27" t="s">
        <v>458</v>
      </c>
    </row>
    <row r="28" spans="2:17" ht="28" customHeight="1" x14ac:dyDescent="0.3">
      <c r="B28">
        <v>300630</v>
      </c>
      <c r="C28" t="s">
        <v>488</v>
      </c>
      <c r="D28" s="8" t="s">
        <v>450</v>
      </c>
      <c r="F28" s="8" t="s">
        <v>489</v>
      </c>
      <c r="G28">
        <v>4</v>
      </c>
      <c r="H28" t="s">
        <v>441</v>
      </c>
      <c r="I28" t="s">
        <v>444</v>
      </c>
    </row>
    <row r="29" spans="2:17" ht="42" customHeight="1" x14ac:dyDescent="0.3">
      <c r="B29">
        <v>600898</v>
      </c>
      <c r="C29" t="s">
        <v>490</v>
      </c>
      <c r="D29" s="8" t="s">
        <v>491</v>
      </c>
      <c r="E29" s="8" t="s">
        <v>492</v>
      </c>
      <c r="F29" s="8" t="s">
        <v>493</v>
      </c>
      <c r="G29">
        <v>2</v>
      </c>
      <c r="H29" t="s">
        <v>441</v>
      </c>
      <c r="I29" t="s">
        <v>448</v>
      </c>
    </row>
    <row r="30" spans="2:17" ht="28" customHeight="1" x14ac:dyDescent="0.3">
      <c r="B30">
        <v>600083</v>
      </c>
      <c r="C30" t="s">
        <v>494</v>
      </c>
      <c r="D30" s="8" t="s">
        <v>491</v>
      </c>
      <c r="E30" s="8" t="s">
        <v>495</v>
      </c>
      <c r="F30" s="8" t="s">
        <v>496</v>
      </c>
      <c r="G30">
        <v>2</v>
      </c>
      <c r="H30" t="s">
        <v>458</v>
      </c>
      <c r="I30" t="s">
        <v>448</v>
      </c>
    </row>
    <row r="31" spans="2:17" ht="42" customHeight="1" x14ac:dyDescent="0.3">
      <c r="B31">
        <v>300108</v>
      </c>
      <c r="C31" t="s">
        <v>497</v>
      </c>
      <c r="D31" s="8" t="s">
        <v>452</v>
      </c>
      <c r="E31" s="8" t="s">
        <v>498</v>
      </c>
      <c r="F31" s="8" t="s">
        <v>499</v>
      </c>
      <c r="H31" s="8" t="s">
        <v>441</v>
      </c>
      <c r="I31" s="8" t="s">
        <v>444</v>
      </c>
    </row>
    <row r="32" spans="2:17" x14ac:dyDescent="0.3">
      <c r="B32">
        <v>603388</v>
      </c>
      <c r="C32" t="s">
        <v>500</v>
      </c>
      <c r="D32" s="8" t="s">
        <v>450</v>
      </c>
      <c r="H32" t="s">
        <v>441</v>
      </c>
      <c r="I32" t="s">
        <v>444</v>
      </c>
    </row>
    <row r="33" spans="2:8" x14ac:dyDescent="0.3">
      <c r="B33">
        <v>300344</v>
      </c>
      <c r="C33" t="s">
        <v>501</v>
      </c>
      <c r="D33" s="8" t="s">
        <v>450</v>
      </c>
      <c r="H33" t="s">
        <v>441</v>
      </c>
    </row>
    <row r="34" spans="2:8" x14ac:dyDescent="0.3">
      <c r="B34">
        <v>300391</v>
      </c>
      <c r="C34" t="s">
        <v>502</v>
      </c>
      <c r="D34" s="8" t="s">
        <v>450</v>
      </c>
      <c r="H34" t="s">
        <v>441</v>
      </c>
    </row>
  </sheetData>
  <autoFilter ref="B2:I33" xr:uid="{00000000-0009-0000-0000-000004000000}"/>
  <phoneticPr fontId="16" type="noConversion"/>
  <dataValidations count="3">
    <dataValidation type="list" allowBlank="1" showInputMessage="1" showErrorMessage="1" sqref="H1:H1048576" xr:uid="{00000000-0002-0000-0400-000000000000}">
      <formula1>"是,否"</formula1>
    </dataValidation>
    <dataValidation type="list" allowBlank="1" showInputMessage="1" showErrorMessage="1" sqref="I1:I1048576" xr:uid="{00000000-0002-0000-0400-000001000000}">
      <formula1>"正,负,平"</formula1>
    </dataValidation>
    <dataValidation type="list" allowBlank="1" showInputMessage="1" showErrorMessage="1" sqref="D1:D1048576" xr:uid="{00000000-0002-0000-0400-000002000000}">
      <formula1>"市值退,面值退,主动退,吸收合并,重大违法,财务退,强制退"</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filterMode="1"/>
  <dimension ref="A1:T264"/>
  <sheetViews>
    <sheetView zoomScale="108" workbookViewId="0">
      <pane xSplit="5" ySplit="1" topLeftCell="F248" activePane="bottomRight" state="frozen"/>
      <selection pane="topRight" activeCell="F1" sqref="F1"/>
      <selection pane="bottomLeft" activeCell="A2" sqref="A2"/>
      <selection pane="bottomRight" activeCell="O267" sqref="O267"/>
    </sheetView>
  </sheetViews>
  <sheetFormatPr defaultColWidth="8.58203125" defaultRowHeight="14" x14ac:dyDescent="0.3"/>
  <cols>
    <col min="1" max="1" width="14.83203125" style="8" customWidth="1"/>
    <col min="2" max="4" width="8.58203125" style="8" customWidth="1"/>
    <col min="5" max="6" width="11.83203125" style="8" customWidth="1"/>
    <col min="7" max="7" width="18.25" style="8" customWidth="1"/>
    <col min="8" max="9" width="8.33203125" style="8" customWidth="1"/>
    <col min="10" max="10" width="34.5" style="8" customWidth="1"/>
    <col min="11" max="11" width="8.5" style="8" customWidth="1"/>
    <col min="12" max="12" width="8.83203125" style="8" customWidth="1"/>
    <col min="13" max="13" width="8.83203125" style="333" customWidth="1"/>
    <col min="14" max="148" width="8.58203125" style="8" customWidth="1"/>
    <col min="149" max="16384" width="8.58203125" style="8"/>
  </cols>
  <sheetData>
    <row r="1" spans="1:20" ht="136" customHeight="1" x14ac:dyDescent="0.3">
      <c r="A1" s="8" t="s">
        <v>503</v>
      </c>
      <c r="B1" s="8" t="s">
        <v>429</v>
      </c>
      <c r="C1" s="8" t="s">
        <v>409</v>
      </c>
      <c r="D1" s="8" t="s">
        <v>504</v>
      </c>
      <c r="E1" s="8" t="s">
        <v>505</v>
      </c>
      <c r="F1" s="8" t="s">
        <v>506</v>
      </c>
      <c r="G1" s="8" t="s">
        <v>507</v>
      </c>
      <c r="H1" s="8" t="s">
        <v>508</v>
      </c>
      <c r="I1" s="8" t="s">
        <v>509</v>
      </c>
      <c r="J1" s="8" t="s">
        <v>510</v>
      </c>
      <c r="K1" s="8" t="s">
        <v>511</v>
      </c>
      <c r="L1" s="8" t="s">
        <v>512</v>
      </c>
      <c r="M1" s="8" t="s">
        <v>513</v>
      </c>
      <c r="N1" s="8" t="s">
        <v>514</v>
      </c>
      <c r="O1" s="8" t="s">
        <v>515</v>
      </c>
      <c r="P1" s="8" t="s">
        <v>516</v>
      </c>
      <c r="Q1" s="8" t="s">
        <v>517</v>
      </c>
      <c r="R1" s="8" t="s">
        <v>518</v>
      </c>
      <c r="S1" s="8" t="s">
        <v>519</v>
      </c>
      <c r="T1" s="8" t="s">
        <v>520</v>
      </c>
    </row>
    <row r="2" spans="1:20" ht="98" customHeight="1" x14ac:dyDescent="0.3">
      <c r="B2" s="8">
        <v>600684</v>
      </c>
      <c r="C2" s="8" t="s">
        <v>521</v>
      </c>
      <c r="D2" s="8" t="s">
        <v>522</v>
      </c>
      <c r="E2" s="8">
        <v>20080101</v>
      </c>
      <c r="F2" s="8">
        <f>E2</f>
        <v>20080101</v>
      </c>
      <c r="G2" s="8" t="s">
        <v>523</v>
      </c>
      <c r="H2" s="8">
        <v>0</v>
      </c>
      <c r="I2" s="8" t="s">
        <v>524</v>
      </c>
      <c r="J2" s="8" t="s">
        <v>525</v>
      </c>
      <c r="L2" s="8">
        <v>0</v>
      </c>
      <c r="N2" s="8">
        <v>29</v>
      </c>
      <c r="O2" s="8">
        <v>16</v>
      </c>
      <c r="P2" s="8">
        <v>17</v>
      </c>
      <c r="Q2" s="8">
        <v>5</v>
      </c>
      <c r="R2" s="8">
        <v>0</v>
      </c>
    </row>
    <row r="3" spans="1:20" ht="70" hidden="1" customHeight="1" x14ac:dyDescent="0.3">
      <c r="A3" s="8" t="s">
        <v>458</v>
      </c>
      <c r="B3" s="8">
        <v>603268</v>
      </c>
      <c r="C3" s="8" t="s">
        <v>526</v>
      </c>
      <c r="D3" s="8" t="s">
        <v>237</v>
      </c>
      <c r="E3" s="8">
        <v>20181012</v>
      </c>
      <c r="G3" s="8" t="s">
        <v>527</v>
      </c>
      <c r="H3" s="8">
        <v>3</v>
      </c>
      <c r="I3" s="8" t="s">
        <v>524</v>
      </c>
      <c r="J3" s="8" t="s">
        <v>528</v>
      </c>
      <c r="L3" s="8">
        <v>8.1999999999999993</v>
      </c>
      <c r="N3" s="8">
        <v>20</v>
      </c>
      <c r="O3" s="8">
        <v>6</v>
      </c>
      <c r="P3" s="8">
        <v>12.6</v>
      </c>
      <c r="Q3" s="8">
        <v>7</v>
      </c>
      <c r="R3" s="8">
        <v>6</v>
      </c>
      <c r="S3" s="8">
        <v>17</v>
      </c>
      <c r="T3" s="8">
        <v>55</v>
      </c>
    </row>
    <row r="4" spans="1:20" ht="322" customHeight="1" x14ac:dyDescent="0.3">
      <c r="A4" s="8" t="s">
        <v>529</v>
      </c>
      <c r="B4" s="8">
        <v>300489</v>
      </c>
      <c r="C4" s="8" t="s">
        <v>530</v>
      </c>
      <c r="D4" s="8" t="s">
        <v>237</v>
      </c>
      <c r="E4" s="8">
        <v>20190423</v>
      </c>
      <c r="G4" s="8" t="s">
        <v>531</v>
      </c>
      <c r="H4" s="8">
        <v>5</v>
      </c>
      <c r="I4" s="8" t="s">
        <v>524</v>
      </c>
      <c r="J4" s="8" t="s">
        <v>532</v>
      </c>
      <c r="L4" s="8">
        <v>7.5</v>
      </c>
      <c r="N4" s="8">
        <v>26</v>
      </c>
      <c r="O4" s="8">
        <v>1.3</v>
      </c>
      <c r="P4" s="8">
        <v>5</v>
      </c>
      <c r="Q4" s="8">
        <v>3.7</v>
      </c>
      <c r="R4" s="8">
        <v>5</v>
      </c>
      <c r="S4" s="8">
        <v>31</v>
      </c>
      <c r="T4" s="8">
        <v>134</v>
      </c>
    </row>
    <row r="5" spans="1:20" ht="56" customHeight="1" x14ac:dyDescent="0.3">
      <c r="B5" s="8">
        <v>600076</v>
      </c>
      <c r="C5" s="8" t="s">
        <v>533</v>
      </c>
      <c r="D5" s="8" t="s">
        <v>534</v>
      </c>
      <c r="E5" s="8">
        <v>20191111</v>
      </c>
      <c r="F5" s="8">
        <f>E5</f>
        <v>20191111</v>
      </c>
      <c r="G5" s="8" t="s">
        <v>535</v>
      </c>
      <c r="H5" s="8">
        <v>0</v>
      </c>
      <c r="I5" s="8" t="s">
        <v>524</v>
      </c>
      <c r="J5" s="8" t="s">
        <v>536</v>
      </c>
      <c r="L5" s="8">
        <f>6.2+4.3+8.5</f>
        <v>19</v>
      </c>
      <c r="N5" s="8">
        <v>40</v>
      </c>
      <c r="O5" s="8">
        <v>6</v>
      </c>
      <c r="P5" s="8">
        <v>71</v>
      </c>
      <c r="Q5" s="8">
        <v>40</v>
      </c>
      <c r="R5" s="8">
        <v>0</v>
      </c>
    </row>
    <row r="6" spans="1:20" ht="42" hidden="1" customHeight="1" x14ac:dyDescent="0.3">
      <c r="A6" s="8" t="s">
        <v>458</v>
      </c>
      <c r="B6" s="8">
        <v>301297</v>
      </c>
      <c r="C6" s="8" t="s">
        <v>537</v>
      </c>
      <c r="D6" s="8" t="s">
        <v>237</v>
      </c>
      <c r="E6" s="8">
        <v>20200101</v>
      </c>
      <c r="G6" s="8" t="s">
        <v>538</v>
      </c>
      <c r="H6" s="8">
        <v>4</v>
      </c>
      <c r="I6" s="8" t="s">
        <v>524</v>
      </c>
      <c r="J6" s="8" t="s">
        <v>539</v>
      </c>
      <c r="R6" s="8">
        <v>4</v>
      </c>
      <c r="S6" s="8">
        <v>66</v>
      </c>
      <c r="T6" s="8">
        <v>200</v>
      </c>
    </row>
    <row r="7" spans="1:20" ht="182" hidden="1" customHeight="1" x14ac:dyDescent="0.3">
      <c r="A7" s="8" t="s">
        <v>458</v>
      </c>
      <c r="B7" s="8">
        <v>603991</v>
      </c>
      <c r="C7" s="8" t="s">
        <v>540</v>
      </c>
      <c r="D7" s="8" t="s">
        <v>237</v>
      </c>
      <c r="E7" s="8">
        <v>20200521</v>
      </c>
      <c r="G7" s="8" t="s">
        <v>541</v>
      </c>
      <c r="H7" s="8">
        <v>4</v>
      </c>
      <c r="I7" s="8" t="s">
        <v>524</v>
      </c>
      <c r="J7" s="8" t="s">
        <v>542</v>
      </c>
      <c r="L7" s="8">
        <v>6.2</v>
      </c>
      <c r="N7" s="8">
        <v>20</v>
      </c>
      <c r="O7" s="8">
        <v>3</v>
      </c>
      <c r="P7" s="8">
        <v>5.7</v>
      </c>
      <c r="Q7" s="8">
        <v>3.7</v>
      </c>
      <c r="R7" s="8">
        <v>4</v>
      </c>
      <c r="S7" s="8">
        <v>46</v>
      </c>
      <c r="T7" s="8">
        <v>74</v>
      </c>
    </row>
    <row r="8" spans="1:20" ht="84" customHeight="1" x14ac:dyDescent="0.3">
      <c r="B8" s="8">
        <v>603168</v>
      </c>
      <c r="C8" s="8" t="s">
        <v>543</v>
      </c>
      <c r="D8" s="8" t="s">
        <v>237</v>
      </c>
      <c r="E8" s="8">
        <v>20200530</v>
      </c>
      <c r="F8" s="8">
        <f t="shared" ref="F8:F41" si="0">E8</f>
        <v>20200530</v>
      </c>
      <c r="G8" s="8" t="s">
        <v>544</v>
      </c>
      <c r="H8" s="8">
        <v>2</v>
      </c>
      <c r="I8" s="8" t="s">
        <v>524</v>
      </c>
      <c r="J8" s="8" t="s">
        <v>545</v>
      </c>
      <c r="L8" s="8">
        <v>4.0999999999999996</v>
      </c>
      <c r="N8" s="8">
        <v>30</v>
      </c>
      <c r="O8" s="8">
        <v>3.5</v>
      </c>
      <c r="P8" s="8">
        <v>16</v>
      </c>
      <c r="Q8" s="8">
        <v>13</v>
      </c>
      <c r="R8" s="8">
        <v>0</v>
      </c>
    </row>
    <row r="9" spans="1:20" ht="70" customHeight="1" x14ac:dyDescent="0.3">
      <c r="B9" s="8">
        <v>600738</v>
      </c>
      <c r="C9" s="8" t="s">
        <v>546</v>
      </c>
      <c r="D9" s="8" t="s">
        <v>534</v>
      </c>
      <c r="E9" s="8">
        <v>20200725</v>
      </c>
      <c r="F9" s="8">
        <f t="shared" si="0"/>
        <v>20200725</v>
      </c>
      <c r="G9" s="8" t="s">
        <v>547</v>
      </c>
      <c r="H9" s="8">
        <v>0</v>
      </c>
      <c r="I9" s="8" t="s">
        <v>524</v>
      </c>
      <c r="J9" s="8" t="s">
        <v>548</v>
      </c>
      <c r="L9" s="8">
        <v>10</v>
      </c>
      <c r="N9" s="8">
        <v>50</v>
      </c>
      <c r="O9" s="8">
        <v>6</v>
      </c>
      <c r="P9" s="8">
        <v>33</v>
      </c>
      <c r="Q9" s="8">
        <v>17</v>
      </c>
      <c r="R9" s="8">
        <v>0</v>
      </c>
    </row>
    <row r="10" spans="1:20" ht="56" customHeight="1" x14ac:dyDescent="0.3">
      <c r="B10" s="8">
        <v>601599</v>
      </c>
      <c r="C10" s="8" t="s">
        <v>549</v>
      </c>
      <c r="D10" s="8" t="s">
        <v>534</v>
      </c>
      <c r="E10" s="8">
        <v>20200826</v>
      </c>
      <c r="F10" s="8">
        <f t="shared" si="0"/>
        <v>20200826</v>
      </c>
      <c r="G10" s="8" t="s">
        <v>550</v>
      </c>
      <c r="H10" s="8">
        <v>0</v>
      </c>
      <c r="I10" s="8" t="s">
        <v>524</v>
      </c>
      <c r="J10" s="8" t="s">
        <v>551</v>
      </c>
      <c r="L10" s="8">
        <v>6</v>
      </c>
      <c r="N10" s="8">
        <v>26</v>
      </c>
      <c r="O10" s="8">
        <v>17</v>
      </c>
      <c r="P10" s="8">
        <v>38</v>
      </c>
      <c r="Q10" s="8">
        <v>6</v>
      </c>
      <c r="R10" s="8">
        <v>0</v>
      </c>
    </row>
    <row r="11" spans="1:20" ht="126" customHeight="1" x14ac:dyDescent="0.3">
      <c r="B11" s="8">
        <v>600966</v>
      </c>
      <c r="C11" s="8" t="s">
        <v>552</v>
      </c>
      <c r="D11" s="8" t="s">
        <v>237</v>
      </c>
      <c r="E11" s="8">
        <v>20200828</v>
      </c>
      <c r="F11" s="8">
        <f t="shared" si="0"/>
        <v>20200828</v>
      </c>
      <c r="G11" s="8" t="s">
        <v>553</v>
      </c>
      <c r="H11" s="8">
        <v>1</v>
      </c>
      <c r="I11" s="8" t="s">
        <v>524</v>
      </c>
      <c r="J11" s="8" t="s">
        <v>554</v>
      </c>
      <c r="L11" s="8">
        <v>20</v>
      </c>
      <c r="N11" s="8">
        <v>65</v>
      </c>
      <c r="O11" s="8">
        <v>97</v>
      </c>
      <c r="P11" s="8">
        <v>193</v>
      </c>
      <c r="Q11" s="8">
        <v>48</v>
      </c>
      <c r="R11" s="8">
        <v>0</v>
      </c>
    </row>
    <row r="12" spans="1:20" ht="56" customHeight="1" x14ac:dyDescent="0.3">
      <c r="B12" s="8">
        <v>603306</v>
      </c>
      <c r="C12" s="8" t="s">
        <v>555</v>
      </c>
      <c r="D12" s="8" t="s">
        <v>237</v>
      </c>
      <c r="E12" s="8">
        <v>20201020</v>
      </c>
      <c r="F12" s="8">
        <f t="shared" si="0"/>
        <v>20201020</v>
      </c>
      <c r="G12" s="8" t="s">
        <v>556</v>
      </c>
      <c r="H12" s="8">
        <v>0</v>
      </c>
      <c r="I12" s="8" t="s">
        <v>524</v>
      </c>
      <c r="J12" s="8" t="s">
        <v>557</v>
      </c>
      <c r="L12" s="8">
        <v>12</v>
      </c>
      <c r="N12" s="8">
        <v>60</v>
      </c>
      <c r="O12" s="8">
        <v>9.5</v>
      </c>
      <c r="P12" s="8">
        <v>27</v>
      </c>
      <c r="Q12" s="8">
        <v>24</v>
      </c>
      <c r="R12" s="8">
        <v>0</v>
      </c>
    </row>
    <row r="13" spans="1:20" ht="154" customHeight="1" x14ac:dyDescent="0.3">
      <c r="B13" s="8">
        <v>603223</v>
      </c>
      <c r="C13" s="8" t="s">
        <v>558</v>
      </c>
      <c r="D13" s="8" t="s">
        <v>534</v>
      </c>
      <c r="E13" s="8">
        <v>20201119</v>
      </c>
      <c r="F13" s="8">
        <f t="shared" si="0"/>
        <v>20201119</v>
      </c>
      <c r="G13" s="8" t="s">
        <v>559</v>
      </c>
      <c r="H13" s="8">
        <v>3</v>
      </c>
      <c r="I13" s="8" t="s">
        <v>524</v>
      </c>
      <c r="J13" s="8" t="s">
        <v>560</v>
      </c>
      <c r="L13" s="8">
        <v>34</v>
      </c>
      <c r="N13" s="8">
        <v>50</v>
      </c>
      <c r="O13" s="8">
        <v>55</v>
      </c>
      <c r="P13" s="8">
        <v>19</v>
      </c>
      <c r="Q13" s="8">
        <v>13</v>
      </c>
      <c r="R13" s="8">
        <v>0</v>
      </c>
    </row>
    <row r="14" spans="1:20" ht="126" customHeight="1" x14ac:dyDescent="0.3">
      <c r="B14" s="8">
        <v>300211</v>
      </c>
      <c r="C14" s="8" t="s">
        <v>561</v>
      </c>
      <c r="D14" s="8" t="s">
        <v>237</v>
      </c>
      <c r="E14" s="8">
        <v>20210204</v>
      </c>
      <c r="F14" s="8">
        <f t="shared" si="0"/>
        <v>20210204</v>
      </c>
      <c r="G14" s="8" t="s">
        <v>562</v>
      </c>
      <c r="H14" s="8">
        <v>3</v>
      </c>
      <c r="I14" s="8" t="s">
        <v>524</v>
      </c>
      <c r="J14" s="8" t="s">
        <v>563</v>
      </c>
      <c r="L14" s="8">
        <v>9.5</v>
      </c>
      <c r="N14" s="8">
        <v>24</v>
      </c>
      <c r="O14" s="8">
        <v>0.8</v>
      </c>
      <c r="P14" s="8">
        <v>5</v>
      </c>
      <c r="Q14" s="8">
        <v>4.5999999999999996</v>
      </c>
      <c r="R14" s="8">
        <v>0</v>
      </c>
    </row>
    <row r="15" spans="1:20" ht="42" customHeight="1" x14ac:dyDescent="0.3">
      <c r="B15" s="8">
        <v>603159</v>
      </c>
      <c r="C15" s="8" t="s">
        <v>564</v>
      </c>
      <c r="D15" s="8" t="s">
        <v>237</v>
      </c>
      <c r="E15" s="8">
        <v>20210206</v>
      </c>
      <c r="F15" s="8">
        <f t="shared" si="0"/>
        <v>20210206</v>
      </c>
      <c r="G15" s="268" t="s">
        <v>565</v>
      </c>
      <c r="H15" s="8">
        <v>1</v>
      </c>
      <c r="I15" s="8" t="s">
        <v>524</v>
      </c>
      <c r="L15" s="8">
        <v>5</v>
      </c>
      <c r="N15" s="8">
        <v>21</v>
      </c>
      <c r="O15" s="8">
        <v>6.7</v>
      </c>
      <c r="P15" s="8">
        <v>6.4</v>
      </c>
      <c r="Q15" s="8">
        <v>4.5999999999999996</v>
      </c>
      <c r="R15" s="8">
        <v>0</v>
      </c>
    </row>
    <row r="16" spans="1:20" ht="28" customHeight="1" x14ac:dyDescent="0.3">
      <c r="B16" s="8">
        <v>603110</v>
      </c>
      <c r="C16" s="8" t="s">
        <v>566</v>
      </c>
      <c r="D16" s="8" t="s">
        <v>237</v>
      </c>
      <c r="E16" s="8">
        <v>20210223</v>
      </c>
      <c r="F16" s="8">
        <f t="shared" si="0"/>
        <v>20210223</v>
      </c>
      <c r="G16" s="8" t="s">
        <v>567</v>
      </c>
      <c r="H16" s="8">
        <v>0</v>
      </c>
      <c r="I16" s="8" t="s">
        <v>524</v>
      </c>
      <c r="J16" s="8" t="s">
        <v>568</v>
      </c>
      <c r="L16" s="8">
        <v>7.6</v>
      </c>
      <c r="N16" s="8">
        <v>22</v>
      </c>
      <c r="O16" s="8">
        <v>4</v>
      </c>
      <c r="P16" s="8">
        <v>8</v>
      </c>
      <c r="Q16" s="8">
        <v>6.5</v>
      </c>
      <c r="R16" s="8">
        <v>0</v>
      </c>
    </row>
    <row r="17" spans="2:18" ht="42" customHeight="1" x14ac:dyDescent="0.3">
      <c r="B17" s="8">
        <v>2857</v>
      </c>
      <c r="C17" s="8" t="s">
        <v>569</v>
      </c>
      <c r="D17" s="8" t="s">
        <v>237</v>
      </c>
      <c r="E17" s="8">
        <v>20210420</v>
      </c>
      <c r="F17" s="8">
        <f t="shared" si="0"/>
        <v>20210420</v>
      </c>
      <c r="G17" s="8" t="s">
        <v>570</v>
      </c>
      <c r="H17" s="8">
        <v>0</v>
      </c>
      <c r="I17" s="8" t="s">
        <v>524</v>
      </c>
      <c r="J17" s="8" t="s">
        <v>571</v>
      </c>
      <c r="L17" s="8">
        <v>4.5</v>
      </c>
      <c r="N17" s="8">
        <v>17</v>
      </c>
      <c r="O17" s="8">
        <v>2.2000000000000002</v>
      </c>
      <c r="P17" s="8">
        <v>6.3</v>
      </c>
      <c r="Q17" s="8">
        <v>5.0999999999999996</v>
      </c>
      <c r="R17" s="8">
        <v>0</v>
      </c>
    </row>
    <row r="18" spans="2:18" ht="28" customHeight="1" x14ac:dyDescent="0.3">
      <c r="B18" s="8">
        <v>603677</v>
      </c>
      <c r="C18" s="8" t="s">
        <v>572</v>
      </c>
      <c r="D18" s="8" t="s">
        <v>534</v>
      </c>
      <c r="E18" s="8">
        <v>20210506</v>
      </c>
      <c r="F18" s="8">
        <f t="shared" si="0"/>
        <v>20210506</v>
      </c>
      <c r="G18" s="8" t="s">
        <v>573</v>
      </c>
      <c r="H18" s="8">
        <v>0</v>
      </c>
      <c r="I18" s="8" t="s">
        <v>524</v>
      </c>
      <c r="J18" s="8" t="s">
        <v>574</v>
      </c>
      <c r="L18" s="8">
        <v>8.8000000000000007</v>
      </c>
      <c r="N18" s="8">
        <v>22</v>
      </c>
      <c r="O18" s="8">
        <v>15.6</v>
      </c>
      <c r="P18" s="8">
        <v>20.5</v>
      </c>
      <c r="Q18" s="8">
        <v>10</v>
      </c>
      <c r="R18" s="8">
        <v>0</v>
      </c>
    </row>
    <row r="19" spans="2:18" ht="70" customHeight="1" x14ac:dyDescent="0.3">
      <c r="B19" s="8">
        <v>603909</v>
      </c>
      <c r="C19" s="8" t="s">
        <v>575</v>
      </c>
      <c r="D19" s="8" t="s">
        <v>534</v>
      </c>
      <c r="E19" s="8">
        <v>20211113</v>
      </c>
      <c r="F19" s="8">
        <f t="shared" si="0"/>
        <v>20211113</v>
      </c>
      <c r="G19" s="8" t="s">
        <v>576</v>
      </c>
      <c r="H19" s="8">
        <v>0</v>
      </c>
      <c r="I19" s="8" t="s">
        <v>524</v>
      </c>
      <c r="J19" s="8" t="s">
        <v>577</v>
      </c>
      <c r="L19" s="8">
        <v>5.4</v>
      </c>
      <c r="N19" s="8">
        <v>24</v>
      </c>
      <c r="O19" s="8">
        <v>8</v>
      </c>
      <c r="P19" s="8">
        <v>15</v>
      </c>
      <c r="Q19" s="8">
        <v>10</v>
      </c>
      <c r="R19" s="8">
        <v>0</v>
      </c>
    </row>
    <row r="20" spans="2:18" ht="112" customHeight="1" x14ac:dyDescent="0.3">
      <c r="B20" s="8">
        <v>600300</v>
      </c>
      <c r="C20" s="8" t="s">
        <v>578</v>
      </c>
      <c r="D20" s="8" t="s">
        <v>534</v>
      </c>
      <c r="E20" s="8">
        <v>20211127</v>
      </c>
      <c r="F20" s="8">
        <f t="shared" si="0"/>
        <v>20211127</v>
      </c>
      <c r="G20" s="8" t="s">
        <v>579</v>
      </c>
      <c r="H20" s="8">
        <v>0</v>
      </c>
      <c r="I20" s="8" t="s">
        <v>524</v>
      </c>
      <c r="J20" s="8" t="s">
        <v>580</v>
      </c>
      <c r="L20" s="8">
        <f>9.5+9.1</f>
        <v>18.600000000000001</v>
      </c>
      <c r="N20" s="8">
        <v>48</v>
      </c>
      <c r="O20" s="8">
        <v>50</v>
      </c>
      <c r="P20" s="8">
        <v>67</v>
      </c>
      <c r="Q20" s="8">
        <v>30</v>
      </c>
      <c r="R20" s="8">
        <v>0</v>
      </c>
    </row>
    <row r="21" spans="2:18" ht="84" customHeight="1" x14ac:dyDescent="0.3">
      <c r="B21" s="8">
        <v>600645</v>
      </c>
      <c r="C21" s="8" t="s">
        <v>581</v>
      </c>
      <c r="D21" s="8" t="s">
        <v>237</v>
      </c>
      <c r="E21" s="8">
        <v>20211215</v>
      </c>
      <c r="F21" s="8">
        <f t="shared" si="0"/>
        <v>20211215</v>
      </c>
      <c r="G21" s="8" t="s">
        <v>582</v>
      </c>
      <c r="H21" s="8">
        <v>0</v>
      </c>
      <c r="I21" s="8" t="s">
        <v>524</v>
      </c>
      <c r="J21" s="8" t="s">
        <v>583</v>
      </c>
      <c r="L21" s="8">
        <v>0</v>
      </c>
      <c r="N21" s="8">
        <v>100</v>
      </c>
      <c r="O21" s="8">
        <v>15</v>
      </c>
      <c r="P21" s="8">
        <v>50</v>
      </c>
      <c r="Q21" s="8">
        <v>35</v>
      </c>
      <c r="R21" s="8">
        <v>0</v>
      </c>
    </row>
    <row r="22" spans="2:18" ht="28" customHeight="1" x14ac:dyDescent="0.3">
      <c r="B22" s="8">
        <v>600222</v>
      </c>
      <c r="C22" s="8" t="s">
        <v>584</v>
      </c>
      <c r="D22" s="8" t="s">
        <v>534</v>
      </c>
      <c r="E22" s="8">
        <v>20220125</v>
      </c>
      <c r="F22" s="8">
        <f t="shared" si="0"/>
        <v>20220125</v>
      </c>
      <c r="G22" s="8" t="s">
        <v>585</v>
      </c>
      <c r="H22" s="8">
        <v>0</v>
      </c>
      <c r="I22" s="8" t="s">
        <v>524</v>
      </c>
      <c r="L22" s="8">
        <v>8</v>
      </c>
      <c r="N22" s="8">
        <v>56</v>
      </c>
      <c r="O22" s="8">
        <v>16</v>
      </c>
      <c r="P22" s="8">
        <v>37</v>
      </c>
      <c r="Q22" s="8">
        <v>17</v>
      </c>
      <c r="R22" s="8">
        <v>0</v>
      </c>
    </row>
    <row r="23" spans="2:18" ht="42" customHeight="1" x14ac:dyDescent="0.3">
      <c r="B23" s="8">
        <v>603903</v>
      </c>
      <c r="C23" s="8" t="s">
        <v>586</v>
      </c>
      <c r="D23" s="8" t="s">
        <v>534</v>
      </c>
      <c r="E23" s="8">
        <v>20220310</v>
      </c>
      <c r="F23" s="8">
        <f t="shared" si="0"/>
        <v>20220310</v>
      </c>
      <c r="G23" s="8" t="s">
        <v>587</v>
      </c>
      <c r="H23" s="8">
        <v>0</v>
      </c>
      <c r="I23" s="8" t="s">
        <v>524</v>
      </c>
      <c r="L23" s="8">
        <v>8</v>
      </c>
      <c r="N23" s="8">
        <v>15</v>
      </c>
      <c r="O23" s="8">
        <v>37</v>
      </c>
      <c r="P23" s="8">
        <v>13</v>
      </c>
      <c r="Q23" s="8">
        <v>0</v>
      </c>
      <c r="R23" s="8">
        <v>0</v>
      </c>
    </row>
    <row r="24" spans="2:18" ht="28" customHeight="1" x14ac:dyDescent="0.3">
      <c r="B24" s="8">
        <v>603458</v>
      </c>
      <c r="C24" s="8" t="s">
        <v>588</v>
      </c>
      <c r="D24" s="8" t="s">
        <v>534</v>
      </c>
      <c r="E24" s="8">
        <v>20220329</v>
      </c>
      <c r="F24" s="8">
        <f t="shared" si="0"/>
        <v>20220329</v>
      </c>
      <c r="G24" s="8" t="s">
        <v>589</v>
      </c>
      <c r="H24" s="8">
        <v>0</v>
      </c>
      <c r="I24" s="8" t="s">
        <v>590</v>
      </c>
      <c r="J24" s="8" t="s">
        <v>591</v>
      </c>
      <c r="L24" s="8">
        <v>9.5</v>
      </c>
      <c r="N24" s="8">
        <v>23</v>
      </c>
      <c r="O24" s="8">
        <v>14</v>
      </c>
      <c r="P24" s="8">
        <v>58</v>
      </c>
      <c r="Q24" s="8">
        <v>31</v>
      </c>
      <c r="R24" s="8">
        <v>0</v>
      </c>
    </row>
    <row r="25" spans="2:18" ht="42" customHeight="1" x14ac:dyDescent="0.3">
      <c r="B25" s="8">
        <v>603922</v>
      </c>
      <c r="C25" s="8" t="s">
        <v>592</v>
      </c>
      <c r="D25" s="8" t="s">
        <v>237</v>
      </c>
      <c r="E25" s="8">
        <v>20220409</v>
      </c>
      <c r="F25" s="8">
        <f t="shared" si="0"/>
        <v>20220409</v>
      </c>
      <c r="G25" s="269" t="s">
        <v>593</v>
      </c>
      <c r="H25" s="8">
        <v>0</v>
      </c>
      <c r="I25" s="8" t="s">
        <v>524</v>
      </c>
      <c r="J25" s="8" t="s">
        <v>594</v>
      </c>
      <c r="L25" s="8">
        <v>7.5</v>
      </c>
      <c r="M25" s="333">
        <v>25</v>
      </c>
      <c r="N25" s="8">
        <v>25</v>
      </c>
      <c r="O25" s="8">
        <v>5</v>
      </c>
      <c r="P25" s="8">
        <v>12.5</v>
      </c>
      <c r="Q25" s="8">
        <v>10</v>
      </c>
      <c r="R25" s="8">
        <v>0</v>
      </c>
    </row>
    <row r="26" spans="2:18" ht="98" customHeight="1" x14ac:dyDescent="0.3">
      <c r="B26" s="8">
        <v>600388</v>
      </c>
      <c r="C26" s="8" t="s">
        <v>595</v>
      </c>
      <c r="D26" s="8" t="s">
        <v>534</v>
      </c>
      <c r="E26" s="8">
        <v>20220531</v>
      </c>
      <c r="F26" s="8">
        <f t="shared" si="0"/>
        <v>20220531</v>
      </c>
      <c r="G26" s="8" t="s">
        <v>596</v>
      </c>
      <c r="H26" s="8">
        <v>1</v>
      </c>
      <c r="I26" s="8" t="s">
        <v>524</v>
      </c>
      <c r="J26" s="8" t="s">
        <v>597</v>
      </c>
      <c r="L26" s="8">
        <v>17</v>
      </c>
      <c r="M26" s="334"/>
      <c r="N26" s="8">
        <v>113</v>
      </c>
      <c r="O26" s="8">
        <v>113</v>
      </c>
      <c r="P26" s="8">
        <v>270</v>
      </c>
      <c r="Q26" s="8">
        <v>170</v>
      </c>
      <c r="R26" s="8">
        <v>0</v>
      </c>
    </row>
    <row r="27" spans="2:18" ht="28" customHeight="1" x14ac:dyDescent="0.3">
      <c r="B27" s="8">
        <v>300269</v>
      </c>
      <c r="C27" s="8" t="s">
        <v>598</v>
      </c>
      <c r="D27" s="8" t="s">
        <v>237</v>
      </c>
      <c r="E27" s="8">
        <v>20220907</v>
      </c>
      <c r="F27" s="8">
        <f t="shared" si="0"/>
        <v>20220907</v>
      </c>
      <c r="G27" s="8" t="s">
        <v>599</v>
      </c>
      <c r="H27" s="8">
        <v>1</v>
      </c>
      <c r="I27" s="8" t="s">
        <v>524</v>
      </c>
      <c r="J27" s="8" t="s">
        <v>600</v>
      </c>
      <c r="L27" s="8">
        <v>2.1</v>
      </c>
      <c r="M27" s="334"/>
      <c r="N27" s="8">
        <v>22</v>
      </c>
      <c r="O27" s="8">
        <v>12</v>
      </c>
      <c r="P27" s="8">
        <v>12</v>
      </c>
      <c r="Q27" s="8">
        <v>0.4</v>
      </c>
      <c r="R27" s="8">
        <v>0</v>
      </c>
    </row>
    <row r="28" spans="2:18" ht="42" customHeight="1" x14ac:dyDescent="0.3">
      <c r="B28" s="8">
        <v>603078</v>
      </c>
      <c r="C28" s="8" t="s">
        <v>601</v>
      </c>
      <c r="D28" s="8" t="s">
        <v>534</v>
      </c>
      <c r="E28" s="8">
        <v>20221201</v>
      </c>
      <c r="F28" s="8">
        <f t="shared" si="0"/>
        <v>20221201</v>
      </c>
      <c r="G28" s="8" t="s">
        <v>602</v>
      </c>
      <c r="H28" s="8">
        <v>0</v>
      </c>
      <c r="I28" s="8" t="s">
        <v>524</v>
      </c>
      <c r="L28" s="8">
        <v>14</v>
      </c>
      <c r="M28" s="334"/>
      <c r="N28" s="8">
        <v>60</v>
      </c>
      <c r="O28" s="8">
        <v>5.6</v>
      </c>
      <c r="P28" s="8">
        <v>20</v>
      </c>
      <c r="Q28" s="8">
        <v>11</v>
      </c>
      <c r="R28" s="8">
        <v>0</v>
      </c>
    </row>
    <row r="29" spans="2:18" ht="28" customHeight="1" x14ac:dyDescent="0.3">
      <c r="B29" s="8">
        <v>603990</v>
      </c>
      <c r="C29" s="8" t="s">
        <v>603</v>
      </c>
      <c r="D29" s="8" t="s">
        <v>534</v>
      </c>
      <c r="E29" s="8">
        <v>20230105</v>
      </c>
      <c r="F29" s="8">
        <f t="shared" si="0"/>
        <v>20230105</v>
      </c>
      <c r="G29" s="8" t="s">
        <v>604</v>
      </c>
      <c r="H29" s="8">
        <v>0</v>
      </c>
      <c r="I29" s="8" t="s">
        <v>524</v>
      </c>
      <c r="J29" s="8" t="s">
        <v>605</v>
      </c>
      <c r="L29" s="8">
        <f>3.3+2.2</f>
        <v>5.5</v>
      </c>
      <c r="M29" s="334" t="s">
        <v>606</v>
      </c>
      <c r="N29" s="8">
        <v>34</v>
      </c>
      <c r="O29" s="8">
        <v>3</v>
      </c>
      <c r="P29" s="8">
        <v>16</v>
      </c>
      <c r="Q29" s="8">
        <v>13</v>
      </c>
      <c r="R29" s="8">
        <v>0</v>
      </c>
    </row>
    <row r="30" spans="2:18" ht="42" customHeight="1" x14ac:dyDescent="0.3">
      <c r="B30" s="8">
        <v>603088</v>
      </c>
      <c r="C30" s="8" t="s">
        <v>607</v>
      </c>
      <c r="D30" s="8" t="s">
        <v>534</v>
      </c>
      <c r="E30" s="8">
        <v>20230110</v>
      </c>
      <c r="F30" s="8">
        <f t="shared" si="0"/>
        <v>20230110</v>
      </c>
      <c r="G30" s="8" t="s">
        <v>608</v>
      </c>
      <c r="H30" s="8">
        <v>0</v>
      </c>
      <c r="I30" s="8" t="s">
        <v>524</v>
      </c>
      <c r="J30" s="8" t="s">
        <v>609</v>
      </c>
      <c r="L30" s="8">
        <v>10</v>
      </c>
      <c r="M30" s="334" t="s">
        <v>610</v>
      </c>
      <c r="N30" s="8">
        <v>33</v>
      </c>
      <c r="O30" s="8">
        <v>6.5</v>
      </c>
      <c r="P30" s="8">
        <v>13.4</v>
      </c>
      <c r="Q30" s="8">
        <v>6.4</v>
      </c>
      <c r="R30" s="8">
        <v>0</v>
      </c>
    </row>
    <row r="31" spans="2:18" ht="42" customHeight="1" x14ac:dyDescent="0.3">
      <c r="B31" s="8">
        <v>600243</v>
      </c>
      <c r="C31" s="8" t="s">
        <v>250</v>
      </c>
      <c r="D31" s="8" t="s">
        <v>237</v>
      </c>
      <c r="E31" s="8">
        <v>20230131</v>
      </c>
      <c r="F31" s="8">
        <f t="shared" si="0"/>
        <v>20230131</v>
      </c>
      <c r="G31" s="8" t="s">
        <v>611</v>
      </c>
      <c r="H31" s="8">
        <v>0</v>
      </c>
      <c r="I31" s="8" t="s">
        <v>524</v>
      </c>
      <c r="L31" s="8">
        <v>2</v>
      </c>
      <c r="M31" s="334" t="s">
        <v>606</v>
      </c>
      <c r="N31" s="8">
        <v>17</v>
      </c>
      <c r="O31" s="8">
        <v>3.5</v>
      </c>
      <c r="P31" s="8">
        <v>10</v>
      </c>
      <c r="Q31" s="8">
        <v>7</v>
      </c>
      <c r="R31" s="8">
        <v>0</v>
      </c>
    </row>
    <row r="32" spans="2:18" ht="42" customHeight="1" x14ac:dyDescent="0.3">
      <c r="B32" s="8">
        <v>600193</v>
      </c>
      <c r="C32" s="8" t="s">
        <v>612</v>
      </c>
      <c r="D32" s="8" t="s">
        <v>237</v>
      </c>
      <c r="E32" s="8">
        <v>20230401</v>
      </c>
      <c r="F32" s="8">
        <f t="shared" si="0"/>
        <v>20230401</v>
      </c>
      <c r="G32" s="8" t="s">
        <v>613</v>
      </c>
      <c r="H32" s="8">
        <v>1</v>
      </c>
      <c r="I32" s="8" t="s">
        <v>524</v>
      </c>
      <c r="J32" s="8" t="s">
        <v>614</v>
      </c>
      <c r="L32" s="8">
        <v>5.4</v>
      </c>
      <c r="M32" s="334" t="s">
        <v>615</v>
      </c>
      <c r="N32" s="8">
        <v>23</v>
      </c>
      <c r="O32" s="8">
        <v>2.6</v>
      </c>
      <c r="P32" s="8">
        <v>7</v>
      </c>
      <c r="Q32" s="8">
        <v>2.5</v>
      </c>
      <c r="R32" s="8">
        <v>0</v>
      </c>
    </row>
    <row r="33" spans="1:20" ht="42" customHeight="1" x14ac:dyDescent="0.3">
      <c r="B33" s="8">
        <v>603016</v>
      </c>
      <c r="C33" s="8" t="s">
        <v>616</v>
      </c>
      <c r="D33" s="8" t="s">
        <v>534</v>
      </c>
      <c r="E33" s="8">
        <v>20230408</v>
      </c>
      <c r="F33" s="8">
        <f t="shared" si="0"/>
        <v>20230408</v>
      </c>
      <c r="G33" s="8" t="s">
        <v>617</v>
      </c>
      <c r="H33" s="8">
        <v>0</v>
      </c>
      <c r="I33" s="8" t="s">
        <v>524</v>
      </c>
      <c r="J33" s="8" t="s">
        <v>618</v>
      </c>
      <c r="L33" s="8">
        <f>3.3+4.4</f>
        <v>7.7</v>
      </c>
      <c r="M33" s="334" t="s">
        <v>606</v>
      </c>
      <c r="N33" s="8">
        <v>24</v>
      </c>
      <c r="O33" s="8">
        <v>6</v>
      </c>
      <c r="P33" s="8">
        <v>10</v>
      </c>
      <c r="Q33" s="8">
        <v>8</v>
      </c>
      <c r="R33" s="8">
        <v>0</v>
      </c>
    </row>
    <row r="34" spans="1:20" ht="70" customHeight="1" x14ac:dyDescent="0.3">
      <c r="B34" s="8">
        <v>300536</v>
      </c>
      <c r="C34" s="8" t="s">
        <v>619</v>
      </c>
      <c r="D34" s="8" t="s">
        <v>237</v>
      </c>
      <c r="E34" s="8">
        <v>20230616</v>
      </c>
      <c r="F34" s="8">
        <f t="shared" si="0"/>
        <v>20230616</v>
      </c>
      <c r="G34" s="8" t="s">
        <v>620</v>
      </c>
      <c r="H34" s="8">
        <v>2</v>
      </c>
      <c r="I34" s="8" t="s">
        <v>524</v>
      </c>
      <c r="J34" s="8" t="s">
        <v>621</v>
      </c>
      <c r="L34" s="8">
        <v>7.1</v>
      </c>
      <c r="M34" s="335" t="s">
        <v>622</v>
      </c>
      <c r="N34" s="8">
        <v>42</v>
      </c>
      <c r="O34" s="8">
        <v>0.7</v>
      </c>
      <c r="P34" s="8">
        <v>10</v>
      </c>
      <c r="Q34" s="8">
        <v>6</v>
      </c>
      <c r="R34" s="8">
        <v>0</v>
      </c>
    </row>
    <row r="35" spans="1:20" ht="42" customHeight="1" x14ac:dyDescent="0.3">
      <c r="B35" s="8">
        <v>603136</v>
      </c>
      <c r="C35" s="8" t="s">
        <v>623</v>
      </c>
      <c r="D35" s="8" t="s">
        <v>534</v>
      </c>
      <c r="E35" s="8">
        <v>20230701</v>
      </c>
      <c r="F35" s="8">
        <f t="shared" si="0"/>
        <v>20230701</v>
      </c>
      <c r="G35" s="8" t="s">
        <v>624</v>
      </c>
      <c r="H35" s="8">
        <v>0</v>
      </c>
      <c r="I35" s="8" t="s">
        <v>524</v>
      </c>
      <c r="J35" s="8" t="s">
        <v>625</v>
      </c>
      <c r="L35" s="8">
        <v>11</v>
      </c>
      <c r="M35" s="334">
        <f>L35/0.26</f>
        <v>42.307692307692307</v>
      </c>
      <c r="N35" s="8">
        <v>42</v>
      </c>
      <c r="O35" s="8">
        <v>4</v>
      </c>
      <c r="P35" s="8">
        <v>16</v>
      </c>
      <c r="Q35" s="8">
        <v>12</v>
      </c>
      <c r="R35" s="8">
        <v>0</v>
      </c>
    </row>
    <row r="36" spans="1:20" ht="98" customHeight="1" x14ac:dyDescent="0.3">
      <c r="B36" s="8">
        <v>603685</v>
      </c>
      <c r="C36" s="8" t="s">
        <v>626</v>
      </c>
      <c r="D36" s="8" t="s">
        <v>237</v>
      </c>
      <c r="E36" s="8">
        <v>20230801</v>
      </c>
      <c r="F36" s="8">
        <f t="shared" si="0"/>
        <v>20230801</v>
      </c>
      <c r="G36" s="8" t="s">
        <v>627</v>
      </c>
      <c r="H36" s="8">
        <v>1</v>
      </c>
      <c r="I36" s="8" t="s">
        <v>524</v>
      </c>
      <c r="J36" s="8" t="s">
        <v>628</v>
      </c>
      <c r="K36" s="8" t="s">
        <v>458</v>
      </c>
      <c r="L36" s="8">
        <v>3.3</v>
      </c>
      <c r="N36" s="8">
        <v>17</v>
      </c>
      <c r="O36" s="8">
        <v>12</v>
      </c>
      <c r="P36" s="8">
        <v>36</v>
      </c>
      <c r="Q36" s="8">
        <v>12</v>
      </c>
      <c r="R36" s="8">
        <v>0</v>
      </c>
    </row>
    <row r="37" spans="1:20" ht="168" customHeight="1" x14ac:dyDescent="0.3">
      <c r="B37" s="8">
        <v>603196</v>
      </c>
      <c r="C37" s="8" t="s">
        <v>629</v>
      </c>
      <c r="D37" s="8" t="s">
        <v>237</v>
      </c>
      <c r="E37" s="8">
        <v>20230901</v>
      </c>
      <c r="F37" s="8">
        <f t="shared" si="0"/>
        <v>20230901</v>
      </c>
      <c r="G37" s="8" t="s">
        <v>630</v>
      </c>
      <c r="H37" s="8">
        <v>1</v>
      </c>
      <c r="I37" s="8" t="s">
        <v>524</v>
      </c>
      <c r="J37" s="8" t="s">
        <v>631</v>
      </c>
      <c r="L37" s="8">
        <v>7.1</v>
      </c>
      <c r="N37" s="8">
        <v>22</v>
      </c>
      <c r="O37" s="8">
        <v>10</v>
      </c>
      <c r="P37" s="8">
        <v>12</v>
      </c>
      <c r="Q37" s="8">
        <v>7</v>
      </c>
      <c r="R37" s="8">
        <v>0</v>
      </c>
    </row>
    <row r="38" spans="1:20" ht="56" customHeight="1" x14ac:dyDescent="0.3">
      <c r="B38" s="8">
        <v>600540</v>
      </c>
      <c r="C38" s="8" t="s">
        <v>632</v>
      </c>
      <c r="D38" s="8" t="s">
        <v>534</v>
      </c>
      <c r="E38" s="8">
        <v>20230905</v>
      </c>
      <c r="F38" s="8">
        <f t="shared" si="0"/>
        <v>20230905</v>
      </c>
      <c r="G38" s="8" t="s">
        <v>633</v>
      </c>
      <c r="H38" s="8">
        <v>1</v>
      </c>
      <c r="I38" s="8" t="s">
        <v>524</v>
      </c>
      <c r="L38" s="8">
        <v>7.3</v>
      </c>
      <c r="N38" s="8">
        <v>23</v>
      </c>
      <c r="O38" s="8">
        <v>13</v>
      </c>
      <c r="P38" s="8">
        <v>26</v>
      </c>
      <c r="Q38" s="8">
        <v>7</v>
      </c>
      <c r="R38" s="8">
        <v>0</v>
      </c>
    </row>
    <row r="39" spans="1:20" ht="84" customHeight="1" x14ac:dyDescent="0.3">
      <c r="B39" s="8">
        <v>603578</v>
      </c>
      <c r="C39" s="8" t="s">
        <v>634</v>
      </c>
      <c r="D39" s="8" t="s">
        <v>237</v>
      </c>
      <c r="E39" s="8">
        <v>20230906</v>
      </c>
      <c r="F39" s="8">
        <f t="shared" si="0"/>
        <v>20230906</v>
      </c>
      <c r="G39" s="8" t="s">
        <v>635</v>
      </c>
      <c r="H39" s="8">
        <v>1</v>
      </c>
      <c r="I39" s="8" t="s">
        <v>524</v>
      </c>
      <c r="J39" s="8" t="s">
        <v>636</v>
      </c>
      <c r="L39" s="8">
        <v>5.25</v>
      </c>
      <c r="N39" s="8">
        <v>37</v>
      </c>
      <c r="O39" s="8">
        <v>10</v>
      </c>
      <c r="P39" s="8">
        <v>27</v>
      </c>
      <c r="Q39" s="8">
        <v>12</v>
      </c>
      <c r="R39" s="8">
        <v>0</v>
      </c>
    </row>
    <row r="40" spans="1:20" ht="56" customHeight="1" x14ac:dyDescent="0.3">
      <c r="B40" s="8">
        <v>603778</v>
      </c>
      <c r="C40" s="8" t="s">
        <v>637</v>
      </c>
      <c r="D40" s="8" t="s">
        <v>237</v>
      </c>
      <c r="E40" s="8">
        <v>20230908</v>
      </c>
      <c r="F40" s="8">
        <f t="shared" si="0"/>
        <v>20230908</v>
      </c>
      <c r="G40" s="8" t="s">
        <v>638</v>
      </c>
      <c r="H40" s="8">
        <v>0</v>
      </c>
      <c r="I40" s="8" t="s">
        <v>524</v>
      </c>
      <c r="J40" s="8" t="s">
        <v>639</v>
      </c>
      <c r="L40" s="8">
        <v>6.4</v>
      </c>
      <c r="N40" s="8">
        <v>40</v>
      </c>
      <c r="O40" s="8">
        <v>21</v>
      </c>
      <c r="P40" s="8">
        <v>32</v>
      </c>
      <c r="Q40" s="8">
        <v>14</v>
      </c>
      <c r="R40" s="8">
        <v>0</v>
      </c>
    </row>
    <row r="41" spans="1:20" ht="168" customHeight="1" x14ac:dyDescent="0.3">
      <c r="B41" s="8">
        <v>603038</v>
      </c>
      <c r="C41" s="8" t="s">
        <v>640</v>
      </c>
      <c r="D41" s="8" t="s">
        <v>237</v>
      </c>
      <c r="E41" s="8">
        <v>20231108</v>
      </c>
      <c r="F41" s="8">
        <f t="shared" si="0"/>
        <v>20231108</v>
      </c>
      <c r="G41" s="270" t="s">
        <v>641</v>
      </c>
      <c r="H41" s="8">
        <v>0</v>
      </c>
      <c r="I41" s="8" t="s">
        <v>524</v>
      </c>
      <c r="J41" s="8" t="s">
        <v>642</v>
      </c>
      <c r="L41" s="8">
        <v>7.5</v>
      </c>
      <c r="N41" s="8">
        <v>30</v>
      </c>
      <c r="O41" s="8">
        <v>7</v>
      </c>
      <c r="P41" s="8">
        <v>20</v>
      </c>
      <c r="Q41" s="8">
        <v>13</v>
      </c>
      <c r="R41" s="8">
        <v>0</v>
      </c>
    </row>
    <row r="42" spans="1:20" ht="56" hidden="1" customHeight="1" x14ac:dyDescent="0.3">
      <c r="A42" s="8" t="s">
        <v>458</v>
      </c>
      <c r="B42" s="8">
        <v>600720</v>
      </c>
      <c r="C42" s="8" t="s">
        <v>643</v>
      </c>
      <c r="D42" s="8" t="s">
        <v>534</v>
      </c>
      <c r="E42" s="8">
        <v>20231201</v>
      </c>
      <c r="G42" s="8" t="s">
        <v>644</v>
      </c>
      <c r="H42" s="8">
        <v>1</v>
      </c>
      <c r="I42" s="8" t="s">
        <v>524</v>
      </c>
      <c r="J42" s="8" t="s">
        <v>645</v>
      </c>
      <c r="L42" s="8">
        <v>120</v>
      </c>
      <c r="N42" s="8">
        <v>110</v>
      </c>
      <c r="O42" s="8">
        <v>76</v>
      </c>
      <c r="P42" s="8">
        <v>116</v>
      </c>
      <c r="Q42" s="8">
        <v>80</v>
      </c>
      <c r="R42" s="8">
        <v>1</v>
      </c>
      <c r="S42" s="8">
        <v>110</v>
      </c>
      <c r="T42" s="8">
        <v>150</v>
      </c>
    </row>
    <row r="43" spans="1:20" ht="70" customHeight="1" x14ac:dyDescent="0.3">
      <c r="B43" s="8">
        <v>600136</v>
      </c>
      <c r="C43" s="8" t="s">
        <v>646</v>
      </c>
      <c r="D43" s="8" t="s">
        <v>647</v>
      </c>
      <c r="E43" s="8">
        <v>20231220</v>
      </c>
      <c r="F43" s="8">
        <f t="shared" ref="F43:F62" si="1">E43</f>
        <v>20231220</v>
      </c>
      <c r="G43" s="8" t="s">
        <v>648</v>
      </c>
      <c r="H43" s="8">
        <v>1</v>
      </c>
      <c r="I43" s="8" t="s">
        <v>524</v>
      </c>
      <c r="J43" s="8" t="s">
        <v>649</v>
      </c>
      <c r="L43" s="8">
        <v>4</v>
      </c>
      <c r="N43" s="8">
        <v>45</v>
      </c>
      <c r="O43" s="8">
        <v>5.2</v>
      </c>
      <c r="P43" s="8">
        <v>7</v>
      </c>
      <c r="Q43" s="8">
        <v>4.4000000000000004</v>
      </c>
      <c r="R43" s="8">
        <v>0</v>
      </c>
    </row>
    <row r="44" spans="1:20" ht="98" customHeight="1" x14ac:dyDescent="0.3">
      <c r="B44" s="8">
        <v>2476</v>
      </c>
      <c r="C44" s="8" t="s">
        <v>650</v>
      </c>
      <c r="D44" s="8" t="s">
        <v>237</v>
      </c>
      <c r="E44" s="8">
        <v>20240106</v>
      </c>
      <c r="F44" s="8">
        <f t="shared" si="1"/>
        <v>20240106</v>
      </c>
      <c r="G44" s="8" t="s">
        <v>651</v>
      </c>
      <c r="H44" s="8">
        <v>1</v>
      </c>
      <c r="I44" s="8" t="s">
        <v>524</v>
      </c>
      <c r="J44" s="8" t="s">
        <v>652</v>
      </c>
      <c r="L44" s="8">
        <v>4.5</v>
      </c>
      <c r="N44" s="8">
        <v>27</v>
      </c>
      <c r="O44" s="8">
        <v>3.8</v>
      </c>
      <c r="P44" s="8">
        <v>9.6</v>
      </c>
      <c r="Q44" s="8">
        <v>9.5</v>
      </c>
      <c r="R44" s="8">
        <v>0</v>
      </c>
    </row>
    <row r="45" spans="1:20" ht="28" customHeight="1" x14ac:dyDescent="0.3">
      <c r="B45" s="8">
        <v>600172</v>
      </c>
      <c r="C45" s="8" t="s">
        <v>653</v>
      </c>
      <c r="D45" s="8" t="s">
        <v>534</v>
      </c>
      <c r="E45" s="8">
        <v>20240118</v>
      </c>
      <c r="F45" s="8">
        <f t="shared" si="1"/>
        <v>20240118</v>
      </c>
      <c r="G45" s="8" t="s">
        <v>654</v>
      </c>
      <c r="H45" s="8">
        <v>0</v>
      </c>
      <c r="I45" s="8" t="s">
        <v>524</v>
      </c>
      <c r="L45" s="8">
        <v>4.75</v>
      </c>
      <c r="N45" s="8">
        <v>50</v>
      </c>
      <c r="O45" s="8">
        <v>15</v>
      </c>
      <c r="P45" s="8">
        <v>90</v>
      </c>
      <c r="Q45" s="8">
        <v>25</v>
      </c>
      <c r="R45" s="8">
        <v>0</v>
      </c>
    </row>
    <row r="46" spans="1:20" ht="28" customHeight="1" x14ac:dyDescent="0.3">
      <c r="B46" s="8">
        <v>603329</v>
      </c>
      <c r="C46" s="8" t="s">
        <v>655</v>
      </c>
      <c r="D46" s="8" t="s">
        <v>534</v>
      </c>
      <c r="E46" s="8">
        <v>20240205</v>
      </c>
      <c r="F46" s="8">
        <f t="shared" si="1"/>
        <v>20240205</v>
      </c>
      <c r="G46" s="8" t="s">
        <v>656</v>
      </c>
      <c r="H46" s="8">
        <v>0</v>
      </c>
      <c r="I46" s="8" t="s">
        <v>524</v>
      </c>
      <c r="L46" s="8">
        <v>7.2</v>
      </c>
      <c r="N46" s="8">
        <v>28</v>
      </c>
      <c r="O46" s="8">
        <v>25</v>
      </c>
      <c r="P46" s="8">
        <v>23</v>
      </c>
      <c r="Q46" s="8">
        <v>12</v>
      </c>
      <c r="R46" s="8">
        <v>0</v>
      </c>
    </row>
    <row r="47" spans="1:20" ht="70" customHeight="1" x14ac:dyDescent="0.3">
      <c r="B47" s="8">
        <v>600753</v>
      </c>
      <c r="C47" s="8" t="s">
        <v>657</v>
      </c>
      <c r="D47" s="8" t="s">
        <v>237</v>
      </c>
      <c r="E47" s="8">
        <v>20240320</v>
      </c>
      <c r="F47" s="8">
        <f t="shared" si="1"/>
        <v>20240320</v>
      </c>
      <c r="G47" s="8" t="s">
        <v>658</v>
      </c>
      <c r="H47" s="8">
        <v>1</v>
      </c>
      <c r="I47" s="8" t="s">
        <v>524</v>
      </c>
      <c r="J47" s="8" t="s">
        <v>659</v>
      </c>
      <c r="L47" s="8">
        <v>3.9</v>
      </c>
      <c r="N47" s="8">
        <v>16</v>
      </c>
      <c r="O47" s="8">
        <v>4</v>
      </c>
      <c r="P47" s="8">
        <v>4.5999999999999996</v>
      </c>
      <c r="Q47" s="8">
        <v>2.2999999999999998</v>
      </c>
      <c r="R47" s="8">
        <v>0</v>
      </c>
    </row>
    <row r="48" spans="1:20" ht="126" customHeight="1" x14ac:dyDescent="0.3">
      <c r="B48" s="8">
        <v>600844</v>
      </c>
      <c r="C48" s="8" t="s">
        <v>660</v>
      </c>
      <c r="D48" s="8" t="s">
        <v>237</v>
      </c>
      <c r="E48" s="8">
        <v>20240401</v>
      </c>
      <c r="F48" s="8">
        <f t="shared" si="1"/>
        <v>20240401</v>
      </c>
      <c r="G48" s="269" t="s">
        <v>661</v>
      </c>
      <c r="H48" s="8">
        <v>5</v>
      </c>
      <c r="I48" s="8" t="s">
        <v>524</v>
      </c>
      <c r="J48" s="8" t="s">
        <v>662</v>
      </c>
      <c r="L48" s="8">
        <v>4.9000000000000004</v>
      </c>
      <c r="M48" s="333">
        <f>L48/0.15</f>
        <v>32.666666666666671</v>
      </c>
      <c r="N48" s="8">
        <v>28</v>
      </c>
      <c r="O48" s="8">
        <v>8.6</v>
      </c>
      <c r="P48" s="8">
        <v>14.6</v>
      </c>
      <c r="Q48" s="8">
        <v>8</v>
      </c>
      <c r="R48" s="8">
        <v>0</v>
      </c>
    </row>
    <row r="49" spans="2:18" x14ac:dyDescent="0.3">
      <c r="B49" s="8">
        <v>688550</v>
      </c>
      <c r="C49" s="8" t="s">
        <v>663</v>
      </c>
      <c r="D49" s="8" t="s">
        <v>237</v>
      </c>
      <c r="E49" s="8">
        <v>20240511</v>
      </c>
      <c r="F49" s="8">
        <f t="shared" si="1"/>
        <v>20240511</v>
      </c>
      <c r="G49" s="8" t="s">
        <v>664</v>
      </c>
      <c r="H49" s="8">
        <v>0</v>
      </c>
      <c r="I49" s="8" t="s">
        <v>665</v>
      </c>
      <c r="J49" s="8" t="s">
        <v>666</v>
      </c>
    </row>
    <row r="50" spans="2:18" ht="42" customHeight="1" x14ac:dyDescent="0.3">
      <c r="B50" s="8">
        <v>600892</v>
      </c>
      <c r="C50" s="8" t="s">
        <v>667</v>
      </c>
      <c r="D50" s="8" t="s">
        <v>534</v>
      </c>
      <c r="E50" s="8">
        <v>20240514</v>
      </c>
      <c r="F50" s="8">
        <f t="shared" si="1"/>
        <v>20240514</v>
      </c>
      <c r="G50" s="8" t="s">
        <v>668</v>
      </c>
      <c r="H50" s="8">
        <v>2</v>
      </c>
      <c r="I50" s="8" t="s">
        <v>524</v>
      </c>
      <c r="J50" s="8" t="s">
        <v>669</v>
      </c>
      <c r="L50" s="8">
        <v>7.1</v>
      </c>
      <c r="N50" s="8">
        <v>42</v>
      </c>
      <c r="O50" s="8">
        <v>2.7</v>
      </c>
      <c r="P50" s="8">
        <v>3</v>
      </c>
      <c r="Q50" s="8">
        <v>1.6</v>
      </c>
      <c r="R50" s="8">
        <v>0</v>
      </c>
    </row>
    <row r="51" spans="2:18" ht="70" customHeight="1" x14ac:dyDescent="0.3">
      <c r="B51" s="8">
        <v>601700</v>
      </c>
      <c r="C51" s="8" t="s">
        <v>670</v>
      </c>
      <c r="D51" s="8" t="s">
        <v>534</v>
      </c>
      <c r="E51" s="8">
        <v>20240515</v>
      </c>
      <c r="F51" s="8">
        <f t="shared" si="1"/>
        <v>20240515</v>
      </c>
      <c r="G51" s="8" t="s">
        <v>671</v>
      </c>
      <c r="H51" s="8">
        <v>0</v>
      </c>
      <c r="I51" s="8" t="s">
        <v>524</v>
      </c>
      <c r="L51" s="8">
        <v>7.4</v>
      </c>
      <c r="N51" s="8">
        <v>58</v>
      </c>
      <c r="O51" s="8">
        <v>25</v>
      </c>
      <c r="P51" s="8">
        <v>77</v>
      </c>
      <c r="Q51" s="8">
        <v>30</v>
      </c>
      <c r="R51" s="8">
        <v>0</v>
      </c>
    </row>
    <row r="52" spans="2:18" x14ac:dyDescent="0.3">
      <c r="B52" s="8">
        <v>603300</v>
      </c>
      <c r="C52" s="8" t="s">
        <v>672</v>
      </c>
      <c r="D52" s="8" t="s">
        <v>534</v>
      </c>
      <c r="E52" s="8">
        <v>20240725</v>
      </c>
      <c r="F52" s="8">
        <f t="shared" si="1"/>
        <v>20240725</v>
      </c>
      <c r="G52" s="8" t="s">
        <v>673</v>
      </c>
      <c r="H52" s="8">
        <v>0</v>
      </c>
      <c r="I52" s="8" t="s">
        <v>524</v>
      </c>
      <c r="L52" s="8">
        <v>20</v>
      </c>
      <c r="N52" s="8">
        <v>142</v>
      </c>
      <c r="O52" s="8">
        <v>44</v>
      </c>
      <c r="P52" s="8">
        <v>200</v>
      </c>
      <c r="Q52" s="8">
        <v>65</v>
      </c>
      <c r="R52" s="8">
        <v>0</v>
      </c>
    </row>
    <row r="53" spans="2:18" ht="70" customHeight="1" x14ac:dyDescent="0.3">
      <c r="B53" s="8">
        <v>600234</v>
      </c>
      <c r="C53" s="8" t="s">
        <v>246</v>
      </c>
      <c r="D53" s="8" t="s">
        <v>237</v>
      </c>
      <c r="E53" s="8">
        <v>20240731</v>
      </c>
      <c r="F53" s="8">
        <f t="shared" si="1"/>
        <v>20240731</v>
      </c>
      <c r="G53" s="8" t="s">
        <v>674</v>
      </c>
      <c r="H53" s="8">
        <v>0</v>
      </c>
      <c r="I53" s="8" t="s">
        <v>524</v>
      </c>
      <c r="J53" s="8" t="s">
        <v>675</v>
      </c>
      <c r="L53" s="8">
        <v>3.7</v>
      </c>
      <c r="N53" s="8">
        <v>12</v>
      </c>
      <c r="O53" s="8">
        <v>2</v>
      </c>
      <c r="P53" s="8">
        <v>8.6999999999999993</v>
      </c>
      <c r="Q53" s="8">
        <v>5</v>
      </c>
      <c r="R53" s="8">
        <v>0</v>
      </c>
    </row>
    <row r="54" spans="2:18" ht="84" customHeight="1" x14ac:dyDescent="0.3">
      <c r="B54" s="8">
        <v>600615</v>
      </c>
      <c r="C54" s="8" t="s">
        <v>676</v>
      </c>
      <c r="D54" s="8" t="s">
        <v>237</v>
      </c>
      <c r="E54" s="8">
        <v>20240830</v>
      </c>
      <c r="F54" s="8">
        <f t="shared" si="1"/>
        <v>20240830</v>
      </c>
      <c r="G54" s="8" t="s">
        <v>677</v>
      </c>
      <c r="H54" s="8">
        <v>2</v>
      </c>
      <c r="I54" s="8" t="s">
        <v>524</v>
      </c>
      <c r="J54" s="8" t="s">
        <v>678</v>
      </c>
      <c r="L54" s="8">
        <v>7.4</v>
      </c>
      <c r="N54" s="8">
        <v>20</v>
      </c>
      <c r="O54" s="8">
        <v>1.8</v>
      </c>
      <c r="P54" s="8">
        <v>12</v>
      </c>
      <c r="Q54" s="8">
        <v>8</v>
      </c>
      <c r="R54" s="8">
        <v>0</v>
      </c>
    </row>
    <row r="55" spans="2:18" ht="56" customHeight="1" x14ac:dyDescent="0.3">
      <c r="B55" s="8">
        <v>601933</v>
      </c>
      <c r="C55" s="8" t="s">
        <v>679</v>
      </c>
      <c r="D55" s="8" t="s">
        <v>237</v>
      </c>
      <c r="E55" s="8">
        <v>20240924</v>
      </c>
      <c r="F55" s="8">
        <f t="shared" si="1"/>
        <v>20240924</v>
      </c>
      <c r="G55" s="8" t="s">
        <v>680</v>
      </c>
      <c r="H55" s="8">
        <v>0</v>
      </c>
      <c r="I55" s="8" t="s">
        <v>665</v>
      </c>
      <c r="J55" s="8" t="s">
        <v>681</v>
      </c>
    </row>
    <row r="56" spans="2:18" ht="42" customHeight="1" x14ac:dyDescent="0.3">
      <c r="B56" s="8">
        <v>603887</v>
      </c>
      <c r="C56" s="8" t="s">
        <v>682</v>
      </c>
      <c r="D56" s="8" t="s">
        <v>534</v>
      </c>
      <c r="E56" s="8">
        <v>20241015</v>
      </c>
      <c r="F56" s="8">
        <f t="shared" si="1"/>
        <v>20241015</v>
      </c>
      <c r="G56" s="8" t="s">
        <v>683</v>
      </c>
      <c r="H56" s="8">
        <v>1</v>
      </c>
      <c r="I56" s="8" t="s">
        <v>665</v>
      </c>
      <c r="J56" s="8" t="s">
        <v>684</v>
      </c>
      <c r="L56" s="8">
        <v>6</v>
      </c>
      <c r="N56" s="8">
        <v>45</v>
      </c>
      <c r="O56" s="8">
        <v>16</v>
      </c>
      <c r="P56" s="8">
        <v>80</v>
      </c>
      <c r="Q56" s="8">
        <v>36</v>
      </c>
      <c r="R56" s="8">
        <v>0</v>
      </c>
    </row>
    <row r="57" spans="2:18" ht="56" customHeight="1" x14ac:dyDescent="0.3">
      <c r="B57" s="8">
        <v>603188</v>
      </c>
      <c r="C57" s="8" t="s">
        <v>685</v>
      </c>
      <c r="D57" s="8" t="s">
        <v>534</v>
      </c>
      <c r="E57" s="8">
        <v>20241029</v>
      </c>
      <c r="F57" s="8">
        <f t="shared" si="1"/>
        <v>20241029</v>
      </c>
      <c r="G57" s="8" t="s">
        <v>686</v>
      </c>
      <c r="H57" s="8">
        <v>0</v>
      </c>
      <c r="I57" s="8" t="s">
        <v>524</v>
      </c>
      <c r="J57" s="8" t="s">
        <v>687</v>
      </c>
      <c r="L57" s="8">
        <v>4</v>
      </c>
      <c r="N57" s="8">
        <v>14</v>
      </c>
      <c r="O57" s="8">
        <v>7</v>
      </c>
      <c r="P57" s="8">
        <v>15</v>
      </c>
      <c r="Q57" s="8">
        <v>7</v>
      </c>
      <c r="R57" s="8">
        <v>0</v>
      </c>
    </row>
    <row r="58" spans="2:18" ht="84" customHeight="1" x14ac:dyDescent="0.3">
      <c r="B58" s="8">
        <v>603955</v>
      </c>
      <c r="C58" s="8" t="s">
        <v>688</v>
      </c>
      <c r="D58" s="8" t="s">
        <v>237</v>
      </c>
      <c r="E58" s="8">
        <v>20241123</v>
      </c>
      <c r="F58" s="8">
        <f t="shared" si="1"/>
        <v>20241123</v>
      </c>
      <c r="G58" s="8" t="s">
        <v>689</v>
      </c>
      <c r="H58" s="8">
        <v>0</v>
      </c>
      <c r="I58" s="8" t="s">
        <v>524</v>
      </c>
      <c r="L58" s="8">
        <v>3.6</v>
      </c>
      <c r="N58" s="8">
        <v>13</v>
      </c>
      <c r="O58" s="8">
        <v>1.1000000000000001</v>
      </c>
      <c r="P58" s="8">
        <v>24</v>
      </c>
      <c r="Q58" s="8">
        <v>18</v>
      </c>
      <c r="R58" s="8">
        <v>0</v>
      </c>
    </row>
    <row r="59" spans="2:18" ht="28" customHeight="1" x14ac:dyDescent="0.3">
      <c r="B59" s="8">
        <v>600584</v>
      </c>
      <c r="C59" s="8" t="s">
        <v>690</v>
      </c>
      <c r="D59" s="8" t="s">
        <v>534</v>
      </c>
      <c r="E59" s="8">
        <v>20241130</v>
      </c>
      <c r="F59" s="8">
        <f t="shared" si="1"/>
        <v>20241130</v>
      </c>
      <c r="G59" s="8" t="s">
        <v>691</v>
      </c>
      <c r="H59" s="8">
        <v>0</v>
      </c>
      <c r="I59" s="8" t="s">
        <v>524</v>
      </c>
      <c r="J59" s="8" t="s">
        <v>692</v>
      </c>
      <c r="L59" s="8">
        <v>120</v>
      </c>
      <c r="N59" s="8">
        <v>540</v>
      </c>
      <c r="O59" s="8">
        <v>300</v>
      </c>
      <c r="P59" s="8">
        <v>540</v>
      </c>
      <c r="Q59" s="8">
        <v>300</v>
      </c>
      <c r="R59" s="8">
        <v>0</v>
      </c>
    </row>
    <row r="60" spans="2:18" ht="70" customHeight="1" x14ac:dyDescent="0.3">
      <c r="B60" s="8">
        <v>603399</v>
      </c>
      <c r="C60" s="8" t="s">
        <v>693</v>
      </c>
      <c r="D60" s="8" t="s">
        <v>237</v>
      </c>
      <c r="E60" s="8">
        <v>20241211</v>
      </c>
      <c r="F60" s="8">
        <f t="shared" si="1"/>
        <v>20241211</v>
      </c>
      <c r="G60" s="8" t="s">
        <v>694</v>
      </c>
      <c r="H60" s="8">
        <v>1</v>
      </c>
      <c r="I60" s="8" t="s">
        <v>524</v>
      </c>
      <c r="J60" s="8" t="s">
        <v>695</v>
      </c>
      <c r="L60" s="8">
        <v>8</v>
      </c>
      <c r="N60" s="8">
        <v>40</v>
      </c>
      <c r="O60" s="8">
        <v>59</v>
      </c>
      <c r="P60" s="8">
        <v>36</v>
      </c>
      <c r="Q60" s="8">
        <v>17</v>
      </c>
      <c r="R60" s="8">
        <v>0</v>
      </c>
    </row>
    <row r="61" spans="2:18" ht="42" customHeight="1" x14ac:dyDescent="0.3">
      <c r="B61" s="8">
        <v>603920</v>
      </c>
      <c r="C61" s="8" t="s">
        <v>696</v>
      </c>
      <c r="D61" s="8" t="s">
        <v>534</v>
      </c>
      <c r="E61" s="8">
        <v>20241217</v>
      </c>
      <c r="F61" s="8">
        <f t="shared" si="1"/>
        <v>20241217</v>
      </c>
      <c r="G61" s="8" t="s">
        <v>697</v>
      </c>
      <c r="H61" s="8">
        <v>1</v>
      </c>
      <c r="I61" s="8" t="s">
        <v>524</v>
      </c>
      <c r="L61" s="8">
        <v>34.4</v>
      </c>
      <c r="N61" s="8">
        <v>132</v>
      </c>
      <c r="O61" s="8">
        <v>50</v>
      </c>
      <c r="P61" s="8">
        <v>90</v>
      </c>
      <c r="Q61" s="8">
        <v>67</v>
      </c>
      <c r="R61" s="8">
        <v>0</v>
      </c>
    </row>
    <row r="62" spans="2:18" ht="154" customHeight="1" x14ac:dyDescent="0.3">
      <c r="B62" s="8">
        <v>603656</v>
      </c>
      <c r="C62" s="8" t="s">
        <v>698</v>
      </c>
      <c r="D62" s="8" t="s">
        <v>237</v>
      </c>
      <c r="E62" s="8">
        <v>20241219</v>
      </c>
      <c r="F62" s="8">
        <f t="shared" si="1"/>
        <v>20241219</v>
      </c>
      <c r="G62" s="8" t="s">
        <v>699</v>
      </c>
      <c r="H62" s="8">
        <v>2</v>
      </c>
      <c r="I62" s="8" t="s">
        <v>524</v>
      </c>
      <c r="J62" s="8" t="s">
        <v>700</v>
      </c>
      <c r="L62" s="8">
        <v>4.5</v>
      </c>
      <c r="N62" s="8">
        <v>24</v>
      </c>
      <c r="O62" s="8">
        <v>5.6</v>
      </c>
      <c r="P62" s="8">
        <v>16</v>
      </c>
      <c r="Q62" s="8">
        <v>13</v>
      </c>
      <c r="R62" s="8">
        <v>0</v>
      </c>
    </row>
    <row r="63" spans="2:18" ht="28" customHeight="1" x14ac:dyDescent="0.3">
      <c r="B63" s="8">
        <v>300807</v>
      </c>
      <c r="C63" s="8" t="s">
        <v>701</v>
      </c>
      <c r="D63" s="8" t="s">
        <v>237</v>
      </c>
      <c r="E63" s="8">
        <v>20250107</v>
      </c>
      <c r="F63" s="8">
        <v>20260106</v>
      </c>
      <c r="G63" s="8" t="s">
        <v>702</v>
      </c>
      <c r="H63" s="8">
        <v>0</v>
      </c>
      <c r="I63" s="8" t="s">
        <v>524</v>
      </c>
      <c r="L63" s="8">
        <v>5.4</v>
      </c>
      <c r="M63" s="333">
        <f>L63/0.261</f>
        <v>20.689655172413794</v>
      </c>
      <c r="N63" s="8">
        <v>29</v>
      </c>
      <c r="O63" s="8">
        <v>1.6</v>
      </c>
      <c r="P63" s="8">
        <v>6.8</v>
      </c>
      <c r="Q63" s="8">
        <v>4.9000000000000004</v>
      </c>
      <c r="R63" s="8">
        <v>0</v>
      </c>
    </row>
    <row r="64" spans="2:18" x14ac:dyDescent="0.3">
      <c r="B64" s="8">
        <v>601515</v>
      </c>
      <c r="C64" s="8" t="s">
        <v>703</v>
      </c>
      <c r="D64" s="8" t="s">
        <v>534</v>
      </c>
      <c r="E64" s="8">
        <v>20250612</v>
      </c>
      <c r="F64" s="8">
        <f t="shared" ref="F64:F69" si="2">E64</f>
        <v>20250612</v>
      </c>
      <c r="G64" s="8" t="s">
        <v>704</v>
      </c>
      <c r="H64" s="8">
        <v>0</v>
      </c>
      <c r="I64" s="8" t="s">
        <v>524</v>
      </c>
      <c r="L64" s="8">
        <v>18</v>
      </c>
      <c r="M64" s="333">
        <f>L64/0.3</f>
        <v>60</v>
      </c>
      <c r="N64" s="8">
        <v>54</v>
      </c>
      <c r="O64" s="8">
        <v>14</v>
      </c>
      <c r="P64" s="8">
        <v>67</v>
      </c>
      <c r="Q64" s="8">
        <v>54</v>
      </c>
      <c r="R64" s="8">
        <v>0</v>
      </c>
    </row>
    <row r="65" spans="2:18" ht="28" customHeight="1" x14ac:dyDescent="0.3">
      <c r="B65" s="8">
        <v>600520</v>
      </c>
      <c r="C65" s="8" t="s">
        <v>705</v>
      </c>
      <c r="D65" s="8" t="s">
        <v>534</v>
      </c>
      <c r="E65" s="8">
        <v>20250125</v>
      </c>
      <c r="F65" s="8">
        <f t="shared" si="2"/>
        <v>20250125</v>
      </c>
      <c r="G65" s="8" t="s">
        <v>706</v>
      </c>
      <c r="H65" s="8">
        <v>0</v>
      </c>
      <c r="I65" s="8" t="s">
        <v>524</v>
      </c>
      <c r="L65" s="8">
        <v>6.6</v>
      </c>
      <c r="M65" s="333">
        <f>L65/0.17</f>
        <v>38.823529411764703</v>
      </c>
      <c r="N65" s="8">
        <v>38</v>
      </c>
      <c r="O65" s="8">
        <v>3</v>
      </c>
      <c r="P65" s="8">
        <v>5.4</v>
      </c>
      <c r="Q65" s="8">
        <v>3.7</v>
      </c>
      <c r="R65" s="8">
        <v>0</v>
      </c>
    </row>
    <row r="66" spans="2:18" ht="56" customHeight="1" x14ac:dyDescent="0.3">
      <c r="B66" s="8">
        <v>603825</v>
      </c>
      <c r="C66" s="8" t="s">
        <v>707</v>
      </c>
      <c r="D66" s="8" t="s">
        <v>534</v>
      </c>
      <c r="E66" s="8">
        <v>20250125</v>
      </c>
      <c r="F66" s="8">
        <f t="shared" si="2"/>
        <v>20250125</v>
      </c>
      <c r="G66" s="8" t="s">
        <v>708</v>
      </c>
      <c r="H66" s="8">
        <v>0</v>
      </c>
      <c r="I66" s="8" t="s">
        <v>524</v>
      </c>
      <c r="J66" s="8" t="s">
        <v>709</v>
      </c>
      <c r="L66" s="8">
        <v>5.07</v>
      </c>
      <c r="M66" s="333">
        <f>L66/0.1881</f>
        <v>26.953748006379588</v>
      </c>
      <c r="N66" s="8">
        <v>30</v>
      </c>
      <c r="O66" s="8">
        <v>20</v>
      </c>
      <c r="P66" s="8">
        <v>22</v>
      </c>
      <c r="Q66" s="8">
        <v>1</v>
      </c>
      <c r="R66" s="8">
        <v>0</v>
      </c>
    </row>
    <row r="67" spans="2:18" ht="70" customHeight="1" x14ac:dyDescent="0.3">
      <c r="B67" s="8">
        <v>2501</v>
      </c>
      <c r="C67" s="8" t="s">
        <v>710</v>
      </c>
      <c r="D67" s="8" t="s">
        <v>237</v>
      </c>
      <c r="E67" s="8">
        <v>20250220</v>
      </c>
      <c r="F67" s="8">
        <f t="shared" si="2"/>
        <v>20250220</v>
      </c>
      <c r="G67" s="8" t="s">
        <v>711</v>
      </c>
      <c r="H67" s="8">
        <v>0</v>
      </c>
      <c r="I67" s="8" t="s">
        <v>524</v>
      </c>
      <c r="L67" s="8" t="s">
        <v>712</v>
      </c>
      <c r="N67" s="8">
        <v>65</v>
      </c>
      <c r="O67" s="8">
        <v>3.3</v>
      </c>
      <c r="P67" s="8">
        <v>9.1999999999999993</v>
      </c>
      <c r="Q67" s="8">
        <v>3.4</v>
      </c>
      <c r="R67" s="8">
        <v>0</v>
      </c>
    </row>
    <row r="68" spans="2:18" ht="28" customHeight="1" x14ac:dyDescent="0.3">
      <c r="B68" s="8">
        <v>300192</v>
      </c>
      <c r="C68" s="8" t="s">
        <v>713</v>
      </c>
      <c r="D68" s="8" t="s">
        <v>714</v>
      </c>
      <c r="E68" s="8">
        <v>20250221</v>
      </c>
      <c r="F68" s="8">
        <f t="shared" si="2"/>
        <v>20250221</v>
      </c>
      <c r="G68" s="8" t="s">
        <v>715</v>
      </c>
      <c r="H68" s="8">
        <v>0</v>
      </c>
      <c r="I68" s="8" t="s">
        <v>590</v>
      </c>
      <c r="L68" s="8">
        <v>11</v>
      </c>
      <c r="N68" s="8">
        <v>53</v>
      </c>
      <c r="O68" s="8">
        <v>7.9</v>
      </c>
      <c r="P68" s="8">
        <v>12</v>
      </c>
      <c r="Q68" s="8">
        <v>8.1999999999999993</v>
      </c>
      <c r="R68" s="8">
        <v>0</v>
      </c>
    </row>
    <row r="69" spans="2:18" ht="56" customHeight="1" x14ac:dyDescent="0.3">
      <c r="B69" s="8">
        <v>603227</v>
      </c>
      <c r="C69" s="8" t="s">
        <v>716</v>
      </c>
      <c r="D69" s="8" t="s">
        <v>534</v>
      </c>
      <c r="E69" s="8">
        <v>20250226</v>
      </c>
      <c r="F69" s="8">
        <f t="shared" si="2"/>
        <v>20250226</v>
      </c>
      <c r="G69" s="8" t="s">
        <v>717</v>
      </c>
      <c r="H69" s="8">
        <v>0</v>
      </c>
      <c r="I69" s="8" t="s">
        <v>524</v>
      </c>
      <c r="J69" s="8" t="s">
        <v>718</v>
      </c>
      <c r="L69" s="8">
        <v>20</v>
      </c>
      <c r="M69" s="333">
        <f>L69/0.21</f>
        <v>95.238095238095241</v>
      </c>
      <c r="N69" s="8">
        <v>100</v>
      </c>
      <c r="O69" s="8">
        <v>61</v>
      </c>
      <c r="P69" s="8">
        <v>78</v>
      </c>
      <c r="Q69" s="8">
        <v>58</v>
      </c>
      <c r="R69" s="8">
        <v>0</v>
      </c>
    </row>
    <row r="70" spans="2:18" ht="56" customHeight="1" x14ac:dyDescent="0.3">
      <c r="B70" s="8">
        <v>300511</v>
      </c>
      <c r="C70" s="8" t="s">
        <v>719</v>
      </c>
      <c r="D70" s="8" t="s">
        <v>237</v>
      </c>
      <c r="E70" s="8">
        <v>20250304</v>
      </c>
      <c r="F70" s="8">
        <v>20251104</v>
      </c>
      <c r="G70" s="8" t="s">
        <v>720</v>
      </c>
      <c r="H70" s="8">
        <v>4</v>
      </c>
      <c r="I70" s="8" t="s">
        <v>524</v>
      </c>
      <c r="J70" s="8" t="s">
        <v>721</v>
      </c>
      <c r="K70" s="8" t="s">
        <v>458</v>
      </c>
      <c r="L70" s="8">
        <v>1</v>
      </c>
      <c r="N70" s="8">
        <v>22</v>
      </c>
      <c r="O70" s="8">
        <v>21</v>
      </c>
      <c r="P70" s="8">
        <v>38</v>
      </c>
      <c r="Q70" s="8">
        <v>7</v>
      </c>
      <c r="R70" s="8">
        <v>0</v>
      </c>
    </row>
    <row r="71" spans="2:18" ht="28" customHeight="1" x14ac:dyDescent="0.3">
      <c r="B71" s="8">
        <v>603080</v>
      </c>
      <c r="C71" s="8" t="s">
        <v>722</v>
      </c>
      <c r="D71" s="8" t="s">
        <v>237</v>
      </c>
      <c r="E71" s="8">
        <v>20250314</v>
      </c>
      <c r="F71" s="8">
        <f t="shared" ref="F71:F76" si="3">E71</f>
        <v>20250314</v>
      </c>
      <c r="G71" s="8" t="s">
        <v>723</v>
      </c>
      <c r="H71" s="8">
        <v>1</v>
      </c>
      <c r="I71" s="8" t="s">
        <v>524</v>
      </c>
      <c r="J71" s="8" t="s">
        <v>724</v>
      </c>
      <c r="L71" s="8">
        <v>6.3</v>
      </c>
      <c r="M71" s="333">
        <f>L71/0.205</f>
        <v>30.731707317073173</v>
      </c>
      <c r="N71" s="8">
        <v>23</v>
      </c>
      <c r="O71" s="8">
        <v>15</v>
      </c>
      <c r="P71" s="8">
        <v>23</v>
      </c>
      <c r="Q71" s="8">
        <v>16</v>
      </c>
      <c r="R71" s="8">
        <v>0</v>
      </c>
    </row>
    <row r="72" spans="2:18" ht="42" customHeight="1" x14ac:dyDescent="0.3">
      <c r="B72" s="8">
        <v>603139</v>
      </c>
      <c r="C72" s="8" t="s">
        <v>725</v>
      </c>
      <c r="D72" s="8" t="s">
        <v>237</v>
      </c>
      <c r="E72" s="8">
        <v>20250903</v>
      </c>
      <c r="F72" s="8">
        <f t="shared" si="3"/>
        <v>20250903</v>
      </c>
      <c r="G72" s="8" t="s">
        <v>726</v>
      </c>
      <c r="H72" s="8">
        <v>1</v>
      </c>
      <c r="I72" s="8" t="s">
        <v>524</v>
      </c>
      <c r="J72" s="8" t="s">
        <v>727</v>
      </c>
      <c r="L72" s="8">
        <v>5.4</v>
      </c>
      <c r="M72" s="333">
        <f>L72/0.22</f>
        <v>24.545454545454547</v>
      </c>
      <c r="N72" s="8">
        <v>20</v>
      </c>
      <c r="O72" s="8">
        <v>5.6</v>
      </c>
      <c r="P72" s="8">
        <v>19</v>
      </c>
      <c r="Q72" s="8">
        <v>9</v>
      </c>
      <c r="R72" s="8">
        <v>0</v>
      </c>
    </row>
    <row r="73" spans="2:18" x14ac:dyDescent="0.3">
      <c r="B73" s="8">
        <v>601500</v>
      </c>
      <c r="C73" s="8" t="s">
        <v>728</v>
      </c>
      <c r="D73" s="8" t="s">
        <v>534</v>
      </c>
      <c r="E73" s="8">
        <v>20250617</v>
      </c>
      <c r="F73" s="8">
        <f t="shared" si="3"/>
        <v>20250617</v>
      </c>
      <c r="G73" s="8" t="s">
        <v>729</v>
      </c>
      <c r="H73" s="8">
        <v>0</v>
      </c>
      <c r="I73" s="8" t="s">
        <v>524</v>
      </c>
      <c r="L73" s="8">
        <v>21</v>
      </c>
      <c r="M73" s="333">
        <f>L73/0.25</f>
        <v>84</v>
      </c>
      <c r="N73" s="8">
        <v>72</v>
      </c>
      <c r="O73" s="8">
        <v>70</v>
      </c>
      <c r="P73" s="8">
        <v>156</v>
      </c>
      <c r="Q73" s="8">
        <v>59</v>
      </c>
      <c r="R73" s="8">
        <v>0</v>
      </c>
    </row>
    <row r="74" spans="2:18" ht="56" customHeight="1" x14ac:dyDescent="0.3">
      <c r="B74" s="8">
        <v>603330</v>
      </c>
      <c r="C74" s="8" t="s">
        <v>730</v>
      </c>
      <c r="D74" s="8" t="s">
        <v>237</v>
      </c>
      <c r="E74" s="8">
        <v>20250823</v>
      </c>
      <c r="F74" s="8">
        <f t="shared" si="3"/>
        <v>20250823</v>
      </c>
      <c r="G74" s="8" t="s">
        <v>731</v>
      </c>
      <c r="H74" s="8">
        <v>1</v>
      </c>
      <c r="I74" s="8" t="s">
        <v>524</v>
      </c>
      <c r="J74" s="8" t="s">
        <v>732</v>
      </c>
      <c r="L74" s="8">
        <v>6.6</v>
      </c>
      <c r="M74" s="333">
        <f>L74/0.21</f>
        <v>31.428571428571427</v>
      </c>
      <c r="N74" s="8">
        <v>27</v>
      </c>
      <c r="O74" s="8">
        <v>13</v>
      </c>
      <c r="P74" s="8">
        <v>25</v>
      </c>
      <c r="Q74" s="8">
        <v>15</v>
      </c>
      <c r="R74" s="8">
        <v>0</v>
      </c>
    </row>
    <row r="75" spans="2:18" ht="70" customHeight="1" x14ac:dyDescent="0.3">
      <c r="B75" s="8">
        <v>688350</v>
      </c>
      <c r="C75" s="8" t="s">
        <v>733</v>
      </c>
      <c r="D75" s="8" t="s">
        <v>237</v>
      </c>
      <c r="E75" s="8">
        <v>20250416</v>
      </c>
      <c r="F75" s="8">
        <f t="shared" si="3"/>
        <v>20250416</v>
      </c>
      <c r="G75" s="8" t="s">
        <v>734</v>
      </c>
      <c r="H75" s="8">
        <v>0</v>
      </c>
      <c r="I75" s="8" t="s">
        <v>524</v>
      </c>
      <c r="J75" s="8" t="s">
        <v>735</v>
      </c>
      <c r="K75" s="8" t="s">
        <v>458</v>
      </c>
      <c r="L75" s="8">
        <v>5.9</v>
      </c>
      <c r="M75" s="333">
        <f>L75/0.3</f>
        <v>19.666666666666668</v>
      </c>
      <c r="N75" s="8">
        <v>17</v>
      </c>
      <c r="O75" s="8">
        <v>15.6</v>
      </c>
      <c r="P75" s="8">
        <v>26.7</v>
      </c>
      <c r="Q75" s="8">
        <v>14.7</v>
      </c>
      <c r="R75" s="8">
        <v>0</v>
      </c>
    </row>
    <row r="76" spans="2:18" x14ac:dyDescent="0.3">
      <c r="B76" s="8">
        <v>603819</v>
      </c>
      <c r="C76" s="8" t="s">
        <v>736</v>
      </c>
      <c r="D76" s="8" t="s">
        <v>237</v>
      </c>
      <c r="E76" s="8">
        <v>20250417</v>
      </c>
      <c r="F76" s="8">
        <f t="shared" si="3"/>
        <v>20250417</v>
      </c>
      <c r="G76" s="8" t="s">
        <v>737</v>
      </c>
      <c r="H76" s="8">
        <v>0</v>
      </c>
      <c r="I76" s="8" t="s">
        <v>590</v>
      </c>
      <c r="J76" s="8" t="s">
        <v>738</v>
      </c>
      <c r="L76" s="8">
        <v>7</v>
      </c>
      <c r="M76" s="333">
        <f>L76/0.22</f>
        <v>31.818181818181817</v>
      </c>
      <c r="N76" s="8">
        <v>31</v>
      </c>
      <c r="O76" s="8">
        <v>13</v>
      </c>
      <c r="P76" s="8">
        <v>15</v>
      </c>
      <c r="Q76" s="8">
        <v>8</v>
      </c>
      <c r="R76" s="8">
        <v>0</v>
      </c>
    </row>
    <row r="77" spans="2:18" ht="101.5" customHeight="1" x14ac:dyDescent="0.3">
      <c r="B77" s="8">
        <v>2868</v>
      </c>
      <c r="C77" s="8" t="s">
        <v>739</v>
      </c>
      <c r="D77" s="8" t="s">
        <v>237</v>
      </c>
      <c r="E77" s="8">
        <v>20250422</v>
      </c>
      <c r="F77" s="8">
        <v>20251124</v>
      </c>
      <c r="G77" s="8" t="s">
        <v>740</v>
      </c>
      <c r="H77" s="8">
        <v>4</v>
      </c>
      <c r="I77" s="8" t="s">
        <v>524</v>
      </c>
      <c r="J77" s="8" t="s">
        <v>741</v>
      </c>
      <c r="L77" s="8">
        <v>6</v>
      </c>
      <c r="N77" s="8">
        <v>22</v>
      </c>
      <c r="O77" s="8">
        <v>6.5</v>
      </c>
      <c r="P77" s="8">
        <v>14.5</v>
      </c>
      <c r="Q77" s="8">
        <v>-0.5</v>
      </c>
      <c r="R77" s="8">
        <v>0</v>
      </c>
    </row>
    <row r="78" spans="2:18" ht="42" customHeight="1" x14ac:dyDescent="0.3">
      <c r="B78" s="8">
        <v>603776</v>
      </c>
      <c r="C78" s="8" t="s">
        <v>742</v>
      </c>
      <c r="D78" s="8" t="s">
        <v>237</v>
      </c>
      <c r="E78" s="8">
        <v>20250422</v>
      </c>
      <c r="F78" s="8">
        <f>E78</f>
        <v>20250422</v>
      </c>
      <c r="G78" s="8" t="s">
        <v>743</v>
      </c>
      <c r="H78" s="8">
        <v>4</v>
      </c>
      <c r="I78" s="8" t="s">
        <v>524</v>
      </c>
      <c r="J78" s="8" t="s">
        <v>744</v>
      </c>
      <c r="K78" s="8" t="s">
        <v>458</v>
      </c>
      <c r="L78" s="8">
        <v>4.5</v>
      </c>
      <c r="N78" s="8">
        <v>36</v>
      </c>
      <c r="O78" s="8">
        <v>4.5</v>
      </c>
      <c r="P78" s="8">
        <v>44</v>
      </c>
      <c r="Q78" s="8">
        <v>32</v>
      </c>
      <c r="R78" s="8">
        <v>0</v>
      </c>
    </row>
    <row r="79" spans="2:18" ht="28" customHeight="1" x14ac:dyDescent="0.3">
      <c r="B79" s="8">
        <v>2828</v>
      </c>
      <c r="C79" s="8" t="s">
        <v>745</v>
      </c>
      <c r="D79" s="8" t="s">
        <v>237</v>
      </c>
      <c r="E79" s="8">
        <v>20250426</v>
      </c>
      <c r="F79" s="8">
        <f>E79</f>
        <v>20250426</v>
      </c>
      <c r="G79" s="8" t="s">
        <v>746</v>
      </c>
      <c r="H79" s="8">
        <v>0</v>
      </c>
      <c r="I79" s="8" t="s">
        <v>665</v>
      </c>
      <c r="J79" s="8" t="s">
        <v>747</v>
      </c>
      <c r="L79" s="8">
        <v>3.5</v>
      </c>
      <c r="N79" s="8">
        <v>18</v>
      </c>
      <c r="O79" s="8">
        <v>9.5</v>
      </c>
      <c r="P79" s="8">
        <v>17</v>
      </c>
      <c r="Q79" s="8">
        <v>7</v>
      </c>
      <c r="R79" s="8">
        <v>0</v>
      </c>
    </row>
    <row r="80" spans="2:18" ht="28" customHeight="1" x14ac:dyDescent="0.3">
      <c r="B80" s="8">
        <v>2802</v>
      </c>
      <c r="C80" s="8" t="s">
        <v>748</v>
      </c>
      <c r="D80" s="8" t="s">
        <v>749</v>
      </c>
      <c r="E80" s="8">
        <v>20250427</v>
      </c>
      <c r="F80" s="8">
        <f>E80</f>
        <v>20250427</v>
      </c>
      <c r="G80" s="8" t="s">
        <v>750</v>
      </c>
      <c r="H80" s="8">
        <v>0</v>
      </c>
      <c r="I80" s="8" t="s">
        <v>524</v>
      </c>
      <c r="L80" s="8">
        <v>8.9</v>
      </c>
      <c r="M80" s="333">
        <f>L80/0.3</f>
        <v>29.666666666666668</v>
      </c>
      <c r="N80" s="8">
        <v>22</v>
      </c>
      <c r="O80" s="8">
        <v>4.5</v>
      </c>
      <c r="P80" s="8">
        <v>6.8</v>
      </c>
      <c r="Q80" s="8">
        <v>6.2</v>
      </c>
      <c r="R80" s="8">
        <v>0</v>
      </c>
    </row>
    <row r="81" spans="2:18" ht="140" customHeight="1" x14ac:dyDescent="0.3">
      <c r="B81" s="8">
        <v>300609</v>
      </c>
      <c r="C81" s="8" t="s">
        <v>751</v>
      </c>
      <c r="D81" s="8" t="s">
        <v>237</v>
      </c>
      <c r="E81" s="8">
        <v>20250805</v>
      </c>
      <c r="F81" s="8">
        <f>E81</f>
        <v>20250805</v>
      </c>
      <c r="G81" s="8" t="s">
        <v>752</v>
      </c>
      <c r="H81" s="8">
        <v>4</v>
      </c>
      <c r="I81" s="8" t="s">
        <v>524</v>
      </c>
      <c r="J81" s="8" t="s">
        <v>753</v>
      </c>
      <c r="L81" s="8">
        <v>4.5</v>
      </c>
      <c r="M81" s="333">
        <f>L81/0.15</f>
        <v>30</v>
      </c>
      <c r="N81" s="8">
        <v>36</v>
      </c>
      <c r="O81" s="8">
        <v>3.6</v>
      </c>
      <c r="P81" s="8">
        <v>13</v>
      </c>
      <c r="Q81" s="8">
        <v>11</v>
      </c>
      <c r="R81" s="8">
        <v>0</v>
      </c>
    </row>
    <row r="82" spans="2:18" ht="70" customHeight="1" x14ac:dyDescent="0.3">
      <c r="B82" s="8">
        <v>300507</v>
      </c>
      <c r="C82" s="8" t="s">
        <v>754</v>
      </c>
      <c r="D82" s="8" t="s">
        <v>237</v>
      </c>
      <c r="E82" s="8">
        <v>20250507</v>
      </c>
      <c r="F82" s="8">
        <v>20251015</v>
      </c>
      <c r="G82" s="8" t="s">
        <v>755</v>
      </c>
      <c r="H82" s="8">
        <v>2</v>
      </c>
      <c r="I82" s="8" t="s">
        <v>524</v>
      </c>
      <c r="J82" s="8" t="s">
        <v>756</v>
      </c>
      <c r="L82" s="8" t="s">
        <v>757</v>
      </c>
      <c r="M82" s="333">
        <f>5.1/0.11</f>
        <v>46.36363636363636</v>
      </c>
      <c r="N82" s="8">
        <v>60</v>
      </c>
      <c r="O82" s="8">
        <v>16.7</v>
      </c>
      <c r="P82" s="8">
        <v>40</v>
      </c>
      <c r="Q82" s="8">
        <v>24</v>
      </c>
      <c r="R82" s="8">
        <v>0</v>
      </c>
    </row>
    <row r="83" spans="2:18" ht="56" customHeight="1" x14ac:dyDescent="0.3">
      <c r="B83" s="8">
        <v>688178</v>
      </c>
      <c r="C83" s="8" t="s">
        <v>758</v>
      </c>
      <c r="D83" s="8" t="s">
        <v>237</v>
      </c>
      <c r="E83" s="8">
        <v>20250520</v>
      </c>
      <c r="F83" s="8">
        <f>E83</f>
        <v>20250520</v>
      </c>
      <c r="G83" s="8" t="s">
        <v>759</v>
      </c>
      <c r="H83" s="8">
        <v>3</v>
      </c>
      <c r="I83" s="8" t="s">
        <v>524</v>
      </c>
      <c r="L83" s="8">
        <v>4.0999999999999996</v>
      </c>
      <c r="M83" s="333">
        <f>L83/0.2888</f>
        <v>14.196675900277008</v>
      </c>
      <c r="N83" s="8">
        <v>14</v>
      </c>
      <c r="O83" s="8">
        <v>6.2</v>
      </c>
      <c r="P83" s="8">
        <v>22</v>
      </c>
      <c r="Q83" s="8">
        <v>11</v>
      </c>
      <c r="R83" s="8">
        <v>0</v>
      </c>
    </row>
    <row r="84" spans="2:18" ht="28" customHeight="1" x14ac:dyDescent="0.3">
      <c r="B84" s="8">
        <v>301007</v>
      </c>
      <c r="C84" s="8" t="s">
        <v>760</v>
      </c>
      <c r="D84" s="8" t="s">
        <v>237</v>
      </c>
      <c r="E84" s="8">
        <v>20250522</v>
      </c>
      <c r="F84" s="8">
        <v>20250725</v>
      </c>
      <c r="G84" s="8" t="s">
        <v>761</v>
      </c>
      <c r="H84" s="8">
        <v>0</v>
      </c>
      <c r="I84" s="8" t="s">
        <v>524</v>
      </c>
      <c r="L84" s="8">
        <v>6.7</v>
      </c>
      <c r="M84" s="333">
        <f>L84/0.1673</f>
        <v>40.047818290496117</v>
      </c>
      <c r="N84" s="8">
        <v>34</v>
      </c>
      <c r="O84" s="8">
        <v>6.9</v>
      </c>
      <c r="P84" s="8">
        <v>10</v>
      </c>
      <c r="Q84" s="8">
        <v>7</v>
      </c>
      <c r="R84" s="8">
        <v>0</v>
      </c>
    </row>
    <row r="85" spans="2:18" ht="70" customHeight="1" x14ac:dyDescent="0.3">
      <c r="B85" s="8">
        <v>603333</v>
      </c>
      <c r="C85" s="8" t="s">
        <v>762</v>
      </c>
      <c r="D85" s="8" t="s">
        <v>237</v>
      </c>
      <c r="E85" s="8">
        <v>20250524</v>
      </c>
      <c r="F85" s="8">
        <f>E85</f>
        <v>20250524</v>
      </c>
      <c r="G85" s="8" t="s">
        <v>763</v>
      </c>
      <c r="H85" s="8">
        <v>2</v>
      </c>
      <c r="I85" s="8" t="s">
        <v>524</v>
      </c>
      <c r="J85" s="8" t="s">
        <v>764</v>
      </c>
      <c r="L85" s="8">
        <v>8</v>
      </c>
      <c r="M85" s="333">
        <f>L85/0.2535</f>
        <v>31.558185404339252</v>
      </c>
      <c r="N85" s="8">
        <v>40</v>
      </c>
      <c r="O85" s="8">
        <v>17</v>
      </c>
      <c r="P85" s="8">
        <v>30</v>
      </c>
      <c r="Q85" s="8">
        <v>20</v>
      </c>
      <c r="R85" s="8">
        <v>0</v>
      </c>
    </row>
    <row r="86" spans="2:18" ht="28" customHeight="1" x14ac:dyDescent="0.3">
      <c r="B86" s="8">
        <v>2114</v>
      </c>
      <c r="C86" s="8" t="s">
        <v>765</v>
      </c>
      <c r="D86" s="8" t="s">
        <v>534</v>
      </c>
      <c r="E86" s="8">
        <v>20250527</v>
      </c>
      <c r="F86" s="8">
        <f>E86</f>
        <v>20250527</v>
      </c>
      <c r="G86" s="8" t="s">
        <v>766</v>
      </c>
      <c r="H86" s="8">
        <v>0</v>
      </c>
      <c r="I86" s="8" t="s">
        <v>665</v>
      </c>
      <c r="J86" s="8" t="s">
        <v>767</v>
      </c>
      <c r="L86" s="8">
        <v>4.5999999999999996</v>
      </c>
      <c r="M86" s="333">
        <f>L86/0.22</f>
        <v>20.909090909090907</v>
      </c>
      <c r="N86" s="8">
        <v>23</v>
      </c>
      <c r="O86" s="8">
        <v>12.6</v>
      </c>
      <c r="P86" s="8">
        <v>22.3</v>
      </c>
      <c r="Q86" s="8">
        <v>8</v>
      </c>
      <c r="R86" s="8">
        <v>0</v>
      </c>
    </row>
    <row r="87" spans="2:18" ht="42" customHeight="1" x14ac:dyDescent="0.3">
      <c r="B87">
        <v>2199</v>
      </c>
      <c r="C87" t="s">
        <v>768</v>
      </c>
      <c r="D87" s="8" t="s">
        <v>237</v>
      </c>
      <c r="E87" s="8">
        <v>20250530</v>
      </c>
      <c r="F87" s="8">
        <v>20250806</v>
      </c>
      <c r="G87" s="8" t="s">
        <v>769</v>
      </c>
      <c r="H87" s="8">
        <v>0</v>
      </c>
      <c r="I87" s="8" t="s">
        <v>524</v>
      </c>
      <c r="L87" s="8">
        <v>3</v>
      </c>
      <c r="M87" s="333">
        <f>L87/0.2</f>
        <v>15</v>
      </c>
      <c r="N87" s="8">
        <v>15</v>
      </c>
      <c r="O87" s="8">
        <v>2</v>
      </c>
      <c r="P87" s="8">
        <v>4.7</v>
      </c>
      <c r="Q87" s="8">
        <v>2.1</v>
      </c>
      <c r="R87" s="8">
        <v>0</v>
      </c>
    </row>
    <row r="88" spans="2:18" ht="42" customHeight="1" x14ac:dyDescent="0.3">
      <c r="B88">
        <v>605081</v>
      </c>
      <c r="C88" t="s">
        <v>770</v>
      </c>
      <c r="D88" s="8" t="s">
        <v>237</v>
      </c>
      <c r="E88" s="8">
        <v>20250527</v>
      </c>
      <c r="F88" s="8">
        <f>E88</f>
        <v>20250527</v>
      </c>
      <c r="G88" s="8" t="s">
        <v>771</v>
      </c>
      <c r="H88" s="8">
        <v>0</v>
      </c>
      <c r="I88" s="8" t="s">
        <v>524</v>
      </c>
      <c r="J88" s="8" t="s">
        <v>772</v>
      </c>
      <c r="L88" s="8">
        <v>3.9</v>
      </c>
      <c r="M88" s="333">
        <f>L88/0.12</f>
        <v>32.5</v>
      </c>
      <c r="N88" s="8">
        <v>13</v>
      </c>
      <c r="O88" s="8">
        <v>1</v>
      </c>
      <c r="P88" s="8">
        <v>14</v>
      </c>
      <c r="Q88" s="8">
        <v>9</v>
      </c>
      <c r="R88" s="8">
        <v>0</v>
      </c>
    </row>
    <row r="89" spans="2:18" ht="56" customHeight="1" x14ac:dyDescent="0.3">
      <c r="B89" s="8">
        <v>2529</v>
      </c>
      <c r="C89" s="8" t="s">
        <v>773</v>
      </c>
      <c r="D89" s="8" t="s">
        <v>237</v>
      </c>
      <c r="E89" s="8">
        <v>20250528</v>
      </c>
      <c r="F89" s="8">
        <f>E89</f>
        <v>20250528</v>
      </c>
      <c r="G89" s="8" t="s">
        <v>774</v>
      </c>
      <c r="H89" s="8">
        <v>0</v>
      </c>
      <c r="I89" s="8" t="s">
        <v>524</v>
      </c>
      <c r="J89" s="8" t="s">
        <v>775</v>
      </c>
      <c r="L89" s="8">
        <v>3.5</v>
      </c>
      <c r="M89" s="333">
        <f>L89/0.14</f>
        <v>24.999999999999996</v>
      </c>
      <c r="N89" s="8">
        <v>23</v>
      </c>
      <c r="O89" s="8">
        <v>1.8</v>
      </c>
      <c r="P89" s="8">
        <v>8.6999999999999993</v>
      </c>
      <c r="Q89" s="8">
        <v>1.7</v>
      </c>
      <c r="R89" s="8">
        <v>0</v>
      </c>
    </row>
    <row r="90" spans="2:18" ht="98" customHeight="1" x14ac:dyDescent="0.3">
      <c r="B90" s="8">
        <v>301186</v>
      </c>
      <c r="C90" s="8" t="s">
        <v>776</v>
      </c>
      <c r="D90" s="8" t="s">
        <v>237</v>
      </c>
      <c r="E90" s="8">
        <v>20250528</v>
      </c>
      <c r="F90" s="8">
        <f>E90</f>
        <v>20250528</v>
      </c>
      <c r="G90" s="269" t="s">
        <v>777</v>
      </c>
      <c r="H90" s="8">
        <v>1</v>
      </c>
      <c r="I90" s="8" t="s">
        <v>524</v>
      </c>
      <c r="J90" s="8" t="s">
        <v>778</v>
      </c>
      <c r="L90" s="8">
        <v>9.4</v>
      </c>
      <c r="M90" s="333">
        <f>L90/0.2932</f>
        <v>32.060027285129607</v>
      </c>
      <c r="N90" s="8">
        <v>34</v>
      </c>
      <c r="O90" s="8">
        <v>7.2</v>
      </c>
      <c r="P90" s="8">
        <v>21</v>
      </c>
      <c r="Q90" s="8">
        <v>15</v>
      </c>
      <c r="R90" s="8">
        <v>0</v>
      </c>
    </row>
    <row r="91" spans="2:18" ht="42" customHeight="1" x14ac:dyDescent="0.3">
      <c r="B91" s="8">
        <v>603226</v>
      </c>
      <c r="C91" s="8" t="s">
        <v>779</v>
      </c>
      <c r="D91" s="8" t="s">
        <v>237</v>
      </c>
      <c r="E91" s="8">
        <v>20250923</v>
      </c>
      <c r="F91" s="8">
        <f>E91</f>
        <v>20250923</v>
      </c>
      <c r="G91" s="8" t="s">
        <v>780</v>
      </c>
      <c r="H91" s="8">
        <v>0</v>
      </c>
      <c r="I91" s="8" t="s">
        <v>524</v>
      </c>
      <c r="J91" s="8" t="s">
        <v>781</v>
      </c>
      <c r="L91" s="8">
        <v>7</v>
      </c>
      <c r="M91" s="333">
        <f>L91/0.25</f>
        <v>28</v>
      </c>
      <c r="N91" s="8">
        <v>29</v>
      </c>
      <c r="O91" s="8">
        <v>3.3</v>
      </c>
      <c r="P91" s="8">
        <v>13.86</v>
      </c>
      <c r="Q91" s="8">
        <v>9.86</v>
      </c>
      <c r="R91" s="8">
        <v>0</v>
      </c>
    </row>
    <row r="92" spans="2:18" x14ac:dyDescent="0.3">
      <c r="B92" s="8">
        <v>2633</v>
      </c>
      <c r="C92" s="8" t="s">
        <v>320</v>
      </c>
      <c r="D92" s="8" t="s">
        <v>237</v>
      </c>
      <c r="E92" s="8">
        <v>20250530</v>
      </c>
      <c r="F92" s="8">
        <v>20251105</v>
      </c>
      <c r="G92" s="8" t="s">
        <v>782</v>
      </c>
      <c r="H92" s="8">
        <v>0</v>
      </c>
      <c r="I92" s="8" t="s">
        <v>524</v>
      </c>
      <c r="J92" s="8" t="s">
        <v>783</v>
      </c>
      <c r="L92" s="8">
        <v>10</v>
      </c>
      <c r="M92" s="333">
        <f>L92/0.3189</f>
        <v>31.357792411414234</v>
      </c>
      <c r="N92" s="8">
        <v>23</v>
      </c>
      <c r="O92" s="8">
        <v>3.2</v>
      </c>
      <c r="P92" s="8">
        <v>6</v>
      </c>
      <c r="Q92" s="8">
        <v>4.2</v>
      </c>
      <c r="R92" s="8">
        <v>0</v>
      </c>
    </row>
    <row r="93" spans="2:18" ht="126" customHeight="1" x14ac:dyDescent="0.3">
      <c r="B93" s="8">
        <v>603389</v>
      </c>
      <c r="C93" s="8" t="s">
        <v>784</v>
      </c>
      <c r="D93" s="8" t="s">
        <v>237</v>
      </c>
      <c r="E93" s="8">
        <v>20250530</v>
      </c>
      <c r="F93" s="8">
        <f>E93</f>
        <v>20250530</v>
      </c>
      <c r="G93" s="8" t="s">
        <v>785</v>
      </c>
      <c r="H93" s="8">
        <v>4</v>
      </c>
      <c r="I93" s="8" t="s">
        <v>524</v>
      </c>
      <c r="J93" s="8" t="s">
        <v>786</v>
      </c>
      <c r="L93" s="8">
        <v>4.5</v>
      </c>
      <c r="M93" s="333">
        <f>L93/0.3</f>
        <v>15</v>
      </c>
      <c r="N93" s="8">
        <v>15</v>
      </c>
      <c r="O93" s="8">
        <v>2</v>
      </c>
      <c r="P93" s="8">
        <v>5.7</v>
      </c>
      <c r="Q93" s="8">
        <v>2.2000000000000002</v>
      </c>
      <c r="R93" s="8">
        <v>0</v>
      </c>
    </row>
    <row r="94" spans="2:18" ht="28" customHeight="1" x14ac:dyDescent="0.3">
      <c r="B94" s="8">
        <v>600491</v>
      </c>
      <c r="C94" s="8" t="s">
        <v>787</v>
      </c>
      <c r="D94" s="8" t="s">
        <v>534</v>
      </c>
      <c r="E94" s="8">
        <v>20230628</v>
      </c>
      <c r="F94" s="8">
        <f>E94</f>
        <v>20230628</v>
      </c>
      <c r="G94" s="8" t="s">
        <v>788</v>
      </c>
      <c r="H94" s="8">
        <v>0</v>
      </c>
      <c r="I94" s="8" t="s">
        <v>665</v>
      </c>
      <c r="J94" s="8" t="s">
        <v>789</v>
      </c>
      <c r="L94" s="8">
        <v>23</v>
      </c>
      <c r="N94" s="8">
        <v>60</v>
      </c>
      <c r="O94" s="8">
        <v>91</v>
      </c>
      <c r="P94" s="8">
        <v>554</v>
      </c>
      <c r="Q94" s="8">
        <v>110</v>
      </c>
      <c r="R94" s="8">
        <v>0</v>
      </c>
    </row>
    <row r="95" spans="2:18" ht="28" customHeight="1" x14ac:dyDescent="0.3">
      <c r="B95" s="8">
        <v>2634</v>
      </c>
      <c r="C95" s="8" t="s">
        <v>790</v>
      </c>
      <c r="D95" s="8" t="s">
        <v>237</v>
      </c>
      <c r="E95" s="8">
        <v>20250722</v>
      </c>
      <c r="F95" s="8">
        <f>E95</f>
        <v>20250722</v>
      </c>
      <c r="G95" s="269" t="s">
        <v>791</v>
      </c>
      <c r="H95" s="8">
        <v>0</v>
      </c>
      <c r="I95" s="8" t="s">
        <v>524</v>
      </c>
      <c r="J95" s="8" t="s">
        <v>792</v>
      </c>
      <c r="L95" s="8">
        <v>1</v>
      </c>
      <c r="N95" s="8">
        <v>20</v>
      </c>
      <c r="O95" s="8">
        <v>11</v>
      </c>
      <c r="P95" s="8">
        <v>32</v>
      </c>
      <c r="Q95" s="8">
        <v>2</v>
      </c>
      <c r="R95" s="8">
        <v>0</v>
      </c>
    </row>
    <row r="96" spans="2:18" ht="28" customHeight="1" x14ac:dyDescent="0.3">
      <c r="B96" s="8">
        <v>2875</v>
      </c>
      <c r="C96" s="8" t="s">
        <v>793</v>
      </c>
      <c r="D96" s="8" t="s">
        <v>237</v>
      </c>
      <c r="E96" s="8">
        <v>20250603</v>
      </c>
      <c r="F96" s="8">
        <v>20250815</v>
      </c>
      <c r="G96" s="8" t="s">
        <v>794</v>
      </c>
      <c r="H96" s="8">
        <v>0</v>
      </c>
      <c r="I96" s="8" t="s">
        <v>524</v>
      </c>
      <c r="J96" s="8" t="s">
        <v>795</v>
      </c>
      <c r="L96" s="8">
        <v>4.22</v>
      </c>
      <c r="N96" s="8">
        <v>36</v>
      </c>
      <c r="O96" s="8">
        <v>6.3</v>
      </c>
      <c r="P96" s="8">
        <v>9</v>
      </c>
      <c r="Q96" s="8">
        <v>7</v>
      </c>
      <c r="R96" s="8">
        <v>0</v>
      </c>
    </row>
    <row r="97" spans="1:20" ht="28" customHeight="1" x14ac:dyDescent="0.3">
      <c r="B97" s="8">
        <v>2826</v>
      </c>
      <c r="C97" s="8" t="s">
        <v>796</v>
      </c>
      <c r="D97" s="8" t="s">
        <v>237</v>
      </c>
      <c r="E97" s="8">
        <v>20250527</v>
      </c>
      <c r="F97" s="8">
        <v>20250820</v>
      </c>
      <c r="G97" s="8" t="s">
        <v>797</v>
      </c>
      <c r="H97" s="8">
        <v>0</v>
      </c>
      <c r="I97" s="8" t="s">
        <v>524</v>
      </c>
      <c r="L97" s="8">
        <v>6.6</v>
      </c>
      <c r="N97" s="8">
        <v>23</v>
      </c>
      <c r="O97" s="8">
        <v>6.5</v>
      </c>
      <c r="P97" s="8">
        <v>9.8000000000000007</v>
      </c>
      <c r="Q97" s="8">
        <v>7.7</v>
      </c>
      <c r="R97" s="8">
        <v>0</v>
      </c>
    </row>
    <row r="98" spans="1:20" ht="42" customHeight="1" x14ac:dyDescent="0.3">
      <c r="B98">
        <v>2762</v>
      </c>
      <c r="C98" t="s">
        <v>798</v>
      </c>
      <c r="D98" s="8" t="s">
        <v>237</v>
      </c>
      <c r="E98" s="8">
        <v>20250604</v>
      </c>
      <c r="F98" s="8">
        <f>E98</f>
        <v>20250604</v>
      </c>
      <c r="G98" s="8" t="s">
        <v>799</v>
      </c>
      <c r="H98" s="8">
        <v>0</v>
      </c>
      <c r="I98" s="8" t="s">
        <v>590</v>
      </c>
      <c r="J98" s="8" t="s">
        <v>800</v>
      </c>
      <c r="L98" s="8">
        <v>3.45</v>
      </c>
      <c r="M98" s="333">
        <v>26</v>
      </c>
      <c r="N98" s="8">
        <v>22</v>
      </c>
      <c r="O98" s="8">
        <v>2</v>
      </c>
      <c r="P98" s="8">
        <v>9</v>
      </c>
      <c r="Q98" s="8">
        <v>8</v>
      </c>
      <c r="R98" s="8">
        <v>0</v>
      </c>
    </row>
    <row r="99" spans="1:20" ht="56" customHeight="1" x14ac:dyDescent="0.3">
      <c r="B99" s="8">
        <v>2955</v>
      </c>
      <c r="C99" s="8" t="s">
        <v>801</v>
      </c>
      <c r="D99" s="8" t="s">
        <v>237</v>
      </c>
      <c r="E99" s="8">
        <v>20250604</v>
      </c>
      <c r="F99" s="8">
        <v>20251203</v>
      </c>
      <c r="G99" s="8" t="s">
        <v>802</v>
      </c>
      <c r="H99" s="8">
        <v>0</v>
      </c>
      <c r="I99" s="8" t="s">
        <v>524</v>
      </c>
      <c r="L99" s="8">
        <v>15.7</v>
      </c>
      <c r="M99" s="333">
        <f>L99/0.25</f>
        <v>62.8</v>
      </c>
      <c r="N99" s="8">
        <v>60</v>
      </c>
      <c r="O99" s="8">
        <v>35</v>
      </c>
      <c r="P99" s="8">
        <v>46</v>
      </c>
      <c r="Q99" s="8">
        <v>32</v>
      </c>
      <c r="R99" s="8">
        <v>0</v>
      </c>
    </row>
    <row r="100" spans="1:20" x14ac:dyDescent="0.3">
      <c r="B100" s="8">
        <v>403</v>
      </c>
      <c r="C100" s="8" t="s">
        <v>803</v>
      </c>
      <c r="D100" s="8" t="s">
        <v>534</v>
      </c>
      <c r="E100" s="8">
        <v>20250605</v>
      </c>
      <c r="F100" s="8">
        <f>E100</f>
        <v>20250605</v>
      </c>
      <c r="G100" s="8" t="s">
        <v>804</v>
      </c>
      <c r="I100" s="8" t="s">
        <v>665</v>
      </c>
      <c r="N100" s="8">
        <v>161</v>
      </c>
      <c r="O100" s="8">
        <v>26</v>
      </c>
      <c r="P100" s="8">
        <v>91</v>
      </c>
      <c r="Q100" s="8">
        <v>79</v>
      </c>
      <c r="R100" s="8">
        <v>0</v>
      </c>
    </row>
    <row r="101" spans="1:20" ht="84" customHeight="1" x14ac:dyDescent="0.3">
      <c r="B101" s="8">
        <v>603336</v>
      </c>
      <c r="C101" s="8" t="s">
        <v>805</v>
      </c>
      <c r="D101" s="8" t="s">
        <v>237</v>
      </c>
      <c r="E101" s="8">
        <v>20250725</v>
      </c>
      <c r="F101" s="8">
        <f>E101</f>
        <v>20250725</v>
      </c>
      <c r="G101" s="8" t="s">
        <v>806</v>
      </c>
      <c r="H101" s="8">
        <v>0</v>
      </c>
      <c r="I101" s="8" t="s">
        <v>524</v>
      </c>
      <c r="K101" s="8" t="s">
        <v>458</v>
      </c>
      <c r="L101" s="8">
        <v>8.6</v>
      </c>
      <c r="N101" s="8">
        <v>36</v>
      </c>
      <c r="O101" s="8">
        <v>11</v>
      </c>
      <c r="P101" s="8">
        <v>19</v>
      </c>
      <c r="Q101" s="8">
        <v>12</v>
      </c>
      <c r="R101" s="8">
        <v>0</v>
      </c>
    </row>
    <row r="102" spans="1:20" ht="70" customHeight="1" x14ac:dyDescent="0.3">
      <c r="B102" s="8">
        <v>300327</v>
      </c>
      <c r="C102" s="8" t="s">
        <v>807</v>
      </c>
      <c r="D102" s="8" t="s">
        <v>237</v>
      </c>
      <c r="E102" s="8">
        <v>20250723</v>
      </c>
      <c r="F102" s="8">
        <f>E102</f>
        <v>20250723</v>
      </c>
      <c r="G102" s="8" t="s">
        <v>808</v>
      </c>
      <c r="H102" s="8">
        <v>4</v>
      </c>
      <c r="I102" s="8" t="s">
        <v>524</v>
      </c>
      <c r="L102" s="8">
        <v>12.4</v>
      </c>
      <c r="N102" s="8">
        <v>87</v>
      </c>
      <c r="O102" s="8">
        <v>13.4</v>
      </c>
      <c r="P102" s="8">
        <v>22</v>
      </c>
      <c r="Q102" s="8">
        <v>17</v>
      </c>
      <c r="R102" s="8">
        <v>0</v>
      </c>
    </row>
    <row r="103" spans="1:20" ht="28" customHeight="1" x14ac:dyDescent="0.3">
      <c r="B103" s="8">
        <v>300084</v>
      </c>
      <c r="C103" s="8" t="s">
        <v>809</v>
      </c>
      <c r="D103" s="8" t="s">
        <v>237</v>
      </c>
      <c r="E103" s="8">
        <v>20250731</v>
      </c>
      <c r="F103" s="8">
        <f>E103</f>
        <v>20250731</v>
      </c>
      <c r="G103" s="8" t="s">
        <v>810</v>
      </c>
      <c r="H103" s="8">
        <v>0</v>
      </c>
      <c r="I103" s="8" t="s">
        <v>524</v>
      </c>
      <c r="L103" s="8">
        <v>2</v>
      </c>
      <c r="M103" s="333">
        <v>40</v>
      </c>
      <c r="N103" s="8">
        <v>40</v>
      </c>
      <c r="O103" s="8">
        <v>6</v>
      </c>
      <c r="P103" s="8">
        <v>21</v>
      </c>
      <c r="Q103" s="8">
        <v>12</v>
      </c>
      <c r="R103" s="8">
        <v>0</v>
      </c>
    </row>
    <row r="104" spans="1:20" ht="112" customHeight="1" x14ac:dyDescent="0.3">
      <c r="B104" s="8">
        <v>300839</v>
      </c>
      <c r="C104" s="8" t="s">
        <v>811</v>
      </c>
      <c r="D104" s="8" t="s">
        <v>812</v>
      </c>
      <c r="E104" s="16" t="s">
        <v>813</v>
      </c>
      <c r="F104" s="8" t="str">
        <f>E104</f>
        <v xml:space="preserve">20250506
</v>
      </c>
      <c r="G104" s="8" t="s">
        <v>814</v>
      </c>
      <c r="H104" s="8">
        <v>0</v>
      </c>
      <c r="I104" s="8" t="s">
        <v>665</v>
      </c>
      <c r="J104" s="8" t="s">
        <v>815</v>
      </c>
      <c r="K104" s="8" t="s">
        <v>458</v>
      </c>
      <c r="L104" s="8">
        <f>2.4+4.1</f>
        <v>6.5</v>
      </c>
      <c r="N104" s="8">
        <v>20</v>
      </c>
      <c r="O104" s="8">
        <v>22.8</v>
      </c>
      <c r="P104" s="8">
        <v>20.6</v>
      </c>
      <c r="Q104" s="8">
        <v>4</v>
      </c>
      <c r="R104" s="8">
        <v>0</v>
      </c>
    </row>
    <row r="105" spans="1:20" ht="56" hidden="1" customHeight="1" x14ac:dyDescent="0.3">
      <c r="A105" s="8" t="s">
        <v>458</v>
      </c>
      <c r="B105" s="8">
        <v>695</v>
      </c>
      <c r="C105" s="8" t="s">
        <v>816</v>
      </c>
      <c r="D105" s="8" t="s">
        <v>237</v>
      </c>
      <c r="E105" s="8">
        <v>20220112</v>
      </c>
      <c r="G105" s="8" t="s">
        <v>817</v>
      </c>
      <c r="H105" s="8">
        <v>2</v>
      </c>
      <c r="I105" s="8" t="s">
        <v>524</v>
      </c>
      <c r="J105" s="8" t="s">
        <v>818</v>
      </c>
      <c r="L105" s="8">
        <v>6</v>
      </c>
      <c r="N105" s="8">
        <v>30</v>
      </c>
      <c r="O105" s="8">
        <v>5</v>
      </c>
      <c r="P105" s="8">
        <v>10</v>
      </c>
      <c r="Q105" s="8">
        <v>5</v>
      </c>
      <c r="R105" s="8">
        <v>3</v>
      </c>
      <c r="S105" s="8">
        <v>20</v>
      </c>
      <c r="T105" s="8">
        <v>35</v>
      </c>
    </row>
    <row r="106" spans="1:20" ht="28" customHeight="1" x14ac:dyDescent="0.3">
      <c r="B106" s="8">
        <v>1234</v>
      </c>
      <c r="C106" s="8" t="s">
        <v>819</v>
      </c>
      <c r="D106" s="8" t="s">
        <v>534</v>
      </c>
      <c r="E106" s="8">
        <v>20250923</v>
      </c>
      <c r="F106" s="8">
        <f>E106</f>
        <v>20250923</v>
      </c>
      <c r="G106" s="8" t="s">
        <v>820</v>
      </c>
      <c r="H106" s="8">
        <v>0</v>
      </c>
      <c r="I106" s="8" t="s">
        <v>524</v>
      </c>
      <c r="L106" s="8">
        <v>7.5</v>
      </c>
      <c r="N106" s="8">
        <v>25</v>
      </c>
      <c r="O106" s="8">
        <v>9</v>
      </c>
      <c r="P106" s="8">
        <v>12</v>
      </c>
      <c r="Q106" s="8">
        <v>9.4</v>
      </c>
      <c r="R106" s="8">
        <v>0</v>
      </c>
    </row>
    <row r="107" spans="1:20" ht="56" customHeight="1" x14ac:dyDescent="0.3">
      <c r="B107" s="8">
        <v>300046</v>
      </c>
      <c r="C107" s="8" t="s">
        <v>821</v>
      </c>
      <c r="D107" s="8" t="s">
        <v>534</v>
      </c>
      <c r="E107" s="8">
        <v>20250612</v>
      </c>
      <c r="F107" s="8">
        <v>20251224</v>
      </c>
      <c r="G107" s="8" t="s">
        <v>822</v>
      </c>
      <c r="H107" s="8">
        <v>0</v>
      </c>
      <c r="I107" s="8" t="s">
        <v>524</v>
      </c>
      <c r="L107" s="8">
        <v>4.3</v>
      </c>
      <c r="N107" s="8">
        <v>70</v>
      </c>
      <c r="O107" s="8">
        <v>3.5</v>
      </c>
      <c r="P107" s="8">
        <v>12</v>
      </c>
      <c r="Q107" s="8">
        <v>11</v>
      </c>
      <c r="R107" s="8">
        <v>0</v>
      </c>
    </row>
    <row r="108" spans="1:20" ht="42" customHeight="1" x14ac:dyDescent="0.3">
      <c r="B108" s="8">
        <v>300767</v>
      </c>
      <c r="C108" s="8" t="s">
        <v>823</v>
      </c>
      <c r="D108" s="8" t="s">
        <v>237</v>
      </c>
      <c r="E108" s="8">
        <v>20250617</v>
      </c>
      <c r="F108" s="8">
        <f t="shared" ref="F108:F117" si="4">E108</f>
        <v>20250617</v>
      </c>
      <c r="G108" s="8" t="s">
        <v>824</v>
      </c>
      <c r="H108" s="8">
        <v>0</v>
      </c>
      <c r="I108" s="8" t="s">
        <v>524</v>
      </c>
      <c r="L108" s="8">
        <v>6.1</v>
      </c>
      <c r="M108" s="333">
        <f>L108/0.1812</f>
        <v>33.664459161147903</v>
      </c>
      <c r="N108" s="8">
        <v>33</v>
      </c>
      <c r="O108" s="8">
        <v>4.0999999999999996</v>
      </c>
      <c r="P108" s="8">
        <v>24</v>
      </c>
      <c r="Q108" s="8">
        <v>16</v>
      </c>
      <c r="R108" s="8">
        <v>0</v>
      </c>
    </row>
    <row r="109" spans="1:20" ht="28" customHeight="1" x14ac:dyDescent="0.3">
      <c r="B109" s="8">
        <v>600360</v>
      </c>
      <c r="C109" s="8" t="s">
        <v>267</v>
      </c>
      <c r="D109" s="8" t="s">
        <v>534</v>
      </c>
      <c r="E109" s="8">
        <v>20250619</v>
      </c>
      <c r="F109" s="8">
        <f t="shared" si="4"/>
        <v>20250619</v>
      </c>
      <c r="G109" s="8" t="s">
        <v>825</v>
      </c>
      <c r="H109" s="8">
        <v>0</v>
      </c>
      <c r="I109" s="8" t="s">
        <v>665</v>
      </c>
      <c r="J109" s="8" t="s">
        <v>826</v>
      </c>
      <c r="L109" s="8">
        <v>16</v>
      </c>
      <c r="M109" s="333">
        <v>71</v>
      </c>
      <c r="N109" s="8">
        <v>71</v>
      </c>
      <c r="O109" s="8">
        <v>20</v>
      </c>
      <c r="P109" s="8">
        <v>64</v>
      </c>
      <c r="Q109" s="8">
        <v>33</v>
      </c>
      <c r="R109" s="8">
        <v>0</v>
      </c>
    </row>
    <row r="110" spans="1:20" ht="42" customHeight="1" x14ac:dyDescent="0.3">
      <c r="B110" s="8">
        <v>2361</v>
      </c>
      <c r="C110" s="8" t="s">
        <v>827</v>
      </c>
      <c r="D110" s="8" t="s">
        <v>534</v>
      </c>
      <c r="E110" s="8">
        <v>20250717</v>
      </c>
      <c r="F110" s="8">
        <f t="shared" si="4"/>
        <v>20250717</v>
      </c>
      <c r="G110" s="8" t="s">
        <v>828</v>
      </c>
      <c r="H110" s="8">
        <v>0</v>
      </c>
      <c r="I110" s="8" t="s">
        <v>524</v>
      </c>
      <c r="J110" s="8" t="s">
        <v>829</v>
      </c>
      <c r="L110" s="8">
        <v>4.0999999999999996</v>
      </c>
      <c r="M110" s="333">
        <v>50</v>
      </c>
      <c r="N110" s="8">
        <v>54</v>
      </c>
      <c r="O110" s="8">
        <v>24</v>
      </c>
      <c r="P110" s="8">
        <v>46</v>
      </c>
      <c r="Q110" s="8">
        <v>22</v>
      </c>
      <c r="R110" s="8">
        <v>0</v>
      </c>
    </row>
    <row r="111" spans="1:20" ht="42" customHeight="1" x14ac:dyDescent="0.3">
      <c r="B111" s="8">
        <v>300959</v>
      </c>
      <c r="C111" s="8" t="s">
        <v>830</v>
      </c>
      <c r="D111" s="8" t="s">
        <v>237</v>
      </c>
      <c r="E111" s="8">
        <v>20250908</v>
      </c>
      <c r="F111" s="8">
        <f t="shared" si="4"/>
        <v>20250908</v>
      </c>
      <c r="G111" s="8" t="s">
        <v>831</v>
      </c>
      <c r="H111" s="8">
        <v>0</v>
      </c>
      <c r="I111" s="8" t="s">
        <v>524</v>
      </c>
      <c r="L111" s="8">
        <v>4.5999999999999996</v>
      </c>
      <c r="M111" s="333">
        <v>35</v>
      </c>
      <c r="N111" s="8">
        <v>36</v>
      </c>
      <c r="O111" s="8">
        <v>11</v>
      </c>
      <c r="P111" s="8">
        <v>14</v>
      </c>
      <c r="Q111" s="8">
        <v>11</v>
      </c>
      <c r="R111" s="8">
        <v>0</v>
      </c>
    </row>
    <row r="112" spans="1:20" ht="28" customHeight="1" x14ac:dyDescent="0.3">
      <c r="B112" s="8">
        <v>2527</v>
      </c>
      <c r="C112" s="8" t="s">
        <v>832</v>
      </c>
      <c r="D112" s="8" t="s">
        <v>237</v>
      </c>
      <c r="E112" s="8">
        <v>20250625</v>
      </c>
      <c r="F112" s="8">
        <f t="shared" si="4"/>
        <v>20250625</v>
      </c>
      <c r="G112" s="8" t="s">
        <v>833</v>
      </c>
      <c r="H112" s="8">
        <v>0</v>
      </c>
      <c r="I112" s="8" t="s">
        <v>524</v>
      </c>
      <c r="L112" s="8">
        <v>13</v>
      </c>
      <c r="M112" s="333">
        <v>130</v>
      </c>
      <c r="N112" s="8">
        <v>92</v>
      </c>
      <c r="O112" s="8">
        <v>33</v>
      </c>
      <c r="P112" s="8">
        <v>39</v>
      </c>
      <c r="Q112" s="8">
        <v>12</v>
      </c>
      <c r="R112" s="8">
        <v>0</v>
      </c>
    </row>
    <row r="113" spans="2:18" ht="28" customHeight="1" x14ac:dyDescent="0.3">
      <c r="B113" s="8">
        <v>300635</v>
      </c>
      <c r="C113" s="8" t="s">
        <v>834</v>
      </c>
      <c r="D113" s="8" t="s">
        <v>237</v>
      </c>
      <c r="E113" s="8">
        <v>20250624</v>
      </c>
      <c r="F113" s="8">
        <f t="shared" si="4"/>
        <v>20250624</v>
      </c>
      <c r="G113" s="8" t="s">
        <v>835</v>
      </c>
      <c r="H113" s="8">
        <v>0</v>
      </c>
      <c r="I113" s="8" t="s">
        <v>665</v>
      </c>
      <c r="L113" s="8">
        <v>3.6</v>
      </c>
      <c r="N113" s="8">
        <v>15</v>
      </c>
      <c r="O113" s="8">
        <v>7</v>
      </c>
      <c r="P113" s="8">
        <v>14</v>
      </c>
      <c r="Q113" s="8">
        <v>5</v>
      </c>
      <c r="R113" s="8">
        <v>0</v>
      </c>
    </row>
    <row r="114" spans="2:18" ht="28" customHeight="1" x14ac:dyDescent="0.3">
      <c r="B114" s="8">
        <v>633</v>
      </c>
      <c r="C114" s="8" t="s">
        <v>836</v>
      </c>
      <c r="D114" s="8" t="s">
        <v>237</v>
      </c>
      <c r="E114" s="8">
        <v>20250806</v>
      </c>
      <c r="F114" s="8">
        <f t="shared" si="4"/>
        <v>20250806</v>
      </c>
      <c r="G114" s="8" t="s">
        <v>837</v>
      </c>
      <c r="H114" s="8">
        <v>0</v>
      </c>
      <c r="I114" s="8" t="s">
        <v>524</v>
      </c>
      <c r="L114" s="8">
        <v>6</v>
      </c>
      <c r="M114" s="333">
        <v>28.8</v>
      </c>
      <c r="N114" s="8">
        <v>23</v>
      </c>
      <c r="O114" s="8">
        <v>2.7</v>
      </c>
      <c r="P114" s="8">
        <v>5</v>
      </c>
      <c r="Q114" s="8">
        <v>2</v>
      </c>
      <c r="R114" s="8">
        <v>0</v>
      </c>
    </row>
    <row r="115" spans="2:18" ht="28" customHeight="1" x14ac:dyDescent="0.3">
      <c r="B115" s="8">
        <v>300720</v>
      </c>
      <c r="C115" s="8" t="s">
        <v>838</v>
      </c>
      <c r="D115" s="8" t="s">
        <v>237</v>
      </c>
      <c r="E115" s="8">
        <v>20250627</v>
      </c>
      <c r="F115" s="8">
        <f t="shared" si="4"/>
        <v>20250627</v>
      </c>
      <c r="G115" s="8" t="s">
        <v>839</v>
      </c>
      <c r="H115" s="8">
        <v>4</v>
      </c>
      <c r="I115" s="8" t="s">
        <v>524</v>
      </c>
      <c r="L115" s="8">
        <v>10</v>
      </c>
      <c r="M115" s="333">
        <v>33</v>
      </c>
      <c r="N115" s="8">
        <v>40</v>
      </c>
      <c r="O115" s="8">
        <v>2.2999999999999998</v>
      </c>
      <c r="P115" s="8">
        <v>6.4</v>
      </c>
      <c r="Q115" s="8">
        <v>6</v>
      </c>
      <c r="R115" s="8">
        <v>0</v>
      </c>
    </row>
    <row r="116" spans="2:18" ht="28" customHeight="1" x14ac:dyDescent="0.3">
      <c r="B116" s="8">
        <v>300478</v>
      </c>
      <c r="C116" s="8" t="s">
        <v>840</v>
      </c>
      <c r="D116" s="8" t="s">
        <v>237</v>
      </c>
      <c r="E116" s="8">
        <v>20250903</v>
      </c>
      <c r="F116" s="8">
        <f t="shared" si="4"/>
        <v>20250903</v>
      </c>
      <c r="G116" s="8" t="s">
        <v>841</v>
      </c>
      <c r="H116" s="8">
        <v>0</v>
      </c>
      <c r="I116" s="8" t="s">
        <v>524</v>
      </c>
      <c r="L116" s="8">
        <v>5</v>
      </c>
      <c r="M116" s="333">
        <v>26</v>
      </c>
      <c r="N116" s="8">
        <v>17</v>
      </c>
      <c r="O116" s="8">
        <v>3.8</v>
      </c>
      <c r="P116" s="8">
        <v>3.4</v>
      </c>
      <c r="Q116" s="8">
        <v>0.7</v>
      </c>
      <c r="R116" s="8">
        <v>0</v>
      </c>
    </row>
    <row r="117" spans="2:18" ht="42" customHeight="1" x14ac:dyDescent="0.3">
      <c r="B117" s="8">
        <v>688585</v>
      </c>
      <c r="C117" s="8" t="s">
        <v>842</v>
      </c>
      <c r="D117" s="8" t="s">
        <v>237</v>
      </c>
      <c r="E117" s="8">
        <v>20250913</v>
      </c>
      <c r="F117" s="8">
        <f t="shared" si="4"/>
        <v>20250913</v>
      </c>
      <c r="G117" s="8" t="s">
        <v>843</v>
      </c>
      <c r="H117" s="8">
        <v>0</v>
      </c>
      <c r="I117" s="8" t="s">
        <v>524</v>
      </c>
      <c r="L117" s="8">
        <v>21</v>
      </c>
      <c r="M117" s="333">
        <v>31</v>
      </c>
      <c r="N117" s="8">
        <v>31</v>
      </c>
      <c r="O117" s="8">
        <v>15</v>
      </c>
      <c r="P117" s="8">
        <v>20</v>
      </c>
      <c r="Q117" s="8">
        <v>12</v>
      </c>
      <c r="R117" s="8">
        <v>0</v>
      </c>
    </row>
    <row r="118" spans="2:18" ht="28" customHeight="1" x14ac:dyDescent="0.3">
      <c r="B118" s="8">
        <v>2765</v>
      </c>
      <c r="C118" s="8" t="s">
        <v>844</v>
      </c>
      <c r="D118" s="8" t="s">
        <v>237</v>
      </c>
      <c r="E118" s="8">
        <v>20250707</v>
      </c>
      <c r="F118" s="8">
        <v>20251124</v>
      </c>
      <c r="G118" s="8" t="s">
        <v>845</v>
      </c>
      <c r="H118" s="8">
        <v>0</v>
      </c>
      <c r="I118" s="8" t="s">
        <v>524</v>
      </c>
      <c r="L118" s="8">
        <v>13.5</v>
      </c>
      <c r="M118" s="333">
        <v>75</v>
      </c>
      <c r="N118" s="8">
        <v>83</v>
      </c>
      <c r="O118" s="8">
        <v>35</v>
      </c>
      <c r="P118" s="8">
        <v>55</v>
      </c>
      <c r="Q118" s="8">
        <v>25</v>
      </c>
      <c r="R118" s="8">
        <v>0</v>
      </c>
    </row>
    <row r="119" spans="2:18" ht="28" customHeight="1" x14ac:dyDescent="0.3">
      <c r="B119" s="8">
        <v>2898</v>
      </c>
      <c r="C119" s="8" t="s">
        <v>846</v>
      </c>
      <c r="D119" s="8" t="s">
        <v>237</v>
      </c>
      <c r="E119" s="8">
        <v>20250710</v>
      </c>
      <c r="F119" s="8">
        <f>E119</f>
        <v>20250710</v>
      </c>
      <c r="G119" s="8" t="s">
        <v>847</v>
      </c>
      <c r="H119" s="8">
        <v>0</v>
      </c>
      <c r="I119" s="8" t="s">
        <v>524</v>
      </c>
      <c r="L119" s="8">
        <v>2</v>
      </c>
      <c r="M119" s="333">
        <v>14</v>
      </c>
      <c r="N119" s="8">
        <v>14</v>
      </c>
      <c r="O119" s="8">
        <v>2.6</v>
      </c>
      <c r="P119" s="8">
        <v>8</v>
      </c>
      <c r="Q119" s="8">
        <v>5</v>
      </c>
      <c r="R119" s="8">
        <v>0</v>
      </c>
    </row>
    <row r="120" spans="2:18" ht="42" customHeight="1" x14ac:dyDescent="0.3">
      <c r="B120" s="8">
        <v>1212</v>
      </c>
      <c r="C120" s="8" t="s">
        <v>848</v>
      </c>
      <c r="D120" s="8" t="s">
        <v>237</v>
      </c>
      <c r="E120" s="8">
        <v>20250619</v>
      </c>
      <c r="F120" s="8">
        <f>E120</f>
        <v>20250619</v>
      </c>
      <c r="G120" s="8" t="s">
        <v>849</v>
      </c>
      <c r="H120" s="8">
        <v>4</v>
      </c>
      <c r="I120" s="8" t="s">
        <v>524</v>
      </c>
      <c r="L120" s="8">
        <v>8</v>
      </c>
      <c r="M120" s="333">
        <v>32</v>
      </c>
      <c r="N120" s="8">
        <v>40</v>
      </c>
      <c r="O120" s="8">
        <v>5</v>
      </c>
      <c r="P120" s="8">
        <v>23</v>
      </c>
      <c r="Q120" s="8">
        <v>17</v>
      </c>
      <c r="R120" s="8">
        <v>0</v>
      </c>
    </row>
    <row r="121" spans="2:18" ht="42" customHeight="1" x14ac:dyDescent="0.3">
      <c r="B121" s="8">
        <v>605389</v>
      </c>
      <c r="C121" s="8" t="s">
        <v>850</v>
      </c>
      <c r="D121" s="8" t="s">
        <v>237</v>
      </c>
      <c r="E121" s="8">
        <v>20250711</v>
      </c>
      <c r="F121" s="8">
        <f>E121</f>
        <v>20250711</v>
      </c>
      <c r="G121" s="8" t="s">
        <v>851</v>
      </c>
      <c r="H121" s="8">
        <v>0</v>
      </c>
      <c r="I121" s="8" t="s">
        <v>665</v>
      </c>
      <c r="L121" s="8">
        <v>18.399999999999999</v>
      </c>
      <c r="M121" s="333">
        <v>44</v>
      </c>
      <c r="N121" s="8">
        <v>54</v>
      </c>
      <c r="O121" s="8">
        <v>8.8000000000000007</v>
      </c>
      <c r="P121" s="8">
        <v>24</v>
      </c>
      <c r="Q121" s="8">
        <v>21</v>
      </c>
      <c r="R121" s="8">
        <v>0</v>
      </c>
    </row>
    <row r="122" spans="2:18" ht="42" customHeight="1" x14ac:dyDescent="0.3">
      <c r="B122" s="8">
        <v>300897</v>
      </c>
      <c r="C122" s="8" t="s">
        <v>852</v>
      </c>
      <c r="D122" s="8" t="s">
        <v>237</v>
      </c>
      <c r="E122" s="8">
        <v>20250709</v>
      </c>
      <c r="F122" s="8">
        <f>E122</f>
        <v>20250709</v>
      </c>
      <c r="G122" s="8" t="s">
        <v>853</v>
      </c>
      <c r="H122" s="8">
        <v>0</v>
      </c>
      <c r="I122" s="8" t="s">
        <v>665</v>
      </c>
      <c r="L122" s="8">
        <v>5.7</v>
      </c>
      <c r="M122" s="333">
        <f>L122/0.19</f>
        <v>30</v>
      </c>
      <c r="N122" s="8">
        <v>35</v>
      </c>
      <c r="O122" s="8">
        <v>6.6</v>
      </c>
      <c r="P122" s="8">
        <v>12</v>
      </c>
      <c r="Q122" s="8">
        <v>10</v>
      </c>
      <c r="R122" s="8">
        <v>0</v>
      </c>
    </row>
    <row r="123" spans="2:18" ht="42" customHeight="1" x14ac:dyDescent="0.3">
      <c r="B123" s="8">
        <v>301012</v>
      </c>
      <c r="C123" s="8" t="s">
        <v>854</v>
      </c>
      <c r="D123" s="8" t="s">
        <v>237</v>
      </c>
      <c r="E123" s="8">
        <v>20250714</v>
      </c>
      <c r="F123" s="8">
        <v>20251114</v>
      </c>
      <c r="G123" s="8" t="s">
        <v>855</v>
      </c>
      <c r="H123" s="8">
        <v>4</v>
      </c>
      <c r="I123" s="8" t="s">
        <v>524</v>
      </c>
      <c r="J123" s="8" t="s">
        <v>856</v>
      </c>
      <c r="L123" s="8">
        <v>4</v>
      </c>
      <c r="M123" s="333">
        <v>40</v>
      </c>
      <c r="N123" s="8">
        <v>38</v>
      </c>
      <c r="O123" s="8">
        <v>13</v>
      </c>
      <c r="P123" s="8">
        <v>16.5</v>
      </c>
      <c r="Q123" s="8">
        <v>11</v>
      </c>
      <c r="R123" s="8">
        <v>0</v>
      </c>
    </row>
    <row r="124" spans="2:18" ht="42" customHeight="1" x14ac:dyDescent="0.3">
      <c r="B124" s="8">
        <v>300841</v>
      </c>
      <c r="C124" s="8" t="s">
        <v>857</v>
      </c>
      <c r="D124" s="8" t="s">
        <v>237</v>
      </c>
      <c r="E124" s="8">
        <v>20250714</v>
      </c>
      <c r="F124" s="8">
        <v>20251107</v>
      </c>
      <c r="G124" s="8" t="s">
        <v>858</v>
      </c>
      <c r="H124" s="8">
        <v>0</v>
      </c>
      <c r="I124" s="8" t="s">
        <v>524</v>
      </c>
      <c r="L124" s="8">
        <v>18.510000000000002</v>
      </c>
      <c r="M124" s="333">
        <v>85</v>
      </c>
      <c r="N124" s="8">
        <v>95</v>
      </c>
      <c r="O124" s="8">
        <v>14.3</v>
      </c>
      <c r="P124" s="8">
        <v>38.799999999999997</v>
      </c>
      <c r="Q124" s="8">
        <v>35</v>
      </c>
      <c r="R124" s="8">
        <v>0</v>
      </c>
    </row>
    <row r="125" spans="2:18" ht="28" customHeight="1" x14ac:dyDescent="0.3">
      <c r="B125" s="8">
        <v>2778</v>
      </c>
      <c r="C125" s="8" t="s">
        <v>859</v>
      </c>
      <c r="D125" s="8" t="s">
        <v>237</v>
      </c>
      <c r="E125" s="8">
        <v>20250715</v>
      </c>
      <c r="F125" s="8">
        <v>20260409</v>
      </c>
      <c r="G125" s="8" t="s">
        <v>860</v>
      </c>
      <c r="H125" s="8">
        <v>0</v>
      </c>
      <c r="I125" s="8" t="s">
        <v>524</v>
      </c>
      <c r="M125" s="333">
        <v>25</v>
      </c>
      <c r="N125" s="8">
        <v>23</v>
      </c>
      <c r="O125" s="8">
        <v>4.9000000000000004</v>
      </c>
      <c r="P125" s="8">
        <v>9.6</v>
      </c>
      <c r="Q125" s="8">
        <v>3.8</v>
      </c>
      <c r="R125" s="8">
        <v>0</v>
      </c>
    </row>
    <row r="126" spans="2:18" ht="28" customHeight="1" x14ac:dyDescent="0.3">
      <c r="B126" s="8">
        <v>600193</v>
      </c>
      <c r="C126" s="8" t="s">
        <v>612</v>
      </c>
      <c r="D126" s="8" t="s">
        <v>237</v>
      </c>
      <c r="E126" s="8">
        <v>20250716</v>
      </c>
      <c r="F126" s="8">
        <f>E126</f>
        <v>20250716</v>
      </c>
      <c r="G126" s="8" t="s">
        <v>861</v>
      </c>
      <c r="H126" s="8">
        <v>0</v>
      </c>
      <c r="I126" s="8" t="s">
        <v>524</v>
      </c>
      <c r="J126" s="8" t="s">
        <v>862</v>
      </c>
      <c r="L126" s="8">
        <v>2.4</v>
      </c>
      <c r="M126" s="333">
        <f>L126/0.15</f>
        <v>16</v>
      </c>
      <c r="N126" s="8">
        <v>16</v>
      </c>
      <c r="O126" s="8">
        <v>0.8</v>
      </c>
      <c r="P126" s="8">
        <v>5.4</v>
      </c>
      <c r="Q126" s="8">
        <v>1</v>
      </c>
      <c r="R126" s="8">
        <v>0</v>
      </c>
    </row>
    <row r="127" spans="2:18" ht="42" customHeight="1" x14ac:dyDescent="0.3">
      <c r="B127" s="8">
        <v>300329</v>
      </c>
      <c r="C127" s="8" t="s">
        <v>863</v>
      </c>
      <c r="D127" s="8" t="s">
        <v>237</v>
      </c>
      <c r="E127" s="8">
        <v>20250717</v>
      </c>
      <c r="F127" s="8">
        <v>20251219</v>
      </c>
      <c r="G127" s="8" t="s">
        <v>864</v>
      </c>
      <c r="H127" s="8">
        <v>3</v>
      </c>
      <c r="I127" s="8" t="s">
        <v>524</v>
      </c>
      <c r="J127" s="8" t="s">
        <v>865</v>
      </c>
      <c r="L127" s="8">
        <v>5.4</v>
      </c>
      <c r="M127" s="333">
        <f>L127/0.2383</f>
        <v>22.660511959714647</v>
      </c>
      <c r="N127" s="8">
        <v>25</v>
      </c>
      <c r="O127" s="8">
        <v>1.6</v>
      </c>
      <c r="P127" s="8">
        <v>11</v>
      </c>
      <c r="Q127" s="8">
        <v>7</v>
      </c>
      <c r="R127" s="8">
        <v>0</v>
      </c>
    </row>
    <row r="128" spans="2:18" ht="56" customHeight="1" x14ac:dyDescent="0.3">
      <c r="B128" s="8">
        <v>300588</v>
      </c>
      <c r="C128" s="8" t="s">
        <v>866</v>
      </c>
      <c r="D128" s="8" t="s">
        <v>237</v>
      </c>
      <c r="E128" s="8">
        <v>20250720</v>
      </c>
      <c r="F128" s="8">
        <f>E128</f>
        <v>20250720</v>
      </c>
      <c r="G128" s="8" t="s">
        <v>867</v>
      </c>
      <c r="H128" s="8">
        <v>0</v>
      </c>
      <c r="I128" s="8" t="s">
        <v>665</v>
      </c>
      <c r="J128" s="8" t="s">
        <v>868</v>
      </c>
      <c r="L128" s="8">
        <v>6.4</v>
      </c>
      <c r="M128" s="333">
        <f>L128/0.19</f>
        <v>33.684210526315788</v>
      </c>
      <c r="N128" s="8">
        <v>36</v>
      </c>
      <c r="O128" s="8">
        <v>1.6</v>
      </c>
      <c r="P128" s="8">
        <v>7.2</v>
      </c>
      <c r="Q128" s="8">
        <v>3.2</v>
      </c>
      <c r="R128" s="8">
        <v>0</v>
      </c>
    </row>
    <row r="129" spans="2:18" ht="56" customHeight="1" x14ac:dyDescent="0.3">
      <c r="B129" s="8">
        <v>2176</v>
      </c>
      <c r="C129" s="8" t="s">
        <v>869</v>
      </c>
      <c r="D129" s="8" t="s">
        <v>237</v>
      </c>
      <c r="E129" s="8">
        <v>20250813</v>
      </c>
      <c r="F129" s="8">
        <f>E129</f>
        <v>20250813</v>
      </c>
      <c r="G129" s="8" t="s">
        <v>870</v>
      </c>
      <c r="H129" s="8">
        <v>0</v>
      </c>
      <c r="I129" s="8" t="s">
        <v>524</v>
      </c>
      <c r="L129" s="8">
        <v>3.15</v>
      </c>
      <c r="M129" s="333">
        <f>L129/0.04</f>
        <v>78.75</v>
      </c>
      <c r="N129" s="8">
        <v>132</v>
      </c>
      <c r="O129" s="8">
        <v>21</v>
      </c>
      <c r="P129" s="8">
        <v>65</v>
      </c>
      <c r="Q129" s="8">
        <v>34</v>
      </c>
      <c r="R129" s="8">
        <v>0</v>
      </c>
    </row>
    <row r="130" spans="2:18" ht="28" customHeight="1" x14ac:dyDescent="0.3">
      <c r="B130" s="8">
        <v>2090</v>
      </c>
      <c r="C130" s="8" t="s">
        <v>871</v>
      </c>
      <c r="D130" s="8" t="s">
        <v>237</v>
      </c>
      <c r="E130" s="8">
        <v>20250721</v>
      </c>
      <c r="F130" s="8">
        <v>20251020</v>
      </c>
      <c r="G130" s="8" t="s">
        <v>872</v>
      </c>
      <c r="H130" s="8">
        <v>0</v>
      </c>
      <c r="I130" s="8" t="s">
        <v>524</v>
      </c>
      <c r="L130" s="8">
        <v>7</v>
      </c>
      <c r="M130" s="333">
        <f>L130/0.16</f>
        <v>43.75</v>
      </c>
      <c r="N130" s="8">
        <v>44</v>
      </c>
      <c r="O130" s="8">
        <v>17</v>
      </c>
      <c r="P130" s="8">
        <v>30</v>
      </c>
      <c r="Q130" s="8">
        <v>15</v>
      </c>
      <c r="R130" s="8">
        <v>0</v>
      </c>
    </row>
    <row r="131" spans="2:18" ht="42" customHeight="1" x14ac:dyDescent="0.3">
      <c r="B131" s="8">
        <v>603719</v>
      </c>
      <c r="C131" s="8" t="s">
        <v>873</v>
      </c>
      <c r="D131" s="8" t="s">
        <v>237</v>
      </c>
      <c r="E131" s="8">
        <v>20250718</v>
      </c>
      <c r="F131" s="8">
        <f>E131</f>
        <v>20250718</v>
      </c>
      <c r="G131" s="8" t="s">
        <v>874</v>
      </c>
      <c r="H131" s="8">
        <v>0</v>
      </c>
      <c r="I131" s="8" t="s">
        <v>590</v>
      </c>
      <c r="J131" s="8" t="s">
        <v>875</v>
      </c>
      <c r="L131" s="8">
        <v>14.8</v>
      </c>
      <c r="M131" s="333">
        <f>L131/30%</f>
        <v>49.333333333333336</v>
      </c>
      <c r="N131" s="8">
        <v>54</v>
      </c>
      <c r="O131" s="8">
        <v>72</v>
      </c>
      <c r="P131" s="8">
        <v>39</v>
      </c>
      <c r="Q131" s="8">
        <v>22</v>
      </c>
      <c r="R131" s="8">
        <v>0</v>
      </c>
    </row>
    <row r="132" spans="2:18" ht="42" customHeight="1" x14ac:dyDescent="0.3">
      <c r="B132" s="8">
        <v>2725</v>
      </c>
      <c r="C132" s="8" t="s">
        <v>876</v>
      </c>
      <c r="D132" s="8" t="s">
        <v>237</v>
      </c>
      <c r="E132" s="8">
        <v>20250722</v>
      </c>
      <c r="F132" s="8">
        <f>E132</f>
        <v>20250722</v>
      </c>
      <c r="G132" s="8" t="s">
        <v>877</v>
      </c>
      <c r="H132" s="8">
        <v>4</v>
      </c>
      <c r="I132" s="8" t="s">
        <v>524</v>
      </c>
      <c r="J132" s="8" t="s">
        <v>878</v>
      </c>
      <c r="L132" s="8">
        <v>7.6</v>
      </c>
      <c r="M132" s="333">
        <f>L132/0.245</f>
        <v>31.020408163265305</v>
      </c>
      <c r="N132" s="8">
        <v>32</v>
      </c>
      <c r="O132" s="8">
        <v>7</v>
      </c>
      <c r="P132" s="8">
        <v>13</v>
      </c>
      <c r="Q132" s="8">
        <v>10</v>
      </c>
      <c r="R132" s="8">
        <v>0</v>
      </c>
    </row>
    <row r="133" spans="2:18" x14ac:dyDescent="0.3">
      <c r="B133" s="8">
        <v>605178</v>
      </c>
      <c r="C133" s="8" t="s">
        <v>879</v>
      </c>
      <c r="D133" s="8" t="s">
        <v>237</v>
      </c>
      <c r="E133" s="8">
        <v>20250723</v>
      </c>
      <c r="F133" s="8">
        <f>E133</f>
        <v>20250723</v>
      </c>
      <c r="H133" s="8">
        <v>0</v>
      </c>
      <c r="I133" s="8" t="s">
        <v>590</v>
      </c>
      <c r="N133" s="8">
        <v>27</v>
      </c>
      <c r="O133" s="8">
        <v>3.4</v>
      </c>
      <c r="P133" s="8">
        <v>18</v>
      </c>
      <c r="Q133" s="8">
        <v>13</v>
      </c>
      <c r="R133" s="8">
        <v>0</v>
      </c>
    </row>
    <row r="134" spans="2:18" ht="42" customHeight="1" x14ac:dyDescent="0.3">
      <c r="B134" s="8">
        <v>300264</v>
      </c>
      <c r="C134" s="8" t="s">
        <v>880</v>
      </c>
      <c r="D134" s="8" t="s">
        <v>237</v>
      </c>
      <c r="E134" s="8">
        <v>20250804</v>
      </c>
      <c r="F134" s="8">
        <f>E134</f>
        <v>20250804</v>
      </c>
      <c r="G134" s="8" t="s">
        <v>881</v>
      </c>
      <c r="H134" s="8">
        <v>0</v>
      </c>
      <c r="I134" s="8" t="s">
        <v>590</v>
      </c>
      <c r="N134" s="8">
        <v>30</v>
      </c>
      <c r="O134" s="8">
        <v>1.5</v>
      </c>
      <c r="P134" s="8">
        <v>2.2000000000000002</v>
      </c>
      <c r="Q134" s="8">
        <v>0.3</v>
      </c>
      <c r="R134" s="8">
        <v>0</v>
      </c>
    </row>
    <row r="135" spans="2:18" ht="28" customHeight="1" x14ac:dyDescent="0.3">
      <c r="B135" s="8">
        <v>953</v>
      </c>
      <c r="C135" s="8" t="s">
        <v>882</v>
      </c>
      <c r="D135" s="8" t="s">
        <v>237</v>
      </c>
      <c r="E135" s="8">
        <v>20250804</v>
      </c>
      <c r="F135" s="8">
        <v>20251220</v>
      </c>
      <c r="G135" s="8" t="s">
        <v>883</v>
      </c>
      <c r="H135" s="8">
        <v>0</v>
      </c>
      <c r="I135" s="8" t="s">
        <v>524</v>
      </c>
      <c r="L135" s="8">
        <v>7</v>
      </c>
      <c r="M135" s="333">
        <f>L135/0.2376</f>
        <v>29.46127946127946</v>
      </c>
      <c r="N135" s="8">
        <v>29</v>
      </c>
      <c r="O135" s="8">
        <v>2.1</v>
      </c>
      <c r="P135" s="8">
        <v>2.8</v>
      </c>
      <c r="Q135" s="8">
        <v>1.7</v>
      </c>
      <c r="R135" s="8">
        <v>0</v>
      </c>
    </row>
    <row r="136" spans="2:18" ht="56" customHeight="1" x14ac:dyDescent="0.3">
      <c r="B136" s="8">
        <v>716</v>
      </c>
      <c r="C136" s="8" t="s">
        <v>884</v>
      </c>
      <c r="D136" s="8" t="s">
        <v>534</v>
      </c>
      <c r="E136" s="8">
        <v>20250801</v>
      </c>
      <c r="F136" s="8">
        <v>20260105</v>
      </c>
      <c r="G136" s="8" t="s">
        <v>885</v>
      </c>
      <c r="H136" s="8">
        <v>0</v>
      </c>
      <c r="I136" s="8" t="s">
        <v>524</v>
      </c>
      <c r="L136" s="8">
        <v>9.4</v>
      </c>
      <c r="M136" s="333">
        <f>L136/0.2</f>
        <v>47</v>
      </c>
      <c r="N136" s="8">
        <v>49</v>
      </c>
      <c r="O136" s="8">
        <v>24.6</v>
      </c>
      <c r="P136" s="8">
        <v>44.7</v>
      </c>
      <c r="Q136" s="8">
        <v>30</v>
      </c>
      <c r="R136" s="8">
        <v>0</v>
      </c>
    </row>
    <row r="137" spans="2:18" ht="42" customHeight="1" x14ac:dyDescent="0.3">
      <c r="B137" s="8">
        <v>300572</v>
      </c>
      <c r="C137" s="8" t="s">
        <v>886</v>
      </c>
      <c r="D137" s="8" t="s">
        <v>237</v>
      </c>
      <c r="E137" s="8">
        <v>20250801</v>
      </c>
      <c r="F137" s="8">
        <v>20251106</v>
      </c>
      <c r="G137" s="8" t="s">
        <v>887</v>
      </c>
      <c r="H137" s="8">
        <v>0</v>
      </c>
      <c r="I137" s="8" t="s">
        <v>524</v>
      </c>
      <c r="J137" s="8" t="s">
        <v>888</v>
      </c>
      <c r="L137" s="8">
        <v>3.2</v>
      </c>
      <c r="M137" s="333">
        <f>L137/0.0643</f>
        <v>49.766718506998451</v>
      </c>
      <c r="N137" s="8">
        <v>60</v>
      </c>
      <c r="O137" s="8">
        <v>4.5</v>
      </c>
      <c r="P137" s="8">
        <v>25</v>
      </c>
      <c r="Q137" s="8">
        <v>18</v>
      </c>
      <c r="R137" s="8">
        <v>0</v>
      </c>
    </row>
    <row r="138" spans="2:18" ht="42" customHeight="1" x14ac:dyDescent="0.3">
      <c r="B138" s="8">
        <v>2795</v>
      </c>
      <c r="C138" s="8" t="s">
        <v>889</v>
      </c>
      <c r="D138" s="8" t="s">
        <v>237</v>
      </c>
      <c r="E138" s="8">
        <v>20250805</v>
      </c>
      <c r="F138" s="8">
        <f>E138</f>
        <v>20250805</v>
      </c>
      <c r="G138" s="8" t="s">
        <v>890</v>
      </c>
      <c r="H138" s="8">
        <v>0</v>
      </c>
      <c r="I138" s="8" t="s">
        <v>590</v>
      </c>
      <c r="J138" s="8" t="s">
        <v>891</v>
      </c>
      <c r="L138" s="8">
        <v>3.2</v>
      </c>
      <c r="M138" s="333">
        <f>L138/0.08</f>
        <v>40</v>
      </c>
      <c r="N138" s="8">
        <v>27</v>
      </c>
      <c r="O138" s="8">
        <v>8.1999999999999993</v>
      </c>
      <c r="P138" s="8">
        <v>15.3</v>
      </c>
      <c r="Q138" s="8">
        <v>4</v>
      </c>
      <c r="R138" s="8">
        <v>0</v>
      </c>
    </row>
    <row r="139" spans="2:18" ht="28" customHeight="1" x14ac:dyDescent="0.3">
      <c r="B139" s="8">
        <v>600421</v>
      </c>
      <c r="C139" s="8" t="s">
        <v>892</v>
      </c>
      <c r="D139" s="8" t="s">
        <v>237</v>
      </c>
      <c r="E139" s="8">
        <v>20250812</v>
      </c>
      <c r="F139" s="8">
        <f>E139</f>
        <v>20250812</v>
      </c>
      <c r="G139" s="8" t="s">
        <v>893</v>
      </c>
      <c r="H139" s="8">
        <v>0</v>
      </c>
      <c r="I139" s="8" t="s">
        <v>590</v>
      </c>
      <c r="J139" s="8" t="s">
        <v>894</v>
      </c>
      <c r="L139" s="8">
        <v>4.5</v>
      </c>
      <c r="M139" s="333">
        <f>L139/0.25</f>
        <v>18</v>
      </c>
      <c r="N139" s="8">
        <v>12.56</v>
      </c>
      <c r="O139" s="8">
        <v>1.17</v>
      </c>
      <c r="P139" s="8">
        <v>1.5</v>
      </c>
      <c r="Q139" s="8">
        <v>0.35</v>
      </c>
      <c r="R139" s="8">
        <v>0</v>
      </c>
    </row>
    <row r="140" spans="2:18" ht="28" customHeight="1" x14ac:dyDescent="0.3">
      <c r="B140" s="8">
        <v>300828</v>
      </c>
      <c r="C140" s="8" t="s">
        <v>895</v>
      </c>
      <c r="D140" s="8" t="s">
        <v>534</v>
      </c>
      <c r="E140" s="8">
        <v>20250813</v>
      </c>
      <c r="F140" s="8">
        <f>E140</f>
        <v>20250813</v>
      </c>
      <c r="G140" s="8" t="s">
        <v>896</v>
      </c>
      <c r="H140" s="8">
        <v>0</v>
      </c>
      <c r="I140" s="8" t="s">
        <v>524</v>
      </c>
      <c r="L140" s="8">
        <v>7.2</v>
      </c>
      <c r="M140" s="333">
        <f>L140/0.2422</f>
        <v>29.727497935590421</v>
      </c>
      <c r="N140" s="8">
        <v>29</v>
      </c>
      <c r="O140" s="8">
        <v>6.2</v>
      </c>
      <c r="P140" s="8">
        <v>8.4</v>
      </c>
      <c r="Q140" s="8">
        <v>7.4</v>
      </c>
      <c r="R140" s="8">
        <v>0</v>
      </c>
    </row>
    <row r="141" spans="2:18" ht="42" customHeight="1" x14ac:dyDescent="0.3">
      <c r="B141" s="8">
        <v>605255</v>
      </c>
      <c r="C141" s="8" t="s">
        <v>897</v>
      </c>
      <c r="D141" s="8" t="s">
        <v>237</v>
      </c>
      <c r="E141" s="8">
        <v>20250814</v>
      </c>
      <c r="F141" s="8">
        <v>20251104</v>
      </c>
      <c r="G141" s="8" t="s">
        <v>898</v>
      </c>
      <c r="H141" s="8">
        <v>5</v>
      </c>
      <c r="I141" s="8" t="s">
        <v>524</v>
      </c>
      <c r="J141" s="8" t="s">
        <v>899</v>
      </c>
      <c r="L141" s="8">
        <v>3.4</v>
      </c>
      <c r="M141" s="333">
        <f>L141/0.1075</f>
        <v>31.627906976744185</v>
      </c>
      <c r="N141" s="8">
        <v>35</v>
      </c>
      <c r="O141" s="8">
        <v>3.4</v>
      </c>
      <c r="P141" s="8">
        <v>8.6999999999999993</v>
      </c>
      <c r="Q141" s="8">
        <v>8</v>
      </c>
      <c r="R141" s="8">
        <v>0</v>
      </c>
    </row>
    <row r="142" spans="2:18" ht="56" customHeight="1" x14ac:dyDescent="0.3">
      <c r="B142" s="8">
        <v>603161</v>
      </c>
      <c r="C142" s="8" t="s">
        <v>900</v>
      </c>
      <c r="E142" s="8">
        <v>20250930</v>
      </c>
      <c r="F142" s="8">
        <f>E142</f>
        <v>20250930</v>
      </c>
      <c r="G142" s="8" t="s">
        <v>901</v>
      </c>
      <c r="H142" s="8">
        <v>0</v>
      </c>
      <c r="I142" s="8" t="s">
        <v>524</v>
      </c>
      <c r="J142" s="8" t="s">
        <v>902</v>
      </c>
      <c r="L142" s="8">
        <v>5.2</v>
      </c>
      <c r="M142" s="333">
        <f>L142/0.1964</f>
        <v>26.476578411405299</v>
      </c>
      <c r="N142" s="8">
        <v>29</v>
      </c>
      <c r="O142" s="8">
        <v>24</v>
      </c>
      <c r="P142" s="8">
        <v>30</v>
      </c>
      <c r="Q142" s="8">
        <v>17</v>
      </c>
      <c r="R142" s="8">
        <v>0</v>
      </c>
    </row>
    <row r="143" spans="2:18" ht="70" customHeight="1" x14ac:dyDescent="0.3">
      <c r="B143" s="8">
        <v>300290</v>
      </c>
      <c r="C143" s="8" t="s">
        <v>903</v>
      </c>
      <c r="D143" s="8" t="s">
        <v>534</v>
      </c>
      <c r="E143" s="8">
        <v>20211129</v>
      </c>
      <c r="F143" s="8">
        <f>E143</f>
        <v>20211129</v>
      </c>
      <c r="G143" s="8" t="s">
        <v>904</v>
      </c>
      <c r="H143" s="8">
        <v>4</v>
      </c>
      <c r="I143" s="8" t="s">
        <v>524</v>
      </c>
      <c r="J143" s="8" t="s">
        <v>905</v>
      </c>
      <c r="L143" s="8">
        <v>8.5</v>
      </c>
      <c r="M143" s="333">
        <f>L143/0.2002</f>
        <v>42.457542457542459</v>
      </c>
      <c r="N143" s="8">
        <v>43</v>
      </c>
    </row>
    <row r="144" spans="2:18" ht="56" customHeight="1" x14ac:dyDescent="0.3">
      <c r="B144" s="8">
        <v>300665</v>
      </c>
      <c r="C144" s="8" t="s">
        <v>906</v>
      </c>
      <c r="E144" s="8">
        <v>20260622</v>
      </c>
      <c r="F144" s="8">
        <v>20260723</v>
      </c>
      <c r="G144" s="8" t="s">
        <v>907</v>
      </c>
      <c r="H144" s="8">
        <v>0</v>
      </c>
      <c r="I144" s="8" t="s">
        <v>524</v>
      </c>
      <c r="J144" s="8" t="s">
        <v>908</v>
      </c>
      <c r="L144" s="8">
        <v>3.1</v>
      </c>
      <c r="M144" s="333">
        <f>L144/0.1</f>
        <v>31</v>
      </c>
      <c r="N144" s="8">
        <v>28</v>
      </c>
      <c r="O144" s="8">
        <v>5</v>
      </c>
      <c r="P144" s="8">
        <v>17</v>
      </c>
      <c r="Q144" s="8">
        <v>4</v>
      </c>
      <c r="R144" s="8">
        <v>0</v>
      </c>
    </row>
    <row r="145" spans="2:18" ht="28" customHeight="1" x14ac:dyDescent="0.3">
      <c r="B145" s="8">
        <v>300103</v>
      </c>
      <c r="C145" s="8" t="s">
        <v>909</v>
      </c>
      <c r="D145" s="8" t="s">
        <v>237</v>
      </c>
      <c r="E145" s="8">
        <v>20250823</v>
      </c>
      <c r="F145" s="8">
        <f>E145</f>
        <v>20250823</v>
      </c>
      <c r="G145" s="8" t="s">
        <v>910</v>
      </c>
      <c r="H145" s="8">
        <v>0</v>
      </c>
      <c r="I145" s="8" t="s">
        <v>524</v>
      </c>
      <c r="N145" s="8">
        <v>25</v>
      </c>
    </row>
    <row r="146" spans="2:18" ht="28" customHeight="1" x14ac:dyDescent="0.3">
      <c r="B146" s="8">
        <v>2516</v>
      </c>
      <c r="C146" s="8" t="s">
        <v>911</v>
      </c>
      <c r="D146" s="8" t="s">
        <v>534</v>
      </c>
      <c r="E146" s="8">
        <v>20250901</v>
      </c>
      <c r="F146" s="8">
        <v>20251220</v>
      </c>
      <c r="G146" s="8" t="s">
        <v>912</v>
      </c>
      <c r="H146" s="8">
        <v>0</v>
      </c>
      <c r="I146" s="8" t="s">
        <v>524</v>
      </c>
      <c r="L146" s="8">
        <v>22.2</v>
      </c>
      <c r="M146" s="333">
        <f>L146/0.28</f>
        <v>79.285714285714278</v>
      </c>
      <c r="N146" s="8">
        <v>84</v>
      </c>
      <c r="O146" s="8">
        <v>31</v>
      </c>
      <c r="P146" s="8">
        <v>44</v>
      </c>
      <c r="Q146" s="8">
        <v>36</v>
      </c>
      <c r="R146" s="8">
        <v>0</v>
      </c>
    </row>
    <row r="147" spans="2:18" ht="42" customHeight="1" x14ac:dyDescent="0.3">
      <c r="B147" s="8">
        <v>300313</v>
      </c>
      <c r="C147" s="8" t="s">
        <v>913</v>
      </c>
      <c r="D147" s="8" t="s">
        <v>237</v>
      </c>
      <c r="E147" s="8">
        <v>20250901</v>
      </c>
      <c r="F147" s="8">
        <f>E147</f>
        <v>20250901</v>
      </c>
      <c r="G147" s="8" t="s">
        <v>914</v>
      </c>
      <c r="H147" s="8">
        <v>0</v>
      </c>
      <c r="I147" s="8" t="s">
        <v>665</v>
      </c>
      <c r="J147" s="8" t="s">
        <v>915</v>
      </c>
      <c r="L147" s="8">
        <v>2.6</v>
      </c>
      <c r="M147" s="333">
        <f>L147/0.1721</f>
        <v>15.107495642068566</v>
      </c>
      <c r="N147" s="8">
        <v>27</v>
      </c>
      <c r="O147" s="8">
        <v>1.3</v>
      </c>
      <c r="P147" s="8">
        <v>2.4</v>
      </c>
      <c r="Q147" s="8">
        <v>-0.1</v>
      </c>
      <c r="R147" s="8">
        <v>0</v>
      </c>
    </row>
    <row r="148" spans="2:18" ht="56" customHeight="1" x14ac:dyDescent="0.3">
      <c r="B148">
        <v>300716</v>
      </c>
      <c r="C148" t="s">
        <v>916</v>
      </c>
      <c r="D148" s="8" t="s">
        <v>237</v>
      </c>
      <c r="E148" s="8">
        <v>20230118</v>
      </c>
      <c r="F148" s="8">
        <f>E148</f>
        <v>20230118</v>
      </c>
      <c r="G148" s="8" t="s">
        <v>917</v>
      </c>
      <c r="H148" s="8">
        <v>1</v>
      </c>
      <c r="I148" s="8" t="s">
        <v>524</v>
      </c>
      <c r="J148" s="8" t="s">
        <v>918</v>
      </c>
      <c r="L148" s="8">
        <v>1.9</v>
      </c>
      <c r="M148" s="333">
        <v>19</v>
      </c>
    </row>
    <row r="149" spans="2:18" ht="28" customHeight="1" x14ac:dyDescent="0.3">
      <c r="B149" s="8">
        <v>30419</v>
      </c>
      <c r="C149" s="8" t="s">
        <v>919</v>
      </c>
      <c r="D149" s="8" t="s">
        <v>237</v>
      </c>
      <c r="E149" s="8">
        <v>20250910</v>
      </c>
      <c r="F149" s="8">
        <f>E149</f>
        <v>20250910</v>
      </c>
      <c r="G149" s="8" t="s">
        <v>920</v>
      </c>
      <c r="H149" s="8">
        <v>0</v>
      </c>
      <c r="I149" s="8" t="s">
        <v>665</v>
      </c>
      <c r="L149" s="8">
        <v>3.3</v>
      </c>
      <c r="M149" s="333">
        <f>L149/0.15</f>
        <v>22</v>
      </c>
      <c r="N149" s="8">
        <v>27</v>
      </c>
    </row>
    <row r="150" spans="2:18" ht="42" customHeight="1" x14ac:dyDescent="0.3">
      <c r="B150" s="8">
        <v>2172</v>
      </c>
      <c r="C150" s="8" t="s">
        <v>921</v>
      </c>
      <c r="D150" s="8" t="s">
        <v>237</v>
      </c>
      <c r="E150" s="8">
        <v>20250910</v>
      </c>
      <c r="F150" s="8">
        <v>20251107</v>
      </c>
      <c r="G150" s="8" t="s">
        <v>922</v>
      </c>
      <c r="H150" s="8">
        <v>0</v>
      </c>
      <c r="I150" s="8" t="s">
        <v>524</v>
      </c>
      <c r="L150" s="8">
        <v>5.9</v>
      </c>
      <c r="M150" s="333">
        <f>L150/0.2</f>
        <v>29.5</v>
      </c>
      <c r="N150" s="8">
        <v>33</v>
      </c>
    </row>
    <row r="151" spans="2:18" ht="28" customHeight="1" x14ac:dyDescent="0.3">
      <c r="B151" s="8">
        <v>300420</v>
      </c>
      <c r="C151" s="8" t="s">
        <v>923</v>
      </c>
      <c r="D151" s="8" t="s">
        <v>237</v>
      </c>
      <c r="E151" s="8">
        <v>20250910</v>
      </c>
      <c r="F151" s="8">
        <v>20251203</v>
      </c>
      <c r="G151" s="8" t="s">
        <v>924</v>
      </c>
      <c r="H151" s="8">
        <v>0</v>
      </c>
      <c r="I151" s="8" t="s">
        <v>524</v>
      </c>
      <c r="J151" s="8" t="s">
        <v>925</v>
      </c>
      <c r="L151" s="8">
        <v>6.75</v>
      </c>
      <c r="M151" s="333">
        <f>L151/0.15</f>
        <v>45</v>
      </c>
      <c r="N151" s="8">
        <v>46</v>
      </c>
    </row>
    <row r="152" spans="2:18" ht="42" customHeight="1" x14ac:dyDescent="0.3">
      <c r="B152" s="8">
        <v>688109</v>
      </c>
      <c r="C152" s="8" t="s">
        <v>926</v>
      </c>
      <c r="D152" s="8" t="s">
        <v>237</v>
      </c>
      <c r="E152" s="8">
        <v>20250917</v>
      </c>
      <c r="F152" s="8">
        <f>E152</f>
        <v>20250917</v>
      </c>
      <c r="G152" s="8" t="s">
        <v>927</v>
      </c>
      <c r="H152" s="8">
        <v>0</v>
      </c>
      <c r="I152" s="8" t="s">
        <v>665</v>
      </c>
      <c r="J152" s="8" t="s">
        <v>928</v>
      </c>
      <c r="L152" s="8">
        <v>4.95</v>
      </c>
      <c r="M152" s="333">
        <f>L152/0.1592</f>
        <v>31.092964824120603</v>
      </c>
      <c r="N152" s="8">
        <v>39</v>
      </c>
      <c r="O152" s="8">
        <v>4.4000000000000004</v>
      </c>
      <c r="P152" s="8">
        <v>9</v>
      </c>
      <c r="Q152" s="8">
        <v>7.7</v>
      </c>
    </row>
    <row r="153" spans="2:18" x14ac:dyDescent="0.3">
      <c r="B153" s="8">
        <v>301040</v>
      </c>
      <c r="C153" s="8" t="s">
        <v>929</v>
      </c>
      <c r="D153" s="8" t="s">
        <v>237</v>
      </c>
      <c r="F153" s="8">
        <f>E153</f>
        <v>0</v>
      </c>
      <c r="H153" s="8">
        <v>0</v>
      </c>
      <c r="I153" s="8" t="s">
        <v>590</v>
      </c>
    </row>
    <row r="154" spans="2:18" ht="56" customHeight="1" x14ac:dyDescent="0.3">
      <c r="B154" s="8">
        <v>2656</v>
      </c>
      <c r="C154" s="8" t="s">
        <v>930</v>
      </c>
      <c r="D154" s="8" t="s">
        <v>237</v>
      </c>
      <c r="E154" s="8">
        <v>20250205</v>
      </c>
      <c r="F154" s="8">
        <f>E154</f>
        <v>20250205</v>
      </c>
      <c r="G154" s="8" t="s">
        <v>931</v>
      </c>
      <c r="H154" s="8">
        <v>1</v>
      </c>
      <c r="I154" s="8" t="s">
        <v>524</v>
      </c>
      <c r="J154" s="8" t="s">
        <v>932</v>
      </c>
      <c r="L154" s="8">
        <v>2.4</v>
      </c>
      <c r="M154" s="333">
        <v>24</v>
      </c>
      <c r="N154" s="8">
        <v>14</v>
      </c>
    </row>
    <row r="155" spans="2:18" ht="28" customHeight="1" x14ac:dyDescent="0.3">
      <c r="B155" s="8">
        <v>2559</v>
      </c>
      <c r="C155" s="8" t="s">
        <v>933</v>
      </c>
      <c r="D155" s="8" t="s">
        <v>534</v>
      </c>
      <c r="E155" s="8">
        <v>20250120</v>
      </c>
      <c r="F155" s="8">
        <f>E155</f>
        <v>20250120</v>
      </c>
      <c r="G155" s="8" t="s">
        <v>934</v>
      </c>
      <c r="J155" s="8" t="s">
        <v>935</v>
      </c>
      <c r="L155" s="8">
        <v>7.19</v>
      </c>
      <c r="M155" s="333">
        <f>L155/0.15</f>
        <v>47.933333333333337</v>
      </c>
      <c r="N155" s="8">
        <v>58</v>
      </c>
    </row>
    <row r="156" spans="2:18" ht="28" customHeight="1" x14ac:dyDescent="0.3">
      <c r="B156" s="8">
        <v>2510</v>
      </c>
      <c r="C156" s="8" t="s">
        <v>936</v>
      </c>
      <c r="D156" s="8" t="s">
        <v>534</v>
      </c>
      <c r="E156" s="8">
        <v>20250923</v>
      </c>
      <c r="F156" s="8">
        <v>20251217</v>
      </c>
      <c r="G156" s="8" t="s">
        <v>937</v>
      </c>
      <c r="H156" s="8">
        <v>0</v>
      </c>
      <c r="I156" s="8" t="s">
        <v>524</v>
      </c>
      <c r="L156" s="8">
        <v>10</v>
      </c>
      <c r="M156" s="333">
        <f>L156/0.15</f>
        <v>66.666666666666671</v>
      </c>
      <c r="N156" s="8">
        <v>66</v>
      </c>
    </row>
    <row r="157" spans="2:18" ht="42" customHeight="1" x14ac:dyDescent="0.3">
      <c r="B157" s="8">
        <v>300948</v>
      </c>
      <c r="C157" s="8" t="s">
        <v>938</v>
      </c>
      <c r="D157" s="8" t="s">
        <v>237</v>
      </c>
      <c r="E157" s="8">
        <v>20250929</v>
      </c>
      <c r="F157" s="8">
        <f>E157</f>
        <v>20250929</v>
      </c>
      <c r="G157" s="8" t="s">
        <v>939</v>
      </c>
      <c r="H157" s="8">
        <v>0</v>
      </c>
      <c r="I157" s="8" t="s">
        <v>524</v>
      </c>
      <c r="J157" s="8" t="s">
        <v>940</v>
      </c>
      <c r="L157" s="8">
        <v>2.21</v>
      </c>
      <c r="M157" s="333">
        <f>L157/0.105</f>
        <v>21.047619047619047</v>
      </c>
      <c r="N157" s="8">
        <v>16</v>
      </c>
      <c r="O157" s="8">
        <v>1.4</v>
      </c>
      <c r="P157" s="8">
        <v>16</v>
      </c>
      <c r="Q157" s="8">
        <v>8</v>
      </c>
    </row>
    <row r="158" spans="2:18" ht="28" customHeight="1" x14ac:dyDescent="0.3">
      <c r="B158" s="8">
        <v>300692</v>
      </c>
      <c r="C158" s="8" t="s">
        <v>941</v>
      </c>
      <c r="D158" s="8" t="s">
        <v>237</v>
      </c>
      <c r="E158" s="8">
        <v>20250929</v>
      </c>
      <c r="F158" s="8">
        <f>E158</f>
        <v>20250929</v>
      </c>
      <c r="G158" s="8" t="s">
        <v>942</v>
      </c>
      <c r="H158" s="8">
        <v>2</v>
      </c>
      <c r="I158" s="8" t="s">
        <v>524</v>
      </c>
      <c r="J158" s="8" t="s">
        <v>943</v>
      </c>
      <c r="K158" s="8" t="s">
        <v>458</v>
      </c>
      <c r="L158" s="8">
        <v>6</v>
      </c>
      <c r="M158" s="333">
        <f>6/0.1661</f>
        <v>36.122817579771223</v>
      </c>
      <c r="N158" s="8">
        <v>37</v>
      </c>
    </row>
    <row r="159" spans="2:18" ht="42" customHeight="1" x14ac:dyDescent="0.3">
      <c r="B159" s="8">
        <v>301075</v>
      </c>
      <c r="C159" s="8" t="s">
        <v>944</v>
      </c>
      <c r="D159" s="8" t="s">
        <v>237</v>
      </c>
      <c r="E159" s="8">
        <v>20250929</v>
      </c>
      <c r="F159" s="8">
        <f>E159</f>
        <v>20250929</v>
      </c>
      <c r="G159" s="8" t="s">
        <v>945</v>
      </c>
      <c r="H159" s="8">
        <v>1</v>
      </c>
      <c r="I159" s="8" t="s">
        <v>665</v>
      </c>
      <c r="J159" s="8" t="s">
        <v>946</v>
      </c>
      <c r="L159" s="8">
        <v>7.5</v>
      </c>
      <c r="M159" s="333">
        <f>L159/0.296</f>
        <v>25.337837837837839</v>
      </c>
      <c r="N159" s="8">
        <v>32</v>
      </c>
    </row>
    <row r="160" spans="2:18" ht="28" customHeight="1" x14ac:dyDescent="0.3">
      <c r="B160" s="8">
        <v>2370</v>
      </c>
      <c r="C160" s="8" t="s">
        <v>947</v>
      </c>
      <c r="D160" s="8" t="s">
        <v>237</v>
      </c>
      <c r="E160" s="8">
        <v>20250929</v>
      </c>
      <c r="F160" s="8">
        <v>20260108</v>
      </c>
      <c r="G160" s="8" t="s">
        <v>948</v>
      </c>
      <c r="H160" s="8">
        <v>0</v>
      </c>
      <c r="I160" s="8" t="s">
        <v>524</v>
      </c>
      <c r="J160" s="8" t="s">
        <v>949</v>
      </c>
      <c r="L160" s="8">
        <v>9</v>
      </c>
      <c r="M160" s="333">
        <f>L160/0.1462</f>
        <v>61.559507523939807</v>
      </c>
      <c r="N160" s="8">
        <v>42</v>
      </c>
    </row>
    <row r="161" spans="1:17" ht="42" customHeight="1" x14ac:dyDescent="0.3">
      <c r="B161" s="8">
        <v>270</v>
      </c>
      <c r="C161" s="8" t="s">
        <v>950</v>
      </c>
      <c r="D161" s="8" t="s">
        <v>237</v>
      </c>
      <c r="E161" s="8">
        <v>20231221</v>
      </c>
      <c r="F161" s="8">
        <f t="shared" ref="F161:F172" si="5">E161</f>
        <v>20231221</v>
      </c>
      <c r="G161" s="8" t="s">
        <v>951</v>
      </c>
      <c r="H161" s="8">
        <v>3</v>
      </c>
      <c r="I161" s="8" t="s">
        <v>524</v>
      </c>
      <c r="J161" s="8" t="s">
        <v>952</v>
      </c>
      <c r="L161" s="8">
        <v>6.53</v>
      </c>
      <c r="M161" s="333">
        <f>L161/0.2328</f>
        <v>28.04982817869416</v>
      </c>
    </row>
    <row r="162" spans="1:17" x14ac:dyDescent="0.3">
      <c r="B162" s="8">
        <v>663</v>
      </c>
      <c r="C162" s="8" t="s">
        <v>953</v>
      </c>
      <c r="D162" s="8" t="s">
        <v>534</v>
      </c>
      <c r="E162" s="8">
        <v>20210218</v>
      </c>
      <c r="F162" s="8">
        <f t="shared" si="5"/>
        <v>20210218</v>
      </c>
      <c r="G162" s="8" t="s">
        <v>954</v>
      </c>
      <c r="H162" s="8">
        <v>2</v>
      </c>
      <c r="I162" s="8" t="s">
        <v>524</v>
      </c>
      <c r="J162" s="8" t="s">
        <v>955</v>
      </c>
    </row>
    <row r="163" spans="1:17" ht="28" customHeight="1" x14ac:dyDescent="0.3">
      <c r="B163" s="8">
        <v>159</v>
      </c>
      <c r="C163" s="8" t="s">
        <v>956</v>
      </c>
      <c r="D163" s="8" t="s">
        <v>237</v>
      </c>
      <c r="E163" s="8">
        <v>20250801</v>
      </c>
      <c r="F163" s="8">
        <f t="shared" si="5"/>
        <v>20250801</v>
      </c>
      <c r="G163" s="8" t="s">
        <v>957</v>
      </c>
      <c r="H163" s="8">
        <v>1</v>
      </c>
      <c r="I163" s="8" t="s">
        <v>524</v>
      </c>
      <c r="J163" s="8" t="s">
        <v>958</v>
      </c>
      <c r="N163" s="8">
        <v>28</v>
      </c>
    </row>
    <row r="164" spans="1:17" ht="42" hidden="1" customHeight="1" x14ac:dyDescent="0.3">
      <c r="A164" s="8" t="s">
        <v>458</v>
      </c>
      <c r="B164" s="8">
        <v>407</v>
      </c>
      <c r="C164" s="8" t="s">
        <v>959</v>
      </c>
      <c r="D164" s="8" t="s">
        <v>237</v>
      </c>
      <c r="E164" s="8">
        <v>20211105</v>
      </c>
      <c r="F164" s="8">
        <f t="shared" si="5"/>
        <v>20211105</v>
      </c>
      <c r="G164" s="8" t="s">
        <v>960</v>
      </c>
      <c r="H164" s="8">
        <v>1</v>
      </c>
      <c r="I164" s="8" t="s">
        <v>524</v>
      </c>
      <c r="J164" s="8" t="s">
        <v>961</v>
      </c>
    </row>
    <row r="165" spans="1:17" ht="42" customHeight="1" x14ac:dyDescent="0.3">
      <c r="B165" s="8">
        <v>757</v>
      </c>
      <c r="C165" s="8" t="s">
        <v>962</v>
      </c>
      <c r="D165" s="8" t="s">
        <v>237</v>
      </c>
      <c r="E165" s="8">
        <v>20211223</v>
      </c>
      <c r="F165" s="8">
        <f t="shared" si="5"/>
        <v>20211223</v>
      </c>
      <c r="G165" s="8" t="s">
        <v>963</v>
      </c>
      <c r="H165" s="8">
        <v>2</v>
      </c>
      <c r="I165" s="8" t="s">
        <v>524</v>
      </c>
      <c r="J165" s="8" t="s">
        <v>964</v>
      </c>
    </row>
    <row r="166" spans="1:17" ht="28" customHeight="1" x14ac:dyDescent="0.3">
      <c r="B166" s="8">
        <v>2282</v>
      </c>
      <c r="C166" s="8" t="s">
        <v>965</v>
      </c>
      <c r="D166" s="8" t="s">
        <v>534</v>
      </c>
      <c r="E166" s="8">
        <v>20220831</v>
      </c>
      <c r="F166" s="8">
        <f t="shared" si="5"/>
        <v>20220831</v>
      </c>
      <c r="G166" s="8" t="s">
        <v>966</v>
      </c>
      <c r="H166" s="8">
        <v>0</v>
      </c>
      <c r="I166" s="8" t="s">
        <v>524</v>
      </c>
      <c r="J166" s="8" t="s">
        <v>574</v>
      </c>
      <c r="L166" s="8">
        <v>15</v>
      </c>
      <c r="M166" s="333">
        <f>L166/0.3</f>
        <v>50</v>
      </c>
    </row>
    <row r="167" spans="1:17" ht="42" customHeight="1" x14ac:dyDescent="0.3">
      <c r="B167" s="8">
        <v>2350</v>
      </c>
      <c r="C167" s="8" t="s">
        <v>967</v>
      </c>
      <c r="D167" s="8" t="s">
        <v>237</v>
      </c>
      <c r="E167" s="8">
        <v>20201215</v>
      </c>
      <c r="F167" s="8">
        <f t="shared" si="5"/>
        <v>20201215</v>
      </c>
      <c r="G167" s="8" t="s">
        <v>968</v>
      </c>
      <c r="H167" s="8">
        <v>2</v>
      </c>
      <c r="I167" s="8" t="s">
        <v>524</v>
      </c>
      <c r="J167" s="8" t="s">
        <v>969</v>
      </c>
      <c r="L167" s="8">
        <v>7.9</v>
      </c>
      <c r="M167" s="333">
        <f>L167/0.2777</f>
        <v>28.44796543032049</v>
      </c>
    </row>
    <row r="168" spans="1:17" ht="56" customHeight="1" x14ac:dyDescent="0.3">
      <c r="B168" s="8">
        <v>2571</v>
      </c>
      <c r="C168" s="8" t="s">
        <v>970</v>
      </c>
      <c r="D168" s="8" t="s">
        <v>237</v>
      </c>
      <c r="E168" s="8">
        <v>20251008</v>
      </c>
      <c r="F168" s="8">
        <f t="shared" si="5"/>
        <v>20251008</v>
      </c>
      <c r="G168" s="8" t="s">
        <v>971</v>
      </c>
      <c r="H168" s="8">
        <v>0</v>
      </c>
      <c r="I168" s="8" t="s">
        <v>665</v>
      </c>
      <c r="N168" s="8">
        <v>32</v>
      </c>
    </row>
    <row r="169" spans="1:17" ht="42" customHeight="1" x14ac:dyDescent="0.3">
      <c r="B169" s="8">
        <v>600243</v>
      </c>
      <c r="C169" s="8" t="s">
        <v>250</v>
      </c>
      <c r="D169" s="8" t="s">
        <v>237</v>
      </c>
      <c r="E169" s="8">
        <v>20251011</v>
      </c>
      <c r="F169" s="8">
        <f t="shared" si="5"/>
        <v>20251011</v>
      </c>
      <c r="G169" s="8" t="s">
        <v>972</v>
      </c>
      <c r="H169" s="8">
        <v>0</v>
      </c>
      <c r="I169" s="8" t="s">
        <v>665</v>
      </c>
      <c r="J169" s="8" t="s">
        <v>973</v>
      </c>
      <c r="L169" s="8">
        <v>3.4</v>
      </c>
      <c r="M169" s="333">
        <f>L169/0.1</f>
        <v>34</v>
      </c>
      <c r="N169" s="8">
        <v>23</v>
      </c>
    </row>
    <row r="170" spans="1:17" ht="70" customHeight="1" x14ac:dyDescent="0.3">
      <c r="B170" s="8">
        <v>2047</v>
      </c>
      <c r="C170" s="8" t="s">
        <v>974</v>
      </c>
      <c r="D170" s="8" t="s">
        <v>975</v>
      </c>
      <c r="E170" s="8">
        <v>20251020</v>
      </c>
      <c r="F170" s="8">
        <f t="shared" si="5"/>
        <v>20251020</v>
      </c>
      <c r="G170" s="8" t="s">
        <v>976</v>
      </c>
      <c r="H170" s="8">
        <v>0</v>
      </c>
      <c r="I170" s="8" t="s">
        <v>665</v>
      </c>
      <c r="J170" s="8" t="s">
        <v>977</v>
      </c>
      <c r="L170" s="8">
        <v>3.55</v>
      </c>
      <c r="M170" s="333">
        <f>L170/0.05</f>
        <v>70.999999999999986</v>
      </c>
      <c r="N170" s="8">
        <v>36</v>
      </c>
    </row>
    <row r="171" spans="1:17" x14ac:dyDescent="0.3">
      <c r="B171" s="8">
        <v>603042</v>
      </c>
      <c r="C171" s="8" t="s">
        <v>978</v>
      </c>
      <c r="D171" s="8" t="s">
        <v>237</v>
      </c>
      <c r="E171" s="8">
        <v>20251020</v>
      </c>
      <c r="F171" s="8">
        <f t="shared" si="5"/>
        <v>20251020</v>
      </c>
      <c r="H171" s="8">
        <v>0</v>
      </c>
      <c r="I171" s="8" t="s">
        <v>590</v>
      </c>
      <c r="N171" s="8">
        <v>25</v>
      </c>
      <c r="O171" s="8">
        <v>9</v>
      </c>
      <c r="P171" s="8">
        <v>16</v>
      </c>
      <c r="Q171" s="8">
        <v>10</v>
      </c>
    </row>
    <row r="172" spans="1:17" ht="42" customHeight="1" x14ac:dyDescent="0.3">
      <c r="B172" s="8">
        <v>603959</v>
      </c>
      <c r="C172" s="8" t="s">
        <v>979</v>
      </c>
      <c r="D172" s="8" t="s">
        <v>237</v>
      </c>
      <c r="E172" s="8">
        <v>20251020</v>
      </c>
      <c r="F172" s="8">
        <f t="shared" si="5"/>
        <v>20251020</v>
      </c>
      <c r="G172" s="8" t="s">
        <v>980</v>
      </c>
      <c r="H172" s="8">
        <v>0</v>
      </c>
      <c r="I172" s="8" t="s">
        <v>665</v>
      </c>
      <c r="J172" s="8" t="s">
        <v>981</v>
      </c>
      <c r="L172" s="8">
        <v>2</v>
      </c>
      <c r="M172" s="333">
        <f>L172/0.0981</f>
        <v>20.387359836901119</v>
      </c>
      <c r="N172" s="8">
        <v>34</v>
      </c>
    </row>
    <row r="173" spans="1:17" x14ac:dyDescent="0.3">
      <c r="B173" s="8">
        <v>600302</v>
      </c>
      <c r="C173" s="8" t="s">
        <v>982</v>
      </c>
      <c r="D173" s="8" t="s">
        <v>534</v>
      </c>
      <c r="E173" s="8">
        <v>20251020</v>
      </c>
      <c r="G173" s="8" t="s">
        <v>983</v>
      </c>
      <c r="H173" s="8">
        <v>0</v>
      </c>
      <c r="I173" s="8" t="s">
        <v>665</v>
      </c>
      <c r="N173" s="8">
        <v>25</v>
      </c>
    </row>
    <row r="174" spans="1:17" ht="42" customHeight="1" x14ac:dyDescent="0.3">
      <c r="B174" s="8">
        <v>603118</v>
      </c>
      <c r="C174" s="8" t="s">
        <v>984</v>
      </c>
      <c r="D174" s="8" t="s">
        <v>985</v>
      </c>
      <c r="E174" s="8">
        <v>20251024</v>
      </c>
      <c r="F174" s="8">
        <v>20260105</v>
      </c>
      <c r="G174" s="8" t="s">
        <v>986</v>
      </c>
      <c r="H174" s="8">
        <v>0</v>
      </c>
      <c r="I174" s="8" t="s">
        <v>524</v>
      </c>
      <c r="L174" s="8">
        <v>9.4</v>
      </c>
      <c r="M174" s="333">
        <f>L174/0.11</f>
        <v>85.454545454545453</v>
      </c>
      <c r="N174" s="8">
        <v>94</v>
      </c>
    </row>
    <row r="175" spans="1:17" ht="28" customHeight="1" x14ac:dyDescent="0.3">
      <c r="B175" s="8">
        <v>593</v>
      </c>
      <c r="C175" s="8" t="s">
        <v>987</v>
      </c>
      <c r="D175" s="8" t="s">
        <v>985</v>
      </c>
      <c r="E175" s="8">
        <v>20251026</v>
      </c>
      <c r="F175" s="8">
        <f>E175</f>
        <v>20251026</v>
      </c>
      <c r="G175" s="8" t="s">
        <v>988</v>
      </c>
      <c r="H175" s="8">
        <v>0</v>
      </c>
      <c r="I175" s="8" t="s">
        <v>665</v>
      </c>
      <c r="L175" s="8">
        <v>10</v>
      </c>
      <c r="M175" s="333">
        <f>L175/0.2964</f>
        <v>33.738191632928476</v>
      </c>
      <c r="N175" s="8">
        <v>31</v>
      </c>
    </row>
    <row r="176" spans="1:17" ht="28" customHeight="1" x14ac:dyDescent="0.3">
      <c r="B176" s="8">
        <v>300486</v>
      </c>
      <c r="C176" s="8" t="s">
        <v>989</v>
      </c>
      <c r="D176" s="8" t="s">
        <v>975</v>
      </c>
      <c r="E176" s="8">
        <v>20250730</v>
      </c>
      <c r="F176" s="8">
        <v>20251026</v>
      </c>
      <c r="G176" s="8" t="s">
        <v>990</v>
      </c>
      <c r="H176" s="8">
        <v>3</v>
      </c>
      <c r="I176" s="8" t="s">
        <v>524</v>
      </c>
      <c r="J176" s="8" t="s">
        <v>991</v>
      </c>
      <c r="L176" s="8">
        <v>16.2</v>
      </c>
      <c r="M176" s="333">
        <f>L176/0.25</f>
        <v>64.8</v>
      </c>
      <c r="N176" s="8">
        <v>45</v>
      </c>
    </row>
    <row r="177" spans="2:14" ht="28" customHeight="1" x14ac:dyDescent="0.3">
      <c r="B177" s="8">
        <v>300424</v>
      </c>
      <c r="C177" s="8" t="s">
        <v>992</v>
      </c>
      <c r="D177" s="8" t="s">
        <v>985</v>
      </c>
      <c r="E177" s="8">
        <v>20251027</v>
      </c>
      <c r="G177" s="8" t="s">
        <v>993</v>
      </c>
      <c r="H177" s="8">
        <v>0</v>
      </c>
      <c r="I177" s="8" t="s">
        <v>665</v>
      </c>
      <c r="J177" s="8" t="s">
        <v>994</v>
      </c>
      <c r="L177" s="8">
        <v>5.3</v>
      </c>
      <c r="M177" s="333">
        <f>L177/0.15</f>
        <v>35.333333333333336</v>
      </c>
      <c r="N177" s="8">
        <v>49</v>
      </c>
    </row>
    <row r="178" spans="2:14" ht="42" customHeight="1" x14ac:dyDescent="0.3">
      <c r="B178" s="8">
        <v>300018</v>
      </c>
      <c r="C178" s="8" t="s">
        <v>995</v>
      </c>
      <c r="D178" s="8" t="s">
        <v>996</v>
      </c>
      <c r="E178" s="8">
        <v>20251027</v>
      </c>
      <c r="G178" s="8" t="s">
        <v>997</v>
      </c>
      <c r="H178" s="8">
        <v>0</v>
      </c>
      <c r="I178" s="8" t="s">
        <v>665</v>
      </c>
      <c r="N178" s="8">
        <v>57</v>
      </c>
    </row>
    <row r="179" spans="2:14" ht="98" customHeight="1" x14ac:dyDescent="0.3">
      <c r="B179" s="8">
        <v>300175</v>
      </c>
      <c r="C179" s="8" t="s">
        <v>998</v>
      </c>
      <c r="D179" s="8" t="s">
        <v>996</v>
      </c>
      <c r="E179" s="8">
        <v>20240501</v>
      </c>
      <c r="F179" s="8">
        <v>20240501</v>
      </c>
      <c r="G179" s="8" t="s">
        <v>999</v>
      </c>
      <c r="H179" s="8">
        <v>0</v>
      </c>
      <c r="I179" s="8" t="s">
        <v>524</v>
      </c>
      <c r="J179" s="8" t="s">
        <v>1000</v>
      </c>
      <c r="L179" s="8">
        <v>3.6</v>
      </c>
      <c r="M179" s="333">
        <f>L179/0.14</f>
        <v>25.714285714285712</v>
      </c>
      <c r="N179" s="8">
        <v>30</v>
      </c>
    </row>
    <row r="180" spans="2:14" x14ac:dyDescent="0.3">
      <c r="B180" s="8">
        <v>603897</v>
      </c>
      <c r="C180" s="8" t="s">
        <v>1001</v>
      </c>
      <c r="D180" s="8" t="s">
        <v>237</v>
      </c>
      <c r="E180" s="8">
        <v>20251103</v>
      </c>
      <c r="H180" s="8">
        <v>0</v>
      </c>
      <c r="I180" s="8" t="s">
        <v>590</v>
      </c>
      <c r="N180" s="8">
        <v>55</v>
      </c>
    </row>
    <row r="181" spans="2:14" ht="42" customHeight="1" x14ac:dyDescent="0.3">
      <c r="B181" s="8">
        <v>2387</v>
      </c>
      <c r="C181" s="8" t="s">
        <v>1002</v>
      </c>
      <c r="D181" s="8" t="s">
        <v>237</v>
      </c>
      <c r="E181" s="8">
        <v>20251103</v>
      </c>
      <c r="G181" s="8" t="s">
        <v>1003</v>
      </c>
      <c r="H181" s="8">
        <v>0</v>
      </c>
      <c r="I181" s="8" t="s">
        <v>665</v>
      </c>
      <c r="N181" s="8">
        <v>118</v>
      </c>
    </row>
    <row r="182" spans="2:14" ht="42" customHeight="1" x14ac:dyDescent="0.3">
      <c r="B182" s="8">
        <v>3041</v>
      </c>
      <c r="C182" s="8" t="s">
        <v>1004</v>
      </c>
      <c r="D182" s="8" t="s">
        <v>237</v>
      </c>
      <c r="E182" s="8">
        <v>20251104</v>
      </c>
      <c r="G182" s="8" t="s">
        <v>1005</v>
      </c>
      <c r="H182" s="8">
        <v>0</v>
      </c>
      <c r="I182" s="8" t="s">
        <v>665</v>
      </c>
      <c r="J182" s="8" t="s">
        <v>1006</v>
      </c>
      <c r="L182" s="8">
        <v>12</v>
      </c>
      <c r="M182" s="333">
        <f>L182/0.3</f>
        <v>40</v>
      </c>
      <c r="N182" s="8">
        <v>44</v>
      </c>
    </row>
    <row r="183" spans="2:14" ht="28" customHeight="1" x14ac:dyDescent="0.3">
      <c r="B183" s="8">
        <v>2295</v>
      </c>
      <c r="C183" s="8" t="s">
        <v>1007</v>
      </c>
      <c r="D183" s="8" t="s">
        <v>985</v>
      </c>
      <c r="E183" s="8">
        <v>20250905</v>
      </c>
      <c r="F183" s="8">
        <v>20251104</v>
      </c>
      <c r="G183" s="8" t="s">
        <v>1008</v>
      </c>
      <c r="H183" s="8">
        <v>0</v>
      </c>
      <c r="I183" s="8" t="s">
        <v>524</v>
      </c>
      <c r="L183" s="8">
        <v>10.8</v>
      </c>
      <c r="M183" s="333">
        <f>L183/0.3</f>
        <v>36.000000000000007</v>
      </c>
      <c r="N183" s="8">
        <v>30</v>
      </c>
    </row>
    <row r="184" spans="2:14" ht="42" customHeight="1" x14ac:dyDescent="0.3">
      <c r="B184" s="8">
        <v>586</v>
      </c>
      <c r="C184" s="8" t="s">
        <v>1009</v>
      </c>
      <c r="D184" s="8" t="s">
        <v>237</v>
      </c>
      <c r="E184" s="8">
        <v>20251111</v>
      </c>
      <c r="G184" s="8" t="s">
        <v>1010</v>
      </c>
      <c r="H184" s="8">
        <v>0</v>
      </c>
      <c r="I184" s="8" t="s">
        <v>665</v>
      </c>
      <c r="J184" s="8" t="s">
        <v>1011</v>
      </c>
      <c r="N184" s="8">
        <v>29</v>
      </c>
    </row>
    <row r="185" spans="2:14" ht="42" customHeight="1" x14ac:dyDescent="0.3">
      <c r="B185" s="8">
        <v>300451</v>
      </c>
      <c r="C185" s="8" t="s">
        <v>1012</v>
      </c>
      <c r="D185" s="8" t="s">
        <v>237</v>
      </c>
      <c r="E185" s="8">
        <v>20251110</v>
      </c>
      <c r="G185" s="8" t="s">
        <v>1013</v>
      </c>
      <c r="H185" s="8">
        <v>0</v>
      </c>
      <c r="I185" s="8" t="s">
        <v>665</v>
      </c>
      <c r="L185" s="8">
        <v>5</v>
      </c>
      <c r="M185" s="333">
        <f>L185/0.0623</f>
        <v>80.256821829855539</v>
      </c>
      <c r="N185" s="8">
        <v>80</v>
      </c>
    </row>
    <row r="186" spans="2:14" ht="42" customHeight="1" x14ac:dyDescent="0.3">
      <c r="B186" s="8">
        <v>301027</v>
      </c>
      <c r="C186" s="8" t="s">
        <v>1014</v>
      </c>
      <c r="D186" s="8" t="s">
        <v>996</v>
      </c>
      <c r="E186" s="8">
        <v>20251114</v>
      </c>
      <c r="G186" s="8" t="s">
        <v>1015</v>
      </c>
      <c r="H186" s="8">
        <v>0</v>
      </c>
      <c r="I186" s="8" t="s">
        <v>665</v>
      </c>
      <c r="L186" s="8">
        <v>1.73</v>
      </c>
      <c r="M186" s="333">
        <f>L186/0.0579</f>
        <v>29.879101899827287</v>
      </c>
      <c r="N186" s="8">
        <v>30</v>
      </c>
    </row>
    <row r="187" spans="2:14" ht="98" customHeight="1" x14ac:dyDescent="0.3">
      <c r="B187" s="8">
        <v>2348</v>
      </c>
      <c r="C187" s="8" t="s">
        <v>1016</v>
      </c>
      <c r="D187" s="8" t="s">
        <v>996</v>
      </c>
      <c r="E187" s="8">
        <v>20251124</v>
      </c>
      <c r="G187" s="8" t="s">
        <v>1017</v>
      </c>
      <c r="H187" s="8">
        <v>0</v>
      </c>
      <c r="I187" s="8" t="s">
        <v>665</v>
      </c>
      <c r="J187" s="8" t="s">
        <v>1018</v>
      </c>
      <c r="L187" s="8">
        <v>4.0999999999999996</v>
      </c>
      <c r="M187" s="333">
        <f>L187/0.1</f>
        <v>40.999999999999993</v>
      </c>
      <c r="N187" s="8">
        <v>45</v>
      </c>
    </row>
    <row r="188" spans="2:14" ht="56" customHeight="1" x14ac:dyDescent="0.3">
      <c r="B188" s="8">
        <v>2667</v>
      </c>
      <c r="C188" s="8" t="s">
        <v>1019</v>
      </c>
      <c r="D188" s="8" t="s">
        <v>237</v>
      </c>
      <c r="E188" s="8">
        <v>20251124</v>
      </c>
      <c r="G188" s="8" t="s">
        <v>1020</v>
      </c>
      <c r="H188" s="8">
        <v>0</v>
      </c>
      <c r="I188" s="8" t="s">
        <v>665</v>
      </c>
      <c r="J188" s="8" t="s">
        <v>1021</v>
      </c>
      <c r="L188" s="8">
        <v>3</v>
      </c>
      <c r="M188" s="333">
        <f>L188/0.077</f>
        <v>38.961038961038959</v>
      </c>
      <c r="N188" s="8">
        <v>44</v>
      </c>
    </row>
    <row r="189" spans="2:14" ht="42" customHeight="1" x14ac:dyDescent="0.3">
      <c r="B189" s="8">
        <v>2806</v>
      </c>
      <c r="C189" s="8" t="s">
        <v>1022</v>
      </c>
      <c r="D189" s="8" t="s">
        <v>237</v>
      </c>
      <c r="E189" s="8">
        <v>20251124</v>
      </c>
      <c r="F189" s="8">
        <v>20260414</v>
      </c>
      <c r="G189" s="8" t="s">
        <v>1023</v>
      </c>
      <c r="H189" s="8">
        <v>2</v>
      </c>
      <c r="I189" s="8" t="s">
        <v>524</v>
      </c>
      <c r="J189" s="8" t="s">
        <v>1024</v>
      </c>
      <c r="L189" s="8">
        <v>1.6</v>
      </c>
      <c r="M189" s="333">
        <f>L189/0.05</f>
        <v>32</v>
      </c>
      <c r="N189" s="8">
        <v>28</v>
      </c>
    </row>
    <row r="190" spans="2:14" ht="28" customHeight="1" x14ac:dyDescent="0.3">
      <c r="B190" s="8">
        <v>301073</v>
      </c>
      <c r="C190" s="8" t="s">
        <v>1025</v>
      </c>
      <c r="D190" s="8" t="s">
        <v>985</v>
      </c>
      <c r="E190" s="8">
        <v>20251125</v>
      </c>
      <c r="G190" s="8" t="s">
        <v>1026</v>
      </c>
      <c r="H190" s="8">
        <v>0</v>
      </c>
      <c r="I190" s="8" t="s">
        <v>665</v>
      </c>
      <c r="L190" s="8">
        <v>15</v>
      </c>
      <c r="M190" s="333">
        <f>L190/0.3</f>
        <v>50</v>
      </c>
      <c r="N190" s="8">
        <v>54</v>
      </c>
    </row>
    <row r="191" spans="2:14" ht="28" customHeight="1" x14ac:dyDescent="0.3">
      <c r="B191" s="8">
        <v>300523</v>
      </c>
      <c r="C191" s="8" t="s">
        <v>1027</v>
      </c>
      <c r="D191" s="8" t="s">
        <v>1028</v>
      </c>
      <c r="E191" s="8">
        <v>20251127</v>
      </c>
      <c r="G191" s="8" t="s">
        <v>1029</v>
      </c>
      <c r="H191" s="8">
        <v>0</v>
      </c>
      <c r="I191" s="8" t="s">
        <v>665</v>
      </c>
      <c r="N191" s="8">
        <v>61</v>
      </c>
    </row>
    <row r="192" spans="2:14" ht="42" customHeight="1" x14ac:dyDescent="0.3">
      <c r="B192" s="8">
        <v>688237</v>
      </c>
      <c r="C192" s="8" t="s">
        <v>1030</v>
      </c>
      <c r="D192" s="8" t="s">
        <v>985</v>
      </c>
      <c r="E192" s="8">
        <v>20251122</v>
      </c>
      <c r="G192" s="8" t="s">
        <v>1031</v>
      </c>
      <c r="H192" s="8">
        <v>0</v>
      </c>
      <c r="I192" s="8" t="s">
        <v>590</v>
      </c>
      <c r="L192" s="8">
        <v>7.7</v>
      </c>
      <c r="M192" s="333">
        <f>L192/0.21</f>
        <v>36.666666666666671</v>
      </c>
      <c r="N192" s="8">
        <v>46</v>
      </c>
    </row>
    <row r="193" spans="2:14" ht="42" customHeight="1" x14ac:dyDescent="0.3">
      <c r="B193" s="8">
        <v>2235</v>
      </c>
      <c r="C193" s="8" t="s">
        <v>1032</v>
      </c>
      <c r="D193" s="8" t="s">
        <v>996</v>
      </c>
      <c r="E193" s="8">
        <v>20251201</v>
      </c>
      <c r="G193" s="8" t="s">
        <v>1033</v>
      </c>
      <c r="H193" s="8">
        <v>0</v>
      </c>
      <c r="I193" s="8" t="s">
        <v>665</v>
      </c>
      <c r="J193" s="8" t="s">
        <v>1034</v>
      </c>
      <c r="L193" s="8">
        <v>7.7</v>
      </c>
      <c r="M193" s="333">
        <f>L193/0.16</f>
        <v>48.125</v>
      </c>
      <c r="N193" s="8">
        <v>54</v>
      </c>
    </row>
    <row r="194" spans="2:14" ht="42" customHeight="1" x14ac:dyDescent="0.3">
      <c r="B194" s="8">
        <v>600222</v>
      </c>
      <c r="C194" s="8" t="s">
        <v>584</v>
      </c>
      <c r="D194" s="8" t="s">
        <v>1028</v>
      </c>
      <c r="E194" s="8">
        <v>20251201</v>
      </c>
      <c r="G194" s="8" t="s">
        <v>1035</v>
      </c>
      <c r="H194" s="8">
        <v>0</v>
      </c>
      <c r="I194" s="8" t="s">
        <v>665</v>
      </c>
      <c r="J194" s="8" t="s">
        <v>1036</v>
      </c>
      <c r="L194" s="8">
        <v>5.5</v>
      </c>
      <c r="M194" s="333">
        <f>L194/0.0873</f>
        <v>63.001145475372276</v>
      </c>
      <c r="N194" s="8">
        <v>50</v>
      </c>
    </row>
    <row r="195" spans="2:14" ht="42" customHeight="1" x14ac:dyDescent="0.3">
      <c r="B195" s="8">
        <v>300097</v>
      </c>
      <c r="C195" s="8" t="s">
        <v>1037</v>
      </c>
      <c r="D195" s="8" t="s">
        <v>996</v>
      </c>
      <c r="E195" s="8">
        <v>20251202</v>
      </c>
      <c r="G195" s="8" t="s">
        <v>1038</v>
      </c>
      <c r="H195" s="8">
        <v>0</v>
      </c>
      <c r="I195" s="8" t="s">
        <v>665</v>
      </c>
      <c r="J195" s="8" t="s">
        <v>1039</v>
      </c>
      <c r="L195" s="8">
        <v>1.74</v>
      </c>
      <c r="M195" s="333">
        <f>L195/0.1</f>
        <v>17.399999999999999</v>
      </c>
      <c r="N195" s="8">
        <v>18</v>
      </c>
    </row>
    <row r="196" spans="2:14" ht="42" customHeight="1" x14ac:dyDescent="0.3">
      <c r="B196" s="8">
        <v>838</v>
      </c>
      <c r="C196" s="8" t="s">
        <v>1040</v>
      </c>
      <c r="D196" s="8" t="s">
        <v>996</v>
      </c>
      <c r="E196" s="8">
        <v>20251203</v>
      </c>
      <c r="G196" s="8" t="s">
        <v>1041</v>
      </c>
      <c r="H196" s="8">
        <v>0</v>
      </c>
      <c r="I196" s="8" t="s">
        <v>665</v>
      </c>
      <c r="N196" s="8">
        <v>39</v>
      </c>
    </row>
    <row r="197" spans="2:14" x14ac:dyDescent="0.3">
      <c r="B197" s="8">
        <v>300165</v>
      </c>
      <c r="C197" s="8" t="s">
        <v>1042</v>
      </c>
      <c r="D197" s="8" t="s">
        <v>237</v>
      </c>
      <c r="E197" s="8">
        <v>20251201</v>
      </c>
      <c r="H197" s="8">
        <v>0</v>
      </c>
      <c r="I197" s="8" t="s">
        <v>590</v>
      </c>
      <c r="N197" s="8">
        <v>23</v>
      </c>
    </row>
    <row r="198" spans="2:14" x14ac:dyDescent="0.3">
      <c r="B198" s="8">
        <v>300270</v>
      </c>
      <c r="C198" s="8" t="s">
        <v>1043</v>
      </c>
      <c r="D198" s="8" t="s">
        <v>534</v>
      </c>
      <c r="E198" s="8">
        <v>20251204</v>
      </c>
      <c r="G198" s="8" t="s">
        <v>1044</v>
      </c>
      <c r="H198" s="8">
        <v>0</v>
      </c>
      <c r="I198" s="8" t="s">
        <v>665</v>
      </c>
      <c r="N198" s="8">
        <v>34</v>
      </c>
    </row>
    <row r="199" spans="2:14" ht="42" customHeight="1" x14ac:dyDescent="0.3">
      <c r="B199" s="8">
        <v>300551</v>
      </c>
      <c r="C199" s="8" t="s">
        <v>1045</v>
      </c>
      <c r="D199" s="8" t="s">
        <v>996</v>
      </c>
      <c r="E199" s="8">
        <v>20251207</v>
      </c>
      <c r="F199" s="8">
        <v>20251214</v>
      </c>
      <c r="G199" s="8" t="s">
        <v>1046</v>
      </c>
      <c r="H199" s="8">
        <v>0</v>
      </c>
      <c r="I199" s="8" t="s">
        <v>524</v>
      </c>
      <c r="J199" s="8" t="s">
        <v>1047</v>
      </c>
      <c r="N199" s="8">
        <v>46</v>
      </c>
    </row>
    <row r="200" spans="2:14" ht="42" customHeight="1" x14ac:dyDescent="0.3">
      <c r="B200" s="8">
        <v>2853</v>
      </c>
      <c r="C200" s="8" t="s">
        <v>1048</v>
      </c>
      <c r="D200" s="8" t="s">
        <v>996</v>
      </c>
      <c r="E200" s="8">
        <v>20251208</v>
      </c>
      <c r="G200" s="8" t="s">
        <v>1049</v>
      </c>
      <c r="H200" s="8">
        <v>0</v>
      </c>
      <c r="I200" s="8" t="s">
        <v>665</v>
      </c>
      <c r="J200" s="8" t="s">
        <v>1050</v>
      </c>
      <c r="L200" s="8">
        <v>4.4000000000000004</v>
      </c>
      <c r="M200" s="333">
        <f>L200/0.1678</f>
        <v>26.221692491060789</v>
      </c>
      <c r="N200" s="8">
        <v>29</v>
      </c>
    </row>
    <row r="201" spans="2:14" x14ac:dyDescent="0.3">
      <c r="B201" s="8">
        <v>2166</v>
      </c>
      <c r="C201" s="8" t="s">
        <v>1051</v>
      </c>
      <c r="D201" s="8" t="s">
        <v>237</v>
      </c>
      <c r="E201" s="8">
        <v>20251209</v>
      </c>
      <c r="H201" s="8">
        <v>0</v>
      </c>
      <c r="I201" s="8" t="s">
        <v>665</v>
      </c>
      <c r="N201" s="8">
        <v>64</v>
      </c>
    </row>
    <row r="202" spans="2:14" ht="28" customHeight="1" x14ac:dyDescent="0.3">
      <c r="B202" s="8">
        <v>2969</v>
      </c>
      <c r="C202" s="8" t="s">
        <v>1052</v>
      </c>
      <c r="D202" s="8" t="s">
        <v>996</v>
      </c>
      <c r="E202" s="8">
        <v>20251209</v>
      </c>
      <c r="F202" s="8">
        <v>20260331</v>
      </c>
      <c r="G202" s="8" t="s">
        <v>1053</v>
      </c>
      <c r="H202" s="8">
        <v>0</v>
      </c>
      <c r="I202" s="8" t="s">
        <v>524</v>
      </c>
      <c r="J202" s="8" t="s">
        <v>1054</v>
      </c>
      <c r="L202" s="8">
        <v>12.4</v>
      </c>
      <c r="M202" s="333">
        <f>L202/0.299</f>
        <v>41.471571906354519</v>
      </c>
      <c r="N202" s="8">
        <v>44</v>
      </c>
    </row>
    <row r="203" spans="2:14" x14ac:dyDescent="0.3">
      <c r="B203" s="8">
        <v>300068</v>
      </c>
      <c r="C203" s="8" t="s">
        <v>1055</v>
      </c>
      <c r="D203" s="8" t="s">
        <v>237</v>
      </c>
      <c r="E203" s="8">
        <v>20251211</v>
      </c>
      <c r="H203" s="8">
        <v>0</v>
      </c>
      <c r="I203" s="8" t="s">
        <v>590</v>
      </c>
      <c r="N203" s="8">
        <v>165</v>
      </c>
    </row>
    <row r="204" spans="2:14" ht="42" customHeight="1" x14ac:dyDescent="0.3">
      <c r="B204" s="8">
        <v>1331</v>
      </c>
      <c r="C204" s="8" t="s">
        <v>1056</v>
      </c>
      <c r="D204" s="8" t="s">
        <v>996</v>
      </c>
      <c r="E204" s="8">
        <v>20251205</v>
      </c>
      <c r="G204" s="8" t="s">
        <v>1057</v>
      </c>
      <c r="H204" s="8">
        <v>0</v>
      </c>
      <c r="I204" s="8" t="s">
        <v>665</v>
      </c>
      <c r="L204" s="8">
        <v>11.23</v>
      </c>
      <c r="M204" s="333">
        <f>L204/0.3</f>
        <v>37.433333333333337</v>
      </c>
      <c r="N204" s="8">
        <v>41</v>
      </c>
    </row>
    <row r="205" spans="2:14" ht="70" customHeight="1" x14ac:dyDescent="0.3">
      <c r="B205" s="8">
        <v>600730</v>
      </c>
      <c r="C205" s="8" t="s">
        <v>1058</v>
      </c>
      <c r="D205" s="8" t="s">
        <v>1028</v>
      </c>
      <c r="E205" s="8">
        <v>20251212</v>
      </c>
      <c r="G205" s="8" t="s">
        <v>1059</v>
      </c>
      <c r="H205" s="8">
        <v>0</v>
      </c>
      <c r="I205" s="8" t="s">
        <v>665</v>
      </c>
      <c r="J205" s="8" t="s">
        <v>1060</v>
      </c>
      <c r="L205" s="8">
        <v>12</v>
      </c>
      <c r="M205" s="333">
        <f>L205/0.2003</f>
        <v>59.910134797803295</v>
      </c>
      <c r="N205" s="8">
        <v>93</v>
      </c>
    </row>
    <row r="206" spans="2:14" ht="42" customHeight="1" x14ac:dyDescent="0.3">
      <c r="B206" s="8">
        <v>506</v>
      </c>
      <c r="C206" s="8" t="s">
        <v>1061</v>
      </c>
      <c r="D206" s="8" t="s">
        <v>985</v>
      </c>
      <c r="E206" s="8">
        <v>20241015</v>
      </c>
      <c r="F206" s="8">
        <v>20250116</v>
      </c>
      <c r="G206" s="8" t="s">
        <v>1062</v>
      </c>
      <c r="H206" s="8">
        <v>5</v>
      </c>
      <c r="I206" s="8" t="s">
        <v>524</v>
      </c>
      <c r="J206" s="8" t="s">
        <v>1063</v>
      </c>
      <c r="L206" s="8">
        <v>2.5</v>
      </c>
      <c r="M206" s="333">
        <f>L206/0.2</f>
        <v>12.5</v>
      </c>
      <c r="N206" s="8">
        <v>15</v>
      </c>
    </row>
    <row r="207" spans="2:14" ht="28" customHeight="1" x14ac:dyDescent="0.3">
      <c r="B207" s="8">
        <v>2931</v>
      </c>
      <c r="C207" s="8" t="s">
        <v>1064</v>
      </c>
      <c r="D207" s="8" t="s">
        <v>237</v>
      </c>
      <c r="E207" s="8">
        <v>20251217</v>
      </c>
      <c r="G207" s="8" t="s">
        <v>1065</v>
      </c>
      <c r="H207" s="8">
        <v>0</v>
      </c>
      <c r="I207" s="8" t="s">
        <v>665</v>
      </c>
      <c r="L207" s="8">
        <v>11.6</v>
      </c>
      <c r="M207" s="333">
        <f>L207/0.3</f>
        <v>38.666666666666664</v>
      </c>
      <c r="N207" s="8">
        <v>43</v>
      </c>
    </row>
    <row r="208" spans="2:14" ht="42" customHeight="1" x14ac:dyDescent="0.3">
      <c r="B208" s="8">
        <v>2723</v>
      </c>
      <c r="C208" s="8" t="s">
        <v>1066</v>
      </c>
      <c r="D208" s="8" t="s">
        <v>996</v>
      </c>
      <c r="E208" s="8">
        <v>20251217</v>
      </c>
      <c r="F208" s="8">
        <v>20260506</v>
      </c>
      <c r="G208" s="8" t="s">
        <v>1067</v>
      </c>
      <c r="H208" s="8">
        <v>0</v>
      </c>
      <c r="I208" s="8" t="s">
        <v>524</v>
      </c>
      <c r="L208" s="8">
        <v>2.86</v>
      </c>
      <c r="M208" s="333">
        <f>L208/0.0925</f>
        <v>30.918918918918919</v>
      </c>
      <c r="N208" s="8">
        <v>32</v>
      </c>
    </row>
    <row r="209" spans="2:14" ht="56" customHeight="1" x14ac:dyDescent="0.3">
      <c r="B209" s="8">
        <v>2036</v>
      </c>
      <c r="C209" s="8" t="s">
        <v>1068</v>
      </c>
      <c r="D209" s="8" t="s">
        <v>985</v>
      </c>
      <c r="E209" s="8">
        <v>20251217</v>
      </c>
      <c r="G209" s="8" t="s">
        <v>1069</v>
      </c>
      <c r="H209" s="8">
        <v>0</v>
      </c>
      <c r="I209" s="8" t="s">
        <v>665</v>
      </c>
      <c r="L209" s="8">
        <v>9</v>
      </c>
      <c r="M209" s="333">
        <f>L209/0.0671</f>
        <v>134.12816691505213</v>
      </c>
      <c r="N209" s="8">
        <v>122</v>
      </c>
    </row>
    <row r="210" spans="2:14" ht="42" customHeight="1" x14ac:dyDescent="0.3">
      <c r="B210" s="8">
        <v>2175</v>
      </c>
      <c r="C210" s="8" t="s">
        <v>1070</v>
      </c>
      <c r="D210" s="8" t="s">
        <v>985</v>
      </c>
      <c r="E210" s="8">
        <v>20251217</v>
      </c>
      <c r="G210" s="8" t="s">
        <v>1071</v>
      </c>
      <c r="H210" s="8">
        <v>0</v>
      </c>
      <c r="I210" s="8" t="s">
        <v>665</v>
      </c>
      <c r="L210" s="8">
        <v>7.32</v>
      </c>
      <c r="M210" s="333">
        <f>L210/0.1433</f>
        <v>51.081646894626658</v>
      </c>
      <c r="N210" s="8">
        <v>55</v>
      </c>
    </row>
    <row r="211" spans="2:14" ht="42" customHeight="1" x14ac:dyDescent="0.3">
      <c r="B211" s="8">
        <v>603305</v>
      </c>
      <c r="C211" s="8" t="s">
        <v>1072</v>
      </c>
      <c r="D211" s="8" t="s">
        <v>985</v>
      </c>
      <c r="E211" s="8">
        <v>20251219</v>
      </c>
      <c r="G211" s="8" t="s">
        <v>1073</v>
      </c>
      <c r="H211" s="8">
        <v>0</v>
      </c>
      <c r="I211" s="8" t="s">
        <v>665</v>
      </c>
      <c r="L211" s="8">
        <v>43</v>
      </c>
      <c r="M211" s="333">
        <f>L211/0.27</f>
        <v>159.25925925925924</v>
      </c>
      <c r="N211" s="8">
        <v>168</v>
      </c>
    </row>
    <row r="212" spans="2:14" ht="28" customHeight="1" x14ac:dyDescent="0.3">
      <c r="B212" s="8">
        <v>603608</v>
      </c>
      <c r="C212" s="8" t="s">
        <v>372</v>
      </c>
      <c r="D212" s="8" t="s">
        <v>996</v>
      </c>
      <c r="E212" s="8">
        <v>20251220</v>
      </c>
      <c r="G212" s="8" t="s">
        <v>1074</v>
      </c>
      <c r="H212" s="8">
        <v>0</v>
      </c>
      <c r="I212" s="8" t="s">
        <v>665</v>
      </c>
      <c r="J212" s="8" t="s">
        <v>1075</v>
      </c>
      <c r="L212" s="8">
        <v>6.28</v>
      </c>
      <c r="M212" s="333">
        <f>L212/0.2</f>
        <v>31.4</v>
      </c>
      <c r="N212" s="8">
        <v>35</v>
      </c>
    </row>
    <row r="213" spans="2:14" ht="14.5" customHeight="1" x14ac:dyDescent="0.3">
      <c r="B213" s="8">
        <v>301025</v>
      </c>
      <c r="C213" s="8" t="s">
        <v>1076</v>
      </c>
      <c r="D213" s="8" t="s">
        <v>237</v>
      </c>
      <c r="E213" s="8">
        <v>20251222</v>
      </c>
      <c r="H213" s="8">
        <v>0</v>
      </c>
      <c r="I213" s="8" t="s">
        <v>665</v>
      </c>
      <c r="N213" s="8">
        <v>40</v>
      </c>
    </row>
    <row r="214" spans="2:14" ht="70" customHeight="1" x14ac:dyDescent="0.3">
      <c r="B214" s="8">
        <v>300585</v>
      </c>
      <c r="C214" s="8" t="s">
        <v>1077</v>
      </c>
      <c r="D214" s="8" t="s">
        <v>996</v>
      </c>
      <c r="E214" s="8">
        <v>20251222</v>
      </c>
      <c r="G214" s="8" t="s">
        <v>1078</v>
      </c>
      <c r="H214" s="8">
        <v>0</v>
      </c>
      <c r="I214" s="8" t="s">
        <v>665</v>
      </c>
      <c r="J214" s="8" t="s">
        <v>1079</v>
      </c>
      <c r="L214" s="8">
        <v>6.3</v>
      </c>
      <c r="M214" s="333">
        <f>L214/0.1909</f>
        <v>33.001571503404925</v>
      </c>
      <c r="N214" s="8">
        <v>39</v>
      </c>
    </row>
    <row r="215" spans="2:14" ht="42" customHeight="1" x14ac:dyDescent="0.3">
      <c r="B215" s="8">
        <v>2420</v>
      </c>
      <c r="C215" s="8" t="s">
        <v>1080</v>
      </c>
      <c r="D215" s="8" t="s">
        <v>985</v>
      </c>
      <c r="E215" s="8">
        <v>20251222</v>
      </c>
      <c r="G215" s="8" t="s">
        <v>1081</v>
      </c>
      <c r="H215" s="8">
        <v>0</v>
      </c>
      <c r="I215" s="8" t="s">
        <v>665</v>
      </c>
      <c r="L215" s="8">
        <v>8.5</v>
      </c>
      <c r="M215" s="333">
        <f>L215/0.2533</f>
        <v>33.557046979865767</v>
      </c>
      <c r="N215" s="8">
        <v>34</v>
      </c>
    </row>
    <row r="216" spans="2:14" ht="42" customHeight="1" x14ac:dyDescent="0.3">
      <c r="B216" s="8">
        <v>2718</v>
      </c>
      <c r="C216" s="8" t="s">
        <v>1082</v>
      </c>
      <c r="D216" s="8" t="s">
        <v>996</v>
      </c>
      <c r="E216" s="8">
        <v>20251224</v>
      </c>
      <c r="G216" s="8" t="s">
        <v>1083</v>
      </c>
      <c r="H216" s="8">
        <v>0</v>
      </c>
      <c r="I216" s="8" t="s">
        <v>665</v>
      </c>
      <c r="J216" s="8" t="s">
        <v>1084</v>
      </c>
      <c r="L216" s="8">
        <v>11.41</v>
      </c>
      <c r="M216" s="333">
        <f>L216/0.3</f>
        <v>38.033333333333339</v>
      </c>
      <c r="N216" s="8">
        <v>42</v>
      </c>
    </row>
    <row r="217" spans="2:14" ht="42" customHeight="1" x14ac:dyDescent="0.3">
      <c r="B217" s="8">
        <v>300955</v>
      </c>
      <c r="C217" s="8" t="s">
        <v>1085</v>
      </c>
      <c r="D217" s="8" t="s">
        <v>996</v>
      </c>
      <c r="E217" s="8">
        <v>20251224</v>
      </c>
      <c r="G217" s="8" t="s">
        <v>1086</v>
      </c>
      <c r="H217" s="8">
        <v>0</v>
      </c>
      <c r="I217" s="8" t="s">
        <v>665</v>
      </c>
      <c r="J217" s="8" t="s">
        <v>1087</v>
      </c>
      <c r="L217" s="8">
        <v>10</v>
      </c>
      <c r="M217" s="333">
        <f>L217/0.297</f>
        <v>33.670033670033675</v>
      </c>
      <c r="N217" s="8">
        <v>42</v>
      </c>
    </row>
    <row r="218" spans="2:14" ht="28" customHeight="1" x14ac:dyDescent="0.3">
      <c r="B218" s="8">
        <v>603828</v>
      </c>
      <c r="C218" s="8" t="s">
        <v>1088</v>
      </c>
      <c r="D218" s="8" t="s">
        <v>996</v>
      </c>
      <c r="E218" s="8">
        <v>20260101</v>
      </c>
      <c r="G218" s="8" t="s">
        <v>1089</v>
      </c>
      <c r="H218" s="8">
        <v>0</v>
      </c>
      <c r="I218" s="8" t="s">
        <v>665</v>
      </c>
      <c r="J218" s="8" t="s">
        <v>1090</v>
      </c>
      <c r="L218" s="8">
        <v>3.25</v>
      </c>
      <c r="M218" s="333">
        <f>L218/0.1874</f>
        <v>17.34258271077908</v>
      </c>
      <c r="N218" s="8">
        <v>50</v>
      </c>
    </row>
    <row r="219" spans="2:14" ht="14.5" customHeight="1" x14ac:dyDescent="0.3">
      <c r="B219" s="8">
        <v>600721</v>
      </c>
      <c r="C219" s="8" t="s">
        <v>1091</v>
      </c>
      <c r="D219" s="8" t="s">
        <v>237</v>
      </c>
      <c r="E219" s="8">
        <v>20251227</v>
      </c>
      <c r="H219" s="8">
        <v>0</v>
      </c>
      <c r="I219" s="8" t="s">
        <v>590</v>
      </c>
      <c r="N219" s="8">
        <v>47</v>
      </c>
    </row>
    <row r="220" spans="2:14" ht="70" customHeight="1" x14ac:dyDescent="0.3">
      <c r="B220" s="8">
        <v>2476</v>
      </c>
      <c r="C220" s="8" t="s">
        <v>650</v>
      </c>
      <c r="D220" s="8" t="s">
        <v>237</v>
      </c>
      <c r="E220" s="8">
        <v>20260107</v>
      </c>
      <c r="G220" s="8" t="s">
        <v>1092</v>
      </c>
      <c r="H220" s="8">
        <v>0</v>
      </c>
      <c r="I220" s="8" t="s">
        <v>665</v>
      </c>
      <c r="J220" s="8" t="s">
        <v>1093</v>
      </c>
      <c r="L220" s="8">
        <v>0.81</v>
      </c>
      <c r="M220" s="333">
        <f>L220/0.12</f>
        <v>6.7500000000000009</v>
      </c>
      <c r="N220" s="8">
        <v>47</v>
      </c>
    </row>
    <row r="221" spans="2:14" ht="28" customHeight="1" x14ac:dyDescent="0.3">
      <c r="B221" s="8">
        <v>608</v>
      </c>
      <c r="C221" s="8" t="s">
        <v>1094</v>
      </c>
      <c r="D221" s="8" t="s">
        <v>996</v>
      </c>
      <c r="E221" s="8">
        <v>20260107</v>
      </c>
      <c r="G221" s="8" t="s">
        <v>1095</v>
      </c>
      <c r="H221" s="8">
        <v>0</v>
      </c>
      <c r="I221" s="8" t="s">
        <v>665</v>
      </c>
      <c r="L221" s="8">
        <v>4.34</v>
      </c>
      <c r="M221" s="333">
        <f>L221/0.2</f>
        <v>21.7</v>
      </c>
      <c r="N221" s="8">
        <v>22</v>
      </c>
    </row>
    <row r="222" spans="2:14" ht="28" customHeight="1" x14ac:dyDescent="0.3">
      <c r="B222" s="8">
        <v>300192</v>
      </c>
      <c r="C222" s="8" t="s">
        <v>713</v>
      </c>
      <c r="D222" s="8" t="s">
        <v>996</v>
      </c>
      <c r="E222" s="8">
        <v>20260108</v>
      </c>
      <c r="G222" s="8" t="s">
        <v>1096</v>
      </c>
      <c r="H222" s="8">
        <v>0</v>
      </c>
      <c r="I222" s="8" t="s">
        <v>665</v>
      </c>
      <c r="J222" s="8" t="s">
        <v>1097</v>
      </c>
      <c r="L222" s="8">
        <v>13.35</v>
      </c>
      <c r="M222" s="333">
        <f>L222/0.25</f>
        <v>53.4</v>
      </c>
      <c r="N222" s="8">
        <v>72</v>
      </c>
    </row>
    <row r="223" spans="2:14" ht="28" customHeight="1" x14ac:dyDescent="0.3">
      <c r="B223" s="8">
        <v>300169</v>
      </c>
      <c r="C223" s="8" t="s">
        <v>1098</v>
      </c>
      <c r="D223" s="8" t="s">
        <v>996</v>
      </c>
      <c r="E223" s="8">
        <v>20260108</v>
      </c>
      <c r="G223" s="8" t="s">
        <v>1099</v>
      </c>
      <c r="H223" s="8">
        <v>0</v>
      </c>
      <c r="I223" s="8" t="s">
        <v>665</v>
      </c>
      <c r="J223" s="8" t="s">
        <v>1100</v>
      </c>
      <c r="L223" s="8">
        <v>1.3</v>
      </c>
      <c r="M223" s="333">
        <f>L223/0.0629</f>
        <v>20.667726550079493</v>
      </c>
      <c r="N223" s="8">
        <v>21</v>
      </c>
    </row>
    <row r="224" spans="2:14" ht="42" customHeight="1" x14ac:dyDescent="0.3">
      <c r="B224" s="8">
        <v>2554</v>
      </c>
      <c r="C224" s="8" t="s">
        <v>1101</v>
      </c>
      <c r="D224" s="8" t="s">
        <v>1028</v>
      </c>
      <c r="E224" s="8">
        <v>20260108</v>
      </c>
      <c r="F224" s="8">
        <v>20260509</v>
      </c>
      <c r="G224" s="8" t="s">
        <v>1102</v>
      </c>
      <c r="H224" s="8">
        <v>0</v>
      </c>
      <c r="I224" s="8" t="s">
        <v>524</v>
      </c>
      <c r="J224" s="8" t="s">
        <v>1103</v>
      </c>
      <c r="L224" s="8">
        <v>11.74</v>
      </c>
      <c r="M224" s="333">
        <f>L224/0.256</f>
        <v>45.859375</v>
      </c>
      <c r="N224" s="8">
        <v>47</v>
      </c>
    </row>
    <row r="225" spans="2:14" ht="28" customHeight="1" x14ac:dyDescent="0.3">
      <c r="B225" s="8">
        <v>301218</v>
      </c>
      <c r="C225" s="8" t="s">
        <v>1104</v>
      </c>
      <c r="E225" s="8">
        <v>20260113</v>
      </c>
      <c r="G225" s="8" t="s">
        <v>1105</v>
      </c>
      <c r="H225" s="8">
        <v>0</v>
      </c>
      <c r="I225" s="8" t="s">
        <v>665</v>
      </c>
      <c r="L225" s="8">
        <v>3.6</v>
      </c>
      <c r="M225" s="333">
        <f>L225/0.1132</f>
        <v>31.802120141342758</v>
      </c>
      <c r="N225" s="8">
        <v>33</v>
      </c>
    </row>
    <row r="226" spans="2:14" ht="14.5" customHeight="1" x14ac:dyDescent="0.3">
      <c r="B226" s="8">
        <v>605028</v>
      </c>
      <c r="C226" s="8" t="s">
        <v>1106</v>
      </c>
      <c r="E226" s="8">
        <v>20260113</v>
      </c>
      <c r="H226" s="8">
        <v>0</v>
      </c>
      <c r="I226" s="8" t="s">
        <v>590</v>
      </c>
      <c r="N226" s="8">
        <v>56</v>
      </c>
    </row>
    <row r="227" spans="2:14" ht="28" customHeight="1" x14ac:dyDescent="0.3">
      <c r="B227" s="8">
        <v>603078</v>
      </c>
      <c r="C227" s="8" t="s">
        <v>601</v>
      </c>
      <c r="D227" s="8" t="s">
        <v>1028</v>
      </c>
      <c r="E227" s="8">
        <v>20260110</v>
      </c>
      <c r="G227" s="8" t="s">
        <v>1107</v>
      </c>
      <c r="H227" s="8">
        <v>0</v>
      </c>
      <c r="I227" s="8" t="s">
        <v>665</v>
      </c>
      <c r="L227" s="8">
        <v>18.48</v>
      </c>
      <c r="M227" s="333">
        <f>L227/0.24</f>
        <v>77</v>
      </c>
      <c r="N227" s="8">
        <v>82</v>
      </c>
    </row>
    <row r="228" spans="2:14" ht="14.5" customHeight="1" x14ac:dyDescent="0.3">
      <c r="B228" s="8">
        <v>603980</v>
      </c>
      <c r="C228" s="8" t="s">
        <v>1108</v>
      </c>
      <c r="D228" s="8" t="s">
        <v>237</v>
      </c>
      <c r="E228" s="8">
        <v>20260131</v>
      </c>
      <c r="H228" s="8">
        <v>0</v>
      </c>
      <c r="I228" s="8" t="s">
        <v>665</v>
      </c>
      <c r="N228" s="8">
        <v>44</v>
      </c>
    </row>
    <row r="229" spans="2:14" ht="28.5" customHeight="1" x14ac:dyDescent="0.3">
      <c r="B229" s="8">
        <v>2462</v>
      </c>
      <c r="C229" s="8" t="s">
        <v>1109</v>
      </c>
      <c r="D229" s="8" t="s">
        <v>985</v>
      </c>
      <c r="E229" s="8">
        <v>20260128</v>
      </c>
      <c r="G229" s="8" t="s">
        <v>1110</v>
      </c>
      <c r="H229" s="8">
        <v>0</v>
      </c>
      <c r="I229" s="8" t="s">
        <v>665</v>
      </c>
      <c r="L229" s="8">
        <v>14.6</v>
      </c>
      <c r="M229" s="333">
        <f>L229/0.2848</f>
        <v>51.264044943820224</v>
      </c>
      <c r="N229" s="8">
        <v>47</v>
      </c>
    </row>
    <row r="230" spans="2:14" ht="42" customHeight="1" x14ac:dyDescent="0.3">
      <c r="B230" s="8">
        <v>600730</v>
      </c>
      <c r="C230" s="8" t="s">
        <v>1058</v>
      </c>
      <c r="D230" s="8" t="s">
        <v>1028</v>
      </c>
      <c r="E230" s="8">
        <v>20251213</v>
      </c>
      <c r="F230" s="8">
        <v>20260213</v>
      </c>
      <c r="G230" s="8" t="s">
        <v>1111</v>
      </c>
      <c r="H230" s="8">
        <v>5</v>
      </c>
      <c r="I230" s="8" t="s">
        <v>524</v>
      </c>
      <c r="J230" s="8" t="s">
        <v>1112</v>
      </c>
      <c r="L230" s="8">
        <v>12</v>
      </c>
      <c r="M230" s="333">
        <f>L230/0.2</f>
        <v>60</v>
      </c>
      <c r="N230" s="8">
        <v>60</v>
      </c>
    </row>
    <row r="231" spans="2:14" ht="42" customHeight="1" x14ac:dyDescent="0.3">
      <c r="B231" s="8">
        <v>603182</v>
      </c>
      <c r="C231" s="8" t="s">
        <v>1113</v>
      </c>
      <c r="D231" s="8" t="s">
        <v>985</v>
      </c>
      <c r="E231" s="8">
        <v>20260407</v>
      </c>
      <c r="G231" s="8" t="s">
        <v>1114</v>
      </c>
      <c r="I231" s="8" t="s">
        <v>665</v>
      </c>
      <c r="L231" s="8">
        <v>6.27</v>
      </c>
      <c r="M231" s="333">
        <f>L231/0.22</f>
        <v>28.499999999999996</v>
      </c>
      <c r="N231" s="8">
        <v>24</v>
      </c>
    </row>
    <row r="232" spans="2:14" ht="42" customHeight="1" x14ac:dyDescent="0.3">
      <c r="B232" s="8">
        <v>603779</v>
      </c>
      <c r="C232" s="8" t="s">
        <v>1115</v>
      </c>
      <c r="D232" s="8" t="s">
        <v>985</v>
      </c>
      <c r="E232" s="8">
        <v>20260514</v>
      </c>
      <c r="G232" s="8" t="s">
        <v>1116</v>
      </c>
      <c r="I232" s="8" t="s">
        <v>665</v>
      </c>
      <c r="L232" s="8">
        <v>5.72</v>
      </c>
      <c r="M232" s="333">
        <f>L232/0.23</f>
        <v>24.869565217391301</v>
      </c>
      <c r="N232" s="8">
        <v>25</v>
      </c>
    </row>
    <row r="233" spans="2:14" ht="42" customHeight="1" x14ac:dyDescent="0.3">
      <c r="B233" s="8">
        <v>603311</v>
      </c>
      <c r="C233" s="8" t="s">
        <v>1117</v>
      </c>
      <c r="E233" s="8">
        <v>20260514</v>
      </c>
      <c r="F233" s="8">
        <v>20260611</v>
      </c>
      <c r="G233" s="8" t="s">
        <v>1118</v>
      </c>
      <c r="H233" s="8">
        <v>4</v>
      </c>
      <c r="I233" s="8" t="s">
        <v>665</v>
      </c>
      <c r="J233" s="8" t="s">
        <v>1119</v>
      </c>
      <c r="L233" s="8">
        <v>14.52</v>
      </c>
      <c r="M233" s="333">
        <f>L233/0.296</f>
        <v>49.054054054054056</v>
      </c>
      <c r="N233" s="8">
        <v>55</v>
      </c>
    </row>
    <row r="234" spans="2:14" ht="42" customHeight="1" x14ac:dyDescent="0.3">
      <c r="B234" s="8">
        <v>688193</v>
      </c>
      <c r="C234" s="8" t="s">
        <v>1120</v>
      </c>
      <c r="D234" s="8" t="s">
        <v>996</v>
      </c>
      <c r="E234" s="8">
        <v>20260514</v>
      </c>
      <c r="F234" s="8">
        <v>20260812</v>
      </c>
      <c r="G234" s="8" t="s">
        <v>1121</v>
      </c>
      <c r="H234" s="8">
        <v>4</v>
      </c>
      <c r="I234" s="8" t="s">
        <v>524</v>
      </c>
      <c r="J234" s="8" t="s">
        <v>1122</v>
      </c>
      <c r="L234" s="8">
        <v>5.16</v>
      </c>
      <c r="M234" s="333">
        <f>L234/0.2125</f>
        <v>24.282352941176473</v>
      </c>
      <c r="N234" s="8">
        <v>23</v>
      </c>
    </row>
    <row r="235" spans="2:14" ht="42" customHeight="1" x14ac:dyDescent="0.3">
      <c r="B235" s="8">
        <v>659</v>
      </c>
      <c r="C235" s="8" t="s">
        <v>1123</v>
      </c>
      <c r="D235" s="8" t="s">
        <v>996</v>
      </c>
      <c r="E235" s="8">
        <v>20260404</v>
      </c>
      <c r="G235" s="8" t="s">
        <v>1124</v>
      </c>
      <c r="I235" s="8" t="s">
        <v>665</v>
      </c>
      <c r="N235" s="8">
        <v>55</v>
      </c>
    </row>
    <row r="236" spans="2:14" ht="42" customHeight="1" x14ac:dyDescent="0.3">
      <c r="B236" s="8">
        <v>601020</v>
      </c>
      <c r="C236" t="s">
        <v>1125</v>
      </c>
      <c r="D236" s="8" t="s">
        <v>996</v>
      </c>
      <c r="E236" s="8">
        <v>20260410</v>
      </c>
      <c r="G236" s="8" t="s">
        <v>1126</v>
      </c>
      <c r="I236" s="8" t="s">
        <v>665</v>
      </c>
      <c r="J236" s="8" t="s">
        <v>1127</v>
      </c>
      <c r="L236" s="8">
        <v>25.12</v>
      </c>
      <c r="M236" s="333">
        <f>L236/0.11</f>
        <v>228.36363636363637</v>
      </c>
      <c r="N236" s="8">
        <v>239</v>
      </c>
    </row>
    <row r="237" spans="2:14" ht="42" customHeight="1" x14ac:dyDescent="0.3">
      <c r="B237" s="8">
        <v>2357</v>
      </c>
      <c r="C237" s="8" t="s">
        <v>1128</v>
      </c>
      <c r="D237" s="8" t="s">
        <v>985</v>
      </c>
      <c r="E237" s="8">
        <v>20260331</v>
      </c>
      <c r="G237" s="8" t="s">
        <v>1129</v>
      </c>
      <c r="I237" s="8" t="s">
        <v>665</v>
      </c>
      <c r="J237" s="8" t="s">
        <v>1130</v>
      </c>
      <c r="L237" s="8">
        <v>8</v>
      </c>
      <c r="M237" s="333">
        <f>L237/0.18</f>
        <v>44.444444444444443</v>
      </c>
      <c r="N237" s="8">
        <v>38</v>
      </c>
    </row>
    <row r="238" spans="2:14" ht="28" customHeight="1" x14ac:dyDescent="0.3">
      <c r="B238" s="8">
        <v>2686</v>
      </c>
      <c r="C238" s="8" t="s">
        <v>1131</v>
      </c>
      <c r="D238" s="8" t="s">
        <v>1028</v>
      </c>
      <c r="E238" s="8">
        <v>20260403</v>
      </c>
      <c r="G238" s="8" t="s">
        <v>1132</v>
      </c>
      <c r="I238" s="8" t="s">
        <v>665</v>
      </c>
      <c r="L238" s="8">
        <v>13.25</v>
      </c>
      <c r="M238" s="333">
        <f>L238/0.3</f>
        <v>44.166666666666671</v>
      </c>
      <c r="N238" s="8">
        <v>46</v>
      </c>
    </row>
    <row r="239" spans="2:14" x14ac:dyDescent="0.3">
      <c r="B239" s="8">
        <v>2629</v>
      </c>
      <c r="C239" s="8" t="s">
        <v>1133</v>
      </c>
      <c r="E239" s="8">
        <v>20260514</v>
      </c>
      <c r="N239" s="8">
        <v>32</v>
      </c>
    </row>
    <row r="240" spans="2:14" ht="56" customHeight="1" x14ac:dyDescent="0.3">
      <c r="B240" s="8">
        <v>600228</v>
      </c>
      <c r="C240" s="8" t="s">
        <v>1134</v>
      </c>
      <c r="D240" s="8" t="s">
        <v>996</v>
      </c>
      <c r="E240" s="8">
        <v>20260625</v>
      </c>
      <c r="G240" s="8" t="s">
        <v>1135</v>
      </c>
      <c r="H240" s="8">
        <v>5</v>
      </c>
      <c r="I240" s="8" t="s">
        <v>665</v>
      </c>
      <c r="J240" s="8" t="s">
        <v>1136</v>
      </c>
      <c r="L240" s="8">
        <v>5.5</v>
      </c>
      <c r="M240" s="333">
        <f>5.5/0.16</f>
        <v>34.375</v>
      </c>
      <c r="N240" s="8">
        <v>34</v>
      </c>
    </row>
    <row r="241" spans="2:14" ht="28" customHeight="1" x14ac:dyDescent="0.3">
      <c r="B241" s="8">
        <v>2569</v>
      </c>
      <c r="C241" s="8" t="s">
        <v>1137</v>
      </c>
      <c r="D241" s="8" t="s">
        <v>996</v>
      </c>
      <c r="E241" s="8">
        <v>20260320</v>
      </c>
      <c r="G241" s="8" t="s">
        <v>1138</v>
      </c>
      <c r="I241" s="8" t="s">
        <v>524</v>
      </c>
      <c r="L241" s="8">
        <v>3</v>
      </c>
      <c r="M241" s="333">
        <f>L241/0.1461</f>
        <v>20.533880903490758</v>
      </c>
      <c r="N241" s="8">
        <v>20</v>
      </c>
    </row>
    <row r="242" spans="2:14" ht="28" customHeight="1" x14ac:dyDescent="0.3">
      <c r="B242" s="8">
        <v>600721</v>
      </c>
      <c r="C242" s="8" t="s">
        <v>1091</v>
      </c>
      <c r="D242" s="8" t="s">
        <v>985</v>
      </c>
      <c r="E242" s="8">
        <v>20260610</v>
      </c>
      <c r="G242" s="8" t="s">
        <v>1139</v>
      </c>
      <c r="I242" s="8" t="s">
        <v>524</v>
      </c>
      <c r="L242" s="8">
        <v>8.6</v>
      </c>
      <c r="M242" s="333">
        <f>L242/0.2061</f>
        <v>41.727316836487141</v>
      </c>
      <c r="N242" s="8">
        <v>40</v>
      </c>
    </row>
    <row r="243" spans="2:14" ht="56" customHeight="1" x14ac:dyDescent="0.3">
      <c r="B243" s="8">
        <v>603216</v>
      </c>
      <c r="C243" s="8" t="s">
        <v>1140</v>
      </c>
      <c r="D243" s="8" t="s">
        <v>996</v>
      </c>
      <c r="E243" s="8">
        <v>20251219</v>
      </c>
      <c r="G243" s="8" t="s">
        <v>1141</v>
      </c>
      <c r="H243" s="8">
        <v>5</v>
      </c>
      <c r="I243" s="8" t="s">
        <v>524</v>
      </c>
      <c r="J243" s="8" t="s">
        <v>1142</v>
      </c>
    </row>
    <row r="244" spans="2:14" ht="42" customHeight="1" x14ac:dyDescent="0.3">
      <c r="B244" s="8">
        <v>603903</v>
      </c>
      <c r="C244" s="8" t="s">
        <v>586</v>
      </c>
      <c r="D244" s="8" t="s">
        <v>975</v>
      </c>
      <c r="E244" s="8">
        <v>20260106</v>
      </c>
      <c r="F244" s="8">
        <v>20260106</v>
      </c>
      <c r="G244" s="8" t="s">
        <v>1143</v>
      </c>
      <c r="H244" s="8">
        <v>5</v>
      </c>
      <c r="I244" s="8" t="s">
        <v>524</v>
      </c>
      <c r="J244" s="8" t="s">
        <v>1144</v>
      </c>
      <c r="L244" s="8">
        <v>5.8</v>
      </c>
      <c r="M244" s="333">
        <f>L244/0.2473</f>
        <v>23.453295592397897</v>
      </c>
      <c r="N244" s="8">
        <v>30</v>
      </c>
    </row>
    <row r="245" spans="2:14" ht="42" customHeight="1" x14ac:dyDescent="0.3">
      <c r="B245" s="8">
        <v>603722</v>
      </c>
      <c r="C245" s="8" t="s">
        <v>1145</v>
      </c>
      <c r="D245" s="8" t="s">
        <v>996</v>
      </c>
      <c r="E245" s="8">
        <v>20260703</v>
      </c>
      <c r="G245" s="8" t="s">
        <v>1146</v>
      </c>
      <c r="H245" s="8">
        <v>5</v>
      </c>
      <c r="I245" s="8" t="s">
        <v>665</v>
      </c>
      <c r="J245" s="8" t="s">
        <v>1147</v>
      </c>
      <c r="L245" s="8">
        <v>6</v>
      </c>
      <c r="M245" s="333">
        <f>L245/0.174</f>
        <v>34.482758620689658</v>
      </c>
      <c r="N245" s="8">
        <v>35</v>
      </c>
    </row>
    <row r="246" spans="2:14" ht="28" customHeight="1" x14ac:dyDescent="0.3">
      <c r="B246" s="8">
        <v>2677</v>
      </c>
      <c r="C246" s="8" t="s">
        <v>1148</v>
      </c>
      <c r="D246" s="8" t="s">
        <v>996</v>
      </c>
      <c r="E246" s="8">
        <v>20260709</v>
      </c>
      <c r="G246" s="8" t="s">
        <v>1149</v>
      </c>
      <c r="H246" s="8">
        <v>0</v>
      </c>
      <c r="I246" s="8" t="s">
        <v>665</v>
      </c>
      <c r="J246" s="8" t="s">
        <v>1150</v>
      </c>
      <c r="L246" s="8">
        <v>12.9</v>
      </c>
      <c r="M246" s="333">
        <f>L246/0.3</f>
        <v>43</v>
      </c>
      <c r="N246" s="8">
        <v>45</v>
      </c>
    </row>
    <row r="247" spans="2:14" ht="28" customHeight="1" x14ac:dyDescent="0.3">
      <c r="B247" s="8">
        <v>153</v>
      </c>
      <c r="C247" s="8" t="s">
        <v>1151</v>
      </c>
      <c r="D247" s="8" t="s">
        <v>985</v>
      </c>
      <c r="E247" s="8">
        <v>20260708</v>
      </c>
      <c r="G247" s="8" t="s">
        <v>1152</v>
      </c>
      <c r="I247" s="8" t="s">
        <v>665</v>
      </c>
      <c r="L247" s="8">
        <v>7</v>
      </c>
      <c r="M247" s="333">
        <f>L247/0.2352</f>
        <v>29.761904761904763</v>
      </c>
      <c r="N247" s="8">
        <v>24</v>
      </c>
    </row>
    <row r="248" spans="2:14" ht="42" customHeight="1" x14ac:dyDescent="0.3">
      <c r="B248" s="8">
        <v>603580</v>
      </c>
      <c r="C248" s="8" t="s">
        <v>1153</v>
      </c>
      <c r="D248" s="8" t="s">
        <v>996</v>
      </c>
      <c r="E248" s="8">
        <v>20260707</v>
      </c>
      <c r="G248" s="8" t="s">
        <v>1154</v>
      </c>
      <c r="H248" s="8">
        <v>4</v>
      </c>
      <c r="I248" s="8" t="s">
        <v>665</v>
      </c>
      <c r="J248" s="8" t="s">
        <v>1155</v>
      </c>
      <c r="L248" s="8">
        <v>10</v>
      </c>
      <c r="M248" s="333">
        <f>L248/0.3</f>
        <v>33.333333333333336</v>
      </c>
      <c r="N248" s="8">
        <v>40</v>
      </c>
    </row>
    <row r="249" spans="2:14" ht="28" customHeight="1" x14ac:dyDescent="0.3">
      <c r="B249" s="8">
        <v>600405</v>
      </c>
      <c r="C249" s="8" t="s">
        <v>1156</v>
      </c>
      <c r="D249" s="8" t="s">
        <v>996</v>
      </c>
      <c r="E249" s="8">
        <v>20260707</v>
      </c>
      <c r="G249" s="8" t="s">
        <v>1157</v>
      </c>
      <c r="I249" s="8" t="s">
        <v>665</v>
      </c>
      <c r="L249" s="8">
        <v>2.2999999999999998</v>
      </c>
      <c r="M249" s="333">
        <f>L249/0.09</f>
        <v>25.555555555555554</v>
      </c>
      <c r="N249" s="8">
        <v>28</v>
      </c>
    </row>
    <row r="250" spans="2:14" ht="56" customHeight="1" x14ac:dyDescent="0.3">
      <c r="B250" s="8">
        <v>688237</v>
      </c>
      <c r="C250" s="8" t="s">
        <v>1030</v>
      </c>
      <c r="D250" s="8" t="s">
        <v>996</v>
      </c>
      <c r="E250" s="8">
        <v>20260718</v>
      </c>
      <c r="G250" s="8" t="s">
        <v>1158</v>
      </c>
      <c r="H250" s="8">
        <v>5</v>
      </c>
      <c r="I250" s="8" t="s">
        <v>665</v>
      </c>
      <c r="J250" s="8" t="s">
        <v>1159</v>
      </c>
      <c r="L250" s="8">
        <v>10.199999999999999</v>
      </c>
      <c r="M250" s="333">
        <f>L250/0.2658</f>
        <v>38.37471783295711</v>
      </c>
      <c r="N250" s="8">
        <v>48</v>
      </c>
    </row>
    <row r="251" spans="2:14" ht="28" customHeight="1" x14ac:dyDescent="0.3">
      <c r="B251" s="8">
        <v>300242</v>
      </c>
      <c r="C251" s="8" t="s">
        <v>1160</v>
      </c>
      <c r="D251" s="8" t="s">
        <v>996</v>
      </c>
      <c r="E251" s="8">
        <v>20260723</v>
      </c>
      <c r="G251" s="8" t="s">
        <v>1161</v>
      </c>
      <c r="H251" s="8">
        <v>1</v>
      </c>
      <c r="I251" s="8" t="s">
        <v>665</v>
      </c>
      <c r="J251" s="8" t="s">
        <v>1162</v>
      </c>
      <c r="L251" s="8">
        <v>5</v>
      </c>
      <c r="M251" s="333">
        <f>L251/0.1831</f>
        <v>27.307482250136534</v>
      </c>
      <c r="N251" s="8">
        <v>27</v>
      </c>
    </row>
    <row r="252" spans="2:14" ht="28" customHeight="1" x14ac:dyDescent="0.3">
      <c r="B252" s="8">
        <v>300996</v>
      </c>
      <c r="C252" s="8" t="s">
        <v>1163</v>
      </c>
      <c r="D252" s="8" t="s">
        <v>996</v>
      </c>
      <c r="E252" s="8">
        <v>20260725</v>
      </c>
      <c r="G252" s="8" t="s">
        <v>1164</v>
      </c>
      <c r="I252" s="8" t="s">
        <v>665</v>
      </c>
      <c r="J252" s="8" t="s">
        <v>1165</v>
      </c>
      <c r="L252" s="8">
        <v>8.6</v>
      </c>
      <c r="M252" s="333">
        <f>L252/0.1907</f>
        <v>45.097011012060825</v>
      </c>
      <c r="N252" s="8">
        <v>51</v>
      </c>
    </row>
    <row r="253" spans="2:14" x14ac:dyDescent="0.3">
      <c r="B253" s="8">
        <v>2828</v>
      </c>
      <c r="C253" s="8" t="s">
        <v>745</v>
      </c>
      <c r="D253" s="8" t="s">
        <v>237</v>
      </c>
      <c r="E253" s="8">
        <v>20260725</v>
      </c>
      <c r="G253" s="8" t="s">
        <v>1166</v>
      </c>
      <c r="I253" s="8" t="s">
        <v>665</v>
      </c>
      <c r="J253" s="8" t="s">
        <v>1167</v>
      </c>
      <c r="L253" s="8">
        <v>4</v>
      </c>
      <c r="M253" s="333">
        <f>L253/0.1165</f>
        <v>34.334763948497852</v>
      </c>
      <c r="N253" s="8">
        <v>25</v>
      </c>
    </row>
    <row r="254" spans="2:14" ht="28" customHeight="1" x14ac:dyDescent="0.3">
      <c r="B254" s="8">
        <v>2729</v>
      </c>
      <c r="C254" s="8" t="s">
        <v>1168</v>
      </c>
      <c r="D254" s="8" t="s">
        <v>985</v>
      </c>
      <c r="E254" s="8">
        <v>20260705</v>
      </c>
      <c r="G254" s="8" t="s">
        <v>1169</v>
      </c>
      <c r="I254" s="8" t="s">
        <v>665</v>
      </c>
      <c r="L254" s="8">
        <v>6</v>
      </c>
      <c r="M254" s="333">
        <f>L254/0.18</f>
        <v>33.333333333333336</v>
      </c>
      <c r="N254" s="8">
        <v>33</v>
      </c>
    </row>
    <row r="255" spans="2:14" ht="42" customHeight="1" x14ac:dyDescent="0.3">
      <c r="B255" s="8">
        <v>300333</v>
      </c>
      <c r="C255" s="8" t="s">
        <v>1170</v>
      </c>
      <c r="D255" s="8" t="s">
        <v>996</v>
      </c>
      <c r="E255" s="8">
        <v>20260729</v>
      </c>
      <c r="G255" s="8" t="s">
        <v>1171</v>
      </c>
      <c r="I255" s="8" t="s">
        <v>665</v>
      </c>
      <c r="J255" s="8" t="s">
        <v>1172</v>
      </c>
      <c r="L255" s="8">
        <v>5.39</v>
      </c>
      <c r="M255" s="333">
        <f>L255/0.1418</f>
        <v>38.011283497884342</v>
      </c>
      <c r="N255" s="8">
        <v>29</v>
      </c>
    </row>
    <row r="256" spans="2:14" ht="28" customHeight="1" x14ac:dyDescent="0.3">
      <c r="B256" s="8">
        <v>2036</v>
      </c>
      <c r="C256" s="8" t="s">
        <v>1068</v>
      </c>
      <c r="D256" s="8" t="s">
        <v>985</v>
      </c>
      <c r="E256" s="8">
        <v>20260729</v>
      </c>
      <c r="G256" s="8" t="s">
        <v>1173</v>
      </c>
      <c r="I256" s="8" t="s">
        <v>665</v>
      </c>
      <c r="L256" s="8">
        <v>6</v>
      </c>
      <c r="M256" s="333">
        <f>L256/0.08</f>
        <v>75</v>
      </c>
      <c r="N256" s="8">
        <v>75</v>
      </c>
    </row>
    <row r="257" spans="2:14" ht="42" customHeight="1" x14ac:dyDescent="0.3">
      <c r="B257" s="8">
        <v>300615</v>
      </c>
      <c r="C257" s="8" t="s">
        <v>1174</v>
      </c>
      <c r="D257" s="8" t="s">
        <v>996</v>
      </c>
      <c r="E257" s="8">
        <v>20260725</v>
      </c>
      <c r="G257" s="8" t="s">
        <v>1175</v>
      </c>
      <c r="H257" s="8">
        <v>1</v>
      </c>
      <c r="I257" s="8" t="s">
        <v>665</v>
      </c>
      <c r="J257" t="s">
        <v>1176</v>
      </c>
      <c r="L257" s="8">
        <v>7.2</v>
      </c>
      <c r="M257" s="333">
        <f>L257/0.225</f>
        <v>32</v>
      </c>
      <c r="N257" s="8">
        <v>16</v>
      </c>
    </row>
    <row r="258" spans="2:14" x14ac:dyDescent="0.3">
      <c r="B258" s="8">
        <v>300246</v>
      </c>
      <c r="C258" s="8" t="s">
        <v>1177</v>
      </c>
      <c r="E258" s="8">
        <v>20260801</v>
      </c>
      <c r="I258" s="8" t="s">
        <v>590</v>
      </c>
      <c r="N258" s="8">
        <v>50</v>
      </c>
    </row>
    <row r="259" spans="2:14" x14ac:dyDescent="0.3">
      <c r="B259" s="8">
        <v>600671</v>
      </c>
      <c r="C259" s="8" t="s">
        <v>1178</v>
      </c>
      <c r="D259" s="8" t="s">
        <v>1179</v>
      </c>
      <c r="E259" s="8">
        <v>20260723</v>
      </c>
      <c r="I259" s="8" t="s">
        <v>665</v>
      </c>
      <c r="J259" s="8" t="s">
        <v>1180</v>
      </c>
      <c r="N259" s="8">
        <v>25</v>
      </c>
    </row>
    <row r="260" spans="2:14" ht="42" customHeight="1" x14ac:dyDescent="0.3">
      <c r="B260" s="8">
        <v>2084</v>
      </c>
      <c r="C260" s="8" t="s">
        <v>1181</v>
      </c>
      <c r="D260" s="8" t="s">
        <v>996</v>
      </c>
      <c r="E260" s="8">
        <v>20260822</v>
      </c>
      <c r="G260" s="8" t="s">
        <v>1182</v>
      </c>
      <c r="H260" s="8">
        <v>1</v>
      </c>
      <c r="I260" s="8" t="s">
        <v>665</v>
      </c>
      <c r="J260" s="8" t="s">
        <v>1183</v>
      </c>
      <c r="L260" s="8">
        <v>8</v>
      </c>
      <c r="M260" s="333">
        <f>L260/0.2</f>
        <v>40</v>
      </c>
      <c r="N260" s="8">
        <v>23</v>
      </c>
    </row>
    <row r="261" spans="2:14" ht="28" customHeight="1" x14ac:dyDescent="0.3">
      <c r="B261" s="8">
        <v>2906</v>
      </c>
      <c r="C261" s="8" t="s">
        <v>1184</v>
      </c>
      <c r="D261" s="8" t="s">
        <v>985</v>
      </c>
      <c r="E261" s="8">
        <v>20260822</v>
      </c>
      <c r="G261" s="8" t="s">
        <v>1185</v>
      </c>
      <c r="I261" s="8" t="s">
        <v>665</v>
      </c>
      <c r="L261" s="8">
        <v>56.6</v>
      </c>
      <c r="M261" s="333">
        <f>L261/0.283</f>
        <v>200.00000000000003</v>
      </c>
      <c r="N261" s="8">
        <v>134</v>
      </c>
    </row>
    <row r="262" spans="2:14" ht="70" customHeight="1" x14ac:dyDescent="0.3">
      <c r="B262" s="8">
        <v>2274</v>
      </c>
      <c r="C262" s="8" t="s">
        <v>1186</v>
      </c>
      <c r="D262" s="8" t="s">
        <v>996</v>
      </c>
      <c r="E262" s="8">
        <v>20260825</v>
      </c>
      <c r="G262" s="8" t="s">
        <v>1187</v>
      </c>
      <c r="H262" s="8">
        <v>4</v>
      </c>
      <c r="I262" s="8" t="s">
        <v>665</v>
      </c>
      <c r="J262" s="8" t="s">
        <v>1188</v>
      </c>
      <c r="L262" s="8">
        <v>14.13</v>
      </c>
      <c r="M262" s="333">
        <f>L262/0.24</f>
        <v>58.875000000000007</v>
      </c>
      <c r="N262" s="8">
        <v>61</v>
      </c>
    </row>
    <row r="263" spans="2:14" ht="28" customHeight="1" x14ac:dyDescent="0.3">
      <c r="B263" s="8">
        <v>301266</v>
      </c>
      <c r="C263" s="8" t="s">
        <v>1189</v>
      </c>
      <c r="D263" s="8" t="s">
        <v>996</v>
      </c>
      <c r="E263" s="8">
        <v>20260904</v>
      </c>
      <c r="G263" s="8" t="s">
        <v>1190</v>
      </c>
      <c r="H263" s="8">
        <v>4</v>
      </c>
      <c r="I263" s="8" t="s">
        <v>665</v>
      </c>
      <c r="J263" s="8" t="s">
        <v>1191</v>
      </c>
      <c r="L263" s="8">
        <v>8.6</v>
      </c>
      <c r="M263" s="333">
        <f>L263/0.2999</f>
        <v>28.676225408469488</v>
      </c>
      <c r="N263" s="8">
        <v>35</v>
      </c>
    </row>
    <row r="264" spans="2:14" x14ac:dyDescent="0.3">
      <c r="B264" s="8">
        <v>2998</v>
      </c>
      <c r="C264" s="8" t="s">
        <v>1192</v>
      </c>
      <c r="E264" s="8">
        <v>20260904</v>
      </c>
      <c r="N264" s="8">
        <v>30</v>
      </c>
    </row>
  </sheetData>
  <autoFilter ref="A1:T262" xr:uid="{00000000-0009-0000-0000-000005000000}">
    <filterColumn colId="0">
      <filters blank="1">
        <filter val="终止"/>
      </filters>
    </filterColumn>
  </autoFilter>
  <phoneticPr fontId="16" type="noConversion"/>
  <pageMargins left="0.7" right="0.7" top="0.75" bottom="0.75" header="0.3" footer="0.3"/>
  <pageSetup paperSize="9" orientation="portrait"/>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filterMode="1">
    <pageSetUpPr fitToPage="1"/>
  </sheetPr>
  <dimension ref="A1:AC126"/>
  <sheetViews>
    <sheetView workbookViewId="0">
      <pane xSplit="3" ySplit="2" topLeftCell="D101" activePane="bottomRight" state="frozen"/>
      <selection pane="topRight" activeCell="C1" sqref="C1"/>
      <selection pane="bottomLeft" activeCell="A3" sqref="A3"/>
      <selection pane="bottomRight" activeCell="I120" sqref="I120:J120"/>
    </sheetView>
  </sheetViews>
  <sheetFormatPr defaultRowHeight="14" x14ac:dyDescent="0.3"/>
  <cols>
    <col min="4" max="4" width="17.5" style="8" customWidth="1"/>
    <col min="5" max="5" width="10.08203125" style="8" customWidth="1"/>
    <col min="6" max="6" width="39.33203125" style="8" customWidth="1"/>
    <col min="7" max="7" width="27.83203125" style="350" customWidth="1"/>
    <col min="8" max="8" width="8.08203125" style="350" customWidth="1"/>
    <col min="9" max="9" width="14.58203125" style="350" customWidth="1"/>
    <col min="10" max="10" width="15" style="350" customWidth="1"/>
    <col min="11" max="12" width="7.83203125" style="350" customWidth="1"/>
    <col min="21" max="21" width="9.5" style="350" bestFit="1" customWidth="1"/>
  </cols>
  <sheetData>
    <row r="1" spans="1:29" x14ac:dyDescent="0.3">
      <c r="B1" t="s">
        <v>1193</v>
      </c>
      <c r="D1"/>
      <c r="E1"/>
      <c r="F1"/>
      <c r="N1">
        <v>10</v>
      </c>
      <c r="O1">
        <v>10</v>
      </c>
      <c r="P1">
        <v>70</v>
      </c>
      <c r="Q1">
        <v>30</v>
      </c>
      <c r="R1">
        <v>40</v>
      </c>
      <c r="S1">
        <v>80</v>
      </c>
      <c r="T1">
        <v>5</v>
      </c>
      <c r="U1">
        <v>20</v>
      </c>
      <c r="V1">
        <v>-40</v>
      </c>
      <c r="W1">
        <v>30</v>
      </c>
    </row>
    <row r="2" spans="1:29" ht="42" customHeight="1" x14ac:dyDescent="0.3">
      <c r="A2" t="s">
        <v>422</v>
      </c>
      <c r="B2" t="s">
        <v>429</v>
      </c>
      <c r="C2" t="s">
        <v>409</v>
      </c>
      <c r="D2" s="8" t="s">
        <v>1194</v>
      </c>
      <c r="E2" s="8" t="s">
        <v>1195</v>
      </c>
      <c r="F2" s="8" t="s">
        <v>510</v>
      </c>
      <c r="G2" s="8" t="s">
        <v>1196</v>
      </c>
      <c r="H2" s="8" t="s">
        <v>1197</v>
      </c>
      <c r="I2" s="8" t="s">
        <v>1198</v>
      </c>
      <c r="J2" s="8" t="s">
        <v>1199</v>
      </c>
      <c r="K2" s="8" t="s">
        <v>1200</v>
      </c>
      <c r="L2" s="8" t="s">
        <v>368</v>
      </c>
      <c r="M2" t="s">
        <v>1201</v>
      </c>
      <c r="N2" s="8" t="s">
        <v>1202</v>
      </c>
      <c r="O2" s="8" t="s">
        <v>1203</v>
      </c>
      <c r="P2" s="8" t="s">
        <v>1204</v>
      </c>
      <c r="Q2" s="8" t="s">
        <v>1205</v>
      </c>
      <c r="R2" s="8" t="s">
        <v>1206</v>
      </c>
      <c r="S2" s="8" t="s">
        <v>1207</v>
      </c>
      <c r="T2" s="8" t="s">
        <v>1208</v>
      </c>
      <c r="U2" s="8" t="s">
        <v>1209</v>
      </c>
      <c r="V2" s="8" t="s">
        <v>1210</v>
      </c>
      <c r="W2" s="8" t="s">
        <v>1211</v>
      </c>
      <c r="X2" s="8" t="s">
        <v>1212</v>
      </c>
      <c r="Z2" s="8" t="s">
        <v>1213</v>
      </c>
    </row>
    <row r="3" spans="1:29" ht="42" hidden="1" customHeight="1" x14ac:dyDescent="0.3">
      <c r="A3">
        <v>2025</v>
      </c>
      <c r="B3">
        <v>595</v>
      </c>
      <c r="C3" t="s">
        <v>1214</v>
      </c>
      <c r="D3" s="8" t="s">
        <v>1215</v>
      </c>
      <c r="E3" s="8" t="s">
        <v>1216</v>
      </c>
      <c r="F3" s="8" t="s">
        <v>1217</v>
      </c>
      <c r="G3" t="s">
        <v>1218</v>
      </c>
      <c r="I3" s="8" t="s">
        <v>1219</v>
      </c>
      <c r="J3" s="8" t="s">
        <v>1219</v>
      </c>
      <c r="K3" s="12" t="s">
        <v>441</v>
      </c>
      <c r="L3" s="12"/>
      <c r="M3">
        <f t="shared" ref="M3:M34" si="0">N3+O3+P3+Q3+R3+S3+T3+U3+V3+W3</f>
        <v>95</v>
      </c>
      <c r="N3">
        <v>0</v>
      </c>
      <c r="O3">
        <v>0</v>
      </c>
      <c r="P3">
        <v>30</v>
      </c>
      <c r="Q3">
        <v>30</v>
      </c>
      <c r="R3">
        <v>0</v>
      </c>
      <c r="S3">
        <v>0</v>
      </c>
      <c r="T3">
        <v>5</v>
      </c>
      <c r="U3">
        <v>0</v>
      </c>
      <c r="V3">
        <v>0</v>
      </c>
      <c r="W3">
        <v>30</v>
      </c>
    </row>
    <row r="4" spans="1:29" s="15" customFormat="1" ht="406" hidden="1" customHeight="1" x14ac:dyDescent="0.3">
      <c r="A4">
        <v>2025</v>
      </c>
      <c r="B4" s="297">
        <v>2058</v>
      </c>
      <c r="C4" s="297" t="s">
        <v>1220</v>
      </c>
      <c r="D4" s="8" t="s">
        <v>1221</v>
      </c>
      <c r="E4" s="8" t="s">
        <v>1222</v>
      </c>
      <c r="F4" s="8" t="s">
        <v>1223</v>
      </c>
      <c r="G4" s="8" t="s">
        <v>1224</v>
      </c>
      <c r="H4" s="11" t="s">
        <v>1225</v>
      </c>
      <c r="I4" s="8" t="s">
        <v>1219</v>
      </c>
      <c r="J4" s="8" t="s">
        <v>1219</v>
      </c>
      <c r="K4" s="12" t="s">
        <v>441</v>
      </c>
      <c r="L4" s="12"/>
      <c r="M4">
        <f t="shared" si="0"/>
        <v>90</v>
      </c>
      <c r="N4">
        <v>0</v>
      </c>
      <c r="O4">
        <v>0</v>
      </c>
      <c r="P4">
        <v>30</v>
      </c>
      <c r="Q4">
        <v>30</v>
      </c>
      <c r="R4">
        <v>0</v>
      </c>
      <c r="S4">
        <v>10</v>
      </c>
      <c r="T4">
        <v>0</v>
      </c>
      <c r="U4">
        <v>0</v>
      </c>
      <c r="V4">
        <v>0</v>
      </c>
      <c r="W4">
        <v>20</v>
      </c>
      <c r="X4"/>
      <c r="Y4"/>
      <c r="Z4"/>
      <c r="AA4"/>
      <c r="AB4"/>
    </row>
    <row r="5" spans="1:29" ht="140" hidden="1" customHeight="1" x14ac:dyDescent="0.3">
      <c r="A5">
        <v>2025</v>
      </c>
      <c r="B5" s="13">
        <v>300899</v>
      </c>
      <c r="C5" s="13" t="s">
        <v>1226</v>
      </c>
      <c r="D5" s="8" t="s">
        <v>1221</v>
      </c>
      <c r="E5" s="8" t="s">
        <v>1227</v>
      </c>
      <c r="F5" s="8" t="s">
        <v>1228</v>
      </c>
      <c r="G5" s="8" t="s">
        <v>1229</v>
      </c>
      <c r="H5" s="11" t="s">
        <v>1225</v>
      </c>
      <c r="I5" s="12" t="s">
        <v>1219</v>
      </c>
      <c r="J5" s="12" t="s">
        <v>1219</v>
      </c>
      <c r="K5" s="12" t="s">
        <v>441</v>
      </c>
      <c r="L5" s="12"/>
      <c r="M5">
        <f t="shared" si="0"/>
        <v>85</v>
      </c>
      <c r="N5">
        <v>0</v>
      </c>
      <c r="O5">
        <v>0</v>
      </c>
      <c r="P5">
        <v>0</v>
      </c>
      <c r="Q5">
        <v>0</v>
      </c>
      <c r="R5">
        <v>40</v>
      </c>
      <c r="S5">
        <v>40</v>
      </c>
      <c r="T5">
        <v>0</v>
      </c>
      <c r="U5">
        <v>5</v>
      </c>
      <c r="V5">
        <v>0</v>
      </c>
      <c r="W5">
        <v>0</v>
      </c>
    </row>
    <row r="6" spans="1:29" ht="409.5" hidden="1" customHeight="1" x14ac:dyDescent="0.3">
      <c r="A6">
        <v>2025</v>
      </c>
      <c r="B6" s="281">
        <v>600753</v>
      </c>
      <c r="C6" s="282" t="s">
        <v>1230</v>
      </c>
      <c r="D6" s="8" t="s">
        <v>1231</v>
      </c>
      <c r="E6" s="8" t="s">
        <v>1232</v>
      </c>
      <c r="F6" s="8" t="s">
        <v>1233</v>
      </c>
      <c r="G6" s="8" t="s">
        <v>1234</v>
      </c>
      <c r="I6" s="8" t="s">
        <v>1235</v>
      </c>
      <c r="J6" s="8" t="s">
        <v>1236</v>
      </c>
      <c r="K6" s="11" t="s">
        <v>458</v>
      </c>
      <c r="L6" s="11"/>
      <c r="M6">
        <f t="shared" si="0"/>
        <v>60</v>
      </c>
      <c r="N6">
        <v>10</v>
      </c>
      <c r="O6">
        <v>10</v>
      </c>
      <c r="P6">
        <v>0</v>
      </c>
      <c r="Q6">
        <v>15</v>
      </c>
      <c r="R6">
        <v>0</v>
      </c>
      <c r="S6">
        <v>40</v>
      </c>
      <c r="T6">
        <v>0</v>
      </c>
      <c r="U6">
        <v>0</v>
      </c>
      <c r="V6">
        <v>-15</v>
      </c>
    </row>
    <row r="7" spans="1:29" s="13" customFormat="1" ht="42" hidden="1" customHeight="1" x14ac:dyDescent="0.3">
      <c r="A7">
        <v>2025</v>
      </c>
      <c r="B7">
        <v>1270</v>
      </c>
      <c r="C7" t="s">
        <v>1237</v>
      </c>
      <c r="D7" s="8" t="s">
        <v>1238</v>
      </c>
      <c r="E7" s="8" t="s">
        <v>1216</v>
      </c>
      <c r="F7" s="8" t="s">
        <v>1239</v>
      </c>
      <c r="G7" s="8" t="s">
        <v>1240</v>
      </c>
      <c r="H7"/>
      <c r="I7" s="8" t="s">
        <v>1219</v>
      </c>
      <c r="J7" s="8" t="s">
        <v>1219</v>
      </c>
      <c r="K7" s="12" t="s">
        <v>441</v>
      </c>
      <c r="L7" s="12"/>
      <c r="M7">
        <f t="shared" si="0"/>
        <v>73</v>
      </c>
      <c r="N7">
        <v>0</v>
      </c>
      <c r="O7">
        <v>0</v>
      </c>
      <c r="P7">
        <v>0</v>
      </c>
      <c r="Q7">
        <v>0</v>
      </c>
      <c r="R7">
        <v>13</v>
      </c>
      <c r="S7">
        <v>60</v>
      </c>
      <c r="T7">
        <v>0</v>
      </c>
      <c r="U7">
        <v>0</v>
      </c>
      <c r="V7">
        <v>0</v>
      </c>
      <c r="W7"/>
      <c r="X7"/>
      <c r="Y7"/>
      <c r="Z7"/>
      <c r="AA7"/>
      <c r="AB7"/>
      <c r="AC7"/>
    </row>
    <row r="8" spans="1:29" ht="280" hidden="1" customHeight="1" x14ac:dyDescent="0.3">
      <c r="A8">
        <v>2025</v>
      </c>
      <c r="B8" s="13">
        <v>603580</v>
      </c>
      <c r="C8" s="13" t="s">
        <v>1153</v>
      </c>
      <c r="D8" s="8" t="s">
        <v>1241</v>
      </c>
      <c r="E8" s="8" t="s">
        <v>1242</v>
      </c>
      <c r="F8" s="8" t="s">
        <v>1243</v>
      </c>
      <c r="G8" s="8" t="s">
        <v>1244</v>
      </c>
      <c r="I8" s="8" t="s">
        <v>1219</v>
      </c>
      <c r="J8" s="8" t="s">
        <v>1219</v>
      </c>
      <c r="K8" s="12" t="s">
        <v>441</v>
      </c>
      <c r="L8" s="12"/>
      <c r="M8">
        <f t="shared" si="0"/>
        <v>50</v>
      </c>
      <c r="N8">
        <v>0</v>
      </c>
      <c r="O8">
        <v>0</v>
      </c>
      <c r="P8">
        <v>0</v>
      </c>
      <c r="Q8">
        <v>10</v>
      </c>
      <c r="R8">
        <v>0</v>
      </c>
      <c r="S8">
        <v>40</v>
      </c>
      <c r="T8">
        <v>0</v>
      </c>
      <c r="U8">
        <v>0</v>
      </c>
      <c r="V8">
        <v>0</v>
      </c>
      <c r="X8">
        <v>5</v>
      </c>
    </row>
    <row r="9" spans="1:29" ht="70" hidden="1" customHeight="1" x14ac:dyDescent="0.3">
      <c r="A9">
        <v>2025</v>
      </c>
      <c r="B9">
        <v>600636</v>
      </c>
      <c r="C9" t="s">
        <v>1245</v>
      </c>
      <c r="D9" s="8" t="s">
        <v>1246</v>
      </c>
      <c r="E9" s="8" t="s">
        <v>1216</v>
      </c>
      <c r="F9" s="8" t="s">
        <v>1247</v>
      </c>
      <c r="G9" s="8" t="s">
        <v>1248</v>
      </c>
      <c r="I9" s="8" t="s">
        <v>1219</v>
      </c>
      <c r="J9" s="8" t="s">
        <v>1219</v>
      </c>
      <c r="K9" s="12" t="s">
        <v>441</v>
      </c>
      <c r="L9" s="12"/>
      <c r="M9">
        <f t="shared" si="0"/>
        <v>50</v>
      </c>
      <c r="N9">
        <v>0</v>
      </c>
      <c r="O9">
        <v>0</v>
      </c>
      <c r="P9">
        <v>0</v>
      </c>
      <c r="Q9">
        <v>0</v>
      </c>
      <c r="R9">
        <v>5</v>
      </c>
      <c r="S9">
        <v>40</v>
      </c>
      <c r="T9">
        <v>5</v>
      </c>
      <c r="U9">
        <v>0</v>
      </c>
      <c r="V9">
        <v>0</v>
      </c>
    </row>
    <row r="10" spans="1:29" ht="98" hidden="1" customHeight="1" x14ac:dyDescent="0.3">
      <c r="A10">
        <v>2025</v>
      </c>
      <c r="B10">
        <v>2656</v>
      </c>
      <c r="C10" t="s">
        <v>930</v>
      </c>
      <c r="D10" s="8" t="s">
        <v>1249</v>
      </c>
      <c r="E10" s="8" t="s">
        <v>1250</v>
      </c>
      <c r="F10" s="8" t="s">
        <v>1251</v>
      </c>
      <c r="G10" s="8" t="s">
        <v>1252</v>
      </c>
      <c r="I10" s="8" t="s">
        <v>1253</v>
      </c>
      <c r="J10" s="8" t="s">
        <v>1253</v>
      </c>
      <c r="K10" s="12" t="s">
        <v>458</v>
      </c>
      <c r="L10" s="12"/>
      <c r="M10">
        <f t="shared" si="0"/>
        <v>70</v>
      </c>
      <c r="N10">
        <v>5</v>
      </c>
      <c r="O10">
        <v>5</v>
      </c>
      <c r="P10">
        <v>0</v>
      </c>
      <c r="Q10">
        <v>20</v>
      </c>
      <c r="R10">
        <v>40</v>
      </c>
      <c r="S10">
        <v>0</v>
      </c>
      <c r="T10">
        <v>0</v>
      </c>
      <c r="U10">
        <v>0</v>
      </c>
      <c r="V10">
        <v>0</v>
      </c>
    </row>
    <row r="11" spans="1:29" ht="98" hidden="1" customHeight="1" x14ac:dyDescent="0.3">
      <c r="A11">
        <v>2025</v>
      </c>
      <c r="B11">
        <v>300268</v>
      </c>
      <c r="C11" t="s">
        <v>1254</v>
      </c>
      <c r="D11" s="8" t="s">
        <v>1255</v>
      </c>
      <c r="F11" s="8" t="s">
        <v>1256</v>
      </c>
      <c r="I11" s="8" t="s">
        <v>1257</v>
      </c>
      <c r="J11" s="8" t="s">
        <v>1219</v>
      </c>
      <c r="K11" s="12" t="s">
        <v>441</v>
      </c>
      <c r="L11" s="12"/>
      <c r="M11">
        <f t="shared" si="0"/>
        <v>50</v>
      </c>
      <c r="N11">
        <v>0</v>
      </c>
      <c r="O11">
        <v>0</v>
      </c>
      <c r="P11">
        <v>50</v>
      </c>
      <c r="Q11">
        <v>0</v>
      </c>
      <c r="R11">
        <v>0</v>
      </c>
      <c r="S11">
        <v>0</v>
      </c>
      <c r="T11">
        <v>0</v>
      </c>
      <c r="U11">
        <v>0</v>
      </c>
      <c r="V11">
        <v>0</v>
      </c>
    </row>
    <row r="12" spans="1:29" ht="224" hidden="1" customHeight="1" x14ac:dyDescent="0.3">
      <c r="A12">
        <v>2025</v>
      </c>
      <c r="B12" s="13">
        <v>2529</v>
      </c>
      <c r="C12" s="13" t="s">
        <v>773</v>
      </c>
      <c r="D12" s="8" t="s">
        <v>1258</v>
      </c>
      <c r="E12" s="8" t="s">
        <v>1259</v>
      </c>
      <c r="F12" s="8" t="s">
        <v>1260</v>
      </c>
      <c r="G12" s="8"/>
      <c r="I12" s="8" t="s">
        <v>1219</v>
      </c>
      <c r="J12" s="8" t="s">
        <v>1219</v>
      </c>
      <c r="K12" s="11" t="s">
        <v>458</v>
      </c>
      <c r="L12" s="11"/>
      <c r="M12">
        <f t="shared" si="0"/>
        <v>40</v>
      </c>
      <c r="N12">
        <v>10</v>
      </c>
      <c r="O12">
        <v>10</v>
      </c>
      <c r="P12">
        <v>0</v>
      </c>
      <c r="Q12">
        <v>0</v>
      </c>
      <c r="R12">
        <v>20</v>
      </c>
      <c r="S12">
        <v>0</v>
      </c>
      <c r="T12">
        <v>0</v>
      </c>
      <c r="U12">
        <v>0</v>
      </c>
      <c r="V12">
        <v>0</v>
      </c>
    </row>
    <row r="13" spans="1:29" s="13" customFormat="1" ht="140" hidden="1" customHeight="1" x14ac:dyDescent="0.3">
      <c r="A13">
        <v>2025</v>
      </c>
      <c r="B13">
        <v>518</v>
      </c>
      <c r="C13" t="s">
        <v>1261</v>
      </c>
      <c r="D13" s="8" t="s">
        <v>1262</v>
      </c>
      <c r="E13" s="8" t="s">
        <v>1263</v>
      </c>
      <c r="F13" s="8" t="s">
        <v>1264</v>
      </c>
      <c r="G13" s="8" t="s">
        <v>1265</v>
      </c>
      <c r="H13"/>
      <c r="I13" s="8" t="s">
        <v>1219</v>
      </c>
      <c r="J13" s="8" t="s">
        <v>1219</v>
      </c>
      <c r="K13" s="11" t="s">
        <v>458</v>
      </c>
      <c r="L13" s="11"/>
      <c r="M13">
        <f t="shared" si="0"/>
        <v>50</v>
      </c>
      <c r="N13">
        <v>10</v>
      </c>
      <c r="O13">
        <v>10</v>
      </c>
      <c r="P13">
        <v>0</v>
      </c>
      <c r="Q13">
        <v>0</v>
      </c>
      <c r="R13">
        <v>30</v>
      </c>
      <c r="S13">
        <v>0</v>
      </c>
      <c r="T13">
        <v>0</v>
      </c>
      <c r="U13">
        <v>0</v>
      </c>
      <c r="V13">
        <v>0</v>
      </c>
      <c r="W13"/>
      <c r="X13"/>
      <c r="Y13"/>
      <c r="Z13"/>
      <c r="AA13"/>
      <c r="AB13"/>
    </row>
    <row r="14" spans="1:29" ht="28" hidden="1" customHeight="1" x14ac:dyDescent="0.3">
      <c r="A14">
        <v>2025</v>
      </c>
      <c r="B14">
        <v>600228</v>
      </c>
      <c r="C14" t="s">
        <v>1266</v>
      </c>
      <c r="D14" s="8" t="s">
        <v>1267</v>
      </c>
      <c r="E14" s="8" t="s">
        <v>1250</v>
      </c>
      <c r="F14" s="8" t="s">
        <v>1268</v>
      </c>
      <c r="I14" s="8" t="s">
        <v>1219</v>
      </c>
      <c r="J14" s="8" t="s">
        <v>1219</v>
      </c>
      <c r="K14" s="12" t="s">
        <v>441</v>
      </c>
      <c r="L14" s="12"/>
      <c r="M14">
        <f t="shared" si="0"/>
        <v>40</v>
      </c>
      <c r="N14">
        <v>0</v>
      </c>
      <c r="O14">
        <v>0</v>
      </c>
      <c r="P14">
        <v>0</v>
      </c>
      <c r="Q14">
        <v>0</v>
      </c>
      <c r="R14">
        <v>40</v>
      </c>
      <c r="S14">
        <v>0</v>
      </c>
      <c r="T14">
        <v>0</v>
      </c>
      <c r="U14">
        <v>0</v>
      </c>
      <c r="V14">
        <v>0</v>
      </c>
      <c r="Z14" t="s">
        <v>1269</v>
      </c>
    </row>
    <row r="15" spans="1:29" ht="224" hidden="1" customHeight="1" x14ac:dyDescent="0.3">
      <c r="A15">
        <v>2025</v>
      </c>
      <c r="B15" s="13">
        <v>300211</v>
      </c>
      <c r="C15" s="13" t="s">
        <v>561</v>
      </c>
      <c r="D15" s="8" t="s">
        <v>1270</v>
      </c>
      <c r="E15" s="8" t="s">
        <v>1271</v>
      </c>
      <c r="F15" s="8" t="s">
        <v>1272</v>
      </c>
      <c r="G15" s="8" t="s">
        <v>1273</v>
      </c>
      <c r="I15" s="8" t="s">
        <v>1219</v>
      </c>
      <c r="J15" s="8" t="s">
        <v>1219</v>
      </c>
      <c r="K15" s="11" t="s">
        <v>458</v>
      </c>
      <c r="L15" s="11"/>
      <c r="M15">
        <f t="shared" si="0"/>
        <v>65</v>
      </c>
      <c r="N15">
        <v>10</v>
      </c>
      <c r="O15">
        <v>10</v>
      </c>
      <c r="P15">
        <v>0</v>
      </c>
      <c r="Q15">
        <v>0</v>
      </c>
      <c r="R15">
        <v>40</v>
      </c>
      <c r="S15">
        <v>0</v>
      </c>
      <c r="T15">
        <v>0</v>
      </c>
      <c r="U15">
        <v>5</v>
      </c>
      <c r="V15">
        <v>0</v>
      </c>
    </row>
    <row r="16" spans="1:29" ht="350" hidden="1" customHeight="1" x14ac:dyDescent="0.3">
      <c r="A16">
        <v>2025</v>
      </c>
      <c r="B16">
        <v>288</v>
      </c>
      <c r="C16" s="8" t="s">
        <v>739</v>
      </c>
      <c r="D16" s="8" t="s">
        <v>1274</v>
      </c>
      <c r="E16" s="8" t="s">
        <v>1275</v>
      </c>
      <c r="F16" s="8" t="s">
        <v>1276</v>
      </c>
      <c r="G16" s="8" t="s">
        <v>1277</v>
      </c>
      <c r="I16" s="8" t="s">
        <v>1278</v>
      </c>
      <c r="J16" s="8" t="s">
        <v>1219</v>
      </c>
      <c r="K16" s="11" t="s">
        <v>458</v>
      </c>
      <c r="L16" s="11"/>
      <c r="M16">
        <f t="shared" si="0"/>
        <v>30</v>
      </c>
      <c r="N16">
        <v>10</v>
      </c>
      <c r="O16">
        <v>0</v>
      </c>
      <c r="P16">
        <v>20</v>
      </c>
      <c r="Q16">
        <v>0</v>
      </c>
      <c r="R16">
        <v>0</v>
      </c>
      <c r="S16">
        <v>0</v>
      </c>
      <c r="T16">
        <v>0</v>
      </c>
      <c r="U16">
        <v>0</v>
      </c>
      <c r="V16">
        <v>0</v>
      </c>
    </row>
    <row r="17" spans="1:28" ht="409.5" hidden="1" customHeight="1" x14ac:dyDescent="0.3">
      <c r="A17">
        <v>2025</v>
      </c>
      <c r="B17">
        <v>603007</v>
      </c>
      <c r="C17" t="s">
        <v>1279</v>
      </c>
      <c r="D17" s="8" t="s">
        <v>1221</v>
      </c>
      <c r="E17" s="8" t="s">
        <v>1280</v>
      </c>
      <c r="F17" s="8" t="s">
        <v>1281</v>
      </c>
      <c r="G17" s="8" t="s">
        <v>1282</v>
      </c>
      <c r="H17" s="8" t="s">
        <v>1283</v>
      </c>
      <c r="I17" s="8" t="s">
        <v>1219</v>
      </c>
      <c r="J17" s="8" t="s">
        <v>1219</v>
      </c>
      <c r="K17" s="11" t="s">
        <v>458</v>
      </c>
      <c r="L17" s="11"/>
      <c r="M17">
        <f t="shared" si="0"/>
        <v>30</v>
      </c>
      <c r="N17">
        <v>10</v>
      </c>
      <c r="O17">
        <v>10</v>
      </c>
      <c r="P17">
        <v>0</v>
      </c>
      <c r="Q17">
        <v>10</v>
      </c>
      <c r="R17">
        <v>0</v>
      </c>
      <c r="S17">
        <v>0</v>
      </c>
      <c r="T17">
        <v>0</v>
      </c>
      <c r="U17">
        <v>0</v>
      </c>
      <c r="V17">
        <v>0</v>
      </c>
    </row>
    <row r="18" spans="1:28" ht="126" hidden="1" customHeight="1" x14ac:dyDescent="0.3">
      <c r="A18">
        <v>2025</v>
      </c>
      <c r="B18">
        <v>3004</v>
      </c>
      <c r="C18" t="s">
        <v>1284</v>
      </c>
      <c r="D18" s="8" t="s">
        <v>1285</v>
      </c>
      <c r="E18" s="8" t="s">
        <v>1286</v>
      </c>
      <c r="F18" s="8" t="s">
        <v>1287</v>
      </c>
      <c r="G18" s="8"/>
      <c r="I18" s="8" t="s">
        <v>1219</v>
      </c>
      <c r="J18" s="8" t="s">
        <v>1219</v>
      </c>
      <c r="K18" s="12" t="s">
        <v>441</v>
      </c>
      <c r="L18" s="12"/>
      <c r="M18">
        <f t="shared" si="0"/>
        <v>30</v>
      </c>
      <c r="N18">
        <v>0</v>
      </c>
      <c r="O18">
        <v>0</v>
      </c>
      <c r="P18">
        <v>0</v>
      </c>
      <c r="Q18">
        <v>20</v>
      </c>
      <c r="R18">
        <v>10</v>
      </c>
      <c r="S18">
        <v>0</v>
      </c>
      <c r="T18">
        <v>0</v>
      </c>
      <c r="U18">
        <v>0</v>
      </c>
      <c r="V18">
        <v>0</v>
      </c>
    </row>
    <row r="19" spans="1:28" ht="112" hidden="1" customHeight="1" x14ac:dyDescent="0.3">
      <c r="A19">
        <v>2025</v>
      </c>
      <c r="B19">
        <v>2569</v>
      </c>
      <c r="C19" t="s">
        <v>1137</v>
      </c>
      <c r="D19" s="8" t="s">
        <v>1288</v>
      </c>
      <c r="E19" s="8" t="s">
        <v>1289</v>
      </c>
      <c r="F19" s="8" t="s">
        <v>1290</v>
      </c>
      <c r="I19" s="8" t="s">
        <v>1291</v>
      </c>
      <c r="J19" s="8" t="s">
        <v>1292</v>
      </c>
      <c r="K19" s="11" t="s">
        <v>458</v>
      </c>
      <c r="L19" s="11"/>
      <c r="M19">
        <f t="shared" si="0"/>
        <v>25</v>
      </c>
      <c r="N19">
        <v>10</v>
      </c>
      <c r="O19">
        <v>10</v>
      </c>
      <c r="P19">
        <v>0</v>
      </c>
      <c r="Q19">
        <v>0</v>
      </c>
      <c r="R19">
        <v>0</v>
      </c>
      <c r="S19">
        <v>0</v>
      </c>
      <c r="T19">
        <v>5</v>
      </c>
      <c r="U19">
        <v>0</v>
      </c>
      <c r="V19">
        <v>0</v>
      </c>
    </row>
    <row r="20" spans="1:28" ht="112" hidden="1" customHeight="1" x14ac:dyDescent="0.3">
      <c r="A20">
        <v>2025</v>
      </c>
      <c r="B20" s="13">
        <v>504</v>
      </c>
      <c r="C20" s="13" t="s">
        <v>1293</v>
      </c>
      <c r="D20" s="8" t="s">
        <v>1221</v>
      </c>
      <c r="E20" s="8" t="s">
        <v>1294</v>
      </c>
      <c r="F20" s="8" t="s">
        <v>1295</v>
      </c>
      <c r="G20" s="8" t="s">
        <v>1296</v>
      </c>
      <c r="I20" s="8" t="s">
        <v>1219</v>
      </c>
      <c r="J20" s="8" t="s">
        <v>1219</v>
      </c>
      <c r="K20" s="12" t="s">
        <v>441</v>
      </c>
      <c r="L20" s="12"/>
      <c r="M20">
        <f t="shared" si="0"/>
        <v>45</v>
      </c>
      <c r="N20">
        <v>0</v>
      </c>
      <c r="O20">
        <v>0</v>
      </c>
      <c r="P20">
        <v>0</v>
      </c>
      <c r="Q20">
        <v>20</v>
      </c>
      <c r="R20">
        <v>0</v>
      </c>
      <c r="S20">
        <v>20</v>
      </c>
      <c r="T20">
        <v>5</v>
      </c>
      <c r="U20">
        <v>0</v>
      </c>
      <c r="V20">
        <v>0</v>
      </c>
    </row>
    <row r="21" spans="1:28" ht="98" hidden="1" customHeight="1" x14ac:dyDescent="0.3">
      <c r="A21">
        <v>2025</v>
      </c>
      <c r="B21">
        <v>603721</v>
      </c>
      <c r="C21" t="s">
        <v>1297</v>
      </c>
      <c r="D21" s="8" t="s">
        <v>1298</v>
      </c>
      <c r="E21" s="8" t="s">
        <v>1299</v>
      </c>
      <c r="F21" s="8" t="s">
        <v>1300</v>
      </c>
      <c r="G21" s="8" t="s">
        <v>1296</v>
      </c>
      <c r="I21" s="8" t="s">
        <v>1219</v>
      </c>
      <c r="J21" s="8" t="s">
        <v>1219</v>
      </c>
      <c r="K21" s="12" t="s">
        <v>441</v>
      </c>
      <c r="L21" s="12"/>
      <c r="M21">
        <f t="shared" si="0"/>
        <v>25</v>
      </c>
      <c r="N21">
        <v>0</v>
      </c>
      <c r="O21">
        <v>0</v>
      </c>
      <c r="P21">
        <v>0</v>
      </c>
      <c r="Q21">
        <v>20</v>
      </c>
      <c r="R21">
        <v>0</v>
      </c>
      <c r="S21">
        <v>0</v>
      </c>
      <c r="T21">
        <v>5</v>
      </c>
      <c r="U21">
        <v>0</v>
      </c>
      <c r="V21">
        <v>0</v>
      </c>
    </row>
    <row r="22" spans="1:28" ht="28" hidden="1" customHeight="1" x14ac:dyDescent="0.3">
      <c r="A22">
        <v>2025</v>
      </c>
      <c r="B22">
        <v>688511</v>
      </c>
      <c r="C22" t="s">
        <v>1301</v>
      </c>
      <c r="D22" s="8" t="s">
        <v>1221</v>
      </c>
      <c r="E22" s="8" t="s">
        <v>1302</v>
      </c>
      <c r="F22" s="8" t="s">
        <v>1303</v>
      </c>
      <c r="G22" s="8" t="s">
        <v>1304</v>
      </c>
      <c r="H22" s="11" t="s">
        <v>1225</v>
      </c>
      <c r="I22" s="8" t="s">
        <v>1219</v>
      </c>
      <c r="J22" s="8" t="s">
        <v>1219</v>
      </c>
      <c r="K22" s="12" t="s">
        <v>441</v>
      </c>
      <c r="L22" s="12"/>
      <c r="M22">
        <f t="shared" si="0"/>
        <v>60</v>
      </c>
      <c r="N22">
        <v>0</v>
      </c>
      <c r="O22">
        <v>0</v>
      </c>
      <c r="P22">
        <v>0</v>
      </c>
      <c r="Q22">
        <v>0</v>
      </c>
      <c r="R22">
        <v>0</v>
      </c>
      <c r="S22">
        <v>60</v>
      </c>
      <c r="T22">
        <v>0</v>
      </c>
      <c r="V22">
        <v>0</v>
      </c>
      <c r="Z22" t="s">
        <v>1305</v>
      </c>
    </row>
    <row r="23" spans="1:28" ht="406" hidden="1" customHeight="1" x14ac:dyDescent="0.3">
      <c r="A23">
        <v>2025</v>
      </c>
      <c r="B23">
        <v>603389</v>
      </c>
      <c r="C23" t="s">
        <v>784</v>
      </c>
      <c r="D23" s="8" t="s">
        <v>1221</v>
      </c>
      <c r="E23" s="8" t="s">
        <v>1306</v>
      </c>
      <c r="F23" s="8" t="s">
        <v>1307</v>
      </c>
      <c r="G23" s="8" t="s">
        <v>1308</v>
      </c>
      <c r="I23" s="8" t="s">
        <v>1219</v>
      </c>
      <c r="J23" s="8" t="s">
        <v>1219</v>
      </c>
      <c r="K23" s="11" t="s">
        <v>458</v>
      </c>
      <c r="L23" s="11"/>
      <c r="M23">
        <f t="shared" si="0"/>
        <v>20</v>
      </c>
      <c r="N23">
        <v>10</v>
      </c>
      <c r="O23">
        <v>10</v>
      </c>
      <c r="P23">
        <v>0</v>
      </c>
      <c r="Q23">
        <v>0</v>
      </c>
      <c r="R23">
        <v>0</v>
      </c>
      <c r="S23">
        <v>0</v>
      </c>
      <c r="T23">
        <v>0</v>
      </c>
      <c r="U23">
        <v>0</v>
      </c>
      <c r="V23">
        <v>0</v>
      </c>
    </row>
    <row r="24" spans="1:28" s="13" customFormat="1" ht="126" hidden="1" customHeight="1" x14ac:dyDescent="0.3">
      <c r="A24">
        <v>2025</v>
      </c>
      <c r="B24">
        <v>2898</v>
      </c>
      <c r="C24" t="s">
        <v>1309</v>
      </c>
      <c r="D24" s="8" t="s">
        <v>1221</v>
      </c>
      <c r="E24" s="8" t="s">
        <v>1310</v>
      </c>
      <c r="F24" s="8" t="s">
        <v>1311</v>
      </c>
      <c r="G24" s="8" t="s">
        <v>1296</v>
      </c>
      <c r="H24"/>
      <c r="I24" s="8" t="s">
        <v>1219</v>
      </c>
      <c r="J24" s="8" t="s">
        <v>1219</v>
      </c>
      <c r="K24" s="11" t="s">
        <v>458</v>
      </c>
      <c r="L24" s="11"/>
      <c r="M24">
        <f t="shared" si="0"/>
        <v>20</v>
      </c>
      <c r="N24">
        <v>10</v>
      </c>
      <c r="O24">
        <v>10</v>
      </c>
      <c r="P24">
        <v>0</v>
      </c>
      <c r="Q24">
        <v>0</v>
      </c>
      <c r="R24">
        <v>0</v>
      </c>
      <c r="S24">
        <v>0</v>
      </c>
      <c r="T24">
        <v>0</v>
      </c>
      <c r="U24">
        <v>0</v>
      </c>
      <c r="V24">
        <v>0</v>
      </c>
      <c r="W24"/>
      <c r="X24"/>
      <c r="Y24"/>
      <c r="Z24"/>
      <c r="AA24"/>
      <c r="AB24"/>
    </row>
    <row r="25" spans="1:28" ht="154" hidden="1" customHeight="1" x14ac:dyDescent="0.3">
      <c r="A25">
        <v>2025</v>
      </c>
      <c r="B25" s="15">
        <v>603838</v>
      </c>
      <c r="C25" s="15" t="s">
        <v>1312</v>
      </c>
      <c r="D25" s="12" t="s">
        <v>1221</v>
      </c>
      <c r="E25" s="12" t="s">
        <v>1313</v>
      </c>
      <c r="F25" s="12" t="s">
        <v>1314</v>
      </c>
      <c r="G25" s="12" t="s">
        <v>1315</v>
      </c>
      <c r="H25" s="12" t="s">
        <v>1225</v>
      </c>
      <c r="I25" s="12" t="s">
        <v>1219</v>
      </c>
      <c r="J25" s="12" t="s">
        <v>1219</v>
      </c>
      <c r="K25" s="12" t="s">
        <v>441</v>
      </c>
      <c r="L25" s="12"/>
      <c r="M25">
        <f t="shared" si="0"/>
        <v>30</v>
      </c>
      <c r="N25">
        <v>0</v>
      </c>
      <c r="O25">
        <v>0</v>
      </c>
      <c r="P25">
        <v>0</v>
      </c>
      <c r="Q25">
        <v>0</v>
      </c>
      <c r="R25">
        <v>30</v>
      </c>
      <c r="S25">
        <v>0</v>
      </c>
      <c r="T25">
        <v>0</v>
      </c>
      <c r="U25">
        <v>0</v>
      </c>
      <c r="V25">
        <v>0</v>
      </c>
      <c r="W25" s="9"/>
      <c r="X25" s="9"/>
    </row>
    <row r="26" spans="1:28" s="13" customFormat="1" ht="84" hidden="1" customHeight="1" x14ac:dyDescent="0.3">
      <c r="A26">
        <v>2025</v>
      </c>
      <c r="B26">
        <v>2762</v>
      </c>
      <c r="C26" t="s">
        <v>798</v>
      </c>
      <c r="D26" s="8" t="s">
        <v>1221</v>
      </c>
      <c r="E26" s="8" t="s">
        <v>1316</v>
      </c>
      <c r="F26" s="8" t="s">
        <v>1317</v>
      </c>
      <c r="G26" s="12" t="s">
        <v>1315</v>
      </c>
      <c r="H26" s="11" t="s">
        <v>1225</v>
      </c>
      <c r="I26" s="12" t="s">
        <v>1219</v>
      </c>
      <c r="J26" s="12" t="s">
        <v>1219</v>
      </c>
      <c r="K26" s="12" t="s">
        <v>441</v>
      </c>
      <c r="L26" s="12"/>
      <c r="M26">
        <f t="shared" si="0"/>
        <v>30</v>
      </c>
      <c r="N26">
        <v>0</v>
      </c>
      <c r="O26">
        <v>0</v>
      </c>
      <c r="P26">
        <v>0</v>
      </c>
      <c r="Q26">
        <v>0</v>
      </c>
      <c r="R26">
        <v>30</v>
      </c>
      <c r="S26">
        <v>0</v>
      </c>
      <c r="T26">
        <v>0</v>
      </c>
      <c r="U26">
        <v>0</v>
      </c>
      <c r="V26">
        <v>0</v>
      </c>
      <c r="W26" s="9"/>
      <c r="X26" s="9"/>
      <c r="Y26"/>
      <c r="Z26"/>
      <c r="AA26"/>
      <c r="AB26"/>
    </row>
    <row r="27" spans="1:28" ht="168" hidden="1" customHeight="1" x14ac:dyDescent="0.3">
      <c r="A27">
        <v>2025</v>
      </c>
      <c r="B27">
        <v>3032</v>
      </c>
      <c r="C27" t="s">
        <v>1318</v>
      </c>
      <c r="D27" s="8" t="s">
        <v>1319</v>
      </c>
      <c r="E27" s="8" t="s">
        <v>1216</v>
      </c>
      <c r="F27" s="8" t="s">
        <v>1320</v>
      </c>
      <c r="G27" s="8" t="s">
        <v>1321</v>
      </c>
      <c r="I27" s="8" t="s">
        <v>1219</v>
      </c>
      <c r="J27" s="8" t="s">
        <v>1219</v>
      </c>
      <c r="K27" s="12" t="s">
        <v>441</v>
      </c>
      <c r="L27" s="12"/>
      <c r="M27">
        <f t="shared" si="0"/>
        <v>30</v>
      </c>
      <c r="N27">
        <v>0</v>
      </c>
      <c r="O27">
        <v>0</v>
      </c>
      <c r="P27">
        <v>0</v>
      </c>
      <c r="Q27">
        <v>0</v>
      </c>
      <c r="R27">
        <v>30</v>
      </c>
      <c r="S27">
        <v>0</v>
      </c>
      <c r="T27">
        <v>0</v>
      </c>
      <c r="U27">
        <v>0</v>
      </c>
      <c r="V27">
        <v>0</v>
      </c>
    </row>
    <row r="28" spans="1:28" ht="84" hidden="1" customHeight="1" x14ac:dyDescent="0.3">
      <c r="A28">
        <v>2025</v>
      </c>
      <c r="B28">
        <v>603813</v>
      </c>
      <c r="C28" t="s">
        <v>1322</v>
      </c>
      <c r="D28" s="8" t="s">
        <v>1221</v>
      </c>
      <c r="E28" s="8" t="s">
        <v>1323</v>
      </c>
      <c r="F28" s="8" t="s">
        <v>1324</v>
      </c>
      <c r="G28" s="8" t="s">
        <v>1325</v>
      </c>
      <c r="I28" s="8" t="s">
        <v>1219</v>
      </c>
      <c r="J28" s="8" t="s">
        <v>1219</v>
      </c>
      <c r="K28" s="12" t="s">
        <v>441</v>
      </c>
      <c r="L28" s="12"/>
      <c r="M28">
        <f t="shared" si="0"/>
        <v>40</v>
      </c>
      <c r="N28">
        <v>0</v>
      </c>
      <c r="O28">
        <v>0</v>
      </c>
      <c r="P28">
        <v>0</v>
      </c>
      <c r="Q28">
        <v>0</v>
      </c>
      <c r="R28">
        <v>40</v>
      </c>
      <c r="S28">
        <v>0</v>
      </c>
      <c r="T28">
        <v>0</v>
      </c>
      <c r="U28">
        <v>0</v>
      </c>
      <c r="V28">
        <v>0</v>
      </c>
      <c r="Z28" t="s">
        <v>1269</v>
      </c>
    </row>
    <row r="29" spans="1:28" ht="98" hidden="1" customHeight="1" x14ac:dyDescent="0.3">
      <c r="A29">
        <v>2025</v>
      </c>
      <c r="B29">
        <v>600130</v>
      </c>
      <c r="C29" t="s">
        <v>1326</v>
      </c>
      <c r="D29" s="8" t="s">
        <v>1221</v>
      </c>
      <c r="E29" s="8" t="s">
        <v>1327</v>
      </c>
      <c r="F29" s="8" t="s">
        <v>1328</v>
      </c>
      <c r="G29" s="8" t="s">
        <v>1296</v>
      </c>
      <c r="I29" s="8" t="s">
        <v>1219</v>
      </c>
      <c r="J29" s="8" t="s">
        <v>1219</v>
      </c>
      <c r="K29" s="12" t="s">
        <v>441</v>
      </c>
      <c r="L29" s="12"/>
      <c r="M29">
        <f t="shared" si="0"/>
        <v>40</v>
      </c>
      <c r="N29">
        <v>0</v>
      </c>
      <c r="O29">
        <v>0</v>
      </c>
      <c r="P29">
        <v>0</v>
      </c>
      <c r="Q29">
        <v>0</v>
      </c>
      <c r="R29">
        <v>40</v>
      </c>
      <c r="S29">
        <v>0</v>
      </c>
      <c r="T29">
        <v>0</v>
      </c>
      <c r="U29">
        <v>0</v>
      </c>
      <c r="V29">
        <v>0</v>
      </c>
    </row>
    <row r="30" spans="1:28" ht="70" hidden="1" customHeight="1" x14ac:dyDescent="0.3">
      <c r="A30">
        <v>2025</v>
      </c>
      <c r="B30">
        <v>2199</v>
      </c>
      <c r="C30" t="s">
        <v>768</v>
      </c>
      <c r="D30" s="8" t="s">
        <v>1215</v>
      </c>
      <c r="E30" s="8" t="s">
        <v>1250</v>
      </c>
      <c r="F30" s="8" t="s">
        <v>1329</v>
      </c>
      <c r="G30" s="8"/>
      <c r="I30" s="8" t="s">
        <v>1219</v>
      </c>
      <c r="J30" s="8" t="s">
        <v>1219</v>
      </c>
      <c r="K30" s="12" t="s">
        <v>441</v>
      </c>
      <c r="L30" s="12"/>
      <c r="M30">
        <f t="shared" si="0"/>
        <v>20</v>
      </c>
      <c r="N30">
        <v>10</v>
      </c>
      <c r="O30">
        <v>10</v>
      </c>
      <c r="P30">
        <v>0</v>
      </c>
      <c r="Q30">
        <v>0</v>
      </c>
      <c r="R30">
        <v>0</v>
      </c>
      <c r="S30">
        <v>0</v>
      </c>
      <c r="T30">
        <v>0</v>
      </c>
      <c r="U30">
        <v>0</v>
      </c>
      <c r="V30">
        <v>0</v>
      </c>
    </row>
    <row r="31" spans="1:28" ht="112" hidden="1" customHeight="1" x14ac:dyDescent="0.3">
      <c r="A31">
        <v>2025</v>
      </c>
      <c r="B31">
        <v>600892</v>
      </c>
      <c r="C31" t="s">
        <v>667</v>
      </c>
      <c r="D31" s="8" t="s">
        <v>1221</v>
      </c>
      <c r="E31" s="8" t="s">
        <v>1330</v>
      </c>
      <c r="F31" s="8" t="s">
        <v>1331</v>
      </c>
      <c r="G31" s="8" t="s">
        <v>1296</v>
      </c>
      <c r="I31" s="8" t="s">
        <v>1219</v>
      </c>
      <c r="J31" s="8" t="s">
        <v>1219</v>
      </c>
      <c r="K31" s="12" t="s">
        <v>458</v>
      </c>
      <c r="L31" s="12"/>
      <c r="M31">
        <f t="shared" si="0"/>
        <v>5</v>
      </c>
      <c r="N31">
        <v>5</v>
      </c>
      <c r="O31">
        <v>5</v>
      </c>
      <c r="P31">
        <v>0</v>
      </c>
      <c r="Q31">
        <v>0</v>
      </c>
      <c r="R31">
        <v>0</v>
      </c>
      <c r="S31">
        <v>0</v>
      </c>
      <c r="T31">
        <v>5</v>
      </c>
      <c r="U31">
        <v>0</v>
      </c>
      <c r="V31">
        <v>-10</v>
      </c>
    </row>
    <row r="32" spans="1:28" ht="154" hidden="1" customHeight="1" x14ac:dyDescent="0.3">
      <c r="A32">
        <v>2025</v>
      </c>
      <c r="B32" s="280">
        <v>2816</v>
      </c>
      <c r="C32" s="280" t="s">
        <v>1332</v>
      </c>
      <c r="D32" s="8" t="s">
        <v>1221</v>
      </c>
      <c r="E32" s="8" t="s">
        <v>1333</v>
      </c>
      <c r="F32" s="8" t="s">
        <v>1334</v>
      </c>
      <c r="G32" s="8" t="s">
        <v>1335</v>
      </c>
      <c r="H32" s="11" t="s">
        <v>1225</v>
      </c>
      <c r="I32" s="8" t="s">
        <v>1219</v>
      </c>
      <c r="J32" s="8" t="s">
        <v>1219</v>
      </c>
      <c r="K32" s="11" t="s">
        <v>458</v>
      </c>
      <c r="L32" s="11"/>
      <c r="M32">
        <f t="shared" si="0"/>
        <v>15</v>
      </c>
      <c r="N32">
        <v>10</v>
      </c>
      <c r="O32">
        <v>10</v>
      </c>
      <c r="P32">
        <v>0</v>
      </c>
      <c r="Q32">
        <v>0</v>
      </c>
      <c r="R32">
        <v>0</v>
      </c>
      <c r="S32">
        <v>-10</v>
      </c>
      <c r="T32">
        <v>5</v>
      </c>
      <c r="U32">
        <v>0</v>
      </c>
      <c r="V32">
        <v>0</v>
      </c>
    </row>
    <row r="33" spans="1:26" ht="56" hidden="1" customHeight="1" x14ac:dyDescent="0.3">
      <c r="A33">
        <v>2025</v>
      </c>
      <c r="B33">
        <v>691</v>
      </c>
      <c r="C33" t="s">
        <v>1336</v>
      </c>
      <c r="D33" s="8" t="s">
        <v>1255</v>
      </c>
      <c r="E33" s="8" t="s">
        <v>1337</v>
      </c>
      <c r="F33" s="8" t="s">
        <v>1338</v>
      </c>
      <c r="G33" s="8" t="s">
        <v>1339</v>
      </c>
      <c r="I33" s="8" t="s">
        <v>1340</v>
      </c>
      <c r="J33" s="8" t="s">
        <v>1219</v>
      </c>
      <c r="K33" s="11" t="s">
        <v>458</v>
      </c>
      <c r="L33" s="11" t="s">
        <v>458</v>
      </c>
      <c r="M33">
        <f t="shared" si="0"/>
        <v>15</v>
      </c>
      <c r="N33">
        <v>5</v>
      </c>
      <c r="O33">
        <v>10</v>
      </c>
      <c r="P33">
        <v>0</v>
      </c>
      <c r="Q33">
        <v>0</v>
      </c>
      <c r="R33">
        <v>0</v>
      </c>
      <c r="S33">
        <v>0</v>
      </c>
      <c r="T33">
        <v>0</v>
      </c>
      <c r="U33">
        <v>0</v>
      </c>
      <c r="V33">
        <v>0</v>
      </c>
    </row>
    <row r="34" spans="1:26" ht="56" hidden="1" customHeight="1" x14ac:dyDescent="0.3">
      <c r="A34">
        <v>2025</v>
      </c>
      <c r="B34">
        <v>2789</v>
      </c>
      <c r="C34" t="s">
        <v>1341</v>
      </c>
      <c r="D34" s="8" t="s">
        <v>1255</v>
      </c>
      <c r="E34" s="8" t="s">
        <v>1337</v>
      </c>
      <c r="F34" s="8" t="s">
        <v>1342</v>
      </c>
      <c r="G34" s="8" t="s">
        <v>1343</v>
      </c>
      <c r="I34" s="8" t="s">
        <v>1257</v>
      </c>
      <c r="J34" s="8" t="s">
        <v>1257</v>
      </c>
      <c r="K34" s="12" t="s">
        <v>441</v>
      </c>
      <c r="L34" s="12" t="s">
        <v>441</v>
      </c>
      <c r="M34">
        <f t="shared" si="0"/>
        <v>15</v>
      </c>
      <c r="N34">
        <v>0</v>
      </c>
      <c r="O34">
        <v>0</v>
      </c>
      <c r="P34">
        <v>10</v>
      </c>
      <c r="Q34">
        <v>0</v>
      </c>
      <c r="R34">
        <v>0</v>
      </c>
      <c r="S34">
        <v>0</v>
      </c>
      <c r="T34">
        <v>5</v>
      </c>
      <c r="U34">
        <v>0</v>
      </c>
      <c r="V34">
        <v>0</v>
      </c>
    </row>
    <row r="35" spans="1:26" ht="154" hidden="1" customHeight="1" x14ac:dyDescent="0.3">
      <c r="A35">
        <v>2025</v>
      </c>
      <c r="B35">
        <v>2047</v>
      </c>
      <c r="C35" t="s">
        <v>1344</v>
      </c>
      <c r="D35" s="8" t="s">
        <v>1255</v>
      </c>
      <c r="E35" s="8" t="s">
        <v>1345</v>
      </c>
      <c r="F35" s="8" t="s">
        <v>1346</v>
      </c>
      <c r="I35" s="8" t="s">
        <v>1219</v>
      </c>
      <c r="J35" s="8" t="s">
        <v>1347</v>
      </c>
      <c r="K35" s="12" t="s">
        <v>441</v>
      </c>
      <c r="L35" s="12"/>
      <c r="M35">
        <f t="shared" ref="M35:M66" si="1">N35+O35+P35+Q35+R35+S35+T35+U35+V35+W35</f>
        <v>25</v>
      </c>
      <c r="N35">
        <v>10</v>
      </c>
      <c r="O35">
        <v>0</v>
      </c>
      <c r="P35">
        <v>10</v>
      </c>
      <c r="Q35">
        <v>0</v>
      </c>
      <c r="R35">
        <v>0</v>
      </c>
      <c r="S35">
        <v>0</v>
      </c>
      <c r="T35">
        <v>5</v>
      </c>
      <c r="U35">
        <v>0</v>
      </c>
      <c r="V35">
        <v>0</v>
      </c>
      <c r="W35">
        <v>0</v>
      </c>
    </row>
    <row r="36" spans="1:26" ht="168" hidden="1" customHeight="1" x14ac:dyDescent="0.3">
      <c r="A36">
        <v>2025</v>
      </c>
      <c r="B36">
        <v>301288</v>
      </c>
      <c r="C36" t="s">
        <v>1348</v>
      </c>
      <c r="D36" s="8" t="s">
        <v>1349</v>
      </c>
      <c r="E36" s="8" t="s">
        <v>1350</v>
      </c>
      <c r="F36" s="8" t="s">
        <v>1351</v>
      </c>
      <c r="G36" s="8" t="s">
        <v>1352</v>
      </c>
      <c r="I36" s="8" t="s">
        <v>1219</v>
      </c>
      <c r="J36" s="8" t="s">
        <v>1219</v>
      </c>
      <c r="K36" s="12" t="s">
        <v>441</v>
      </c>
      <c r="L36" s="12"/>
      <c r="M36">
        <f t="shared" si="1"/>
        <v>50</v>
      </c>
      <c r="N36">
        <v>0</v>
      </c>
      <c r="O36">
        <v>0</v>
      </c>
      <c r="P36">
        <v>0</v>
      </c>
      <c r="Q36">
        <v>10</v>
      </c>
      <c r="R36">
        <v>40</v>
      </c>
      <c r="S36">
        <v>0</v>
      </c>
      <c r="T36">
        <v>0</v>
      </c>
      <c r="U36">
        <v>0</v>
      </c>
      <c r="V36">
        <v>0</v>
      </c>
    </row>
    <row r="37" spans="1:26" ht="84" hidden="1" customHeight="1" x14ac:dyDescent="0.3">
      <c r="A37">
        <v>2025</v>
      </c>
      <c r="B37">
        <v>668</v>
      </c>
      <c r="C37" t="s">
        <v>1353</v>
      </c>
      <c r="D37" s="8" t="s">
        <v>1285</v>
      </c>
      <c r="E37" s="8" t="s">
        <v>1354</v>
      </c>
      <c r="F37" s="8" t="s">
        <v>1355</v>
      </c>
      <c r="G37" s="8" t="s">
        <v>1356</v>
      </c>
      <c r="I37" s="8" t="s">
        <v>1219</v>
      </c>
      <c r="J37" s="8" t="s">
        <v>1219</v>
      </c>
      <c r="K37" s="12" t="s">
        <v>441</v>
      </c>
      <c r="L37" s="12"/>
      <c r="M37">
        <f t="shared" si="1"/>
        <v>10</v>
      </c>
      <c r="N37">
        <v>0</v>
      </c>
      <c r="O37">
        <v>0</v>
      </c>
      <c r="P37">
        <v>0</v>
      </c>
      <c r="Q37">
        <v>0</v>
      </c>
      <c r="R37">
        <v>10</v>
      </c>
      <c r="S37">
        <v>0</v>
      </c>
      <c r="T37">
        <v>0</v>
      </c>
      <c r="U37">
        <v>0</v>
      </c>
      <c r="V37">
        <v>0</v>
      </c>
    </row>
    <row r="38" spans="1:26" ht="70" hidden="1" customHeight="1" x14ac:dyDescent="0.3">
      <c r="A38">
        <v>2025</v>
      </c>
      <c r="B38">
        <v>2214</v>
      </c>
      <c r="C38" t="s">
        <v>1357</v>
      </c>
      <c r="D38" s="8" t="s">
        <v>1285</v>
      </c>
      <c r="E38" s="8" t="s">
        <v>1250</v>
      </c>
      <c r="F38" s="8" t="s">
        <v>1358</v>
      </c>
      <c r="G38" s="8" t="s">
        <v>1359</v>
      </c>
      <c r="I38" s="8" t="s">
        <v>1219</v>
      </c>
      <c r="J38" s="8" t="s">
        <v>1219</v>
      </c>
      <c r="K38" s="12" t="s">
        <v>441</v>
      </c>
      <c r="L38" s="12"/>
      <c r="M38">
        <f t="shared" si="1"/>
        <v>10</v>
      </c>
      <c r="N38">
        <v>0</v>
      </c>
      <c r="O38">
        <v>0</v>
      </c>
      <c r="P38">
        <v>0</v>
      </c>
      <c r="Q38">
        <v>0</v>
      </c>
      <c r="R38">
        <v>10</v>
      </c>
      <c r="S38">
        <v>0</v>
      </c>
      <c r="T38">
        <v>0</v>
      </c>
      <c r="U38">
        <v>0</v>
      </c>
      <c r="V38">
        <v>0</v>
      </c>
    </row>
    <row r="39" spans="1:26" ht="154" hidden="1" customHeight="1" x14ac:dyDescent="0.3">
      <c r="A39">
        <v>2025</v>
      </c>
      <c r="B39">
        <v>820</v>
      </c>
      <c r="C39" t="s">
        <v>1360</v>
      </c>
      <c r="D39" s="8" t="s">
        <v>1221</v>
      </c>
      <c r="E39" s="8" t="s">
        <v>1361</v>
      </c>
      <c r="F39" s="8" t="s">
        <v>1362</v>
      </c>
      <c r="G39" s="8" t="s">
        <v>1363</v>
      </c>
      <c r="I39" s="8" t="s">
        <v>1219</v>
      </c>
      <c r="J39" s="8" t="s">
        <v>1219</v>
      </c>
      <c r="K39" s="12" t="s">
        <v>441</v>
      </c>
      <c r="L39" s="12"/>
      <c r="M39">
        <f t="shared" si="1"/>
        <v>10</v>
      </c>
      <c r="N39">
        <v>0</v>
      </c>
      <c r="O39">
        <v>0</v>
      </c>
      <c r="P39">
        <v>0</v>
      </c>
      <c r="Q39">
        <v>0</v>
      </c>
      <c r="R39">
        <v>0</v>
      </c>
      <c r="S39">
        <v>0</v>
      </c>
      <c r="T39">
        <v>0</v>
      </c>
      <c r="U39">
        <v>10</v>
      </c>
      <c r="V39">
        <v>0</v>
      </c>
    </row>
    <row r="40" spans="1:26" ht="140" hidden="1" customHeight="1" x14ac:dyDescent="0.3">
      <c r="A40">
        <v>2025</v>
      </c>
      <c r="B40">
        <v>2168</v>
      </c>
      <c r="C40" t="s">
        <v>1364</v>
      </c>
      <c r="D40" s="8" t="s">
        <v>1365</v>
      </c>
      <c r="E40" s="8" t="s">
        <v>1366</v>
      </c>
      <c r="F40" s="8" t="s">
        <v>1367</v>
      </c>
      <c r="G40" s="8" t="s">
        <v>1368</v>
      </c>
      <c r="I40" s="8" t="s">
        <v>1219</v>
      </c>
      <c r="J40" s="8" t="s">
        <v>1219</v>
      </c>
      <c r="K40" s="12" t="s">
        <v>441</v>
      </c>
      <c r="L40" s="12" t="s">
        <v>458</v>
      </c>
      <c r="M40">
        <f t="shared" si="1"/>
        <v>6</v>
      </c>
      <c r="N40">
        <v>0</v>
      </c>
      <c r="O40">
        <v>0</v>
      </c>
      <c r="P40">
        <v>0</v>
      </c>
      <c r="Q40">
        <v>0</v>
      </c>
      <c r="R40">
        <v>1</v>
      </c>
      <c r="S40">
        <v>0</v>
      </c>
      <c r="T40">
        <v>5</v>
      </c>
      <c r="U40">
        <v>0</v>
      </c>
      <c r="V40">
        <v>0</v>
      </c>
    </row>
    <row r="41" spans="1:26" ht="98" hidden="1" customHeight="1" x14ac:dyDescent="0.3">
      <c r="A41">
        <v>2025</v>
      </c>
      <c r="B41">
        <v>972</v>
      </c>
      <c r="C41" t="s">
        <v>1369</v>
      </c>
      <c r="D41" s="8" t="s">
        <v>1370</v>
      </c>
      <c r="E41" s="8" t="s">
        <v>1371</v>
      </c>
      <c r="F41" s="8" t="s">
        <v>1372</v>
      </c>
      <c r="G41" s="8" t="s">
        <v>1373</v>
      </c>
      <c r="I41" s="8" t="s">
        <v>1219</v>
      </c>
      <c r="J41" s="8" t="s">
        <v>1219</v>
      </c>
      <c r="K41" s="12" t="s">
        <v>441</v>
      </c>
      <c r="L41" s="12" t="s">
        <v>458</v>
      </c>
      <c r="M41">
        <f t="shared" si="1"/>
        <v>5</v>
      </c>
      <c r="N41">
        <v>0</v>
      </c>
      <c r="O41">
        <v>0</v>
      </c>
      <c r="P41">
        <v>0</v>
      </c>
      <c r="Q41">
        <v>0</v>
      </c>
      <c r="R41">
        <v>0</v>
      </c>
      <c r="S41">
        <v>0</v>
      </c>
      <c r="T41">
        <v>5</v>
      </c>
      <c r="U41">
        <v>0</v>
      </c>
      <c r="V41">
        <v>0</v>
      </c>
    </row>
    <row r="42" spans="1:26" ht="42" hidden="1" customHeight="1" x14ac:dyDescent="0.3">
      <c r="A42">
        <v>2025</v>
      </c>
      <c r="B42">
        <v>300561</v>
      </c>
      <c r="C42" t="s">
        <v>1374</v>
      </c>
      <c r="D42" s="8" t="s">
        <v>1375</v>
      </c>
      <c r="E42" s="8" t="s">
        <v>1350</v>
      </c>
      <c r="F42" s="8" t="s">
        <v>1376</v>
      </c>
      <c r="G42" s="8" t="s">
        <v>1377</v>
      </c>
      <c r="I42" s="8" t="s">
        <v>1219</v>
      </c>
      <c r="J42" s="8" t="s">
        <v>1378</v>
      </c>
      <c r="K42" s="12" t="s">
        <v>441</v>
      </c>
      <c r="L42" s="12"/>
      <c r="M42">
        <f t="shared" si="1"/>
        <v>5</v>
      </c>
      <c r="N42">
        <v>0</v>
      </c>
      <c r="O42">
        <v>0</v>
      </c>
      <c r="P42">
        <v>0</v>
      </c>
      <c r="Q42">
        <v>0</v>
      </c>
      <c r="R42">
        <v>0</v>
      </c>
      <c r="S42">
        <v>5</v>
      </c>
      <c r="T42">
        <v>0</v>
      </c>
      <c r="U42">
        <v>0</v>
      </c>
      <c r="V42">
        <v>0</v>
      </c>
    </row>
    <row r="43" spans="1:26" ht="112" hidden="1" customHeight="1" x14ac:dyDescent="0.3">
      <c r="A43">
        <v>2025</v>
      </c>
      <c r="B43">
        <v>2306</v>
      </c>
      <c r="C43" t="s">
        <v>1379</v>
      </c>
      <c r="D43" s="8" t="s">
        <v>1380</v>
      </c>
      <c r="E43" s="8" t="s">
        <v>1381</v>
      </c>
      <c r="F43" s="8" t="s">
        <v>1382</v>
      </c>
      <c r="G43" s="8" t="s">
        <v>1383</v>
      </c>
      <c r="I43" s="8" t="s">
        <v>1384</v>
      </c>
      <c r="J43" s="8" t="s">
        <v>1219</v>
      </c>
      <c r="K43" s="12" t="s">
        <v>441</v>
      </c>
      <c r="L43" s="12"/>
      <c r="M43">
        <f t="shared" si="1"/>
        <v>3</v>
      </c>
      <c r="N43">
        <v>0</v>
      </c>
      <c r="O43">
        <v>0</v>
      </c>
      <c r="P43">
        <v>0</v>
      </c>
      <c r="Q43">
        <v>0</v>
      </c>
      <c r="R43">
        <v>13</v>
      </c>
      <c r="S43">
        <v>-10</v>
      </c>
      <c r="T43">
        <v>0</v>
      </c>
      <c r="U43">
        <v>0</v>
      </c>
      <c r="V43">
        <v>0</v>
      </c>
    </row>
    <row r="44" spans="1:26" ht="56" hidden="1" customHeight="1" x14ac:dyDescent="0.3">
      <c r="A44">
        <v>2025</v>
      </c>
      <c r="B44">
        <v>603261</v>
      </c>
      <c r="C44" t="s">
        <v>1385</v>
      </c>
      <c r="D44" s="8" t="s">
        <v>1386</v>
      </c>
      <c r="E44" s="8" t="s">
        <v>1250</v>
      </c>
      <c r="F44" s="8" t="s">
        <v>1387</v>
      </c>
      <c r="G44" s="8" t="s">
        <v>1388</v>
      </c>
      <c r="I44" s="8" t="s">
        <v>1219</v>
      </c>
      <c r="J44" s="8" t="s">
        <v>1219</v>
      </c>
      <c r="K44" s="12" t="s">
        <v>441</v>
      </c>
      <c r="L44" s="12"/>
      <c r="M44">
        <f t="shared" si="1"/>
        <v>0</v>
      </c>
      <c r="N44">
        <v>0</v>
      </c>
      <c r="O44">
        <v>0</v>
      </c>
      <c r="P44">
        <v>0</v>
      </c>
      <c r="Q44">
        <v>0</v>
      </c>
      <c r="R44">
        <v>0</v>
      </c>
      <c r="S44">
        <v>0</v>
      </c>
      <c r="T44">
        <v>0</v>
      </c>
      <c r="U44">
        <v>0</v>
      </c>
      <c r="V44">
        <v>0</v>
      </c>
    </row>
    <row r="45" spans="1:26" ht="210" hidden="1" customHeight="1" x14ac:dyDescent="0.3">
      <c r="A45">
        <v>2025</v>
      </c>
      <c r="B45">
        <v>929</v>
      </c>
      <c r="C45" t="s">
        <v>1389</v>
      </c>
      <c r="D45" s="8" t="s">
        <v>1221</v>
      </c>
      <c r="E45" s="8" t="s">
        <v>1390</v>
      </c>
      <c r="F45" s="8" t="s">
        <v>1391</v>
      </c>
      <c r="H45" s="11" t="s">
        <v>1225</v>
      </c>
      <c r="I45" s="8" t="s">
        <v>1219</v>
      </c>
      <c r="J45" s="8" t="s">
        <v>1219</v>
      </c>
      <c r="K45" s="11" t="s">
        <v>458</v>
      </c>
      <c r="L45" s="11"/>
      <c r="M45">
        <f t="shared" si="1"/>
        <v>40</v>
      </c>
      <c r="N45">
        <v>10</v>
      </c>
      <c r="O45">
        <v>10</v>
      </c>
      <c r="P45">
        <v>0</v>
      </c>
      <c r="Q45">
        <v>0</v>
      </c>
      <c r="R45">
        <v>20</v>
      </c>
      <c r="S45">
        <v>0</v>
      </c>
      <c r="T45">
        <v>0</v>
      </c>
      <c r="V45">
        <v>0</v>
      </c>
    </row>
    <row r="46" spans="1:26" ht="364" hidden="1" customHeight="1" x14ac:dyDescent="0.3">
      <c r="A46">
        <v>2025</v>
      </c>
      <c r="B46">
        <v>605081</v>
      </c>
      <c r="C46" t="s">
        <v>770</v>
      </c>
      <c r="D46" s="8" t="s">
        <v>1221</v>
      </c>
      <c r="E46" s="8" t="s">
        <v>1392</v>
      </c>
      <c r="F46" s="8" t="s">
        <v>1393</v>
      </c>
      <c r="G46" s="8" t="s">
        <v>1394</v>
      </c>
      <c r="H46" s="11" t="s">
        <v>1225</v>
      </c>
      <c r="I46" s="8" t="s">
        <v>1219</v>
      </c>
      <c r="J46" s="8" t="s">
        <v>1219</v>
      </c>
      <c r="K46" s="11" t="s">
        <v>458</v>
      </c>
      <c r="L46" s="11"/>
      <c r="M46">
        <f t="shared" si="1"/>
        <v>-10</v>
      </c>
      <c r="N46">
        <v>10</v>
      </c>
      <c r="O46">
        <v>10</v>
      </c>
      <c r="P46">
        <v>0</v>
      </c>
      <c r="Q46">
        <v>0</v>
      </c>
      <c r="R46">
        <v>-30</v>
      </c>
      <c r="S46">
        <v>0</v>
      </c>
      <c r="T46">
        <v>0</v>
      </c>
      <c r="V46">
        <v>0</v>
      </c>
      <c r="Z46" t="s">
        <v>1269</v>
      </c>
    </row>
    <row r="47" spans="1:26" ht="140" hidden="1" customHeight="1" x14ac:dyDescent="0.3">
      <c r="A47">
        <v>2025</v>
      </c>
      <c r="B47">
        <v>600243</v>
      </c>
      <c r="C47" t="s">
        <v>250</v>
      </c>
      <c r="D47" s="8" t="s">
        <v>1221</v>
      </c>
      <c r="E47" s="8" t="s">
        <v>1395</v>
      </c>
      <c r="F47" s="8" t="s">
        <v>1396</v>
      </c>
      <c r="G47" s="8" t="s">
        <v>1397</v>
      </c>
      <c r="H47" s="11" t="s">
        <v>1225</v>
      </c>
      <c r="I47" s="8" t="s">
        <v>1219</v>
      </c>
      <c r="J47" s="8" t="s">
        <v>1219</v>
      </c>
      <c r="K47" s="12" t="s">
        <v>441</v>
      </c>
      <c r="L47" s="12"/>
      <c r="M47">
        <f t="shared" si="1"/>
        <v>10</v>
      </c>
      <c r="N47">
        <v>10</v>
      </c>
      <c r="O47">
        <v>0</v>
      </c>
      <c r="P47">
        <v>0</v>
      </c>
      <c r="Q47">
        <v>0</v>
      </c>
      <c r="R47">
        <v>0</v>
      </c>
      <c r="S47">
        <v>0</v>
      </c>
      <c r="T47">
        <v>0</v>
      </c>
      <c r="U47">
        <v>0</v>
      </c>
      <c r="V47">
        <v>0</v>
      </c>
      <c r="Z47" t="s">
        <v>1269</v>
      </c>
    </row>
    <row r="48" spans="1:26" ht="98" hidden="1" customHeight="1" x14ac:dyDescent="0.3">
      <c r="A48">
        <v>2025</v>
      </c>
      <c r="B48">
        <v>2808</v>
      </c>
      <c r="C48" t="s">
        <v>1398</v>
      </c>
      <c r="D48" s="8" t="s">
        <v>1399</v>
      </c>
      <c r="E48" s="8" t="s">
        <v>1400</v>
      </c>
      <c r="F48" s="8" t="s">
        <v>1401</v>
      </c>
      <c r="G48" s="8" t="s">
        <v>1402</v>
      </c>
      <c r="H48" s="11" t="s">
        <v>1225</v>
      </c>
      <c r="I48" s="8" t="s">
        <v>1403</v>
      </c>
      <c r="J48" s="8" t="s">
        <v>1219</v>
      </c>
      <c r="K48" s="12" t="s">
        <v>441</v>
      </c>
      <c r="L48" s="12"/>
      <c r="M48">
        <f t="shared" si="1"/>
        <v>10</v>
      </c>
      <c r="N48">
        <v>0</v>
      </c>
      <c r="O48">
        <v>0</v>
      </c>
      <c r="P48">
        <v>0</v>
      </c>
      <c r="Q48">
        <v>0</v>
      </c>
      <c r="R48">
        <v>10</v>
      </c>
      <c r="S48">
        <v>0</v>
      </c>
      <c r="T48">
        <v>0</v>
      </c>
      <c r="V48">
        <v>0</v>
      </c>
    </row>
    <row r="49" spans="1:26" ht="224" hidden="1" customHeight="1" x14ac:dyDescent="0.3">
      <c r="A49">
        <v>2025</v>
      </c>
      <c r="B49">
        <v>4</v>
      </c>
      <c r="C49" t="s">
        <v>1404</v>
      </c>
      <c r="D49" s="8" t="s">
        <v>1221</v>
      </c>
      <c r="E49" s="8" t="s">
        <v>1405</v>
      </c>
      <c r="F49" s="8" t="s">
        <v>1406</v>
      </c>
      <c r="G49" s="8" t="s">
        <v>1296</v>
      </c>
      <c r="I49" s="8" t="s">
        <v>1219</v>
      </c>
      <c r="J49" s="8" t="s">
        <v>1219</v>
      </c>
      <c r="K49" s="12" t="s">
        <v>441</v>
      </c>
      <c r="L49" s="12"/>
      <c r="M49">
        <f t="shared" si="1"/>
        <v>0</v>
      </c>
      <c r="N49">
        <v>0</v>
      </c>
      <c r="O49">
        <v>0</v>
      </c>
      <c r="P49">
        <v>0</v>
      </c>
      <c r="Q49">
        <v>0</v>
      </c>
      <c r="R49">
        <v>0</v>
      </c>
      <c r="S49">
        <v>0</v>
      </c>
      <c r="T49">
        <v>0</v>
      </c>
      <c r="U49">
        <v>0</v>
      </c>
      <c r="V49">
        <v>0</v>
      </c>
    </row>
    <row r="50" spans="1:26" ht="154" hidden="1" customHeight="1" x14ac:dyDescent="0.3">
      <c r="A50">
        <v>2025</v>
      </c>
      <c r="B50">
        <v>2253</v>
      </c>
      <c r="C50" t="s">
        <v>1407</v>
      </c>
      <c r="D50" s="8" t="s">
        <v>1221</v>
      </c>
      <c r="E50" s="8" t="s">
        <v>1408</v>
      </c>
      <c r="F50" s="8" t="s">
        <v>1409</v>
      </c>
      <c r="G50" s="8" t="s">
        <v>1410</v>
      </c>
      <c r="I50" s="8" t="s">
        <v>1219</v>
      </c>
      <c r="J50" s="8" t="s">
        <v>1219</v>
      </c>
      <c r="K50" s="12" t="s">
        <v>441</v>
      </c>
      <c r="L50" s="12"/>
      <c r="M50">
        <f t="shared" si="1"/>
        <v>-10</v>
      </c>
      <c r="N50">
        <v>0</v>
      </c>
      <c r="O50">
        <v>0</v>
      </c>
      <c r="P50">
        <v>0</v>
      </c>
      <c r="Q50">
        <v>0</v>
      </c>
      <c r="R50">
        <v>-10</v>
      </c>
      <c r="S50">
        <v>0</v>
      </c>
      <c r="T50">
        <v>0</v>
      </c>
      <c r="U50">
        <v>0</v>
      </c>
      <c r="V50">
        <v>0</v>
      </c>
    </row>
    <row r="51" spans="1:26" ht="84" hidden="1" customHeight="1" x14ac:dyDescent="0.3">
      <c r="A51">
        <v>2025</v>
      </c>
      <c r="B51">
        <v>2848</v>
      </c>
      <c r="C51" t="s">
        <v>1411</v>
      </c>
      <c r="D51" s="8" t="s">
        <v>1412</v>
      </c>
      <c r="E51" s="8" t="s">
        <v>1413</v>
      </c>
      <c r="F51" s="8" t="s">
        <v>1414</v>
      </c>
      <c r="G51" s="8" t="s">
        <v>1415</v>
      </c>
      <c r="I51" s="8" t="s">
        <v>1416</v>
      </c>
      <c r="J51" s="8" t="s">
        <v>1219</v>
      </c>
      <c r="K51" s="12" t="s">
        <v>441</v>
      </c>
      <c r="L51" s="12"/>
      <c r="M51">
        <f t="shared" si="1"/>
        <v>0</v>
      </c>
      <c r="N51">
        <v>0</v>
      </c>
      <c r="O51">
        <v>0</v>
      </c>
      <c r="P51">
        <v>0</v>
      </c>
      <c r="Q51">
        <v>0</v>
      </c>
      <c r="R51">
        <v>0</v>
      </c>
      <c r="S51">
        <v>0</v>
      </c>
      <c r="T51">
        <v>0</v>
      </c>
      <c r="U51">
        <v>0</v>
      </c>
      <c r="V51">
        <v>0</v>
      </c>
    </row>
    <row r="52" spans="1:26" ht="84" hidden="1" customHeight="1" x14ac:dyDescent="0.3">
      <c r="A52">
        <v>2025</v>
      </c>
      <c r="B52">
        <v>2693</v>
      </c>
      <c r="C52" t="s">
        <v>300</v>
      </c>
      <c r="D52" s="8" t="s">
        <v>1417</v>
      </c>
      <c r="E52" s="8" t="s">
        <v>1216</v>
      </c>
      <c r="F52" s="8" t="s">
        <v>1418</v>
      </c>
      <c r="I52" s="8" t="s">
        <v>1419</v>
      </c>
      <c r="J52" s="8" t="s">
        <v>1219</v>
      </c>
      <c r="K52" s="12" t="s">
        <v>441</v>
      </c>
      <c r="L52" s="12"/>
      <c r="M52">
        <f t="shared" si="1"/>
        <v>0</v>
      </c>
      <c r="N52">
        <v>0</v>
      </c>
      <c r="O52">
        <v>0</v>
      </c>
      <c r="P52">
        <v>0</v>
      </c>
      <c r="Q52">
        <v>0</v>
      </c>
      <c r="R52">
        <v>0</v>
      </c>
      <c r="S52">
        <v>0</v>
      </c>
      <c r="T52">
        <v>0</v>
      </c>
      <c r="U52">
        <v>0</v>
      </c>
      <c r="V52">
        <v>0</v>
      </c>
    </row>
    <row r="53" spans="1:26" ht="70" hidden="1" customHeight="1" x14ac:dyDescent="0.3">
      <c r="A53">
        <v>2025</v>
      </c>
      <c r="B53">
        <v>600355</v>
      </c>
      <c r="C53" t="s">
        <v>1420</v>
      </c>
      <c r="D53" s="8" t="s">
        <v>1421</v>
      </c>
      <c r="E53" s="8" t="s">
        <v>1216</v>
      </c>
      <c r="F53" s="8" t="s">
        <v>1422</v>
      </c>
      <c r="I53" s="8" t="s">
        <v>1219</v>
      </c>
      <c r="J53" s="8" t="s">
        <v>1219</v>
      </c>
      <c r="K53" s="12" t="s">
        <v>441</v>
      </c>
      <c r="L53" s="12"/>
      <c r="M53">
        <f t="shared" si="1"/>
        <v>10</v>
      </c>
      <c r="N53">
        <v>0</v>
      </c>
      <c r="O53">
        <v>0</v>
      </c>
      <c r="P53">
        <v>0</v>
      </c>
      <c r="Q53">
        <v>0</v>
      </c>
      <c r="R53">
        <v>10</v>
      </c>
      <c r="S53">
        <v>0</v>
      </c>
      <c r="T53">
        <v>0</v>
      </c>
      <c r="U53">
        <v>0</v>
      </c>
      <c r="V53">
        <v>0</v>
      </c>
      <c r="Z53" t="s">
        <v>1269</v>
      </c>
    </row>
    <row r="54" spans="1:26" ht="224" hidden="1" customHeight="1" x14ac:dyDescent="0.3">
      <c r="A54">
        <v>2025</v>
      </c>
      <c r="B54">
        <v>2496</v>
      </c>
      <c r="C54" t="s">
        <v>1423</v>
      </c>
      <c r="D54" s="8" t="s">
        <v>1319</v>
      </c>
      <c r="E54" s="8" t="s">
        <v>1424</v>
      </c>
      <c r="F54" s="8" t="s">
        <v>1425</v>
      </c>
      <c r="G54" s="8" t="s">
        <v>1426</v>
      </c>
      <c r="I54" s="8" t="s">
        <v>1427</v>
      </c>
      <c r="J54" s="8" t="s">
        <v>1428</v>
      </c>
      <c r="K54" s="12" t="s">
        <v>441</v>
      </c>
      <c r="L54" s="12"/>
      <c r="M54">
        <f t="shared" si="1"/>
        <v>15</v>
      </c>
      <c r="N54">
        <v>0</v>
      </c>
      <c r="O54">
        <v>0</v>
      </c>
      <c r="P54">
        <v>0</v>
      </c>
      <c r="Q54">
        <v>0</v>
      </c>
      <c r="R54">
        <v>20</v>
      </c>
      <c r="S54">
        <v>0</v>
      </c>
      <c r="T54">
        <v>0</v>
      </c>
      <c r="U54">
        <v>0</v>
      </c>
      <c r="V54">
        <v>-5</v>
      </c>
    </row>
    <row r="55" spans="1:26" ht="126" hidden="1" customHeight="1" x14ac:dyDescent="0.3">
      <c r="A55">
        <v>2025</v>
      </c>
      <c r="B55">
        <v>600421</v>
      </c>
      <c r="C55" t="s">
        <v>892</v>
      </c>
      <c r="D55" s="8" t="s">
        <v>1421</v>
      </c>
      <c r="E55" s="8" t="s">
        <v>1216</v>
      </c>
      <c r="F55" s="8" t="s">
        <v>1429</v>
      </c>
      <c r="G55" s="8" t="s">
        <v>1430</v>
      </c>
      <c r="I55" s="8" t="s">
        <v>1431</v>
      </c>
      <c r="J55" s="8" t="s">
        <v>1219</v>
      </c>
      <c r="K55" s="12" t="s">
        <v>458</v>
      </c>
      <c r="L55" s="12"/>
      <c r="M55">
        <f t="shared" si="1"/>
        <v>5</v>
      </c>
      <c r="N55">
        <v>10</v>
      </c>
      <c r="O55">
        <v>0</v>
      </c>
      <c r="P55">
        <v>0</v>
      </c>
      <c r="Q55">
        <v>0</v>
      </c>
      <c r="R55">
        <v>-2</v>
      </c>
      <c r="S55">
        <v>-3</v>
      </c>
      <c r="T55">
        <v>0</v>
      </c>
      <c r="U55">
        <v>0</v>
      </c>
      <c r="V55">
        <v>0</v>
      </c>
      <c r="Z55" t="s">
        <v>1269</v>
      </c>
    </row>
    <row r="56" spans="1:26" ht="126" hidden="1" customHeight="1" x14ac:dyDescent="0.3">
      <c r="A56">
        <v>2025</v>
      </c>
      <c r="B56">
        <v>2872</v>
      </c>
      <c r="C56" t="s">
        <v>1432</v>
      </c>
      <c r="D56" s="8" t="s">
        <v>1433</v>
      </c>
      <c r="E56" s="8" t="s">
        <v>1434</v>
      </c>
      <c r="F56" s="8" t="s">
        <v>1435</v>
      </c>
      <c r="G56" s="8" t="s">
        <v>1436</v>
      </c>
      <c r="I56" s="8" t="s">
        <v>1437</v>
      </c>
      <c r="J56" s="8" t="s">
        <v>1219</v>
      </c>
      <c r="K56" s="12" t="s">
        <v>441</v>
      </c>
      <c r="L56" s="12"/>
      <c r="M56">
        <f t="shared" si="1"/>
        <v>0</v>
      </c>
      <c r="N56">
        <v>0</v>
      </c>
      <c r="O56">
        <v>0</v>
      </c>
      <c r="P56">
        <v>0</v>
      </c>
      <c r="Q56">
        <v>0</v>
      </c>
      <c r="R56">
        <v>0</v>
      </c>
      <c r="S56">
        <v>0</v>
      </c>
      <c r="T56">
        <v>0</v>
      </c>
      <c r="U56">
        <v>0</v>
      </c>
      <c r="V56">
        <v>0</v>
      </c>
    </row>
    <row r="57" spans="1:26" ht="182" hidden="1" customHeight="1" x14ac:dyDescent="0.3">
      <c r="A57">
        <v>2025</v>
      </c>
      <c r="B57">
        <v>603789</v>
      </c>
      <c r="C57" t="s">
        <v>1438</v>
      </c>
      <c r="D57" s="8" t="s">
        <v>1221</v>
      </c>
      <c r="E57" s="8" t="s">
        <v>1439</v>
      </c>
      <c r="F57" s="8" t="s">
        <v>1440</v>
      </c>
      <c r="G57" s="8" t="s">
        <v>1441</v>
      </c>
      <c r="I57" s="8" t="s">
        <v>1442</v>
      </c>
      <c r="J57" s="8" t="s">
        <v>1219</v>
      </c>
      <c r="K57" s="12" t="s">
        <v>441</v>
      </c>
      <c r="L57" s="12"/>
      <c r="M57">
        <f t="shared" si="1"/>
        <v>0</v>
      </c>
      <c r="N57">
        <v>0</v>
      </c>
      <c r="O57">
        <v>0</v>
      </c>
      <c r="P57">
        <v>0</v>
      </c>
      <c r="Q57">
        <v>0</v>
      </c>
      <c r="R57">
        <v>40</v>
      </c>
      <c r="S57">
        <v>0</v>
      </c>
      <c r="T57">
        <v>0</v>
      </c>
      <c r="U57">
        <v>0</v>
      </c>
      <c r="V57">
        <v>-40</v>
      </c>
      <c r="Z57" t="s">
        <v>1269</v>
      </c>
    </row>
    <row r="58" spans="1:26" ht="42" hidden="1" customHeight="1" x14ac:dyDescent="0.3">
      <c r="A58">
        <v>2025</v>
      </c>
      <c r="B58">
        <v>300159</v>
      </c>
      <c r="C58" t="s">
        <v>1443</v>
      </c>
      <c r="D58" s="8" t="s">
        <v>1255</v>
      </c>
      <c r="E58" s="8" t="s">
        <v>1337</v>
      </c>
      <c r="F58" s="8" t="s">
        <v>1444</v>
      </c>
      <c r="I58" s="8" t="s">
        <v>1445</v>
      </c>
      <c r="J58" s="8" t="s">
        <v>1219</v>
      </c>
      <c r="K58" s="12" t="s">
        <v>441</v>
      </c>
      <c r="L58" s="12" t="s">
        <v>458</v>
      </c>
      <c r="M58">
        <f t="shared" si="1"/>
        <v>-20</v>
      </c>
      <c r="N58">
        <v>0</v>
      </c>
      <c r="O58">
        <v>0</v>
      </c>
      <c r="P58">
        <v>0</v>
      </c>
      <c r="Q58">
        <v>0</v>
      </c>
      <c r="R58">
        <v>0</v>
      </c>
      <c r="S58">
        <v>0</v>
      </c>
      <c r="T58">
        <v>0</v>
      </c>
      <c r="U58">
        <v>0</v>
      </c>
      <c r="V58">
        <v>-20</v>
      </c>
    </row>
    <row r="59" spans="1:26" ht="350" hidden="1" customHeight="1" x14ac:dyDescent="0.3">
      <c r="A59">
        <v>2025</v>
      </c>
      <c r="B59">
        <v>638</v>
      </c>
      <c r="C59" t="s">
        <v>1446</v>
      </c>
      <c r="D59" s="8" t="s">
        <v>1221</v>
      </c>
      <c r="E59" s="8" t="s">
        <v>1447</v>
      </c>
      <c r="F59" s="8" t="s">
        <v>1448</v>
      </c>
      <c r="G59" s="8" t="s">
        <v>1449</v>
      </c>
      <c r="H59" s="11" t="s">
        <v>1225</v>
      </c>
      <c r="I59" s="8" t="s">
        <v>1450</v>
      </c>
      <c r="J59" s="8" t="s">
        <v>1219</v>
      </c>
      <c r="K59" s="12" t="s">
        <v>441</v>
      </c>
      <c r="L59" s="12"/>
      <c r="M59">
        <f t="shared" si="1"/>
        <v>-20</v>
      </c>
      <c r="N59">
        <v>0</v>
      </c>
      <c r="O59">
        <v>0</v>
      </c>
      <c r="P59">
        <v>0</v>
      </c>
      <c r="Q59">
        <v>0</v>
      </c>
      <c r="R59">
        <v>20</v>
      </c>
      <c r="S59">
        <v>0</v>
      </c>
      <c r="T59">
        <v>0</v>
      </c>
      <c r="U59">
        <v>0</v>
      </c>
      <c r="V59">
        <v>-40</v>
      </c>
    </row>
    <row r="60" spans="1:26" ht="182" hidden="1" customHeight="1" x14ac:dyDescent="0.3">
      <c r="A60">
        <v>2025</v>
      </c>
      <c r="B60">
        <v>603398</v>
      </c>
      <c r="C60" t="s">
        <v>1451</v>
      </c>
      <c r="D60" s="8" t="s">
        <v>1452</v>
      </c>
      <c r="E60" s="8" t="s">
        <v>1453</v>
      </c>
      <c r="F60" s="8" t="s">
        <v>1454</v>
      </c>
      <c r="G60" s="8" t="s">
        <v>1455</v>
      </c>
      <c r="I60" s="8" t="s">
        <v>1416</v>
      </c>
      <c r="J60" s="8" t="s">
        <v>1456</v>
      </c>
      <c r="K60" s="12" t="s">
        <v>441</v>
      </c>
      <c r="L60" s="12"/>
      <c r="M60">
        <f t="shared" si="1"/>
        <v>-30</v>
      </c>
      <c r="N60">
        <v>0</v>
      </c>
      <c r="O60">
        <v>0</v>
      </c>
      <c r="P60">
        <v>0</v>
      </c>
      <c r="Q60">
        <v>0</v>
      </c>
      <c r="R60">
        <v>-10</v>
      </c>
      <c r="S60">
        <v>0</v>
      </c>
      <c r="T60">
        <v>0</v>
      </c>
      <c r="U60">
        <v>0</v>
      </c>
      <c r="V60">
        <v>-20</v>
      </c>
    </row>
    <row r="61" spans="1:26" ht="84" hidden="1" customHeight="1" x14ac:dyDescent="0.3">
      <c r="A61">
        <v>2025</v>
      </c>
      <c r="B61">
        <v>600238</v>
      </c>
      <c r="C61" t="s">
        <v>1457</v>
      </c>
      <c r="D61" s="8" t="s">
        <v>1452</v>
      </c>
      <c r="E61" s="8" t="s">
        <v>1458</v>
      </c>
      <c r="F61" s="8" t="s">
        <v>1459</v>
      </c>
      <c r="G61" s="8" t="s">
        <v>1460</v>
      </c>
      <c r="I61" s="8" t="s">
        <v>1461</v>
      </c>
      <c r="J61" s="8" t="s">
        <v>1462</v>
      </c>
      <c r="K61" s="12" t="s">
        <v>441</v>
      </c>
      <c r="L61" s="12"/>
      <c r="M61">
        <f t="shared" si="1"/>
        <v>-30</v>
      </c>
      <c r="N61">
        <v>0</v>
      </c>
      <c r="O61">
        <v>0</v>
      </c>
      <c r="P61">
        <v>0</v>
      </c>
      <c r="Q61">
        <v>0</v>
      </c>
      <c r="R61">
        <v>-10</v>
      </c>
      <c r="S61">
        <v>0</v>
      </c>
      <c r="T61">
        <v>0</v>
      </c>
      <c r="U61">
        <v>0</v>
      </c>
      <c r="V61">
        <v>-20</v>
      </c>
      <c r="Z61" t="s">
        <v>1269</v>
      </c>
    </row>
    <row r="62" spans="1:26" ht="182" hidden="1" customHeight="1" x14ac:dyDescent="0.3">
      <c r="A62">
        <v>2025</v>
      </c>
      <c r="B62">
        <v>600696</v>
      </c>
      <c r="C62" t="s">
        <v>1463</v>
      </c>
      <c r="D62" s="8" t="s">
        <v>1464</v>
      </c>
      <c r="E62" s="8" t="s">
        <v>1465</v>
      </c>
      <c r="F62" s="8" t="s">
        <v>1466</v>
      </c>
      <c r="G62" s="8" t="s">
        <v>1467</v>
      </c>
      <c r="I62" s="8" t="s">
        <v>1468</v>
      </c>
      <c r="J62" s="8" t="s">
        <v>1469</v>
      </c>
      <c r="K62" s="12" t="s">
        <v>441</v>
      </c>
      <c r="L62" s="12"/>
      <c r="M62">
        <f t="shared" si="1"/>
        <v>-50</v>
      </c>
      <c r="N62">
        <v>0</v>
      </c>
      <c r="O62">
        <v>0</v>
      </c>
      <c r="P62">
        <v>0</v>
      </c>
      <c r="Q62">
        <v>0</v>
      </c>
      <c r="R62">
        <v>-30</v>
      </c>
      <c r="S62">
        <v>0</v>
      </c>
      <c r="T62">
        <v>0</v>
      </c>
      <c r="U62">
        <v>0</v>
      </c>
      <c r="V62">
        <v>-20</v>
      </c>
    </row>
    <row r="63" spans="1:26" ht="84" hidden="1" customHeight="1" x14ac:dyDescent="0.3">
      <c r="A63">
        <v>2025</v>
      </c>
      <c r="B63">
        <v>2231</v>
      </c>
      <c r="C63" t="s">
        <v>1470</v>
      </c>
      <c r="D63" s="8" t="s">
        <v>1471</v>
      </c>
      <c r="E63" s="8" t="s">
        <v>1216</v>
      </c>
      <c r="F63" s="8" t="s">
        <v>1472</v>
      </c>
      <c r="G63" s="8" t="s">
        <v>1473</v>
      </c>
      <c r="I63" s="8" t="s">
        <v>1474</v>
      </c>
      <c r="J63" s="8" t="s">
        <v>1475</v>
      </c>
      <c r="K63" s="12" t="s">
        <v>441</v>
      </c>
      <c r="L63" s="12"/>
      <c r="M63">
        <f t="shared" si="1"/>
        <v>-50</v>
      </c>
      <c r="N63">
        <v>0</v>
      </c>
      <c r="O63">
        <v>0</v>
      </c>
      <c r="P63">
        <v>0</v>
      </c>
      <c r="Q63">
        <v>0</v>
      </c>
      <c r="R63">
        <v>-20</v>
      </c>
      <c r="S63">
        <v>0</v>
      </c>
      <c r="T63">
        <v>0</v>
      </c>
      <c r="U63">
        <v>0</v>
      </c>
      <c r="V63">
        <v>-30</v>
      </c>
    </row>
    <row r="64" spans="1:26" ht="42" hidden="1" customHeight="1" x14ac:dyDescent="0.3">
      <c r="A64">
        <v>2025</v>
      </c>
      <c r="B64">
        <v>600608</v>
      </c>
      <c r="C64" t="s">
        <v>1476</v>
      </c>
      <c r="D64" s="8" t="s">
        <v>1477</v>
      </c>
      <c r="E64" s="8" t="s">
        <v>1250</v>
      </c>
      <c r="F64" s="8" t="s">
        <v>1478</v>
      </c>
      <c r="K64" s="12" t="s">
        <v>441</v>
      </c>
      <c r="L64" s="12"/>
      <c r="M64">
        <f t="shared" si="1"/>
        <v>-40</v>
      </c>
      <c r="N64">
        <v>0</v>
      </c>
      <c r="O64">
        <v>0</v>
      </c>
      <c r="P64">
        <v>0</v>
      </c>
      <c r="Q64">
        <v>0</v>
      </c>
      <c r="R64">
        <v>-20</v>
      </c>
      <c r="S64">
        <v>-20</v>
      </c>
      <c r="T64">
        <v>0</v>
      </c>
      <c r="U64">
        <v>0</v>
      </c>
      <c r="V64">
        <v>0</v>
      </c>
      <c r="Z64" t="s">
        <v>1269</v>
      </c>
    </row>
    <row r="65" spans="1:26" ht="126" hidden="1" customHeight="1" x14ac:dyDescent="0.3">
      <c r="A65">
        <v>2025</v>
      </c>
      <c r="B65">
        <v>600193</v>
      </c>
      <c r="C65" t="s">
        <v>612</v>
      </c>
      <c r="D65" s="8" t="s">
        <v>1479</v>
      </c>
      <c r="E65" s="8" t="s">
        <v>1413</v>
      </c>
      <c r="F65" s="8" t="s">
        <v>1480</v>
      </c>
      <c r="G65" s="8" t="s">
        <v>1481</v>
      </c>
      <c r="I65" s="8" t="s">
        <v>1482</v>
      </c>
      <c r="J65" s="8" t="s">
        <v>1219</v>
      </c>
      <c r="K65" s="12" t="s">
        <v>458</v>
      </c>
      <c r="L65" s="12"/>
      <c r="M65">
        <f t="shared" si="1"/>
        <v>-50</v>
      </c>
      <c r="N65">
        <v>10</v>
      </c>
      <c r="O65">
        <v>10</v>
      </c>
      <c r="P65">
        <v>0</v>
      </c>
      <c r="Q65">
        <v>0</v>
      </c>
      <c r="R65">
        <v>-30</v>
      </c>
      <c r="S65">
        <v>-40</v>
      </c>
      <c r="T65">
        <v>0</v>
      </c>
      <c r="U65">
        <v>0</v>
      </c>
      <c r="V65">
        <v>0</v>
      </c>
      <c r="Z65" t="s">
        <v>1269</v>
      </c>
    </row>
    <row r="66" spans="1:26" ht="98" hidden="1" customHeight="1" x14ac:dyDescent="0.3">
      <c r="A66">
        <v>2025</v>
      </c>
      <c r="B66">
        <v>600599</v>
      </c>
      <c r="C66" t="s">
        <v>289</v>
      </c>
      <c r="D66" s="8" t="s">
        <v>1483</v>
      </c>
      <c r="E66" s="8" t="s">
        <v>1484</v>
      </c>
      <c r="F66" s="8" t="s">
        <v>1485</v>
      </c>
      <c r="G66" s="8" t="s">
        <v>1486</v>
      </c>
      <c r="I66" s="8" t="s">
        <v>1474</v>
      </c>
      <c r="J66" s="8" t="s">
        <v>1475</v>
      </c>
      <c r="K66" s="12" t="s">
        <v>441</v>
      </c>
      <c r="L66" s="12"/>
      <c r="M66">
        <f t="shared" si="1"/>
        <v>-40</v>
      </c>
      <c r="N66">
        <v>0</v>
      </c>
      <c r="O66">
        <v>0</v>
      </c>
      <c r="P66">
        <v>0</v>
      </c>
      <c r="Q66">
        <v>0</v>
      </c>
      <c r="R66">
        <v>0</v>
      </c>
      <c r="S66">
        <v>0</v>
      </c>
      <c r="T66">
        <v>0</v>
      </c>
      <c r="U66">
        <v>0</v>
      </c>
      <c r="V66">
        <v>-40</v>
      </c>
    </row>
    <row r="67" spans="1:26" ht="409.5" hidden="1" customHeight="1" x14ac:dyDescent="0.3">
      <c r="A67">
        <v>2025</v>
      </c>
      <c r="B67">
        <v>300225</v>
      </c>
      <c r="C67" t="s">
        <v>1487</v>
      </c>
      <c r="D67" s="8" t="s">
        <v>1483</v>
      </c>
      <c r="E67" s="8" t="s">
        <v>1488</v>
      </c>
      <c r="F67" s="8" t="s">
        <v>1489</v>
      </c>
      <c r="I67" s="8" t="s">
        <v>1490</v>
      </c>
      <c r="J67" s="8" t="s">
        <v>1475</v>
      </c>
      <c r="K67" s="12" t="s">
        <v>441</v>
      </c>
      <c r="L67" s="12"/>
      <c r="M67">
        <f t="shared" ref="M67" si="2">N67+O67+P67+Q67+R67+S67+T67+U67+V67+W67</f>
        <v>-40</v>
      </c>
      <c r="N67">
        <v>0</v>
      </c>
      <c r="O67">
        <v>0</v>
      </c>
      <c r="P67">
        <v>0</v>
      </c>
      <c r="Q67">
        <v>0</v>
      </c>
      <c r="R67">
        <v>0</v>
      </c>
      <c r="S67">
        <v>0</v>
      </c>
      <c r="T67">
        <v>0</v>
      </c>
      <c r="U67">
        <v>0</v>
      </c>
      <c r="V67">
        <v>-40</v>
      </c>
    </row>
    <row r="68" spans="1:26" ht="98" hidden="1" customHeight="1" x14ac:dyDescent="0.3">
      <c r="A68">
        <v>2025</v>
      </c>
      <c r="B68">
        <v>300716</v>
      </c>
      <c r="C68" t="s">
        <v>916</v>
      </c>
      <c r="D68" s="8" t="s">
        <v>1491</v>
      </c>
      <c r="F68" s="8" t="s">
        <v>1492</v>
      </c>
    </row>
    <row r="69" spans="1:26" ht="112" hidden="1" customHeight="1" x14ac:dyDescent="0.3">
      <c r="A69">
        <v>2025</v>
      </c>
      <c r="B69">
        <v>300313</v>
      </c>
      <c r="C69" t="s">
        <v>1493</v>
      </c>
      <c r="D69" s="8" t="s">
        <v>1494</v>
      </c>
      <c r="E69" s="8" t="s">
        <v>1495</v>
      </c>
      <c r="F69" s="8" t="s">
        <v>1496</v>
      </c>
      <c r="G69" s="8" t="s">
        <v>1497</v>
      </c>
      <c r="I69" s="8" t="s">
        <v>1416</v>
      </c>
      <c r="J69" s="8" t="s">
        <v>1219</v>
      </c>
      <c r="K69" s="12" t="s">
        <v>441</v>
      </c>
      <c r="L69" s="12"/>
      <c r="M69">
        <f>N69+O69+P69+Q69+R69+S69+T69+U69+V69+W69</f>
        <v>20</v>
      </c>
      <c r="N69">
        <v>10</v>
      </c>
      <c r="O69">
        <v>10</v>
      </c>
      <c r="P69">
        <v>0</v>
      </c>
      <c r="Q69">
        <v>0</v>
      </c>
      <c r="R69">
        <v>0</v>
      </c>
      <c r="S69">
        <v>0</v>
      </c>
      <c r="T69">
        <v>0</v>
      </c>
      <c r="U69">
        <v>0</v>
      </c>
      <c r="V69">
        <v>0</v>
      </c>
    </row>
    <row r="70" spans="1:26" hidden="1" x14ac:dyDescent="0.3">
      <c r="A70">
        <v>2025</v>
      </c>
      <c r="B70">
        <v>600381</v>
      </c>
      <c r="C70" t="s">
        <v>274</v>
      </c>
      <c r="D70" s="8" t="s">
        <v>1285</v>
      </c>
      <c r="E70" s="8" t="s">
        <v>1498</v>
      </c>
      <c r="F70" s="8" t="s">
        <v>1499</v>
      </c>
      <c r="G70" s="8"/>
      <c r="I70" s="8" t="s">
        <v>1219</v>
      </c>
      <c r="J70" s="8" t="s">
        <v>1219</v>
      </c>
      <c r="K70" s="12" t="s">
        <v>441</v>
      </c>
      <c r="L70" s="12"/>
      <c r="M70">
        <f>N70+O70+P70+Q70+R70+S70+T70+U70+V70+W70</f>
        <v>10</v>
      </c>
      <c r="N70">
        <v>0</v>
      </c>
      <c r="O70">
        <v>0</v>
      </c>
      <c r="P70">
        <v>0</v>
      </c>
      <c r="Q70">
        <v>0</v>
      </c>
      <c r="R70">
        <v>10</v>
      </c>
      <c r="S70">
        <v>0</v>
      </c>
      <c r="T70">
        <v>0</v>
      </c>
      <c r="U70">
        <v>0</v>
      </c>
      <c r="V70">
        <v>0</v>
      </c>
      <c r="W70">
        <v>0</v>
      </c>
      <c r="X70">
        <v>0</v>
      </c>
      <c r="Z70" t="s">
        <v>1269</v>
      </c>
    </row>
    <row r="71" spans="1:26" hidden="1" x14ac:dyDescent="0.3">
      <c r="A71">
        <v>2025</v>
      </c>
      <c r="B71">
        <v>2713</v>
      </c>
      <c r="C71" t="s">
        <v>1500</v>
      </c>
      <c r="D71" s="8" t="s">
        <v>1255</v>
      </c>
      <c r="E71" s="8" t="s">
        <v>1337</v>
      </c>
      <c r="L71" t="s">
        <v>458</v>
      </c>
    </row>
    <row r="72" spans="1:26" hidden="1" x14ac:dyDescent="0.3">
      <c r="A72">
        <v>2025</v>
      </c>
      <c r="B72">
        <v>2200</v>
      </c>
      <c r="C72" t="s">
        <v>1501</v>
      </c>
      <c r="D72" s="8" t="s">
        <v>1255</v>
      </c>
      <c r="E72" s="8" t="s">
        <v>1337</v>
      </c>
      <c r="L72" t="s">
        <v>458</v>
      </c>
    </row>
    <row r="73" spans="1:26" hidden="1" x14ac:dyDescent="0.3">
      <c r="A73">
        <v>2025</v>
      </c>
      <c r="B73">
        <v>300093</v>
      </c>
      <c r="C73" t="s">
        <v>1502</v>
      </c>
      <c r="D73" s="8" t="s">
        <v>1255</v>
      </c>
      <c r="E73" s="8" t="s">
        <v>1337</v>
      </c>
      <c r="L73" t="s">
        <v>458</v>
      </c>
    </row>
    <row r="74" spans="1:26" hidden="1" x14ac:dyDescent="0.3">
      <c r="A74">
        <v>2025</v>
      </c>
      <c r="B74">
        <v>908</v>
      </c>
      <c r="C74" t="s">
        <v>1503</v>
      </c>
      <c r="D74" s="8" t="s">
        <v>1255</v>
      </c>
      <c r="E74" s="8" t="s">
        <v>1337</v>
      </c>
      <c r="L74" t="s">
        <v>458</v>
      </c>
    </row>
    <row r="75" spans="1:26" hidden="1" x14ac:dyDescent="0.3">
      <c r="A75">
        <v>2025</v>
      </c>
      <c r="B75">
        <v>697</v>
      </c>
      <c r="C75" t="s">
        <v>1504</v>
      </c>
      <c r="D75" s="8" t="s">
        <v>1255</v>
      </c>
      <c r="E75" s="8" t="s">
        <v>1337</v>
      </c>
      <c r="L75" t="s">
        <v>458</v>
      </c>
    </row>
    <row r="76" spans="1:26" hidden="1" x14ac:dyDescent="0.3">
      <c r="A76">
        <v>2025</v>
      </c>
      <c r="B76">
        <v>300125</v>
      </c>
      <c r="C76" t="s">
        <v>1505</v>
      </c>
      <c r="D76" s="8" t="s">
        <v>1255</v>
      </c>
      <c r="E76" s="8" t="s">
        <v>1337</v>
      </c>
      <c r="L76" t="s">
        <v>458</v>
      </c>
    </row>
    <row r="77" spans="1:26" hidden="1" x14ac:dyDescent="0.3">
      <c r="A77">
        <v>2025</v>
      </c>
      <c r="B77">
        <v>615</v>
      </c>
      <c r="C77" t="s">
        <v>1506</v>
      </c>
      <c r="D77" s="8" t="s">
        <v>1255</v>
      </c>
      <c r="E77" s="8" t="s">
        <v>1337</v>
      </c>
      <c r="F77"/>
      <c r="L77" t="s">
        <v>458</v>
      </c>
    </row>
    <row r="78" spans="1:26" hidden="1" x14ac:dyDescent="0.3">
      <c r="A78">
        <v>2025</v>
      </c>
      <c r="B78">
        <v>300506</v>
      </c>
      <c r="C78" t="s">
        <v>1507</v>
      </c>
      <c r="D78" s="8" t="s">
        <v>1255</v>
      </c>
      <c r="E78" s="8" t="s">
        <v>1337</v>
      </c>
      <c r="L78" t="s">
        <v>458</v>
      </c>
    </row>
    <row r="79" spans="1:26" hidden="1" x14ac:dyDescent="0.3">
      <c r="A79">
        <v>2025</v>
      </c>
      <c r="B79">
        <v>600165</v>
      </c>
      <c r="C79" t="s">
        <v>1508</v>
      </c>
      <c r="D79" s="8" t="s">
        <v>1255</v>
      </c>
      <c r="E79" s="8" t="s">
        <v>1337</v>
      </c>
      <c r="L79" t="s">
        <v>458</v>
      </c>
    </row>
    <row r="80" spans="1:26" hidden="1" x14ac:dyDescent="0.3">
      <c r="A80">
        <v>2025</v>
      </c>
      <c r="B80">
        <v>2742</v>
      </c>
      <c r="C80" t="s">
        <v>1509</v>
      </c>
      <c r="D80" s="8" t="s">
        <v>1255</v>
      </c>
      <c r="E80" s="8" t="s">
        <v>1337</v>
      </c>
      <c r="L80" t="s">
        <v>458</v>
      </c>
    </row>
    <row r="81" spans="1:20" ht="42" hidden="1" customHeight="1" x14ac:dyDescent="0.3">
      <c r="A81">
        <v>2025</v>
      </c>
      <c r="B81">
        <v>300472</v>
      </c>
      <c r="C81" t="s">
        <v>1510</v>
      </c>
      <c r="D81" s="8" t="s">
        <v>1511</v>
      </c>
      <c r="E81" s="8" t="s">
        <v>1337</v>
      </c>
      <c r="F81" s="8" t="s">
        <v>1512</v>
      </c>
      <c r="L81" t="s">
        <v>458</v>
      </c>
    </row>
    <row r="82" spans="1:20" hidden="1" x14ac:dyDescent="0.3">
      <c r="A82">
        <v>2025</v>
      </c>
      <c r="B82">
        <v>300391</v>
      </c>
      <c r="C82" t="s">
        <v>1513</v>
      </c>
      <c r="D82" s="8" t="s">
        <v>1255</v>
      </c>
      <c r="E82" s="8" t="s">
        <v>1337</v>
      </c>
      <c r="L82" t="s">
        <v>458</v>
      </c>
    </row>
    <row r="83" spans="1:20" x14ac:dyDescent="0.3">
      <c r="A83">
        <v>2026</v>
      </c>
      <c r="B83">
        <v>603825</v>
      </c>
      <c r="C83" t="s">
        <v>707</v>
      </c>
      <c r="D83" s="8" t="s">
        <v>1255</v>
      </c>
      <c r="G83" t="s">
        <v>1514</v>
      </c>
      <c r="M83">
        <f t="shared" ref="M83:M89" si="3">N83+O83+P83+Q83+R83+S83+T83+U83+V83+W83</f>
        <v>5</v>
      </c>
      <c r="T83">
        <v>5</v>
      </c>
    </row>
    <row r="84" spans="1:20" ht="56" customHeight="1" x14ac:dyDescent="0.3">
      <c r="A84">
        <v>2026</v>
      </c>
      <c r="B84">
        <v>603557</v>
      </c>
      <c r="C84" t="s">
        <v>375</v>
      </c>
      <c r="D84" s="8" t="s">
        <v>1515</v>
      </c>
      <c r="F84" s="8" t="s">
        <v>1516</v>
      </c>
      <c r="G84" t="s">
        <v>1517</v>
      </c>
      <c r="M84">
        <f t="shared" si="3"/>
        <v>20</v>
      </c>
      <c r="Q84">
        <v>20</v>
      </c>
    </row>
    <row r="85" spans="1:20" ht="56" customHeight="1" x14ac:dyDescent="0.3">
      <c r="A85">
        <v>2026</v>
      </c>
      <c r="B85">
        <v>600265</v>
      </c>
      <c r="C85" t="s">
        <v>1518</v>
      </c>
      <c r="D85" s="8" t="s">
        <v>1515</v>
      </c>
      <c r="F85" s="8" t="s">
        <v>1519</v>
      </c>
      <c r="M85">
        <f t="shared" si="3"/>
        <v>0</v>
      </c>
    </row>
    <row r="86" spans="1:20" x14ac:dyDescent="0.3">
      <c r="A86">
        <v>2026</v>
      </c>
      <c r="B86">
        <v>603021</v>
      </c>
      <c r="C86" t="s">
        <v>1520</v>
      </c>
      <c r="D86" s="8" t="s">
        <v>1255</v>
      </c>
      <c r="M86">
        <f t="shared" si="3"/>
        <v>5</v>
      </c>
      <c r="T86">
        <v>5</v>
      </c>
    </row>
    <row r="87" spans="1:20" x14ac:dyDescent="0.3">
      <c r="A87">
        <v>2026</v>
      </c>
      <c r="B87">
        <v>600107</v>
      </c>
      <c r="C87" t="s">
        <v>1521</v>
      </c>
      <c r="D87" s="8" t="s">
        <v>1285</v>
      </c>
      <c r="G87" t="s">
        <v>1522</v>
      </c>
      <c r="M87">
        <f t="shared" si="3"/>
        <v>0</v>
      </c>
    </row>
    <row r="88" spans="1:20" ht="28" customHeight="1" x14ac:dyDescent="0.3">
      <c r="A88">
        <v>2026</v>
      </c>
      <c r="B88">
        <v>300237</v>
      </c>
      <c r="C88" t="s">
        <v>1523</v>
      </c>
      <c r="D88" s="8" t="s">
        <v>1255</v>
      </c>
      <c r="F88" s="8" t="s">
        <v>1524</v>
      </c>
      <c r="G88" s="8" t="s">
        <v>1525</v>
      </c>
      <c r="M88">
        <f t="shared" si="3"/>
        <v>5</v>
      </c>
      <c r="T88">
        <v>5</v>
      </c>
    </row>
    <row r="89" spans="1:20" ht="42" customHeight="1" x14ac:dyDescent="0.3">
      <c r="A89">
        <v>2026</v>
      </c>
      <c r="B89">
        <v>2528</v>
      </c>
      <c r="C89" t="s">
        <v>1526</v>
      </c>
      <c r="D89" s="8" t="s">
        <v>1255</v>
      </c>
      <c r="F89" s="8" t="s">
        <v>1527</v>
      </c>
      <c r="G89" t="s">
        <v>1528</v>
      </c>
      <c r="M89">
        <f t="shared" si="3"/>
        <v>0</v>
      </c>
    </row>
    <row r="90" spans="1:20" x14ac:dyDescent="0.3">
      <c r="A90">
        <v>2026</v>
      </c>
      <c r="B90">
        <v>2581</v>
      </c>
      <c r="C90" t="s">
        <v>1529</v>
      </c>
      <c r="D90" s="8" t="s">
        <v>1285</v>
      </c>
      <c r="G90" t="s">
        <v>1530</v>
      </c>
    </row>
    <row r="91" spans="1:20" ht="42" customHeight="1" x14ac:dyDescent="0.3">
      <c r="A91">
        <v>2026</v>
      </c>
      <c r="B91">
        <v>300716</v>
      </c>
      <c r="C91" t="s">
        <v>916</v>
      </c>
      <c r="D91" s="8" t="s">
        <v>1255</v>
      </c>
      <c r="F91" s="8" t="s">
        <v>1531</v>
      </c>
      <c r="G91" t="s">
        <v>1532</v>
      </c>
    </row>
    <row r="92" spans="1:20" ht="28" customHeight="1" x14ac:dyDescent="0.3">
      <c r="A92">
        <v>2026</v>
      </c>
      <c r="B92">
        <v>603959</v>
      </c>
      <c r="C92" t="s">
        <v>979</v>
      </c>
      <c r="D92" s="8" t="s">
        <v>1255</v>
      </c>
      <c r="G92" s="8" t="s">
        <v>1533</v>
      </c>
    </row>
    <row r="93" spans="1:20" ht="56" customHeight="1" x14ac:dyDescent="0.3">
      <c r="A93">
        <v>2026</v>
      </c>
      <c r="B93">
        <v>2856</v>
      </c>
      <c r="C93" t="s">
        <v>1534</v>
      </c>
      <c r="D93" s="8" t="s">
        <v>1255</v>
      </c>
      <c r="E93" s="8" t="s">
        <v>1535</v>
      </c>
      <c r="F93" s="8" t="s">
        <v>1536</v>
      </c>
      <c r="G93" t="s">
        <v>1537</v>
      </c>
      <c r="I93" s="8" t="s">
        <v>1538</v>
      </c>
      <c r="J93" s="8" t="s">
        <v>1538</v>
      </c>
      <c r="M93">
        <f>N93+O93+P93+Q93+R93+S93+T93+U93+V93+W93</f>
        <v>7</v>
      </c>
      <c r="P93">
        <v>2</v>
      </c>
      <c r="T93">
        <v>5</v>
      </c>
    </row>
    <row r="94" spans="1:20" ht="28" customHeight="1" x14ac:dyDescent="0.3">
      <c r="A94">
        <v>2026</v>
      </c>
      <c r="B94">
        <v>890</v>
      </c>
      <c r="C94" t="s">
        <v>1539</v>
      </c>
      <c r="D94" s="8" t="s">
        <v>1515</v>
      </c>
      <c r="F94" s="8" t="s">
        <v>1540</v>
      </c>
      <c r="G94" t="s">
        <v>1541</v>
      </c>
    </row>
    <row r="95" spans="1:20" x14ac:dyDescent="0.3">
      <c r="A95">
        <v>2026</v>
      </c>
      <c r="B95">
        <v>300385</v>
      </c>
      <c r="C95" t="s">
        <v>1542</v>
      </c>
      <c r="D95" s="8" t="s">
        <v>1255</v>
      </c>
      <c r="G95" t="s">
        <v>1543</v>
      </c>
      <c r="L95" t="s">
        <v>458</v>
      </c>
    </row>
    <row r="96" spans="1:20" x14ac:dyDescent="0.3">
      <c r="A96">
        <v>2026</v>
      </c>
      <c r="B96">
        <v>692</v>
      </c>
      <c r="C96" t="s">
        <v>1544</v>
      </c>
      <c r="D96" s="8" t="s">
        <v>1255</v>
      </c>
      <c r="F96" s="8" t="s">
        <v>1545</v>
      </c>
      <c r="G96" t="s">
        <v>1546</v>
      </c>
    </row>
    <row r="97" spans="1:22" x14ac:dyDescent="0.3">
      <c r="A97">
        <v>2026</v>
      </c>
      <c r="B97">
        <v>2513</v>
      </c>
      <c r="C97" t="s">
        <v>1547</v>
      </c>
      <c r="D97" s="8" t="s">
        <v>1255</v>
      </c>
      <c r="F97" s="8" t="s">
        <v>1548</v>
      </c>
      <c r="G97" s="8" t="s">
        <v>1532</v>
      </c>
    </row>
    <row r="98" spans="1:22" ht="28" customHeight="1" x14ac:dyDescent="0.3">
      <c r="A98">
        <v>2026</v>
      </c>
      <c r="B98">
        <v>300340</v>
      </c>
      <c r="C98" t="s">
        <v>1549</v>
      </c>
      <c r="D98" s="8" t="s">
        <v>1255</v>
      </c>
      <c r="F98" s="8" t="s">
        <v>1550</v>
      </c>
      <c r="G98" t="s">
        <v>1551</v>
      </c>
    </row>
    <row r="99" spans="1:22" ht="42" customHeight="1" x14ac:dyDescent="0.3">
      <c r="A99">
        <v>2026</v>
      </c>
      <c r="B99">
        <v>56</v>
      </c>
      <c r="C99" t="s">
        <v>1552</v>
      </c>
      <c r="D99" s="8" t="s">
        <v>1255</v>
      </c>
      <c r="F99" s="8" t="s">
        <v>1553</v>
      </c>
      <c r="G99" s="8" t="s">
        <v>1554</v>
      </c>
      <c r="I99" s="8" t="s">
        <v>1555</v>
      </c>
      <c r="J99" s="8" t="s">
        <v>1556</v>
      </c>
      <c r="M99">
        <f>N99+O99+P99+Q99+R99+S99+T99+U99+V99+W99</f>
        <v>0</v>
      </c>
    </row>
    <row r="100" spans="1:22" ht="28" customHeight="1" x14ac:dyDescent="0.3">
      <c r="A100">
        <v>2026</v>
      </c>
      <c r="B100">
        <v>600322</v>
      </c>
      <c r="C100" t="s">
        <v>1557</v>
      </c>
      <c r="D100" s="8" t="s">
        <v>1255</v>
      </c>
      <c r="F100" s="8" t="s">
        <v>1558</v>
      </c>
      <c r="G100" t="s">
        <v>1559</v>
      </c>
      <c r="T100">
        <v>5</v>
      </c>
    </row>
    <row r="101" spans="1:22" x14ac:dyDescent="0.3">
      <c r="A101">
        <v>2026</v>
      </c>
      <c r="B101">
        <v>2547</v>
      </c>
      <c r="C101" t="s">
        <v>1560</v>
      </c>
      <c r="D101" s="8" t="s">
        <v>1255</v>
      </c>
      <c r="G101" s="8" t="s">
        <v>1525</v>
      </c>
    </row>
    <row r="102" spans="1:22" ht="28" customHeight="1" x14ac:dyDescent="0.3">
      <c r="A102">
        <v>2026</v>
      </c>
      <c r="B102">
        <v>300169</v>
      </c>
      <c r="C102" t="s">
        <v>1098</v>
      </c>
      <c r="D102" s="8" t="s">
        <v>1255</v>
      </c>
      <c r="G102" s="8" t="s">
        <v>1561</v>
      </c>
    </row>
    <row r="103" spans="1:22" x14ac:dyDescent="0.3">
      <c r="A103">
        <v>2026</v>
      </c>
      <c r="B103">
        <v>600683</v>
      </c>
      <c r="C103" t="s">
        <v>1562</v>
      </c>
      <c r="D103" s="8" t="s">
        <v>1255</v>
      </c>
      <c r="G103" s="8" t="s">
        <v>1559</v>
      </c>
      <c r="T103">
        <v>5</v>
      </c>
    </row>
    <row r="104" spans="1:22" ht="70" customHeight="1" x14ac:dyDescent="0.3">
      <c r="A104">
        <v>2026</v>
      </c>
      <c r="B104">
        <v>669</v>
      </c>
      <c r="C104" t="s">
        <v>1563</v>
      </c>
      <c r="D104" s="8" t="s">
        <v>1255</v>
      </c>
      <c r="F104" s="8" t="s">
        <v>1564</v>
      </c>
    </row>
    <row r="105" spans="1:22" ht="28" customHeight="1" x14ac:dyDescent="0.3">
      <c r="A105">
        <v>2026</v>
      </c>
      <c r="B105">
        <v>2883</v>
      </c>
      <c r="C105" t="s">
        <v>1565</v>
      </c>
      <c r="D105" s="8" t="s">
        <v>1285</v>
      </c>
      <c r="F105" s="8" t="s">
        <v>1566</v>
      </c>
      <c r="G105" s="8" t="s">
        <v>1567</v>
      </c>
      <c r="I105" s="8" t="s">
        <v>1568</v>
      </c>
      <c r="J105" s="8" t="s">
        <v>1568</v>
      </c>
      <c r="M105">
        <f t="shared" ref="M105:M112" si="4">N105+O105+P105+Q105+R105+S105+T105+U105+V105+W105</f>
        <v>35</v>
      </c>
      <c r="Q105">
        <v>30</v>
      </c>
      <c r="T105">
        <v>5</v>
      </c>
    </row>
    <row r="106" spans="1:22" x14ac:dyDescent="0.3">
      <c r="A106">
        <v>2026</v>
      </c>
      <c r="B106">
        <v>600543</v>
      </c>
      <c r="C106" t="s">
        <v>1569</v>
      </c>
      <c r="D106" s="8" t="s">
        <v>1285</v>
      </c>
      <c r="F106" s="8" t="s">
        <v>1570</v>
      </c>
      <c r="I106" s="8" t="s">
        <v>1556</v>
      </c>
      <c r="J106" s="8" t="s">
        <v>1556</v>
      </c>
      <c r="M106">
        <f t="shared" si="4"/>
        <v>15</v>
      </c>
      <c r="R106">
        <v>10</v>
      </c>
      <c r="T106">
        <v>5</v>
      </c>
    </row>
    <row r="107" spans="1:22" x14ac:dyDescent="0.3">
      <c r="A107">
        <v>2026</v>
      </c>
      <c r="B107">
        <v>2207</v>
      </c>
      <c r="C107" t="s">
        <v>1571</v>
      </c>
      <c r="D107" s="8" t="s">
        <v>1285</v>
      </c>
      <c r="F107" s="8" t="s">
        <v>1572</v>
      </c>
      <c r="G107" s="8" t="s">
        <v>1573</v>
      </c>
      <c r="I107" s="8" t="s">
        <v>1556</v>
      </c>
      <c r="J107" s="8" t="s">
        <v>1556</v>
      </c>
      <c r="M107">
        <f t="shared" si="4"/>
        <v>10</v>
      </c>
      <c r="R107">
        <v>5</v>
      </c>
      <c r="T107">
        <v>5</v>
      </c>
    </row>
    <row r="108" spans="1:22" x14ac:dyDescent="0.3">
      <c r="A108">
        <v>2026</v>
      </c>
      <c r="B108">
        <v>610</v>
      </c>
      <c r="C108" t="s">
        <v>1574</v>
      </c>
      <c r="D108" s="8" t="s">
        <v>1255</v>
      </c>
      <c r="F108" s="8" t="s">
        <v>1575</v>
      </c>
      <c r="I108" s="8" t="s">
        <v>1556</v>
      </c>
      <c r="J108" s="8" t="s">
        <v>1556</v>
      </c>
      <c r="M108">
        <f t="shared" si="4"/>
        <v>5</v>
      </c>
      <c r="T108">
        <v>5</v>
      </c>
    </row>
    <row r="109" spans="1:22" x14ac:dyDescent="0.3">
      <c r="A109">
        <v>2026</v>
      </c>
      <c r="B109">
        <v>603359</v>
      </c>
      <c r="C109" t="s">
        <v>1576</v>
      </c>
      <c r="D109" s="8" t="s">
        <v>1285</v>
      </c>
      <c r="F109" s="8" t="s">
        <v>1577</v>
      </c>
      <c r="G109" s="8" t="s">
        <v>1578</v>
      </c>
      <c r="I109" s="8" t="s">
        <v>1579</v>
      </c>
      <c r="J109" s="8" t="s">
        <v>1579</v>
      </c>
      <c r="M109">
        <f t="shared" si="4"/>
        <v>-10</v>
      </c>
      <c r="V109">
        <v>-10</v>
      </c>
    </row>
    <row r="110" spans="1:22" ht="28" customHeight="1" x14ac:dyDescent="0.3">
      <c r="A110">
        <v>2026</v>
      </c>
      <c r="B110">
        <v>909</v>
      </c>
      <c r="C110" t="s">
        <v>1580</v>
      </c>
      <c r="D110" s="8" t="s">
        <v>1285</v>
      </c>
      <c r="F110" s="8" t="s">
        <v>1581</v>
      </c>
      <c r="G110" s="352" t="s">
        <v>1582</v>
      </c>
      <c r="I110" s="8" t="s">
        <v>1556</v>
      </c>
      <c r="J110" s="8" t="s">
        <v>1556</v>
      </c>
      <c r="M110">
        <f t="shared" si="4"/>
        <v>-5</v>
      </c>
      <c r="T110">
        <v>5</v>
      </c>
      <c r="V110">
        <v>-10</v>
      </c>
    </row>
    <row r="111" spans="1:22" x14ac:dyDescent="0.3">
      <c r="A111">
        <v>2026</v>
      </c>
      <c r="B111">
        <v>300076</v>
      </c>
      <c r="C111" t="s">
        <v>1583</v>
      </c>
      <c r="D111" s="8" t="s">
        <v>1584</v>
      </c>
      <c r="F111" s="8" t="s">
        <v>1585</v>
      </c>
      <c r="G111" s="8" t="s">
        <v>1586</v>
      </c>
      <c r="I111" s="8" t="s">
        <v>1556</v>
      </c>
      <c r="J111" s="8" t="s">
        <v>1568</v>
      </c>
      <c r="M111">
        <f t="shared" si="4"/>
        <v>3</v>
      </c>
      <c r="T111">
        <v>5</v>
      </c>
      <c r="V111">
        <v>-2</v>
      </c>
    </row>
    <row r="112" spans="1:22" ht="28" customHeight="1" x14ac:dyDescent="0.3">
      <c r="A112">
        <v>2026</v>
      </c>
      <c r="B112">
        <v>838</v>
      </c>
      <c r="C112" t="s">
        <v>1040</v>
      </c>
      <c r="D112" s="8" t="s">
        <v>1587</v>
      </c>
      <c r="F112" s="8" t="s">
        <v>1581</v>
      </c>
      <c r="I112" s="8" t="s">
        <v>1538</v>
      </c>
      <c r="J112" s="8" t="s">
        <v>1556</v>
      </c>
      <c r="M112">
        <f t="shared" si="4"/>
        <v>0</v>
      </c>
    </row>
    <row r="113" spans="1:24" ht="28" customHeight="1" x14ac:dyDescent="0.3">
      <c r="A113">
        <v>2026</v>
      </c>
      <c r="B113">
        <v>2227</v>
      </c>
      <c r="C113" t="s">
        <v>1588</v>
      </c>
      <c r="D113" s="8" t="s">
        <v>1285</v>
      </c>
      <c r="F113" s="8" t="s">
        <v>1589</v>
      </c>
      <c r="G113" s="352" t="s">
        <v>1590</v>
      </c>
      <c r="I113" s="8" t="s">
        <v>1556</v>
      </c>
      <c r="J113" s="8" t="s">
        <v>1556</v>
      </c>
      <c r="M113">
        <f t="shared" ref="M113:M119" si="5">N113+O113+P113+Q113+R113+S113+T113+U113+V113+W113+X113+Y113+Y113</f>
        <v>5</v>
      </c>
      <c r="R113">
        <v>1</v>
      </c>
      <c r="X113">
        <v>4</v>
      </c>
    </row>
    <row r="114" spans="1:24" x14ac:dyDescent="0.3">
      <c r="A114">
        <v>2026</v>
      </c>
      <c r="B114">
        <v>2694</v>
      </c>
      <c r="C114" t="s">
        <v>1591</v>
      </c>
      <c r="D114" s="8" t="s">
        <v>1255</v>
      </c>
      <c r="F114" s="8" t="s">
        <v>1581</v>
      </c>
      <c r="G114" s="8" t="s">
        <v>1592</v>
      </c>
      <c r="I114" s="8" t="s">
        <v>1538</v>
      </c>
      <c r="J114" s="8" t="s">
        <v>1556</v>
      </c>
      <c r="M114">
        <f t="shared" si="5"/>
        <v>0</v>
      </c>
    </row>
    <row r="115" spans="1:24" ht="42" customHeight="1" x14ac:dyDescent="0.3">
      <c r="A115">
        <v>2026</v>
      </c>
      <c r="B115">
        <v>603378</v>
      </c>
      <c r="C115" t="s">
        <v>1593</v>
      </c>
      <c r="D115" s="8" t="s">
        <v>1255</v>
      </c>
      <c r="F115" s="8" t="s">
        <v>1594</v>
      </c>
      <c r="G115" s="8" t="s">
        <v>1595</v>
      </c>
      <c r="I115" s="8" t="s">
        <v>1538</v>
      </c>
      <c r="J115" s="8" t="s">
        <v>1556</v>
      </c>
      <c r="M115">
        <f t="shared" si="5"/>
        <v>0</v>
      </c>
    </row>
    <row r="116" spans="1:24" ht="84" customHeight="1" x14ac:dyDescent="0.3">
      <c r="A116">
        <v>2026</v>
      </c>
      <c r="B116">
        <v>600119</v>
      </c>
      <c r="C116" t="s">
        <v>1596</v>
      </c>
      <c r="D116" s="8" t="s">
        <v>1285</v>
      </c>
      <c r="F116" s="8" t="s">
        <v>1581</v>
      </c>
      <c r="G116" s="352" t="s">
        <v>1597</v>
      </c>
      <c r="I116" s="8" t="s">
        <v>1556</v>
      </c>
      <c r="J116" s="8" t="s">
        <v>1556</v>
      </c>
      <c r="M116">
        <f t="shared" si="5"/>
        <v>5</v>
      </c>
      <c r="T116">
        <v>5</v>
      </c>
    </row>
    <row r="117" spans="1:24" ht="28" customHeight="1" x14ac:dyDescent="0.3">
      <c r="A117">
        <v>2026</v>
      </c>
      <c r="B117">
        <v>911</v>
      </c>
      <c r="C117" t="s">
        <v>1598</v>
      </c>
      <c r="D117" s="8" t="s">
        <v>1255</v>
      </c>
      <c r="E117" s="8" t="s">
        <v>1599</v>
      </c>
      <c r="G117" s="8" t="s">
        <v>1586</v>
      </c>
      <c r="I117" s="8" t="s">
        <v>1538</v>
      </c>
      <c r="J117" s="8" t="s">
        <v>1600</v>
      </c>
      <c r="M117">
        <f t="shared" si="5"/>
        <v>2</v>
      </c>
      <c r="T117">
        <v>5</v>
      </c>
      <c r="V117">
        <v>-3</v>
      </c>
    </row>
    <row r="118" spans="1:24" ht="28" customHeight="1" x14ac:dyDescent="0.3">
      <c r="A118">
        <v>2026</v>
      </c>
      <c r="B118">
        <v>300295</v>
      </c>
      <c r="C118" t="s">
        <v>1601</v>
      </c>
      <c r="D118" s="8" t="s">
        <v>1584</v>
      </c>
      <c r="F118" s="8" t="s">
        <v>1602</v>
      </c>
      <c r="G118" s="352" t="s">
        <v>1603</v>
      </c>
      <c r="I118" s="8" t="s">
        <v>1556</v>
      </c>
      <c r="J118" s="8" t="s">
        <v>1556</v>
      </c>
      <c r="M118">
        <f t="shared" si="5"/>
        <v>7</v>
      </c>
      <c r="R118">
        <v>2</v>
      </c>
      <c r="S118">
        <v>5</v>
      </c>
    </row>
    <row r="119" spans="1:24" ht="28" customHeight="1" x14ac:dyDescent="0.3">
      <c r="A119">
        <v>2026</v>
      </c>
      <c r="B119">
        <v>600581</v>
      </c>
      <c r="C119" t="s">
        <v>1604</v>
      </c>
      <c r="D119" s="8" t="s">
        <v>1255</v>
      </c>
      <c r="F119" s="8" t="s">
        <v>1605</v>
      </c>
      <c r="I119" s="8" t="s">
        <v>1556</v>
      </c>
      <c r="J119" s="8" t="s">
        <v>1556</v>
      </c>
      <c r="M119">
        <f t="shared" si="5"/>
        <v>10</v>
      </c>
      <c r="P119">
        <v>5</v>
      </c>
      <c r="T119">
        <v>5</v>
      </c>
    </row>
    <row r="120" spans="1:24" ht="42" customHeight="1" x14ac:dyDescent="0.3">
      <c r="A120">
        <v>2026</v>
      </c>
      <c r="B120">
        <v>605336</v>
      </c>
      <c r="C120" t="s">
        <v>1606</v>
      </c>
      <c r="D120" s="8" t="s">
        <v>1285</v>
      </c>
      <c r="F120" s="8" t="s">
        <v>1607</v>
      </c>
      <c r="I120" s="8" t="s">
        <v>1556</v>
      </c>
      <c r="J120" s="8" t="s">
        <v>1556</v>
      </c>
    </row>
    <row r="121" spans="1:24" x14ac:dyDescent="0.3">
      <c r="A121">
        <v>2026</v>
      </c>
    </row>
    <row r="122" spans="1:24" x14ac:dyDescent="0.3">
      <c r="A122">
        <v>2026</v>
      </c>
    </row>
    <row r="123" spans="1:24" x14ac:dyDescent="0.3">
      <c r="A123">
        <v>2026</v>
      </c>
    </row>
    <row r="124" spans="1:24" x14ac:dyDescent="0.3">
      <c r="A124">
        <v>2026</v>
      </c>
    </row>
    <row r="125" spans="1:24" x14ac:dyDescent="0.3">
      <c r="A125">
        <v>2026</v>
      </c>
    </row>
    <row r="126" spans="1:24" x14ac:dyDescent="0.3">
      <c r="A126">
        <v>2026</v>
      </c>
    </row>
  </sheetData>
  <autoFilter ref="A2:AC106" xr:uid="{00000000-0009-0000-0000-000006000000}">
    <filterColumn colId="0">
      <filters>
        <filter val="2026"/>
      </filters>
    </filterColumn>
  </autoFilter>
  <phoneticPr fontId="16" type="noConversion"/>
  <dataValidations count="1">
    <dataValidation type="list" allowBlank="1" showInputMessage="1" showErrorMessage="1" sqref="L2:L1048576" xr:uid="{00000000-0002-0000-0600-000000000000}">
      <formula1>"是,否"</formula1>
    </dataValidation>
  </dataValidations>
  <pageMargins left="0.7" right="0.7" top="0.75" bottom="0.75" header="0.3" footer="0.3"/>
  <pageSetup paperSize="9" scale="25"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 filterMode="1"/>
  <dimension ref="A1:V161"/>
  <sheetViews>
    <sheetView workbookViewId="0">
      <pane xSplit="2" ySplit="1" topLeftCell="C59" activePane="bottomRight" state="frozen"/>
      <selection pane="topRight" activeCell="C1" sqref="C1"/>
      <selection pane="bottomLeft" activeCell="A2" sqref="A2"/>
      <selection pane="bottomRight" activeCell="F53" sqref="F53"/>
    </sheetView>
  </sheetViews>
  <sheetFormatPr defaultColWidth="8.58203125" defaultRowHeight="14" x14ac:dyDescent="0.3"/>
  <cols>
    <col min="1" max="3" width="8.58203125" style="8" customWidth="1"/>
    <col min="4" max="4" width="9.08203125" style="8" bestFit="1" customWidth="1"/>
    <col min="5" max="5" width="14.08203125" style="8" customWidth="1"/>
    <col min="6" max="6" width="9.08203125" style="8" bestFit="1" customWidth="1"/>
    <col min="7" max="7" width="14.33203125" style="8" bestFit="1" customWidth="1"/>
    <col min="8" max="8" width="16.58203125" style="8" customWidth="1"/>
    <col min="9" max="9" width="19.33203125" style="8" customWidth="1"/>
    <col min="10" max="10" width="22.83203125" style="8" customWidth="1"/>
    <col min="11" max="12" width="5.83203125" style="8" customWidth="1"/>
    <col min="13" max="13" width="9.08203125" style="8" bestFit="1" customWidth="1"/>
    <col min="14" max="16" width="9.08203125" style="8" customWidth="1"/>
    <col min="17" max="17" width="9.08203125" style="8" bestFit="1" customWidth="1"/>
    <col min="18" max="152" width="8.58203125" style="8" customWidth="1"/>
    <col min="153" max="16384" width="8.58203125" style="8"/>
  </cols>
  <sheetData>
    <row r="1" spans="1:22" ht="42" customHeight="1" x14ac:dyDescent="0.3">
      <c r="A1"/>
      <c r="C1" s="8" t="s">
        <v>1608</v>
      </c>
      <c r="D1" s="8" t="s">
        <v>1609</v>
      </c>
      <c r="E1" s="8" t="s">
        <v>1610</v>
      </c>
      <c r="F1" s="8" t="s">
        <v>1611</v>
      </c>
      <c r="G1" s="8" t="s">
        <v>1612</v>
      </c>
      <c r="H1" s="8" t="s">
        <v>1613</v>
      </c>
      <c r="I1" s="8" t="s">
        <v>1614</v>
      </c>
      <c r="J1" s="8" t="s">
        <v>1615</v>
      </c>
      <c r="K1" s="8" t="s">
        <v>1616</v>
      </c>
      <c r="L1" s="8" t="s">
        <v>1617</v>
      </c>
      <c r="M1" s="8" t="s">
        <v>1618</v>
      </c>
      <c r="N1" s="8" t="s">
        <v>1619</v>
      </c>
      <c r="O1" s="8" t="s">
        <v>1620</v>
      </c>
      <c r="P1" s="8" t="s">
        <v>1621</v>
      </c>
      <c r="Q1" s="8" t="s">
        <v>305</v>
      </c>
      <c r="R1" s="8" t="s">
        <v>1622</v>
      </c>
      <c r="S1" s="8" t="s">
        <v>1623</v>
      </c>
      <c r="U1" s="8" t="s">
        <v>1624</v>
      </c>
      <c r="V1" s="8" t="s">
        <v>1625</v>
      </c>
    </row>
    <row r="2" spans="1:22" ht="84" hidden="1" customHeight="1" x14ac:dyDescent="0.3">
      <c r="A2" s="8">
        <v>2822</v>
      </c>
      <c r="B2" s="8" t="s">
        <v>1626</v>
      </c>
      <c r="C2" s="8" t="s">
        <v>1627</v>
      </c>
      <c r="D2" s="8">
        <v>20240622</v>
      </c>
      <c r="F2" s="8">
        <v>20240808</v>
      </c>
      <c r="H2" s="8">
        <v>20250228</v>
      </c>
      <c r="I2" s="8" t="s">
        <v>1628</v>
      </c>
      <c r="L2" s="8" t="s">
        <v>441</v>
      </c>
      <c r="M2" s="8">
        <v>20250820</v>
      </c>
      <c r="N2" s="8">
        <v>20250822</v>
      </c>
      <c r="R2" s="8">
        <v>5</v>
      </c>
      <c r="S2" s="8" t="s">
        <v>1629</v>
      </c>
      <c r="U2" s="8">
        <v>35</v>
      </c>
    </row>
    <row r="3" spans="1:22" ht="84" hidden="1" customHeight="1" x14ac:dyDescent="0.3">
      <c r="A3" s="8">
        <v>300391</v>
      </c>
      <c r="B3" s="8" t="s">
        <v>1513</v>
      </c>
      <c r="C3" s="8" t="s">
        <v>1630</v>
      </c>
      <c r="D3" s="8">
        <v>20250121</v>
      </c>
      <c r="E3" s="8" t="s">
        <v>1631</v>
      </c>
      <c r="F3" s="8">
        <v>20250123</v>
      </c>
      <c r="G3" s="8">
        <v>20250123</v>
      </c>
      <c r="H3" s="8" t="s">
        <v>1632</v>
      </c>
      <c r="I3" s="8" t="s">
        <v>1633</v>
      </c>
      <c r="J3" s="8" t="s">
        <v>1634</v>
      </c>
      <c r="K3" s="8" t="s">
        <v>458</v>
      </c>
      <c r="Q3" s="8" t="s">
        <v>316</v>
      </c>
    </row>
    <row r="4" spans="1:22" ht="28" hidden="1" customHeight="1" x14ac:dyDescent="0.3">
      <c r="A4" s="8">
        <v>2742</v>
      </c>
      <c r="B4" s="8" t="s">
        <v>1509</v>
      </c>
      <c r="C4" s="8" t="s">
        <v>1635</v>
      </c>
      <c r="D4" s="8">
        <v>20240928</v>
      </c>
      <c r="G4" s="8">
        <v>20240930</v>
      </c>
      <c r="H4" s="8" t="s">
        <v>1636</v>
      </c>
      <c r="I4" s="8" t="s">
        <v>1637</v>
      </c>
      <c r="L4" s="8" t="s">
        <v>458</v>
      </c>
      <c r="M4" s="8">
        <v>20250809</v>
      </c>
      <c r="N4" s="8">
        <v>20250813</v>
      </c>
      <c r="R4" s="8">
        <v>5</v>
      </c>
      <c r="S4" s="8" t="s">
        <v>1629</v>
      </c>
      <c r="U4" s="8">
        <v>26</v>
      </c>
    </row>
    <row r="5" spans="1:22" ht="84" hidden="1" customHeight="1" x14ac:dyDescent="0.3">
      <c r="A5" s="8">
        <v>2713</v>
      </c>
      <c r="B5" s="8" t="s">
        <v>1500</v>
      </c>
      <c r="C5" s="8" t="s">
        <v>1638</v>
      </c>
      <c r="D5" s="8">
        <v>20241018</v>
      </c>
      <c r="E5" s="8" t="s">
        <v>1639</v>
      </c>
      <c r="F5" s="8">
        <v>20241109</v>
      </c>
      <c r="G5" s="8">
        <v>20241130</v>
      </c>
      <c r="H5" s="8" t="s">
        <v>1640</v>
      </c>
      <c r="I5" s="8" t="s">
        <v>1641</v>
      </c>
      <c r="M5" s="8">
        <v>20251119</v>
      </c>
    </row>
    <row r="6" spans="1:22" ht="98" hidden="1" customHeight="1" x14ac:dyDescent="0.3">
      <c r="A6" s="8">
        <v>300117</v>
      </c>
      <c r="B6" s="8" t="s">
        <v>1642</v>
      </c>
      <c r="C6" s="8" t="s">
        <v>1638</v>
      </c>
      <c r="D6" s="8">
        <v>20240603</v>
      </c>
      <c r="E6" s="8" t="s">
        <v>1643</v>
      </c>
      <c r="F6" s="8">
        <v>20240717</v>
      </c>
      <c r="G6" s="8">
        <v>20240717</v>
      </c>
      <c r="H6" s="8" t="s">
        <v>1644</v>
      </c>
      <c r="I6" s="8">
        <v>20240927</v>
      </c>
      <c r="J6" s="8" t="s">
        <v>1645</v>
      </c>
      <c r="Q6" s="8" t="s">
        <v>316</v>
      </c>
    </row>
    <row r="7" spans="1:22" ht="70" hidden="1" customHeight="1" x14ac:dyDescent="0.3">
      <c r="A7" s="8">
        <v>300125</v>
      </c>
      <c r="B7" s="8" t="s">
        <v>1505</v>
      </c>
      <c r="C7" s="8" t="s">
        <v>1646</v>
      </c>
      <c r="D7" s="8">
        <v>20240731</v>
      </c>
      <c r="E7" s="8" t="s">
        <v>1647</v>
      </c>
      <c r="F7" s="8">
        <v>20240802</v>
      </c>
      <c r="G7" s="8">
        <v>20240923</v>
      </c>
      <c r="H7" s="8" t="s">
        <v>1648</v>
      </c>
      <c r="I7" s="8" t="s">
        <v>1649</v>
      </c>
      <c r="J7" s="8" t="s">
        <v>1650</v>
      </c>
      <c r="L7" s="8" t="s">
        <v>458</v>
      </c>
      <c r="M7" s="8">
        <v>20251118</v>
      </c>
    </row>
    <row r="8" spans="1:22" ht="112" hidden="1" customHeight="1" x14ac:dyDescent="0.3">
      <c r="A8" s="8">
        <v>2200</v>
      </c>
      <c r="B8" s="8" t="s">
        <v>1651</v>
      </c>
      <c r="C8" s="8" t="s">
        <v>1652</v>
      </c>
      <c r="D8" s="8">
        <v>20250424</v>
      </c>
      <c r="E8" s="8" t="s">
        <v>1653</v>
      </c>
      <c r="F8" s="8" t="s">
        <v>1654</v>
      </c>
      <c r="G8" s="8" t="s">
        <v>1655</v>
      </c>
      <c r="H8" s="8" t="s">
        <v>1656</v>
      </c>
      <c r="I8" s="8" t="s">
        <v>1657</v>
      </c>
      <c r="J8" s="8" t="s">
        <v>1658</v>
      </c>
      <c r="L8" s="8" t="s">
        <v>458</v>
      </c>
      <c r="M8" s="8">
        <v>20251024</v>
      </c>
      <c r="N8" s="8">
        <v>20251024</v>
      </c>
      <c r="S8" s="8" t="s">
        <v>1629</v>
      </c>
    </row>
    <row r="9" spans="1:22" ht="56" hidden="1" customHeight="1" x14ac:dyDescent="0.3">
      <c r="A9" s="8">
        <v>430</v>
      </c>
      <c r="B9" s="8" t="s">
        <v>1659</v>
      </c>
      <c r="C9" s="8" t="s">
        <v>1660</v>
      </c>
      <c r="D9" s="8">
        <v>20241018</v>
      </c>
      <c r="E9" s="8" t="s">
        <v>1661</v>
      </c>
      <c r="F9" s="8">
        <v>20241029</v>
      </c>
      <c r="G9" s="8">
        <v>20241029</v>
      </c>
      <c r="H9" s="8" t="s">
        <v>1662</v>
      </c>
      <c r="I9" s="8" t="s">
        <v>1663</v>
      </c>
      <c r="L9" s="8" t="s">
        <v>441</v>
      </c>
      <c r="M9" s="8">
        <v>20251103</v>
      </c>
    </row>
    <row r="10" spans="1:22" ht="112" hidden="1" customHeight="1" x14ac:dyDescent="0.3">
      <c r="A10" s="8">
        <v>300209</v>
      </c>
      <c r="B10" s="8" t="s">
        <v>1664</v>
      </c>
      <c r="C10" s="8" t="s">
        <v>1665</v>
      </c>
      <c r="D10" s="8">
        <v>20240220</v>
      </c>
      <c r="E10" s="8" t="s">
        <v>1666</v>
      </c>
      <c r="F10" s="8">
        <v>20240315</v>
      </c>
      <c r="G10" s="8">
        <v>20240830</v>
      </c>
      <c r="H10" s="8" t="s">
        <v>1667</v>
      </c>
      <c r="I10" s="8" t="s">
        <v>1668</v>
      </c>
      <c r="J10" s="8" t="s">
        <v>1669</v>
      </c>
      <c r="M10" s="8">
        <v>20240930</v>
      </c>
      <c r="N10" s="8">
        <v>20241008</v>
      </c>
      <c r="O10" s="8">
        <v>20241207</v>
      </c>
      <c r="P10" s="8">
        <v>2241219</v>
      </c>
      <c r="Q10" s="8" t="s">
        <v>321</v>
      </c>
      <c r="R10" s="8">
        <v>100</v>
      </c>
      <c r="S10" s="8" t="s">
        <v>1670</v>
      </c>
      <c r="U10" s="8">
        <v>18</v>
      </c>
    </row>
    <row r="11" spans="1:22" ht="28" hidden="1" customHeight="1" x14ac:dyDescent="0.3">
      <c r="A11" s="8">
        <v>2217</v>
      </c>
      <c r="B11" s="8" t="s">
        <v>380</v>
      </c>
      <c r="C11" s="8" t="s">
        <v>1671</v>
      </c>
      <c r="D11" s="8">
        <v>20240305</v>
      </c>
      <c r="E11" s="8" t="s">
        <v>1672</v>
      </c>
      <c r="F11" s="8">
        <v>20240312</v>
      </c>
      <c r="G11" s="8">
        <v>20240511</v>
      </c>
      <c r="H11" s="8" t="s">
        <v>1673</v>
      </c>
      <c r="I11" s="8">
        <v>20241130</v>
      </c>
      <c r="M11" s="8">
        <v>20241125</v>
      </c>
      <c r="N11" s="8">
        <v>20241130</v>
      </c>
      <c r="O11" s="8">
        <v>20241224</v>
      </c>
      <c r="P11" s="8">
        <v>20241225</v>
      </c>
      <c r="Q11" s="8" t="s">
        <v>321</v>
      </c>
      <c r="R11" s="8">
        <v>0</v>
      </c>
      <c r="S11" s="8" t="s">
        <v>1629</v>
      </c>
      <c r="U11" s="8">
        <v>84</v>
      </c>
    </row>
    <row r="12" spans="1:22" ht="28" hidden="1" customHeight="1" x14ac:dyDescent="0.3">
      <c r="A12" s="8">
        <v>600375</v>
      </c>
      <c r="B12" s="8" t="s">
        <v>402</v>
      </c>
      <c r="C12" s="8" t="s">
        <v>1674</v>
      </c>
      <c r="D12" s="8">
        <v>20240127</v>
      </c>
      <c r="M12" s="8">
        <v>20241109</v>
      </c>
      <c r="O12" s="8">
        <v>20241212</v>
      </c>
      <c r="Q12" s="8" t="s">
        <v>321</v>
      </c>
      <c r="R12" s="8">
        <v>10</v>
      </c>
      <c r="S12" s="8" t="s">
        <v>1629</v>
      </c>
    </row>
    <row r="13" spans="1:22" hidden="1" x14ac:dyDescent="0.3">
      <c r="A13" s="8">
        <v>603363</v>
      </c>
      <c r="B13" s="8" t="s">
        <v>1675</v>
      </c>
      <c r="C13" s="8" t="s">
        <v>1676</v>
      </c>
      <c r="D13" s="8">
        <v>20240323</v>
      </c>
      <c r="M13" s="8">
        <v>20241106</v>
      </c>
      <c r="O13" s="8">
        <v>20241211</v>
      </c>
      <c r="Q13" s="8" t="s">
        <v>321</v>
      </c>
      <c r="R13" s="8">
        <v>35</v>
      </c>
      <c r="S13" s="8" t="s">
        <v>1677</v>
      </c>
      <c r="U13" s="8">
        <v>34</v>
      </c>
    </row>
    <row r="14" spans="1:22" ht="42" customHeight="1" x14ac:dyDescent="0.3">
      <c r="A14" s="8">
        <v>2124</v>
      </c>
      <c r="B14" s="8" t="s">
        <v>418</v>
      </c>
      <c r="C14" s="8" t="s">
        <v>1678</v>
      </c>
      <c r="D14" s="8">
        <v>20240319</v>
      </c>
      <c r="H14" s="8" t="s">
        <v>1679</v>
      </c>
      <c r="I14" s="8" t="s">
        <v>1680</v>
      </c>
    </row>
    <row r="15" spans="1:22" hidden="1" x14ac:dyDescent="0.3">
      <c r="A15" s="8">
        <v>2325</v>
      </c>
      <c r="B15" s="8" t="s">
        <v>1681</v>
      </c>
      <c r="C15" s="8" t="s">
        <v>1627</v>
      </c>
      <c r="D15" s="8">
        <v>20240130</v>
      </c>
      <c r="E15" s="8">
        <v>20240430</v>
      </c>
      <c r="F15" s="8">
        <v>20240529</v>
      </c>
      <c r="G15" s="8">
        <v>20240531</v>
      </c>
      <c r="J15" s="8" t="s">
        <v>1682</v>
      </c>
      <c r="Q15" s="8" t="s">
        <v>316</v>
      </c>
    </row>
    <row r="16" spans="1:22" ht="28" hidden="1" customHeight="1" x14ac:dyDescent="0.3">
      <c r="A16" s="8">
        <v>656</v>
      </c>
      <c r="B16" s="8" t="s">
        <v>1683</v>
      </c>
      <c r="C16" s="8" t="s">
        <v>1635</v>
      </c>
      <c r="D16" s="8">
        <v>20230523</v>
      </c>
      <c r="M16" s="8">
        <v>20240423</v>
      </c>
      <c r="O16" s="8">
        <v>20250512</v>
      </c>
    </row>
    <row r="17" spans="1:22" ht="56" hidden="1" customHeight="1" x14ac:dyDescent="0.3">
      <c r="A17" s="8">
        <v>908</v>
      </c>
      <c r="B17" s="8" t="s">
        <v>1503</v>
      </c>
      <c r="C17" s="8" t="s">
        <v>1684</v>
      </c>
      <c r="D17" s="8">
        <v>20231102</v>
      </c>
      <c r="E17" s="8">
        <v>20231118</v>
      </c>
      <c r="G17" s="8" t="s">
        <v>1685</v>
      </c>
      <c r="H17" s="8" t="s">
        <v>1686</v>
      </c>
      <c r="I17" s="8" t="s">
        <v>1687</v>
      </c>
      <c r="L17" s="8" t="s">
        <v>441</v>
      </c>
      <c r="M17" s="8">
        <v>20251022</v>
      </c>
      <c r="S17" s="8" t="s">
        <v>1670</v>
      </c>
    </row>
    <row r="18" spans="1:22" ht="28" hidden="1" customHeight="1" x14ac:dyDescent="0.3">
      <c r="A18" s="8">
        <v>300506</v>
      </c>
      <c r="B18" s="8" t="s">
        <v>1507</v>
      </c>
      <c r="C18" s="8" t="s">
        <v>1627</v>
      </c>
      <c r="D18" s="8">
        <v>20240731</v>
      </c>
      <c r="G18" s="8">
        <v>20240910</v>
      </c>
      <c r="H18" s="8" t="s">
        <v>1688</v>
      </c>
      <c r="I18" s="8" t="s">
        <v>1689</v>
      </c>
      <c r="L18" s="8" t="s">
        <v>441</v>
      </c>
      <c r="M18" s="8">
        <v>20250930</v>
      </c>
    </row>
    <row r="19" spans="1:22" ht="28" customHeight="1" x14ac:dyDescent="0.3">
      <c r="A19" s="8">
        <v>300338</v>
      </c>
      <c r="B19" s="8" t="s">
        <v>1690</v>
      </c>
      <c r="C19" s="8" t="s">
        <v>1665</v>
      </c>
      <c r="D19" s="8">
        <v>20240629</v>
      </c>
      <c r="E19" s="8" t="s">
        <v>1691</v>
      </c>
      <c r="G19" s="8">
        <v>20241024</v>
      </c>
      <c r="H19" s="8" t="s">
        <v>1692</v>
      </c>
      <c r="I19" s="8" t="s">
        <v>1693</v>
      </c>
    </row>
    <row r="20" spans="1:22" ht="28" hidden="1" customHeight="1" x14ac:dyDescent="0.3">
      <c r="A20" s="8">
        <v>600165</v>
      </c>
      <c r="B20" s="8" t="s">
        <v>1508</v>
      </c>
      <c r="C20" s="8" t="s">
        <v>1694</v>
      </c>
      <c r="D20" s="8">
        <v>20240423</v>
      </c>
      <c r="E20" s="8">
        <v>20240601</v>
      </c>
      <c r="F20" s="8">
        <v>20240608</v>
      </c>
      <c r="G20" s="8">
        <v>20240614</v>
      </c>
      <c r="H20" s="8" t="s">
        <v>1695</v>
      </c>
      <c r="I20" s="8" t="s">
        <v>1696</v>
      </c>
      <c r="L20" s="8" t="s">
        <v>441</v>
      </c>
      <c r="M20" s="8">
        <v>20250917</v>
      </c>
      <c r="S20" s="8" t="s">
        <v>1670</v>
      </c>
      <c r="U20" s="8">
        <v>26</v>
      </c>
    </row>
    <row r="21" spans="1:22" ht="28" hidden="1" customHeight="1" x14ac:dyDescent="0.3">
      <c r="A21" s="8">
        <v>600811</v>
      </c>
      <c r="B21" s="8" t="s">
        <v>1697</v>
      </c>
      <c r="C21" s="8" t="s">
        <v>1698</v>
      </c>
      <c r="D21" s="8">
        <v>20240626</v>
      </c>
      <c r="E21" s="8">
        <v>20240808</v>
      </c>
      <c r="F21" s="8">
        <v>20240809</v>
      </c>
      <c r="G21" s="8">
        <v>20240723</v>
      </c>
      <c r="H21" s="8" t="s">
        <v>1699</v>
      </c>
      <c r="J21" s="8" t="s">
        <v>1700</v>
      </c>
      <c r="Q21" s="8" t="s">
        <v>316</v>
      </c>
    </row>
    <row r="22" spans="1:22" ht="42" hidden="1" customHeight="1" x14ac:dyDescent="0.3">
      <c r="A22" s="8">
        <v>603007</v>
      </c>
      <c r="B22" s="8" t="s">
        <v>1701</v>
      </c>
      <c r="C22" s="8" t="s">
        <v>1702</v>
      </c>
      <c r="D22" s="8">
        <v>20220429</v>
      </c>
      <c r="G22" s="8">
        <v>20220525</v>
      </c>
      <c r="H22" s="8" t="s">
        <v>1703</v>
      </c>
      <c r="I22" s="8">
        <v>20241115</v>
      </c>
      <c r="K22" s="8">
        <v>1.5</v>
      </c>
      <c r="M22" s="8">
        <v>20240910</v>
      </c>
      <c r="O22" s="8">
        <v>20241116</v>
      </c>
      <c r="P22" s="8">
        <v>20241220</v>
      </c>
      <c r="Q22" s="8" t="s">
        <v>321</v>
      </c>
      <c r="R22" s="8">
        <v>3</v>
      </c>
      <c r="S22" s="8" t="s">
        <v>1670</v>
      </c>
      <c r="T22" s="8" t="s">
        <v>1704</v>
      </c>
      <c r="U22" s="8">
        <v>24</v>
      </c>
    </row>
    <row r="23" spans="1:22" ht="42" hidden="1" customHeight="1" x14ac:dyDescent="0.3">
      <c r="A23" s="8">
        <v>525</v>
      </c>
      <c r="B23" s="8" t="s">
        <v>389</v>
      </c>
      <c r="C23" s="8" t="s">
        <v>1705</v>
      </c>
      <c r="D23" s="8">
        <v>20220920</v>
      </c>
      <c r="E23" s="8">
        <v>20221207</v>
      </c>
      <c r="F23" s="8">
        <v>20221208</v>
      </c>
      <c r="G23" s="8">
        <v>20221215</v>
      </c>
      <c r="H23" s="8" t="s">
        <v>1706</v>
      </c>
      <c r="M23" s="8">
        <v>20240918</v>
      </c>
      <c r="N23" s="8">
        <v>20240919</v>
      </c>
      <c r="O23" s="8">
        <v>20241102</v>
      </c>
      <c r="P23" s="8">
        <v>20241112</v>
      </c>
      <c r="Q23" s="8" t="s">
        <v>321</v>
      </c>
      <c r="R23" s="8">
        <v>0</v>
      </c>
      <c r="S23" s="8" t="s">
        <v>1670</v>
      </c>
      <c r="T23" s="8" t="s">
        <v>1707</v>
      </c>
      <c r="U23" s="8">
        <v>48</v>
      </c>
      <c r="V23" s="8" t="s">
        <v>1708</v>
      </c>
    </row>
    <row r="24" spans="1:22" ht="42" hidden="1" customHeight="1" x14ac:dyDescent="0.3">
      <c r="A24" s="8">
        <v>300093</v>
      </c>
      <c r="B24" s="8" t="s">
        <v>1502</v>
      </c>
      <c r="C24" s="8" t="s">
        <v>1709</v>
      </c>
      <c r="D24" s="8">
        <v>20240708</v>
      </c>
      <c r="F24" s="8">
        <v>20250919</v>
      </c>
      <c r="H24" s="8" t="s">
        <v>1710</v>
      </c>
      <c r="I24" s="8">
        <v>20250610</v>
      </c>
      <c r="J24" s="8" t="s">
        <v>1658</v>
      </c>
      <c r="L24" s="8" t="s">
        <v>458</v>
      </c>
      <c r="M24" s="8">
        <v>20250919</v>
      </c>
      <c r="R24" s="8">
        <v>10</v>
      </c>
    </row>
    <row r="25" spans="1:22" ht="42" hidden="1" customHeight="1" x14ac:dyDescent="0.3">
      <c r="A25" s="8">
        <v>300091</v>
      </c>
      <c r="B25" s="8" t="s">
        <v>1711</v>
      </c>
      <c r="C25" s="8" t="s">
        <v>1712</v>
      </c>
      <c r="D25" s="8">
        <v>20250331</v>
      </c>
      <c r="F25" s="8">
        <v>20250419</v>
      </c>
      <c r="G25" s="8">
        <v>20250407</v>
      </c>
      <c r="H25" s="8" t="s">
        <v>1713</v>
      </c>
      <c r="I25" s="8" t="s">
        <v>1714</v>
      </c>
      <c r="J25" s="8" t="s">
        <v>1715</v>
      </c>
      <c r="L25" s="8" t="s">
        <v>441</v>
      </c>
      <c r="M25" s="8">
        <v>20260101</v>
      </c>
    </row>
    <row r="26" spans="1:22" ht="238" hidden="1" customHeight="1" x14ac:dyDescent="0.3">
      <c r="A26" s="8">
        <v>615</v>
      </c>
      <c r="B26" s="8" t="s">
        <v>1506</v>
      </c>
      <c r="C26" s="8" t="s">
        <v>1716</v>
      </c>
      <c r="D26" s="8">
        <v>20241119</v>
      </c>
      <c r="F26" s="8">
        <v>20241206</v>
      </c>
      <c r="G26" s="8">
        <v>20241214</v>
      </c>
      <c r="H26" s="8" t="s">
        <v>1717</v>
      </c>
      <c r="I26" s="8" t="s">
        <v>1718</v>
      </c>
      <c r="J26" s="8" t="s">
        <v>1719</v>
      </c>
      <c r="K26" s="8" t="s">
        <v>441</v>
      </c>
      <c r="L26" s="8" t="s">
        <v>458</v>
      </c>
      <c r="M26" s="8">
        <v>20251114</v>
      </c>
      <c r="S26" s="8" t="s">
        <v>1629</v>
      </c>
    </row>
    <row r="27" spans="1:22" ht="56" hidden="1" customHeight="1" x14ac:dyDescent="0.3">
      <c r="A27" s="8">
        <v>300159</v>
      </c>
      <c r="B27" s="8" t="s">
        <v>1443</v>
      </c>
      <c r="C27" s="8" t="s">
        <v>1720</v>
      </c>
      <c r="D27" s="8">
        <v>20250603</v>
      </c>
      <c r="E27" s="8" t="s">
        <v>1721</v>
      </c>
      <c r="G27" s="8">
        <v>20250612</v>
      </c>
      <c r="H27" s="8" t="s">
        <v>1722</v>
      </c>
      <c r="I27" s="8" t="s">
        <v>1723</v>
      </c>
      <c r="J27" s="8" t="s">
        <v>1658</v>
      </c>
      <c r="L27" s="8" t="s">
        <v>458</v>
      </c>
      <c r="M27" s="8">
        <v>20251114</v>
      </c>
      <c r="S27" s="8" t="s">
        <v>1629</v>
      </c>
    </row>
    <row r="28" spans="1:22" ht="28" customHeight="1" x14ac:dyDescent="0.3">
      <c r="A28" s="8">
        <v>793</v>
      </c>
      <c r="B28" s="8" t="s">
        <v>1724</v>
      </c>
      <c r="C28" s="8" t="s">
        <v>1725</v>
      </c>
      <c r="D28" s="8">
        <v>20241022</v>
      </c>
      <c r="E28" s="8" t="s">
        <v>1726</v>
      </c>
      <c r="F28" s="8">
        <v>20241101</v>
      </c>
      <c r="G28" s="8">
        <v>20241226</v>
      </c>
      <c r="H28" s="8" t="s">
        <v>1727</v>
      </c>
      <c r="I28" s="8" t="s">
        <v>1728</v>
      </c>
      <c r="J28" s="8" t="s">
        <v>1729</v>
      </c>
    </row>
    <row r="29" spans="1:22" ht="112" hidden="1" customHeight="1" x14ac:dyDescent="0.3">
      <c r="A29" s="8">
        <v>752</v>
      </c>
      <c r="B29" s="8" t="s">
        <v>1730</v>
      </c>
      <c r="C29" s="8" t="s">
        <v>1731</v>
      </c>
      <c r="D29" s="8">
        <v>20230721</v>
      </c>
      <c r="E29" s="8" t="s">
        <v>1732</v>
      </c>
      <c r="F29" s="8">
        <v>20230801</v>
      </c>
      <c r="G29" s="8">
        <v>20230909</v>
      </c>
      <c r="H29" s="8" t="s">
        <v>1733</v>
      </c>
      <c r="J29" s="8" t="s">
        <v>1734</v>
      </c>
      <c r="L29" s="8" t="s">
        <v>441</v>
      </c>
      <c r="M29" s="8">
        <v>20260427</v>
      </c>
    </row>
    <row r="30" spans="1:22" ht="28" customHeight="1" x14ac:dyDescent="0.3">
      <c r="A30" s="8">
        <v>300147</v>
      </c>
      <c r="B30" s="8" t="s">
        <v>1735</v>
      </c>
      <c r="C30" s="8" t="s">
        <v>1736</v>
      </c>
      <c r="D30" s="8">
        <v>20250206</v>
      </c>
      <c r="E30" s="8" t="s">
        <v>1737</v>
      </c>
      <c r="F30" s="8">
        <v>20250416</v>
      </c>
      <c r="G30" s="8">
        <v>20260422</v>
      </c>
      <c r="J30" s="8" t="s">
        <v>1428</v>
      </c>
      <c r="L30" s="8" t="s">
        <v>441</v>
      </c>
    </row>
    <row r="31" spans="1:22" ht="84" customHeight="1" x14ac:dyDescent="0.3">
      <c r="A31" s="8">
        <v>2620</v>
      </c>
      <c r="B31" s="8" t="s">
        <v>1738</v>
      </c>
      <c r="C31" s="8" t="s">
        <v>1627</v>
      </c>
      <c r="D31" s="8">
        <v>20250218</v>
      </c>
      <c r="E31" s="8" t="s">
        <v>1739</v>
      </c>
      <c r="F31" s="8">
        <v>20250726</v>
      </c>
      <c r="H31" s="8" t="s">
        <v>1740</v>
      </c>
      <c r="I31" s="8" t="s">
        <v>1741</v>
      </c>
      <c r="J31" s="8" t="s">
        <v>1742</v>
      </c>
    </row>
    <row r="32" spans="1:22" ht="42" customHeight="1" x14ac:dyDescent="0.3">
      <c r="A32" s="8">
        <v>300198</v>
      </c>
      <c r="B32" s="8" t="s">
        <v>1743</v>
      </c>
      <c r="C32" s="8" t="s">
        <v>1744</v>
      </c>
      <c r="D32" s="8">
        <v>20250318</v>
      </c>
      <c r="E32" s="8" t="s">
        <v>1745</v>
      </c>
      <c r="F32" s="8">
        <v>20250325</v>
      </c>
      <c r="I32" s="8" t="s">
        <v>1746</v>
      </c>
    </row>
    <row r="33" spans="1:21" ht="42" hidden="1" customHeight="1" x14ac:dyDescent="0.3">
      <c r="A33" s="8">
        <v>851</v>
      </c>
      <c r="B33" s="8" t="s">
        <v>1747</v>
      </c>
      <c r="C33" s="8" t="s">
        <v>1748</v>
      </c>
      <c r="D33" s="8">
        <v>20240712</v>
      </c>
      <c r="F33" s="8">
        <v>20240824</v>
      </c>
      <c r="G33" s="8">
        <v>20240820</v>
      </c>
      <c r="J33" s="8" t="s">
        <v>1749</v>
      </c>
      <c r="Q33" s="8" t="s">
        <v>316</v>
      </c>
    </row>
    <row r="34" spans="1:21" ht="112" customHeight="1" x14ac:dyDescent="0.3">
      <c r="A34" s="8">
        <v>972</v>
      </c>
      <c r="B34" s="8" t="s">
        <v>1369</v>
      </c>
      <c r="C34" s="8" t="s">
        <v>1750</v>
      </c>
      <c r="D34" s="8">
        <v>20250730</v>
      </c>
      <c r="F34" s="8">
        <v>20250730</v>
      </c>
      <c r="G34" s="8">
        <v>20250805</v>
      </c>
      <c r="H34" s="8">
        <v>20250912</v>
      </c>
      <c r="I34" s="8" t="s">
        <v>1751</v>
      </c>
      <c r="J34" s="8" t="s">
        <v>1752</v>
      </c>
    </row>
    <row r="35" spans="1:21" ht="28" customHeight="1" x14ac:dyDescent="0.3">
      <c r="A35" s="8">
        <v>300472</v>
      </c>
      <c r="B35" s="8" t="s">
        <v>1510</v>
      </c>
      <c r="C35" s="8" t="s">
        <v>1753</v>
      </c>
      <c r="D35" s="8">
        <v>20250630</v>
      </c>
      <c r="E35" s="8" t="s">
        <v>1631</v>
      </c>
      <c r="F35" s="8">
        <v>20250704</v>
      </c>
      <c r="G35" s="8">
        <v>20250728</v>
      </c>
      <c r="J35" s="8" t="s">
        <v>1754</v>
      </c>
    </row>
    <row r="36" spans="1:21" ht="42" hidden="1" customHeight="1" x14ac:dyDescent="0.3">
      <c r="A36" s="8">
        <v>691</v>
      </c>
      <c r="B36" s="8" t="s">
        <v>1336</v>
      </c>
      <c r="C36" s="8" t="s">
        <v>1755</v>
      </c>
      <c r="D36" s="8">
        <v>20250712</v>
      </c>
      <c r="E36" s="8" t="s">
        <v>1756</v>
      </c>
      <c r="F36" s="8">
        <v>20250712</v>
      </c>
      <c r="G36" s="8">
        <v>20250806</v>
      </c>
      <c r="H36" s="8" t="s">
        <v>1757</v>
      </c>
      <c r="I36" s="8" t="s">
        <v>1758</v>
      </c>
      <c r="J36" s="8" t="s">
        <v>1759</v>
      </c>
      <c r="L36" s="8" t="s">
        <v>458</v>
      </c>
      <c r="M36" s="8">
        <v>20251126</v>
      </c>
      <c r="Q36" s="8" t="s">
        <v>321</v>
      </c>
    </row>
    <row r="37" spans="1:21" ht="84" customHeight="1" x14ac:dyDescent="0.3">
      <c r="A37" s="8">
        <v>2168</v>
      </c>
      <c r="B37" s="8" t="s">
        <v>1760</v>
      </c>
      <c r="C37" s="8" t="s">
        <v>1635</v>
      </c>
      <c r="D37" s="8">
        <v>20250804</v>
      </c>
      <c r="F37" s="8">
        <v>20250809</v>
      </c>
      <c r="G37" s="8">
        <v>20250809</v>
      </c>
      <c r="H37" s="8" t="s">
        <v>1761</v>
      </c>
      <c r="I37" s="8" t="s">
        <v>1762</v>
      </c>
      <c r="J37" s="8" t="s">
        <v>1763</v>
      </c>
    </row>
    <row r="38" spans="1:21" ht="182" hidden="1" customHeight="1" x14ac:dyDescent="0.3">
      <c r="A38" s="8">
        <v>300256</v>
      </c>
      <c r="B38" s="8" t="s">
        <v>1764</v>
      </c>
      <c r="C38" s="8" t="s">
        <v>1765</v>
      </c>
      <c r="D38" s="8">
        <v>20210818</v>
      </c>
      <c r="E38" s="8" t="s">
        <v>1766</v>
      </c>
      <c r="F38" s="8" t="s">
        <v>1767</v>
      </c>
      <c r="G38" s="8">
        <v>20210910</v>
      </c>
      <c r="H38" s="8" t="s">
        <v>1768</v>
      </c>
      <c r="I38" s="8" t="s">
        <v>1769</v>
      </c>
      <c r="J38" s="8" t="s">
        <v>1770</v>
      </c>
      <c r="K38" s="8" t="s">
        <v>458</v>
      </c>
      <c r="M38" s="8">
        <v>20220526</v>
      </c>
      <c r="N38" s="8">
        <v>20220713</v>
      </c>
      <c r="O38" s="8">
        <v>20220804</v>
      </c>
      <c r="P38" s="8">
        <v>20220825</v>
      </c>
      <c r="Q38" s="8" t="s">
        <v>321</v>
      </c>
      <c r="R38" s="8">
        <v>20</v>
      </c>
      <c r="S38" s="8" t="s">
        <v>1677</v>
      </c>
      <c r="T38" s="8" t="s">
        <v>1771</v>
      </c>
      <c r="U38" s="8">
        <v>28</v>
      </c>
    </row>
    <row r="39" spans="1:21" ht="28" hidden="1" customHeight="1" x14ac:dyDescent="0.3">
      <c r="A39" s="8">
        <v>600654</v>
      </c>
      <c r="B39" s="8" t="s">
        <v>1772</v>
      </c>
      <c r="C39" s="8" t="s">
        <v>1773</v>
      </c>
      <c r="D39" s="8">
        <v>20211225</v>
      </c>
      <c r="E39" s="8" t="s">
        <v>1774</v>
      </c>
      <c r="F39" s="8">
        <v>20220707</v>
      </c>
      <c r="G39" s="8">
        <v>20250804</v>
      </c>
      <c r="H39" s="8" t="s">
        <v>1775</v>
      </c>
      <c r="I39" s="8" t="s">
        <v>1776</v>
      </c>
      <c r="M39" s="8">
        <v>20221105</v>
      </c>
      <c r="N39" s="8">
        <v>20221105</v>
      </c>
      <c r="O39" s="8">
        <v>20221207</v>
      </c>
      <c r="P39" s="8">
        <v>20221207</v>
      </c>
      <c r="Q39" s="8" t="s">
        <v>321</v>
      </c>
      <c r="R39" s="8">
        <v>6</v>
      </c>
      <c r="S39" s="8" t="s">
        <v>1670</v>
      </c>
    </row>
    <row r="40" spans="1:21" ht="70" hidden="1" customHeight="1" x14ac:dyDescent="0.3">
      <c r="A40" s="8">
        <v>697</v>
      </c>
      <c r="B40" s="8" t="s">
        <v>1504</v>
      </c>
      <c r="C40" s="8" t="s">
        <v>1777</v>
      </c>
      <c r="D40" s="8">
        <v>20250103</v>
      </c>
      <c r="E40" s="8" t="s">
        <v>1778</v>
      </c>
      <c r="G40" s="8">
        <v>20250621</v>
      </c>
      <c r="H40" s="8" t="s">
        <v>1779</v>
      </c>
      <c r="I40" s="8" t="s">
        <v>1780</v>
      </c>
      <c r="L40" s="8" t="s">
        <v>441</v>
      </c>
      <c r="M40" s="8">
        <v>20250923</v>
      </c>
      <c r="N40" s="8">
        <v>20250923</v>
      </c>
      <c r="R40" s="8">
        <v>50</v>
      </c>
      <c r="S40" s="8" t="s">
        <v>1677</v>
      </c>
    </row>
    <row r="41" spans="1:21" x14ac:dyDescent="0.3">
      <c r="A41" s="8">
        <v>826</v>
      </c>
      <c r="B41" s="8" t="s">
        <v>1781</v>
      </c>
      <c r="C41" s="8" t="s">
        <v>1782</v>
      </c>
      <c r="D41" s="8">
        <v>20250929</v>
      </c>
      <c r="E41" s="8" t="s">
        <v>1774</v>
      </c>
      <c r="F41" s="8">
        <v>20250929</v>
      </c>
      <c r="G41" s="8">
        <v>20250929</v>
      </c>
    </row>
    <row r="42" spans="1:21" ht="28" customHeight="1" x14ac:dyDescent="0.3">
      <c r="A42" s="8">
        <v>300044</v>
      </c>
      <c r="B42" s="8" t="s">
        <v>1783</v>
      </c>
      <c r="C42" s="8" t="s">
        <v>1627</v>
      </c>
      <c r="D42" s="8">
        <v>20250723</v>
      </c>
      <c r="E42" s="8" t="s">
        <v>1784</v>
      </c>
      <c r="F42" s="8">
        <v>20250724</v>
      </c>
    </row>
    <row r="43" spans="1:21" ht="28" customHeight="1" x14ac:dyDescent="0.3">
      <c r="A43" s="8">
        <v>688033</v>
      </c>
      <c r="B43" s="8" t="s">
        <v>1785</v>
      </c>
      <c r="C43" s="8" t="s">
        <v>1638</v>
      </c>
      <c r="D43" s="8">
        <v>20251115</v>
      </c>
      <c r="E43" s="8" t="s">
        <v>1786</v>
      </c>
    </row>
    <row r="44" spans="1:21" ht="56" customHeight="1" x14ac:dyDescent="0.3">
      <c r="A44" s="8">
        <v>603377</v>
      </c>
      <c r="B44" s="8" t="s">
        <v>1787</v>
      </c>
      <c r="C44" s="8" t="s">
        <v>1638</v>
      </c>
      <c r="D44" s="8">
        <v>20250710</v>
      </c>
      <c r="E44" s="8" t="s">
        <v>1756</v>
      </c>
      <c r="H44" s="8" t="s">
        <v>1788</v>
      </c>
      <c r="I44" s="8" t="s">
        <v>1789</v>
      </c>
      <c r="J44" s="8" t="s">
        <v>1790</v>
      </c>
      <c r="K44" s="8" t="s">
        <v>458</v>
      </c>
      <c r="R44" s="8">
        <v>15</v>
      </c>
    </row>
    <row r="45" spans="1:21" ht="28" customHeight="1" x14ac:dyDescent="0.3">
      <c r="A45" s="8">
        <v>603398</v>
      </c>
      <c r="B45" s="8" t="s">
        <v>1791</v>
      </c>
      <c r="C45" s="8" t="s">
        <v>1792</v>
      </c>
      <c r="D45" s="8">
        <v>20251115</v>
      </c>
      <c r="E45" s="8" t="s">
        <v>1756</v>
      </c>
      <c r="J45" s="8" t="s">
        <v>1793</v>
      </c>
    </row>
    <row r="46" spans="1:21" ht="28" customHeight="1" x14ac:dyDescent="0.3">
      <c r="A46" s="8">
        <v>300385</v>
      </c>
      <c r="B46" s="8" t="s">
        <v>1542</v>
      </c>
      <c r="C46" s="8" t="s">
        <v>1794</v>
      </c>
      <c r="D46" s="8">
        <v>20251119</v>
      </c>
      <c r="J46" s="8" t="s">
        <v>1795</v>
      </c>
    </row>
    <row r="47" spans="1:21" x14ac:dyDescent="0.3">
      <c r="A47" s="8">
        <v>600340</v>
      </c>
      <c r="B47" s="8" t="s">
        <v>1796</v>
      </c>
      <c r="C47" s="8" t="s">
        <v>1797</v>
      </c>
      <c r="D47" s="8">
        <v>20251117</v>
      </c>
      <c r="E47" s="8" t="s">
        <v>1756</v>
      </c>
    </row>
    <row r="48" spans="1:21" ht="70" customHeight="1" x14ac:dyDescent="0.3">
      <c r="A48" s="8">
        <v>301030</v>
      </c>
      <c r="B48" s="8" t="s">
        <v>1798</v>
      </c>
      <c r="C48" s="8" t="s">
        <v>1799</v>
      </c>
      <c r="D48" s="8">
        <v>20260511</v>
      </c>
      <c r="E48" s="8" t="s">
        <v>1800</v>
      </c>
      <c r="G48" s="8">
        <v>20260626</v>
      </c>
      <c r="J48" s="8" t="s">
        <v>1801</v>
      </c>
    </row>
    <row r="49" spans="1:18" ht="56" customHeight="1" x14ac:dyDescent="0.3">
      <c r="A49" s="8">
        <v>600337</v>
      </c>
      <c r="B49" s="8" t="s">
        <v>1802</v>
      </c>
      <c r="C49" s="8" t="s">
        <v>1720</v>
      </c>
      <c r="D49" s="8">
        <v>20260429</v>
      </c>
      <c r="E49" s="8" t="s">
        <v>1803</v>
      </c>
      <c r="F49" s="8">
        <v>20260501</v>
      </c>
    </row>
    <row r="50" spans="1:18" ht="56" customHeight="1" x14ac:dyDescent="0.3">
      <c r="A50" s="8">
        <v>2360</v>
      </c>
      <c r="B50" s="8" t="s">
        <v>1804</v>
      </c>
      <c r="C50" s="8" t="s">
        <v>1805</v>
      </c>
      <c r="D50" s="8">
        <v>20260420</v>
      </c>
      <c r="E50" s="8" t="s">
        <v>1756</v>
      </c>
      <c r="F50" s="8">
        <v>20260506</v>
      </c>
      <c r="G50" s="8">
        <v>20260516</v>
      </c>
      <c r="J50" s="8" t="s">
        <v>1806</v>
      </c>
    </row>
    <row r="51" spans="1:18" ht="28" customHeight="1" x14ac:dyDescent="0.3">
      <c r="A51" s="8">
        <v>300212</v>
      </c>
      <c r="B51" s="8" t="s">
        <v>1807</v>
      </c>
      <c r="C51" s="8" t="s">
        <v>1638</v>
      </c>
      <c r="D51" s="8">
        <v>20260515</v>
      </c>
      <c r="E51" s="8" t="s">
        <v>1808</v>
      </c>
      <c r="F51" s="8">
        <v>20260601</v>
      </c>
      <c r="K51" s="8" t="s">
        <v>458</v>
      </c>
    </row>
    <row r="52" spans="1:18" ht="56" customHeight="1" x14ac:dyDescent="0.3">
      <c r="A52" s="8">
        <v>300027</v>
      </c>
      <c r="B52" s="8" t="s">
        <v>1809</v>
      </c>
      <c r="C52" s="8" t="s">
        <v>1810</v>
      </c>
      <c r="D52" s="8">
        <v>20260415</v>
      </c>
      <c r="E52" s="8" t="s">
        <v>1811</v>
      </c>
      <c r="G52" s="8">
        <v>20260605</v>
      </c>
    </row>
    <row r="53" spans="1:18" ht="84" customHeight="1" x14ac:dyDescent="0.3">
      <c r="A53" s="8">
        <v>600537</v>
      </c>
      <c r="B53" s="8" t="s">
        <v>1812</v>
      </c>
      <c r="C53" s="8" t="s">
        <v>1813</v>
      </c>
      <c r="D53" s="8">
        <v>20260204</v>
      </c>
      <c r="E53" s="8" t="s">
        <v>1756</v>
      </c>
      <c r="F53" s="8">
        <v>20260210</v>
      </c>
      <c r="G53" s="8">
        <v>20260427</v>
      </c>
      <c r="H53" s="8" t="s">
        <v>1814</v>
      </c>
      <c r="I53" s="8" t="s">
        <v>1815</v>
      </c>
    </row>
    <row r="54" spans="1:18" ht="70" customHeight="1" x14ac:dyDescent="0.3">
      <c r="A54" s="8">
        <v>2634</v>
      </c>
      <c r="B54" s="8" t="s">
        <v>790</v>
      </c>
      <c r="C54" s="8" t="s">
        <v>1810</v>
      </c>
      <c r="D54" s="8">
        <v>20251205</v>
      </c>
      <c r="E54" s="8" t="s">
        <v>1816</v>
      </c>
      <c r="H54" s="8" t="s">
        <v>1817</v>
      </c>
      <c r="I54" s="8" t="s">
        <v>1818</v>
      </c>
      <c r="R54" s="8">
        <v>40</v>
      </c>
    </row>
    <row r="55" spans="1:18" ht="56" customHeight="1" x14ac:dyDescent="0.3">
      <c r="A55" s="8">
        <v>603843</v>
      </c>
      <c r="B55" s="8" t="s">
        <v>1819</v>
      </c>
      <c r="C55" s="8" t="s">
        <v>1820</v>
      </c>
      <c r="D55" s="8">
        <v>20251224</v>
      </c>
      <c r="E55" s="8" t="s">
        <v>1821</v>
      </c>
    </row>
    <row r="56" spans="1:18" x14ac:dyDescent="0.3">
      <c r="A56" s="8">
        <v>2726</v>
      </c>
      <c r="B56" s="8" t="s">
        <v>1822</v>
      </c>
      <c r="D56" s="8">
        <v>20260703</v>
      </c>
      <c r="J56" s="8" t="s">
        <v>1823</v>
      </c>
    </row>
    <row r="57" spans="1:18" x14ac:dyDescent="0.3">
      <c r="A57" s="8">
        <v>2528</v>
      </c>
      <c r="B57" s="8" t="s">
        <v>1526</v>
      </c>
      <c r="D57" s="8">
        <v>20260603</v>
      </c>
      <c r="J57" s="8" t="s">
        <v>1824</v>
      </c>
      <c r="K57" s="8" t="s">
        <v>458</v>
      </c>
    </row>
    <row r="58" spans="1:18" ht="56" customHeight="1" x14ac:dyDescent="0.3">
      <c r="A58" s="8">
        <v>600337</v>
      </c>
      <c r="B58" s="8" t="s">
        <v>1802</v>
      </c>
      <c r="C58" s="8" t="s">
        <v>1720</v>
      </c>
      <c r="D58" s="8">
        <v>20260409</v>
      </c>
      <c r="E58" s="8" t="s">
        <v>1803</v>
      </c>
      <c r="F58" s="8">
        <v>20260501</v>
      </c>
    </row>
    <row r="59" spans="1:18" ht="28" customHeight="1" x14ac:dyDescent="0.3">
      <c r="A59" s="8">
        <v>300716</v>
      </c>
      <c r="B59" s="8" t="s">
        <v>1825</v>
      </c>
      <c r="C59" s="8" t="s">
        <v>1826</v>
      </c>
      <c r="D59" s="8">
        <v>20260603</v>
      </c>
      <c r="E59" s="8" t="s">
        <v>1827</v>
      </c>
      <c r="F59" s="8">
        <v>20260603</v>
      </c>
      <c r="K59" s="8" t="s">
        <v>458</v>
      </c>
    </row>
    <row r="63" spans="1:18" ht="42" hidden="1" customHeight="1" x14ac:dyDescent="0.3">
      <c r="A63" s="8">
        <v>603007</v>
      </c>
      <c r="B63" s="8" t="s">
        <v>1279</v>
      </c>
      <c r="C63" s="8" t="s">
        <v>1702</v>
      </c>
      <c r="D63" s="8">
        <v>20220428</v>
      </c>
      <c r="E63" s="8" t="s">
        <v>1756</v>
      </c>
      <c r="H63" s="8" t="s">
        <v>1828</v>
      </c>
      <c r="I63" s="8" t="s">
        <v>1829</v>
      </c>
      <c r="J63" s="8" t="s">
        <v>1830</v>
      </c>
      <c r="M63" s="8">
        <v>20240910</v>
      </c>
    </row>
    <row r="65" spans="1:21" hidden="1" x14ac:dyDescent="0.3">
      <c r="A65" s="8">
        <v>525</v>
      </c>
      <c r="B65" s="8" t="s">
        <v>389</v>
      </c>
      <c r="C65" s="8" t="s">
        <v>1705</v>
      </c>
      <c r="D65" s="8">
        <v>20221207</v>
      </c>
      <c r="M65" s="8">
        <v>20240918</v>
      </c>
    </row>
    <row r="66" spans="1:21" hidden="1" x14ac:dyDescent="0.3">
      <c r="A66" s="8">
        <v>300209</v>
      </c>
      <c r="B66" s="8" t="s">
        <v>1664</v>
      </c>
      <c r="C66" s="8" t="s">
        <v>1665</v>
      </c>
      <c r="D66" s="8">
        <v>20240220</v>
      </c>
      <c r="M66" s="8">
        <v>20240930</v>
      </c>
    </row>
    <row r="67" spans="1:21" ht="28" hidden="1" customHeight="1" x14ac:dyDescent="0.3">
      <c r="A67" s="8">
        <v>600715</v>
      </c>
      <c r="B67" s="8" t="s">
        <v>366</v>
      </c>
      <c r="C67" s="8" t="s">
        <v>1638</v>
      </c>
      <c r="D67" s="8">
        <v>20240220</v>
      </c>
      <c r="F67" s="8">
        <v>20240228</v>
      </c>
      <c r="H67" s="8" t="s">
        <v>1831</v>
      </c>
      <c r="I67" s="8" t="s">
        <v>1832</v>
      </c>
      <c r="M67" s="8">
        <v>20241021</v>
      </c>
      <c r="N67" s="8">
        <v>20241022</v>
      </c>
      <c r="O67" s="8">
        <v>20241126</v>
      </c>
      <c r="P67" s="8">
        <v>20241210</v>
      </c>
      <c r="Q67" s="8" t="s">
        <v>321</v>
      </c>
      <c r="R67" s="8">
        <v>15</v>
      </c>
      <c r="S67" s="8" t="s">
        <v>1677</v>
      </c>
      <c r="U67" s="8">
        <v>36</v>
      </c>
    </row>
    <row r="68" spans="1:21" hidden="1" x14ac:dyDescent="0.3">
      <c r="A68" s="8">
        <v>603363</v>
      </c>
      <c r="B68" s="8" t="s">
        <v>1675</v>
      </c>
      <c r="C68" s="8" t="s">
        <v>1676</v>
      </c>
      <c r="M68" s="8">
        <v>20241105</v>
      </c>
    </row>
    <row r="69" spans="1:21" hidden="1" x14ac:dyDescent="0.3">
      <c r="A69" s="8">
        <v>603559</v>
      </c>
      <c r="B69" s="8" t="s">
        <v>1833</v>
      </c>
      <c r="C69" s="8" t="s">
        <v>1834</v>
      </c>
      <c r="M69" s="8">
        <v>20241023</v>
      </c>
    </row>
    <row r="70" spans="1:21" hidden="1" x14ac:dyDescent="0.3">
      <c r="A70" s="8">
        <v>2309</v>
      </c>
      <c r="B70" s="8" t="s">
        <v>1835</v>
      </c>
      <c r="C70" s="8" t="s">
        <v>1799</v>
      </c>
      <c r="M70" s="8">
        <v>20241101</v>
      </c>
    </row>
    <row r="71" spans="1:21" ht="28" hidden="1" customHeight="1" x14ac:dyDescent="0.3">
      <c r="A71" s="8">
        <v>600375</v>
      </c>
      <c r="B71" s="8" t="s">
        <v>402</v>
      </c>
      <c r="C71" s="8" t="s">
        <v>1674</v>
      </c>
      <c r="M71" s="8">
        <v>20241108</v>
      </c>
    </row>
    <row r="72" spans="1:21" hidden="1" x14ac:dyDescent="0.3">
      <c r="A72" s="8">
        <v>2217</v>
      </c>
      <c r="B72" s="8" t="s">
        <v>380</v>
      </c>
      <c r="C72" s="8" t="s">
        <v>1671</v>
      </c>
      <c r="M72" s="8">
        <v>20241122</v>
      </c>
    </row>
    <row r="73" spans="1:21" ht="56" hidden="1" customHeight="1" x14ac:dyDescent="0.3">
      <c r="A73" s="8">
        <v>2310</v>
      </c>
      <c r="B73" s="8" t="s">
        <v>381</v>
      </c>
      <c r="C73" s="8" t="s">
        <v>1638</v>
      </c>
      <c r="D73" s="8">
        <v>20240508</v>
      </c>
      <c r="E73" s="8" t="s">
        <v>1756</v>
      </c>
      <c r="F73" s="8">
        <v>20240514</v>
      </c>
      <c r="H73" s="8" t="s">
        <v>1836</v>
      </c>
      <c r="I73" s="8">
        <v>20241205</v>
      </c>
      <c r="J73" s="8" t="s">
        <v>1837</v>
      </c>
      <c r="M73" s="8">
        <v>20241122</v>
      </c>
      <c r="N73" s="8">
        <v>20241123</v>
      </c>
      <c r="O73" s="8">
        <v>20241224</v>
      </c>
      <c r="P73" s="8">
        <v>20241228</v>
      </c>
      <c r="Q73" s="8" t="s">
        <v>321</v>
      </c>
      <c r="R73" s="8">
        <v>10</v>
      </c>
      <c r="S73" s="8" t="s">
        <v>1629</v>
      </c>
      <c r="U73" s="8">
        <v>60</v>
      </c>
    </row>
    <row r="74" spans="1:21" hidden="1" x14ac:dyDescent="0.3">
      <c r="A74" s="8">
        <v>2647</v>
      </c>
      <c r="B74" s="8" t="s">
        <v>1838</v>
      </c>
      <c r="C74" s="8" t="s">
        <v>1736</v>
      </c>
      <c r="M74" s="8">
        <v>20241230</v>
      </c>
    </row>
    <row r="75" spans="1:21" hidden="1" x14ac:dyDescent="0.3">
      <c r="A75" s="8">
        <v>40</v>
      </c>
      <c r="B75" s="8" t="s">
        <v>1839</v>
      </c>
      <c r="C75" s="8" t="s">
        <v>1627</v>
      </c>
      <c r="D75" s="8">
        <v>20240902</v>
      </c>
      <c r="J75" s="8" t="s">
        <v>1840</v>
      </c>
      <c r="Q75" s="8" t="s">
        <v>316</v>
      </c>
    </row>
    <row r="76" spans="1:21" ht="28" hidden="1" customHeight="1" x14ac:dyDescent="0.3">
      <c r="A76" s="8">
        <v>600811</v>
      </c>
      <c r="B76" s="8" t="s">
        <v>1841</v>
      </c>
      <c r="C76" s="8" t="s">
        <v>1698</v>
      </c>
      <c r="D76" s="8">
        <v>20240715</v>
      </c>
      <c r="J76" s="8" t="s">
        <v>450</v>
      </c>
      <c r="K76" s="8" t="s">
        <v>458</v>
      </c>
      <c r="Q76" s="8" t="s">
        <v>316</v>
      </c>
    </row>
    <row r="77" spans="1:21" ht="28" hidden="1" customHeight="1" x14ac:dyDescent="0.3">
      <c r="A77" s="8">
        <v>300108</v>
      </c>
      <c r="B77" s="8" t="s">
        <v>1842</v>
      </c>
      <c r="C77" s="8" t="s">
        <v>1843</v>
      </c>
      <c r="D77" s="8">
        <v>20230701</v>
      </c>
      <c r="G77" s="8">
        <v>20231209</v>
      </c>
      <c r="H77" s="8" t="s">
        <v>1844</v>
      </c>
      <c r="J77" s="8" t="s">
        <v>1845</v>
      </c>
      <c r="Q77" s="8" t="s">
        <v>316</v>
      </c>
    </row>
    <row r="78" spans="1:21" hidden="1" x14ac:dyDescent="0.3">
      <c r="A78" s="8">
        <v>600804</v>
      </c>
      <c r="B78" s="8" t="s">
        <v>451</v>
      </c>
      <c r="C78" s="8" t="s">
        <v>1846</v>
      </c>
      <c r="D78" s="8">
        <v>20241101</v>
      </c>
      <c r="Q78" s="8" t="s">
        <v>316</v>
      </c>
    </row>
    <row r="79" spans="1:21" hidden="1" x14ac:dyDescent="0.3">
      <c r="A79" s="8">
        <v>2482</v>
      </c>
      <c r="B79" s="8" t="s">
        <v>1847</v>
      </c>
      <c r="C79" s="8" t="s">
        <v>1627</v>
      </c>
      <c r="M79" s="8">
        <v>20230724</v>
      </c>
    </row>
    <row r="80" spans="1:21" hidden="1" x14ac:dyDescent="0.3">
      <c r="A80" s="8">
        <v>2157</v>
      </c>
      <c r="B80" s="8" t="s">
        <v>1848</v>
      </c>
      <c r="C80" s="8" t="s">
        <v>1792</v>
      </c>
      <c r="M80" s="8">
        <v>20230721</v>
      </c>
    </row>
    <row r="81" spans="1:22" hidden="1" x14ac:dyDescent="0.3">
      <c r="A81" s="8">
        <v>600136</v>
      </c>
      <c r="B81" s="8" t="s">
        <v>646</v>
      </c>
      <c r="C81" s="8" t="s">
        <v>1849</v>
      </c>
      <c r="M81" s="8">
        <v>20230605</v>
      </c>
    </row>
    <row r="82" spans="1:22" ht="28" hidden="1" customHeight="1" x14ac:dyDescent="0.3">
      <c r="A82" s="8">
        <v>2721</v>
      </c>
      <c r="B82" s="8" t="s">
        <v>1850</v>
      </c>
      <c r="C82" s="8" t="s">
        <v>1638</v>
      </c>
      <c r="M82" s="8">
        <v>20230720</v>
      </c>
    </row>
    <row r="83" spans="1:22" ht="28" hidden="1" customHeight="1" x14ac:dyDescent="0.3">
      <c r="A83" s="8">
        <v>711</v>
      </c>
      <c r="B83" s="8" t="s">
        <v>1851</v>
      </c>
      <c r="C83" s="8" t="s">
        <v>1698</v>
      </c>
      <c r="M83" s="8">
        <v>20230605</v>
      </c>
    </row>
    <row r="84" spans="1:22" hidden="1" x14ac:dyDescent="0.3">
      <c r="A84" s="8">
        <v>600759</v>
      </c>
      <c r="B84" s="8" t="s">
        <v>1852</v>
      </c>
      <c r="C84" s="8" t="s">
        <v>1725</v>
      </c>
      <c r="M84" s="8">
        <v>20230921</v>
      </c>
    </row>
    <row r="85" spans="1:22" hidden="1" x14ac:dyDescent="0.3">
      <c r="A85" s="8">
        <v>600117</v>
      </c>
      <c r="B85" s="8" t="s">
        <v>1853</v>
      </c>
      <c r="C85" s="8" t="s">
        <v>1820</v>
      </c>
      <c r="M85" s="8">
        <v>20230620</v>
      </c>
    </row>
    <row r="86" spans="1:22" hidden="1" x14ac:dyDescent="0.3">
      <c r="A86" s="8">
        <v>2251</v>
      </c>
      <c r="B86" s="8" t="s">
        <v>403</v>
      </c>
      <c r="C86" s="8" t="s">
        <v>1854</v>
      </c>
      <c r="M86" s="8">
        <v>20231108</v>
      </c>
    </row>
    <row r="87" spans="1:22" hidden="1" x14ac:dyDescent="0.3">
      <c r="A87" s="8">
        <v>796</v>
      </c>
      <c r="B87" s="8" t="s">
        <v>1855</v>
      </c>
      <c r="C87" s="8" t="s">
        <v>1856</v>
      </c>
      <c r="M87" s="8">
        <v>20231101</v>
      </c>
    </row>
    <row r="88" spans="1:22" ht="42" hidden="1" customHeight="1" x14ac:dyDescent="0.3">
      <c r="A88" s="8">
        <v>600306</v>
      </c>
      <c r="B88" s="8" t="s">
        <v>1857</v>
      </c>
      <c r="C88" s="8" t="s">
        <v>1858</v>
      </c>
      <c r="M88" s="8">
        <v>20231111</v>
      </c>
      <c r="V88" s="8" t="s">
        <v>1859</v>
      </c>
    </row>
    <row r="89" spans="1:22" ht="28" hidden="1" customHeight="1" x14ac:dyDescent="0.3">
      <c r="A89" s="8">
        <v>603030</v>
      </c>
      <c r="B89" s="8" t="s">
        <v>1860</v>
      </c>
      <c r="C89" s="8" t="s">
        <v>1861</v>
      </c>
      <c r="M89" s="8">
        <v>20231114</v>
      </c>
    </row>
    <row r="90" spans="1:22" ht="28" hidden="1" customHeight="1" x14ac:dyDescent="0.3">
      <c r="A90" s="8">
        <v>620</v>
      </c>
      <c r="B90" s="8" t="s">
        <v>1862</v>
      </c>
      <c r="C90" s="8" t="s">
        <v>1638</v>
      </c>
      <c r="M90" s="8">
        <v>20231115</v>
      </c>
    </row>
    <row r="91" spans="1:22" ht="28" hidden="1" customHeight="1" x14ac:dyDescent="0.3">
      <c r="A91" s="8">
        <v>300010</v>
      </c>
      <c r="B91" s="8" t="s">
        <v>1863</v>
      </c>
      <c r="C91" s="8" t="s">
        <v>1638</v>
      </c>
      <c r="M91" s="8">
        <v>20231115</v>
      </c>
    </row>
    <row r="92" spans="1:22" hidden="1" x14ac:dyDescent="0.3">
      <c r="A92" s="8">
        <v>600589</v>
      </c>
      <c r="B92" s="8" t="s">
        <v>1864</v>
      </c>
      <c r="C92" s="8" t="s">
        <v>1865</v>
      </c>
      <c r="M92" s="8">
        <v>20231125</v>
      </c>
    </row>
    <row r="93" spans="1:22" ht="28" hidden="1" customHeight="1" x14ac:dyDescent="0.3">
      <c r="A93" s="8">
        <v>2086</v>
      </c>
      <c r="B93" s="8" t="s">
        <v>1866</v>
      </c>
      <c r="C93" s="8" t="s">
        <v>1867</v>
      </c>
      <c r="M93" s="8">
        <v>20231125</v>
      </c>
    </row>
    <row r="94" spans="1:22" ht="42" hidden="1" customHeight="1" x14ac:dyDescent="0.3">
      <c r="A94" s="8">
        <v>2021</v>
      </c>
      <c r="B94" s="8" t="s">
        <v>1868</v>
      </c>
      <c r="C94" s="8" t="s">
        <v>1869</v>
      </c>
      <c r="M94" s="8">
        <v>20231124</v>
      </c>
      <c r="V94" s="8" t="s">
        <v>1870</v>
      </c>
    </row>
    <row r="95" spans="1:22" ht="28.5" hidden="1" customHeight="1" thickBot="1" x14ac:dyDescent="0.35">
      <c r="A95" s="320">
        <v>46</v>
      </c>
      <c r="B95" s="320" t="s">
        <v>1871</v>
      </c>
      <c r="C95" s="320" t="s">
        <v>1638</v>
      </c>
      <c r="D95" s="320">
        <v>20230427</v>
      </c>
      <c r="E95" s="320"/>
      <c r="J95" s="8" t="s">
        <v>1872</v>
      </c>
      <c r="Q95" s="8" t="s">
        <v>316</v>
      </c>
    </row>
    <row r="96" spans="1:22" ht="14.5" hidden="1" customHeight="1" thickBot="1" x14ac:dyDescent="0.35">
      <c r="A96" s="320">
        <v>2776</v>
      </c>
      <c r="B96" s="320" t="s">
        <v>1873</v>
      </c>
      <c r="C96" s="320" t="s">
        <v>1865</v>
      </c>
      <c r="D96" s="320">
        <v>20230801</v>
      </c>
      <c r="E96" s="320"/>
      <c r="Q96" s="8" t="s">
        <v>316</v>
      </c>
    </row>
    <row r="97" spans="1:17" ht="14.5" hidden="1" customHeight="1" thickBot="1" x14ac:dyDescent="0.35">
      <c r="A97" s="320">
        <v>2740</v>
      </c>
      <c r="B97" s="320" t="s">
        <v>1874</v>
      </c>
      <c r="C97" s="320" t="s">
        <v>1875</v>
      </c>
      <c r="D97" s="320">
        <v>20230101</v>
      </c>
      <c r="E97" s="320"/>
      <c r="Q97" s="8" t="s">
        <v>316</v>
      </c>
    </row>
    <row r="98" spans="1:17" ht="14.5" hidden="1" customHeight="1" thickBot="1" x14ac:dyDescent="0.35">
      <c r="A98" s="320">
        <v>2087</v>
      </c>
      <c r="B98" s="320" t="s">
        <v>1876</v>
      </c>
      <c r="C98" s="320" t="s">
        <v>1877</v>
      </c>
      <c r="D98" s="320">
        <v>20230717</v>
      </c>
      <c r="E98" s="320"/>
      <c r="Q98" s="8" t="s">
        <v>316</v>
      </c>
    </row>
    <row r="99" spans="1:17" ht="14.5" hidden="1" customHeight="1" thickBot="1" x14ac:dyDescent="0.35">
      <c r="A99" s="320">
        <v>2433</v>
      </c>
      <c r="B99" s="320" t="s">
        <v>1878</v>
      </c>
      <c r="C99" s="320" t="s">
        <v>1879</v>
      </c>
      <c r="D99" s="320">
        <v>20230926</v>
      </c>
      <c r="E99" s="320"/>
      <c r="Q99" s="8" t="s">
        <v>316</v>
      </c>
    </row>
    <row r="100" spans="1:17" ht="14.5" hidden="1" customHeight="1" thickBot="1" x14ac:dyDescent="0.35">
      <c r="A100" s="320">
        <v>2341</v>
      </c>
      <c r="B100" s="320" t="s">
        <v>1880</v>
      </c>
      <c r="C100" s="320" t="s">
        <v>1627</v>
      </c>
      <c r="D100" s="320">
        <v>20230101</v>
      </c>
      <c r="E100" s="320"/>
      <c r="Q100" s="8" t="s">
        <v>316</v>
      </c>
    </row>
    <row r="101" spans="1:17" ht="14.5" hidden="1" customHeight="1" thickBot="1" x14ac:dyDescent="0.35">
      <c r="A101" s="320">
        <v>300495</v>
      </c>
      <c r="B101" s="320" t="s">
        <v>1881</v>
      </c>
      <c r="C101" s="320" t="s">
        <v>1627</v>
      </c>
      <c r="D101" s="320">
        <v>20230101</v>
      </c>
      <c r="E101" s="320"/>
      <c r="Q101" s="8" t="s">
        <v>316</v>
      </c>
    </row>
    <row r="102" spans="1:17" ht="14.5" hidden="1" customHeight="1" thickBot="1" x14ac:dyDescent="0.35">
      <c r="A102" s="320">
        <v>2280</v>
      </c>
      <c r="B102" s="320" t="s">
        <v>1882</v>
      </c>
      <c r="C102" s="320" t="s">
        <v>1883</v>
      </c>
      <c r="D102" s="320">
        <v>20230101</v>
      </c>
      <c r="E102" s="320"/>
      <c r="Q102" s="8" t="s">
        <v>316</v>
      </c>
    </row>
    <row r="103" spans="1:17" ht="28.5" hidden="1" customHeight="1" thickBot="1" x14ac:dyDescent="0.35">
      <c r="A103" s="320">
        <v>600565</v>
      </c>
      <c r="B103" s="320" t="s">
        <v>1884</v>
      </c>
      <c r="C103" s="320" t="s">
        <v>1635</v>
      </c>
      <c r="D103" s="320">
        <v>20230101</v>
      </c>
      <c r="E103" s="320"/>
      <c r="Q103" s="8" t="s">
        <v>316</v>
      </c>
    </row>
    <row r="104" spans="1:17" hidden="1" x14ac:dyDescent="0.3">
      <c r="A104" s="8">
        <v>300256</v>
      </c>
      <c r="B104" s="8" t="s">
        <v>1764</v>
      </c>
      <c r="C104" s="8" t="s">
        <v>1765</v>
      </c>
      <c r="M104" s="8">
        <v>20220526</v>
      </c>
    </row>
    <row r="105" spans="1:17" ht="28" hidden="1" customHeight="1" x14ac:dyDescent="0.3">
      <c r="A105" s="8">
        <v>2366</v>
      </c>
      <c r="B105" s="8" t="s">
        <v>1885</v>
      </c>
      <c r="C105" s="8" t="s">
        <v>1867</v>
      </c>
      <c r="M105" s="8">
        <v>20220819</v>
      </c>
    </row>
    <row r="106" spans="1:17" ht="28" hidden="1" customHeight="1" x14ac:dyDescent="0.3">
      <c r="A106" s="8">
        <v>600601</v>
      </c>
      <c r="B106" s="8" t="s">
        <v>1886</v>
      </c>
      <c r="C106" s="8" t="s">
        <v>1638</v>
      </c>
      <c r="M106" s="8">
        <v>20220927</v>
      </c>
    </row>
    <row r="107" spans="1:17" hidden="1" x14ac:dyDescent="0.3">
      <c r="A107" s="8">
        <v>300370</v>
      </c>
      <c r="B107" s="8" t="s">
        <v>1887</v>
      </c>
      <c r="C107" s="8" t="s">
        <v>1888</v>
      </c>
      <c r="M107" s="8">
        <v>20221025</v>
      </c>
    </row>
    <row r="108" spans="1:17" hidden="1" x14ac:dyDescent="0.3">
      <c r="A108" s="8">
        <v>2427</v>
      </c>
      <c r="B108" s="8" t="s">
        <v>1889</v>
      </c>
      <c r="C108" s="8" t="s">
        <v>1890</v>
      </c>
      <c r="M108" s="8">
        <v>20221028</v>
      </c>
    </row>
    <row r="109" spans="1:17" hidden="1" x14ac:dyDescent="0.3">
      <c r="A109" s="8">
        <v>2076</v>
      </c>
      <c r="B109" s="8" t="s">
        <v>1891</v>
      </c>
      <c r="C109" s="8" t="s">
        <v>1892</v>
      </c>
      <c r="M109" s="8">
        <v>20221031</v>
      </c>
    </row>
    <row r="110" spans="1:17" hidden="1" x14ac:dyDescent="0.3">
      <c r="A110" s="8">
        <v>2122</v>
      </c>
      <c r="B110" s="8" t="s">
        <v>1893</v>
      </c>
      <c r="C110" s="8" t="s">
        <v>1894</v>
      </c>
      <c r="M110" s="8">
        <v>20221101</v>
      </c>
    </row>
    <row r="111" spans="1:17" hidden="1" x14ac:dyDescent="0.3">
      <c r="A111" s="8">
        <v>600654</v>
      </c>
      <c r="B111" s="8" t="s">
        <v>1772</v>
      </c>
      <c r="C111" s="8" t="s">
        <v>1849</v>
      </c>
      <c r="M111" s="8">
        <v>20221105</v>
      </c>
    </row>
    <row r="112" spans="1:17" ht="28" hidden="1" customHeight="1" x14ac:dyDescent="0.3">
      <c r="A112" s="8">
        <v>603603</v>
      </c>
      <c r="B112" s="8" t="s">
        <v>1895</v>
      </c>
      <c r="C112" s="8" t="s">
        <v>1638</v>
      </c>
      <c r="M112" s="8">
        <v>20221107</v>
      </c>
    </row>
    <row r="113" spans="1:17" ht="28" hidden="1" customHeight="1" x14ac:dyDescent="0.3">
      <c r="A113" s="8">
        <v>600666</v>
      </c>
      <c r="B113" s="8" t="s">
        <v>1896</v>
      </c>
      <c r="C113" s="8" t="s">
        <v>1698</v>
      </c>
      <c r="M113" s="8">
        <v>20221130</v>
      </c>
    </row>
    <row r="114" spans="1:17" ht="14.5" hidden="1" customHeight="1" thickBot="1" x14ac:dyDescent="0.35">
      <c r="A114" s="320">
        <v>600260</v>
      </c>
      <c r="B114" s="320" t="s">
        <v>1897</v>
      </c>
      <c r="C114" s="320" t="s">
        <v>1898</v>
      </c>
      <c r="D114" s="320">
        <v>20220314</v>
      </c>
      <c r="E114" s="320"/>
      <c r="Q114" s="8" t="s">
        <v>316</v>
      </c>
    </row>
    <row r="115" spans="1:17" ht="14.5" hidden="1" customHeight="1" thickBot="1" x14ac:dyDescent="0.35">
      <c r="A115" s="320">
        <v>540</v>
      </c>
      <c r="B115" s="320" t="s">
        <v>1899</v>
      </c>
      <c r="C115" s="320" t="s">
        <v>1748</v>
      </c>
      <c r="D115" s="320">
        <v>20230505</v>
      </c>
      <c r="E115" s="320"/>
      <c r="Q115" s="8" t="s">
        <v>316</v>
      </c>
    </row>
    <row r="116" spans="1:17" ht="14.5" hidden="1" customHeight="1" thickBot="1" x14ac:dyDescent="0.35">
      <c r="A116" s="320">
        <v>2503</v>
      </c>
      <c r="B116" s="320" t="s">
        <v>1900</v>
      </c>
      <c r="C116" s="320" t="s">
        <v>1826</v>
      </c>
      <c r="D116" s="320">
        <v>20220302</v>
      </c>
      <c r="E116" s="320"/>
      <c r="Q116" s="8" t="s">
        <v>316</v>
      </c>
    </row>
    <row r="117" spans="1:17" ht="14.5" hidden="1" customHeight="1" thickBot="1" x14ac:dyDescent="0.35">
      <c r="A117" s="320">
        <v>600122</v>
      </c>
      <c r="B117" s="320" t="s">
        <v>1901</v>
      </c>
      <c r="C117" s="320" t="s">
        <v>1705</v>
      </c>
      <c r="D117" s="320">
        <v>20220402</v>
      </c>
      <c r="E117" s="320"/>
      <c r="Q117" s="8" t="s">
        <v>316</v>
      </c>
    </row>
    <row r="118" spans="1:17" ht="28.5" hidden="1" customHeight="1" thickBot="1" x14ac:dyDescent="0.35">
      <c r="A118" s="320">
        <v>2504</v>
      </c>
      <c r="B118" s="320" t="s">
        <v>1902</v>
      </c>
      <c r="C118" s="320" t="s">
        <v>1903</v>
      </c>
      <c r="D118" s="320">
        <v>20230523</v>
      </c>
      <c r="E118" s="320"/>
      <c r="Q118" s="8" t="s">
        <v>316</v>
      </c>
    </row>
    <row r="119" spans="1:17" ht="14.5" hidden="1" customHeight="1" thickBot="1" x14ac:dyDescent="0.35">
      <c r="A119" s="320">
        <v>2113</v>
      </c>
      <c r="B119" s="320" t="s">
        <v>1904</v>
      </c>
      <c r="C119" s="320" t="s">
        <v>1736</v>
      </c>
      <c r="D119" s="320">
        <v>20230512</v>
      </c>
      <c r="E119" s="320"/>
      <c r="Q119" s="8" t="s">
        <v>316</v>
      </c>
    </row>
    <row r="120" spans="1:17" ht="14.5" hidden="1" customHeight="1" thickBot="1" x14ac:dyDescent="0.35">
      <c r="A120" s="320">
        <v>2118</v>
      </c>
      <c r="B120" s="320" t="s">
        <v>1905</v>
      </c>
      <c r="C120" s="320" t="s">
        <v>1834</v>
      </c>
      <c r="D120" s="320">
        <v>20230710</v>
      </c>
      <c r="E120" s="320"/>
      <c r="Q120" s="8" t="s">
        <v>316</v>
      </c>
    </row>
    <row r="121" spans="1:17" ht="14.5" hidden="1" customHeight="1" thickBot="1" x14ac:dyDescent="0.35">
      <c r="A121" s="320">
        <v>2781</v>
      </c>
      <c r="B121" s="320" t="s">
        <v>1906</v>
      </c>
      <c r="C121" s="320" t="s">
        <v>1907</v>
      </c>
      <c r="D121" s="320">
        <v>20220617</v>
      </c>
      <c r="E121" s="320"/>
      <c r="Q121" s="8" t="s">
        <v>316</v>
      </c>
    </row>
    <row r="122" spans="1:17" ht="14.5" hidden="1" customHeight="1" thickBot="1" x14ac:dyDescent="0.35">
      <c r="A122" s="320">
        <v>300273</v>
      </c>
      <c r="B122" s="320" t="s">
        <v>1908</v>
      </c>
      <c r="C122" s="320" t="s">
        <v>1909</v>
      </c>
      <c r="D122" s="320">
        <v>20230112</v>
      </c>
      <c r="E122" s="320"/>
      <c r="Q122" s="8" t="s">
        <v>316</v>
      </c>
    </row>
    <row r="123" spans="1:17" ht="14.5" hidden="1" customHeight="1" thickBot="1" x14ac:dyDescent="0.35">
      <c r="A123" s="320">
        <v>300297</v>
      </c>
      <c r="B123" s="320" t="s">
        <v>1910</v>
      </c>
      <c r="C123" s="320" t="s">
        <v>1892</v>
      </c>
      <c r="D123" s="320">
        <v>20220928</v>
      </c>
      <c r="E123" s="320"/>
      <c r="Q123" s="8" t="s">
        <v>316</v>
      </c>
    </row>
    <row r="124" spans="1:17" hidden="1" x14ac:dyDescent="0.3">
      <c r="A124" s="8">
        <v>300278</v>
      </c>
      <c r="B124" s="8" t="s">
        <v>1911</v>
      </c>
      <c r="C124" s="8" t="s">
        <v>1630</v>
      </c>
      <c r="M124" s="8">
        <v>20211118</v>
      </c>
    </row>
    <row r="125" spans="1:17" hidden="1" x14ac:dyDescent="0.3">
      <c r="A125" s="8">
        <v>2175</v>
      </c>
      <c r="B125" s="8" t="s">
        <v>1070</v>
      </c>
      <c r="C125" s="8" t="s">
        <v>1912</v>
      </c>
      <c r="M125" s="8">
        <v>20211027</v>
      </c>
    </row>
    <row r="126" spans="1:17" ht="28" hidden="1" customHeight="1" x14ac:dyDescent="0.3">
      <c r="A126" s="8">
        <v>300071</v>
      </c>
      <c r="B126" s="8" t="s">
        <v>1913</v>
      </c>
      <c r="C126" s="8" t="s">
        <v>1638</v>
      </c>
      <c r="M126" s="8">
        <v>20211028</v>
      </c>
    </row>
    <row r="127" spans="1:17" hidden="1" x14ac:dyDescent="0.3">
      <c r="A127" s="8">
        <v>564</v>
      </c>
      <c r="B127" s="8" t="s">
        <v>1914</v>
      </c>
      <c r="C127" s="8" t="s">
        <v>1915</v>
      </c>
      <c r="M127" s="8">
        <v>20210210</v>
      </c>
    </row>
    <row r="128" spans="1:17" hidden="1" x14ac:dyDescent="0.3">
      <c r="A128" s="8">
        <v>221</v>
      </c>
      <c r="B128" s="8" t="s">
        <v>1916</v>
      </c>
      <c r="C128" s="8" t="s">
        <v>1915</v>
      </c>
      <c r="M128" s="8">
        <v>20210210</v>
      </c>
    </row>
    <row r="129" spans="1:17" hidden="1" x14ac:dyDescent="0.3">
      <c r="A129" s="8">
        <v>600518</v>
      </c>
      <c r="B129" s="8" t="s">
        <v>1917</v>
      </c>
      <c r="C129" s="8" t="s">
        <v>1865</v>
      </c>
      <c r="M129" s="8">
        <v>20210604</v>
      </c>
    </row>
    <row r="130" spans="1:17" hidden="1" x14ac:dyDescent="0.3">
      <c r="A130" s="8">
        <v>600515</v>
      </c>
      <c r="B130" s="8" t="s">
        <v>1918</v>
      </c>
      <c r="C130" s="8" t="s">
        <v>1915</v>
      </c>
      <c r="M130" s="8">
        <v>20210210</v>
      </c>
    </row>
    <row r="131" spans="1:17" hidden="1" x14ac:dyDescent="0.3">
      <c r="A131" s="8">
        <v>2072</v>
      </c>
      <c r="B131" s="8" t="s">
        <v>1919</v>
      </c>
      <c r="C131" s="8" t="s">
        <v>1920</v>
      </c>
      <c r="M131" s="8">
        <v>20211105</v>
      </c>
    </row>
    <row r="132" spans="1:17" hidden="1" x14ac:dyDescent="0.3">
      <c r="A132" s="8">
        <v>523</v>
      </c>
      <c r="B132" s="8" t="s">
        <v>1921</v>
      </c>
      <c r="C132" s="8" t="s">
        <v>1736</v>
      </c>
      <c r="M132" s="8">
        <v>20210406</v>
      </c>
    </row>
    <row r="133" spans="1:17" hidden="1" x14ac:dyDescent="0.3">
      <c r="A133" s="8">
        <v>2356</v>
      </c>
      <c r="B133" s="8" t="s">
        <v>1922</v>
      </c>
      <c r="C133" s="8" t="s">
        <v>1627</v>
      </c>
      <c r="M133" s="8">
        <v>20211129</v>
      </c>
    </row>
    <row r="134" spans="1:17" hidden="1" x14ac:dyDescent="0.3">
      <c r="A134" s="8">
        <v>980</v>
      </c>
      <c r="B134" s="8" t="s">
        <v>1923</v>
      </c>
      <c r="C134" s="8" t="s">
        <v>1810</v>
      </c>
      <c r="M134" s="8">
        <v>20210610</v>
      </c>
    </row>
    <row r="135" spans="1:17" hidden="1" x14ac:dyDescent="0.3">
      <c r="A135" s="8">
        <v>600734</v>
      </c>
      <c r="B135" s="8" t="s">
        <v>1924</v>
      </c>
      <c r="C135" s="8" t="s">
        <v>1671</v>
      </c>
      <c r="M135" s="8">
        <v>20211126</v>
      </c>
    </row>
    <row r="136" spans="1:17" hidden="1" x14ac:dyDescent="0.3">
      <c r="A136" s="8">
        <v>2766</v>
      </c>
      <c r="B136" s="8" t="s">
        <v>1925</v>
      </c>
      <c r="C136" s="8" t="s">
        <v>1627</v>
      </c>
      <c r="M136" s="8">
        <v>20211126</v>
      </c>
    </row>
    <row r="137" spans="1:17" ht="28" hidden="1" customHeight="1" x14ac:dyDescent="0.3">
      <c r="A137" s="8">
        <v>600225</v>
      </c>
      <c r="B137" s="8" t="s">
        <v>1926</v>
      </c>
      <c r="C137" s="8" t="s">
        <v>1927</v>
      </c>
      <c r="M137" s="8">
        <v>20210422</v>
      </c>
    </row>
    <row r="138" spans="1:17" hidden="1" x14ac:dyDescent="0.3">
      <c r="A138" s="8">
        <v>2321</v>
      </c>
      <c r="B138" s="8" t="s">
        <v>1928</v>
      </c>
      <c r="C138" s="8" t="s">
        <v>1929</v>
      </c>
      <c r="M138" s="8">
        <v>20211120</v>
      </c>
    </row>
    <row r="139" spans="1:17" hidden="1" x14ac:dyDescent="0.3">
      <c r="A139" s="8">
        <v>2323</v>
      </c>
      <c r="B139" s="8" t="s">
        <v>1930</v>
      </c>
      <c r="C139" s="8" t="s">
        <v>1931</v>
      </c>
      <c r="M139" s="8">
        <v>20210427</v>
      </c>
    </row>
    <row r="140" spans="1:17" hidden="1" x14ac:dyDescent="0.3">
      <c r="A140" s="8">
        <v>2219</v>
      </c>
      <c r="B140" s="8" t="s">
        <v>1932</v>
      </c>
      <c r="C140" s="8" t="s">
        <v>1933</v>
      </c>
      <c r="M140" s="8">
        <v>20210708</v>
      </c>
    </row>
    <row r="141" spans="1:17" ht="14.5" hidden="1" customHeight="1" thickBot="1" x14ac:dyDescent="0.35">
      <c r="A141" s="320">
        <v>300178</v>
      </c>
      <c r="B141" s="320" t="s">
        <v>1934</v>
      </c>
      <c r="C141" s="320" t="s">
        <v>1627</v>
      </c>
      <c r="D141" s="320">
        <v>20211224</v>
      </c>
      <c r="E141" s="320"/>
      <c r="Q141" s="8" t="s">
        <v>316</v>
      </c>
    </row>
    <row r="142" spans="1:17" ht="28.5" hidden="1" customHeight="1" thickBot="1" x14ac:dyDescent="0.35">
      <c r="A142" s="320">
        <v>603157</v>
      </c>
      <c r="B142" s="320" t="s">
        <v>1935</v>
      </c>
      <c r="C142" s="320" t="s">
        <v>1861</v>
      </c>
      <c r="D142" s="320">
        <v>20210913</v>
      </c>
      <c r="E142" s="320"/>
      <c r="Q142" s="8" t="s">
        <v>316</v>
      </c>
    </row>
    <row r="143" spans="1:17" ht="14.5" hidden="1" customHeight="1" thickBot="1" x14ac:dyDescent="0.35">
      <c r="A143" s="320">
        <v>2684</v>
      </c>
      <c r="B143" s="320" t="s">
        <v>1936</v>
      </c>
      <c r="C143" s="320" t="s">
        <v>1879</v>
      </c>
      <c r="D143" s="320">
        <v>20210806</v>
      </c>
      <c r="E143" s="320"/>
      <c r="Q143" s="8" t="s">
        <v>316</v>
      </c>
    </row>
    <row r="144" spans="1:17" ht="14.5" hidden="1" customHeight="1" thickBot="1" x14ac:dyDescent="0.35">
      <c r="A144" s="320">
        <v>600856</v>
      </c>
      <c r="B144" s="320" t="s">
        <v>1937</v>
      </c>
      <c r="C144" s="320" t="s">
        <v>1748</v>
      </c>
      <c r="D144" s="320">
        <v>20211130</v>
      </c>
      <c r="E144" s="320"/>
      <c r="Q144" s="8" t="s">
        <v>316</v>
      </c>
    </row>
    <row r="145" spans="1:17" ht="14.5" hidden="1" customHeight="1" thickBot="1" x14ac:dyDescent="0.35">
      <c r="A145" s="320">
        <v>2147</v>
      </c>
      <c r="B145" s="320" t="s">
        <v>1938</v>
      </c>
      <c r="C145" s="320" t="s">
        <v>1810</v>
      </c>
      <c r="D145" s="320">
        <v>20210628</v>
      </c>
      <c r="E145" s="320"/>
      <c r="Q145" s="8" t="s">
        <v>316</v>
      </c>
    </row>
    <row r="146" spans="1:17" ht="14.5" hidden="1" customHeight="1" thickBot="1" x14ac:dyDescent="0.35">
      <c r="A146" s="320">
        <v>2464</v>
      </c>
      <c r="B146" s="320" t="s">
        <v>1939</v>
      </c>
      <c r="C146" s="320" t="s">
        <v>1678</v>
      </c>
      <c r="D146" s="320">
        <v>20211108</v>
      </c>
      <c r="E146" s="320"/>
      <c r="Q146" s="8" t="s">
        <v>316</v>
      </c>
    </row>
    <row r="153" spans="1:17" ht="56" customHeight="1" x14ac:dyDescent="0.3">
      <c r="G153" s="8" t="s">
        <v>1940</v>
      </c>
      <c r="H153" s="8" t="s">
        <v>1941</v>
      </c>
      <c r="I153" s="8" t="s">
        <v>1942</v>
      </c>
    </row>
    <row r="154" spans="1:17" ht="56" customHeight="1" x14ac:dyDescent="0.3">
      <c r="F154" s="8" t="s">
        <v>1943</v>
      </c>
      <c r="G154" s="8" t="s">
        <v>1944</v>
      </c>
      <c r="H154" s="8" t="s">
        <v>1945</v>
      </c>
      <c r="I154" s="8" t="s">
        <v>1946</v>
      </c>
      <c r="J154" s="8" t="s">
        <v>1947</v>
      </c>
      <c r="K154" s="8" t="s">
        <v>1948</v>
      </c>
      <c r="L154" s="8" t="s">
        <v>1949</v>
      </c>
      <c r="M154" s="8" t="s">
        <v>1950</v>
      </c>
    </row>
    <row r="155" spans="1:17" x14ac:dyDescent="0.3">
      <c r="E155" s="8" t="s">
        <v>1951</v>
      </c>
      <c r="F155" s="8">
        <f t="shared" ref="F155:F160" si="0">(G155*M155+I155+J155)/(M155+L155+K155)</f>
        <v>13.063499999999999</v>
      </c>
      <c r="G155" s="8">
        <v>14.83</v>
      </c>
      <c r="H155" s="319">
        <f t="shared" ref="H155:H161" si="1">(I155+J155)/(K155+L155)</f>
        <v>11.885833333333334</v>
      </c>
      <c r="I155" s="8">
        <f>32.49*K155</f>
        <v>204687</v>
      </c>
      <c r="J155" s="8">
        <v>180414</v>
      </c>
      <c r="K155" s="8">
        <v>6300</v>
      </c>
      <c r="L155" s="8">
        <v>26100</v>
      </c>
      <c r="M155" s="8">
        <v>21600</v>
      </c>
    </row>
    <row r="156" spans="1:17" x14ac:dyDescent="0.3">
      <c r="E156" s="8" t="s">
        <v>1952</v>
      </c>
      <c r="F156" s="8">
        <f t="shared" si="0"/>
        <v>7.12350307034073</v>
      </c>
      <c r="G156" s="8">
        <v>8</v>
      </c>
      <c r="H156" s="319">
        <f t="shared" si="1"/>
        <v>6.5191243117719768</v>
      </c>
      <c r="I156" s="8">
        <f>12.9*K156</f>
        <v>81773.100000000006</v>
      </c>
      <c r="J156" s="8">
        <v>92281</v>
      </c>
      <c r="K156" s="8">
        <v>6339</v>
      </c>
      <c r="L156" s="8">
        <v>20360</v>
      </c>
      <c r="M156" s="8">
        <v>18410</v>
      </c>
    </row>
    <row r="157" spans="1:17" x14ac:dyDescent="0.3">
      <c r="E157" s="8" t="s">
        <v>1953</v>
      </c>
      <c r="F157" s="8">
        <f t="shared" si="0"/>
        <v>4.7352960093553573</v>
      </c>
      <c r="G157" s="8">
        <v>5</v>
      </c>
      <c r="H157" s="319">
        <f t="shared" si="1"/>
        <v>4.281697738992464</v>
      </c>
      <c r="I157" s="8">
        <f>8.96*K157</f>
        <v>82521.600000000006</v>
      </c>
      <c r="J157" s="8">
        <v>25420</v>
      </c>
      <c r="K157" s="8">
        <v>9210</v>
      </c>
      <c r="L157" s="8">
        <v>16000</v>
      </c>
      <c r="M157" s="8">
        <v>43200</v>
      </c>
    </row>
    <row r="158" spans="1:17" x14ac:dyDescent="0.3">
      <c r="E158" s="8" t="s">
        <v>236</v>
      </c>
      <c r="F158" s="8">
        <f t="shared" si="0"/>
        <v>2.9514691503187076</v>
      </c>
      <c r="G158" s="8">
        <v>4.3099999999999996</v>
      </c>
      <c r="H158" s="319">
        <f t="shared" si="1"/>
        <v>1.9520515574650914</v>
      </c>
      <c r="I158" s="8">
        <f>12*K158</f>
        <v>57636</v>
      </c>
      <c r="J158" s="8">
        <v>124100</v>
      </c>
      <c r="K158" s="8">
        <v>4803</v>
      </c>
      <c r="L158" s="8">
        <v>88297</v>
      </c>
      <c r="M158" s="8">
        <v>68490</v>
      </c>
    </row>
    <row r="159" spans="1:17" x14ac:dyDescent="0.3">
      <c r="E159" s="8" t="s">
        <v>1954</v>
      </c>
      <c r="F159" s="8">
        <f t="shared" si="0"/>
        <v>8.0473995759555326</v>
      </c>
      <c r="G159" s="8">
        <v>8.52</v>
      </c>
      <c r="H159" s="319">
        <f t="shared" si="1"/>
        <v>7.2584068224406293</v>
      </c>
      <c r="I159" s="8">
        <f>7.92*K159</f>
        <v>255800.16</v>
      </c>
      <c r="J159" s="8">
        <v>123800</v>
      </c>
      <c r="K159" s="8">
        <v>32298</v>
      </c>
      <c r="L159" s="8">
        <v>20000</v>
      </c>
      <c r="M159" s="8">
        <v>87310</v>
      </c>
    </row>
    <row r="160" spans="1:17" x14ac:dyDescent="0.3">
      <c r="E160" s="8" t="s">
        <v>1955</v>
      </c>
      <c r="F160" s="8">
        <f t="shared" si="0"/>
        <v>6.9057941477995577</v>
      </c>
      <c r="G160" s="8">
        <v>8</v>
      </c>
      <c r="H160" s="319">
        <f t="shared" si="1"/>
        <v>5.8116153257083569</v>
      </c>
      <c r="I160" s="8">
        <f>20*K160</f>
        <v>77620</v>
      </c>
      <c r="J160" s="8">
        <f>3.96*32250+7.3*4100</f>
        <v>157640</v>
      </c>
      <c r="K160" s="8">
        <v>3881</v>
      </c>
      <c r="L160" s="8">
        <v>36600</v>
      </c>
      <c r="M160" s="8">
        <v>40480</v>
      </c>
    </row>
    <row r="161" spans="5:13" x14ac:dyDescent="0.3">
      <c r="E161" s="8" t="s">
        <v>1956</v>
      </c>
      <c r="H161" s="319">
        <f t="shared" si="1"/>
        <v>2.1948038388525628</v>
      </c>
      <c r="I161" s="8">
        <f>6.3*K161</f>
        <v>54501.299999999996</v>
      </c>
      <c r="J161" s="8">
        <v>153610</v>
      </c>
      <c r="K161" s="8">
        <v>8651</v>
      </c>
      <c r="L161" s="8">
        <v>86169</v>
      </c>
      <c r="M161" s="8">
        <v>76298</v>
      </c>
    </row>
  </sheetData>
  <autoFilter ref="A1:U147" xr:uid="{00000000-0009-0000-0000-000007000000}">
    <filterColumn colId="12">
      <filters blank="1"/>
    </filterColumn>
    <filterColumn colId="16">
      <filters blank="1"/>
    </filterColumn>
  </autoFilter>
  <phoneticPr fontId="16" type="noConversion"/>
  <dataValidations count="3">
    <dataValidation type="list" allowBlank="1" showInputMessage="1" showErrorMessage="1" sqref="K1:K63 K55:L55 K65:L146 K148:K153 K162:K1048576 L2:L63 L148:L157 L179:L1048576" xr:uid="{00000000-0002-0000-0700-000000000000}">
      <formula1>"是,否"</formula1>
    </dataValidation>
    <dataValidation type="list" allowBlank="1" showInputMessage="1" showErrorMessage="1" sqref="S1:S63 S65:S146 S148:S1048576" xr:uid="{00000000-0002-0000-0700-000001000000}">
      <formula1>"下跌,上涨,横盘"</formula1>
    </dataValidation>
    <dataValidation type="list" allowBlank="1" showInputMessage="1" showErrorMessage="1" sqref="Q1:Q63 Q65:Q146 Q148:Q1048576" xr:uid="{00000000-0002-0000-0700-000002000000}">
      <formula1>"成功,失败"</formula1>
    </dataValidation>
  </dataValidations>
  <pageMargins left="0.7" right="0.7" top="0.75" bottom="0.75" header="0.3" footer="0.3"/>
  <pageSetup paperSize="9" orientation="portrait"/>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2:M52"/>
  <sheetViews>
    <sheetView workbookViewId="0">
      <selection activeCell="B10" sqref="B10"/>
    </sheetView>
  </sheetViews>
  <sheetFormatPr defaultRowHeight="14" x14ac:dyDescent="0.3"/>
  <cols>
    <col min="1" max="1" width="17.33203125" style="7" bestFit="1" customWidth="1"/>
    <col min="3" max="3" width="15.83203125" style="6" customWidth="1"/>
    <col min="5" max="5" width="19" style="5" customWidth="1"/>
    <col min="6" max="6" width="14.75" style="350" bestFit="1" customWidth="1"/>
    <col min="7" max="7" width="17.33203125" style="7" bestFit="1" customWidth="1"/>
    <col min="10" max="10" width="17.33203125" style="7" bestFit="1" customWidth="1"/>
    <col min="13" max="13" width="17.33203125" style="7" bestFit="1" customWidth="1"/>
  </cols>
  <sheetData>
    <row r="2" spans="1:13" x14ac:dyDescent="0.3">
      <c r="A2" s="7">
        <v>45789.367974537039</v>
      </c>
      <c r="C2" s="6">
        <v>45761.787152777782</v>
      </c>
      <c r="E2" s="5">
        <v>45762.291967592602</v>
      </c>
    </row>
    <row r="3" spans="1:13" x14ac:dyDescent="0.3">
      <c r="A3" s="7">
        <v>45789.422349537039</v>
      </c>
      <c r="C3" s="6">
        <v>45761.790324074071</v>
      </c>
      <c r="D3" s="6">
        <f t="shared" ref="D3:D20" si="0">C3-C2</f>
        <v>3.1712962882011198E-3</v>
      </c>
      <c r="E3" s="5">
        <v>45762.299756944441</v>
      </c>
      <c r="F3" s="6">
        <f t="shared" ref="F3:F35" si="1">E3-E2</f>
        <v>7.7893518391647376E-3</v>
      </c>
      <c r="G3" s="7">
        <v>45763.408020833333</v>
      </c>
    </row>
    <row r="4" spans="1:13" x14ac:dyDescent="0.3">
      <c r="A4" s="7">
        <v>45789.436805555553</v>
      </c>
      <c r="C4" s="6">
        <v>45761.794178240743</v>
      </c>
      <c r="D4" s="6">
        <f t="shared" si="0"/>
        <v>3.8541666726814583E-3</v>
      </c>
      <c r="E4" s="5">
        <v>45762.30364583333</v>
      </c>
      <c r="F4" s="6">
        <f t="shared" si="1"/>
        <v>3.8888888884685002E-3</v>
      </c>
      <c r="G4" s="7">
        <v>45763.408101851863</v>
      </c>
      <c r="H4" s="6">
        <f t="shared" ref="H4:H11" si="2">G4-G3</f>
        <v>8.1018530181609094E-5</v>
      </c>
      <c r="M4" s="7">
        <v>45765.82403935185</v>
      </c>
    </row>
    <row r="5" spans="1:13" x14ac:dyDescent="0.3">
      <c r="A5" s="7">
        <v>45789.446400462963</v>
      </c>
      <c r="B5" s="6">
        <f>A5-A4</f>
        <v>9.5949074093368836E-3</v>
      </c>
      <c r="C5" s="6">
        <v>45761.798784722218</v>
      </c>
      <c r="D5" s="6">
        <f t="shared" si="0"/>
        <v>4.6064814741839655E-3</v>
      </c>
      <c r="E5" s="5">
        <v>45762.312314814822</v>
      </c>
      <c r="F5" s="6">
        <f t="shared" si="1"/>
        <v>8.6689814925193787E-3</v>
      </c>
      <c r="G5" s="7">
        <v>45763.41065972222</v>
      </c>
      <c r="H5" s="6">
        <f t="shared" si="2"/>
        <v>2.5578703571227379E-3</v>
      </c>
      <c r="M5" s="7">
        <v>45765.851782407408</v>
      </c>
    </row>
    <row r="6" spans="1:13" x14ac:dyDescent="0.3">
      <c r="A6" s="7">
        <v>45789.454918981479</v>
      </c>
      <c r="B6" s="6">
        <f>A6-A5</f>
        <v>8.5185185162117705E-3</v>
      </c>
      <c r="C6" s="6">
        <v>45761.803564814807</v>
      </c>
      <c r="D6" s="6">
        <f t="shared" si="0"/>
        <v>4.7800925894989632E-3</v>
      </c>
      <c r="E6" s="5">
        <v>45762.315983796303</v>
      </c>
      <c r="F6" s="6">
        <f t="shared" si="1"/>
        <v>3.6689814805868082E-3</v>
      </c>
      <c r="G6" s="7">
        <v>45763.414189814823</v>
      </c>
      <c r="H6" s="6">
        <f t="shared" si="2"/>
        <v>3.5300926028867252E-3</v>
      </c>
    </row>
    <row r="7" spans="1:13" x14ac:dyDescent="0.3">
      <c r="C7" s="6">
        <v>45761.80673611111</v>
      </c>
      <c r="D7" s="6">
        <f t="shared" si="0"/>
        <v>3.171296302753035E-3</v>
      </c>
      <c r="E7" s="5">
        <v>45762.334560185183</v>
      </c>
      <c r="F7" s="6">
        <f t="shared" si="1"/>
        <v>1.8576388880319428E-2</v>
      </c>
      <c r="G7" s="7">
        <v>45763.424247685187</v>
      </c>
      <c r="H7" s="6">
        <f t="shared" si="2"/>
        <v>1.0057870364107657E-2</v>
      </c>
    </row>
    <row r="8" spans="1:13" x14ac:dyDescent="0.3">
      <c r="C8" s="6">
        <v>45761.811111111107</v>
      </c>
      <c r="D8" s="6">
        <f t="shared" si="0"/>
        <v>4.3749999967985786E-3</v>
      </c>
      <c r="E8" s="5">
        <v>45762.356851851851</v>
      </c>
      <c r="F8" s="6">
        <f t="shared" si="1"/>
        <v>2.2291666668024845E-2</v>
      </c>
      <c r="G8" s="7">
        <v>45763.431909722232</v>
      </c>
      <c r="H8" s="6">
        <f t="shared" si="2"/>
        <v>7.6620370455202647E-3</v>
      </c>
    </row>
    <row r="9" spans="1:13" x14ac:dyDescent="0.3">
      <c r="C9" s="6">
        <v>45761.817615740743</v>
      </c>
      <c r="D9" s="6">
        <f t="shared" si="0"/>
        <v>6.5046296367654577E-3</v>
      </c>
      <c r="E9" s="5">
        <v>45762.381319444437</v>
      </c>
      <c r="F9" s="6">
        <f t="shared" si="1"/>
        <v>2.4467592586006504E-2</v>
      </c>
      <c r="G9" s="7">
        <v>45763.437650462962</v>
      </c>
      <c r="H9" s="6">
        <f t="shared" si="2"/>
        <v>5.7407407293794677E-3</v>
      </c>
    </row>
    <row r="10" spans="1:13" x14ac:dyDescent="0.3">
      <c r="A10" s="7">
        <v>45803.789074074077</v>
      </c>
      <c r="C10" s="6">
        <v>45761.825891203713</v>
      </c>
      <c r="D10" s="6">
        <f t="shared" si="0"/>
        <v>8.2754629693226889E-3</v>
      </c>
      <c r="E10" s="5">
        <v>45762.45071759259</v>
      </c>
      <c r="F10" s="6">
        <f t="shared" si="1"/>
        <v>6.939814815268619E-2</v>
      </c>
      <c r="G10" s="7">
        <v>45763.443969907406</v>
      </c>
      <c r="H10" s="6">
        <f t="shared" si="2"/>
        <v>6.3194444446708076E-3</v>
      </c>
    </row>
    <row r="11" spans="1:13" x14ac:dyDescent="0.3">
      <c r="A11" s="7">
        <v>45803.794768518521</v>
      </c>
      <c r="C11" s="6">
        <v>45761.836273148147</v>
      </c>
      <c r="D11" s="6">
        <f t="shared" si="0"/>
        <v>1.038194443390239E-2</v>
      </c>
      <c r="E11" s="5">
        <v>45762.525694444441</v>
      </c>
      <c r="F11" s="6">
        <f t="shared" si="1"/>
        <v>7.497685185080627E-2</v>
      </c>
      <c r="G11" s="7">
        <v>45763.45045138889</v>
      </c>
      <c r="H11" s="6">
        <f t="shared" si="2"/>
        <v>6.4814814832061529E-3</v>
      </c>
    </row>
    <row r="12" spans="1:13" x14ac:dyDescent="0.3">
      <c r="C12" s="6">
        <v>45761.844722222217</v>
      </c>
      <c r="D12" s="6">
        <f t="shared" si="0"/>
        <v>8.4490740700857714E-3</v>
      </c>
      <c r="E12" s="5">
        <v>45762.533946759257</v>
      </c>
      <c r="F12" s="6">
        <f t="shared" si="1"/>
        <v>8.2523148157633841E-3</v>
      </c>
      <c r="G12" s="7">
        <v>45763.585972222223</v>
      </c>
    </row>
    <row r="13" spans="1:13" x14ac:dyDescent="0.3">
      <c r="C13" s="6">
        <v>45761.85664351852</v>
      </c>
      <c r="D13" s="6">
        <f t="shared" si="0"/>
        <v>1.192129630362615E-2</v>
      </c>
      <c r="E13" s="5">
        <v>45762.537615740737</v>
      </c>
      <c r="F13" s="6">
        <f t="shared" si="1"/>
        <v>3.6689814805868082E-3</v>
      </c>
      <c r="G13" s="7">
        <v>45763.596435185187</v>
      </c>
      <c r="H13" s="6">
        <f t="shared" ref="H13:H32" si="3">G13-G12</f>
        <v>1.0462962964083999E-2</v>
      </c>
      <c r="J13" s="7">
        <v>45764.489849537043</v>
      </c>
    </row>
    <row r="14" spans="1:13" x14ac:dyDescent="0.3">
      <c r="C14" s="6">
        <v>45761.865879629629</v>
      </c>
      <c r="D14" s="6">
        <f t="shared" si="0"/>
        <v>9.2361111092031933E-3</v>
      </c>
      <c r="E14" s="5">
        <v>45762.543402777781</v>
      </c>
      <c r="F14" s="6">
        <f t="shared" si="1"/>
        <v>5.7870370437740348E-3</v>
      </c>
      <c r="G14" s="7">
        <v>45763.602916666663</v>
      </c>
      <c r="H14" s="6">
        <f t="shared" si="3"/>
        <v>6.4814814759301953E-3</v>
      </c>
      <c r="J14" s="7">
        <v>45764.49895833333</v>
      </c>
      <c r="K14" s="6">
        <f t="shared" ref="K14:K33" si="4">J14-J13</f>
        <v>9.1087962864548899E-3</v>
      </c>
    </row>
    <row r="15" spans="1:13" x14ac:dyDescent="0.3">
      <c r="C15" s="6">
        <v>45761.873229166667</v>
      </c>
      <c r="D15" s="6">
        <f t="shared" si="0"/>
        <v>7.3495370379532687E-3</v>
      </c>
      <c r="E15" s="5">
        <v>45762.548194444447</v>
      </c>
      <c r="F15" s="6">
        <f t="shared" si="1"/>
        <v>4.7916666662786156E-3</v>
      </c>
      <c r="G15" s="7">
        <v>45763.615937499999</v>
      </c>
      <c r="H15" s="6">
        <f t="shared" si="3"/>
        <v>1.3020833335758653E-2</v>
      </c>
      <c r="J15" s="7">
        <v>45764.504247685189</v>
      </c>
      <c r="K15" s="6">
        <f t="shared" si="4"/>
        <v>5.289351858664304E-3</v>
      </c>
    </row>
    <row r="16" spans="1:13" x14ac:dyDescent="0.3">
      <c r="C16" s="6">
        <v>45761.889236111107</v>
      </c>
      <c r="D16" s="6">
        <f t="shared" si="0"/>
        <v>1.600694443914108E-2</v>
      </c>
      <c r="E16" s="5">
        <v>45762.553067129629</v>
      </c>
      <c r="F16" s="6">
        <f t="shared" si="1"/>
        <v>4.8726851819083095E-3</v>
      </c>
      <c r="G16" s="7">
        <v>45763.634085648147</v>
      </c>
      <c r="H16" s="6">
        <f t="shared" si="3"/>
        <v>1.8148148148611654E-2</v>
      </c>
      <c r="J16" s="7">
        <v>45764.509837962964</v>
      </c>
      <c r="K16" s="6">
        <f t="shared" si="4"/>
        <v>5.5902777748997323E-3</v>
      </c>
    </row>
    <row r="17" spans="3:11" x14ac:dyDescent="0.3">
      <c r="C17" s="6">
        <v>45761.909837962958</v>
      </c>
      <c r="D17" s="6">
        <f t="shared" si="0"/>
        <v>2.0601851851097308E-2</v>
      </c>
      <c r="E17" s="5">
        <v>45762.558969907397</v>
      </c>
      <c r="F17" s="6">
        <f t="shared" si="1"/>
        <v>5.902777767914813E-3</v>
      </c>
      <c r="G17" s="7">
        <v>45763.640381944453</v>
      </c>
      <c r="H17" s="6">
        <f t="shared" si="3"/>
        <v>6.296296305663418E-3</v>
      </c>
      <c r="J17" s="7">
        <v>45764.523402777777</v>
      </c>
      <c r="K17" s="6">
        <f t="shared" si="4"/>
        <v>1.3564814813435078E-2</v>
      </c>
    </row>
    <row r="18" spans="3:11" x14ac:dyDescent="0.3">
      <c r="C18" s="6">
        <v>45761.929618055547</v>
      </c>
      <c r="D18" s="6">
        <f t="shared" si="0"/>
        <v>1.9780092588916887E-2</v>
      </c>
      <c r="E18" s="5">
        <v>45762.566736111112</v>
      </c>
      <c r="F18" s="6">
        <f t="shared" si="1"/>
        <v>7.7662037147092633E-3</v>
      </c>
      <c r="G18" s="7">
        <v>45763.646620370368</v>
      </c>
      <c r="H18" s="6">
        <f t="shared" si="3"/>
        <v>6.2384259144891985E-3</v>
      </c>
      <c r="J18" s="7">
        <v>45764.528645833343</v>
      </c>
      <c r="K18" s="6">
        <f t="shared" si="4"/>
        <v>5.2430555660976097E-3</v>
      </c>
    </row>
    <row r="19" spans="3:11" x14ac:dyDescent="0.3">
      <c r="C19" s="6">
        <v>45761.939872685187</v>
      </c>
      <c r="D19" s="6">
        <f t="shared" si="0"/>
        <v>1.0254629640257917E-2</v>
      </c>
      <c r="E19" s="5">
        <v>45762.572060185194</v>
      </c>
      <c r="F19" s="6">
        <f t="shared" si="1"/>
        <v>5.3240740817273036E-3</v>
      </c>
      <c r="G19" s="7">
        <v>45763.662974537037</v>
      </c>
      <c r="H19" s="6">
        <f t="shared" si="3"/>
        <v>1.6354166669771075E-2</v>
      </c>
      <c r="J19" s="7">
        <v>45764.535555555558</v>
      </c>
      <c r="K19" s="6">
        <f t="shared" si="4"/>
        <v>6.909722214913927E-3</v>
      </c>
    </row>
    <row r="20" spans="3:11" x14ac:dyDescent="0.3">
      <c r="C20" s="6">
        <v>45761.979756944442</v>
      </c>
      <c r="D20" s="6">
        <f t="shared" si="0"/>
        <v>3.9884259254904464E-2</v>
      </c>
      <c r="E20" s="5">
        <v>45762.585277777784</v>
      </c>
      <c r="F20" s="6">
        <f t="shared" si="1"/>
        <v>1.321759259008104E-2</v>
      </c>
      <c r="G20" s="7">
        <v>45763.669502314813</v>
      </c>
      <c r="H20" s="6">
        <f t="shared" si="3"/>
        <v>6.5277777757728472E-3</v>
      </c>
      <c r="J20" s="7">
        <v>45764.554085648153</v>
      </c>
      <c r="K20" s="6">
        <f t="shared" si="4"/>
        <v>1.8530092595028691E-2</v>
      </c>
    </row>
    <row r="21" spans="3:11" x14ac:dyDescent="0.3">
      <c r="E21" s="5">
        <v>45762.599097222221</v>
      </c>
      <c r="F21" s="6">
        <f t="shared" si="1"/>
        <v>1.3819444437103812E-2</v>
      </c>
      <c r="G21" s="7">
        <v>45763.678043981483</v>
      </c>
      <c r="H21" s="6">
        <f t="shared" si="3"/>
        <v>8.5416666697710752E-3</v>
      </c>
      <c r="J21" s="7">
        <v>45764.575011574067</v>
      </c>
      <c r="K21" s="6">
        <f t="shared" si="4"/>
        <v>2.0925925913616084E-2</v>
      </c>
    </row>
    <row r="22" spans="3:11" x14ac:dyDescent="0.3">
      <c r="E22" s="5">
        <v>45762.606909722221</v>
      </c>
      <c r="F22" s="6">
        <f t="shared" si="1"/>
        <v>7.8125E-3</v>
      </c>
      <c r="G22" s="7">
        <v>45763.69122685185</v>
      </c>
      <c r="H22" s="6">
        <f t="shared" si="3"/>
        <v>1.318287036701804E-2</v>
      </c>
      <c r="J22" s="7">
        <v>45764.583194444444</v>
      </c>
      <c r="K22" s="6">
        <f t="shared" si="4"/>
        <v>8.1828703769133426E-3</v>
      </c>
    </row>
    <row r="23" spans="3:11" x14ac:dyDescent="0.3">
      <c r="E23" s="5">
        <v>45762.612824074073</v>
      </c>
      <c r="F23" s="6">
        <f t="shared" si="1"/>
        <v>5.914351851970423E-3</v>
      </c>
      <c r="G23" s="7">
        <v>45763.697025462963</v>
      </c>
      <c r="H23" s="6">
        <f t="shared" si="3"/>
        <v>5.7986111132777296E-3</v>
      </c>
      <c r="J23" s="7">
        <v>45764.609016203707</v>
      </c>
      <c r="K23" s="6">
        <f t="shared" si="4"/>
        <v>2.5821759263635613E-2</v>
      </c>
    </row>
    <row r="24" spans="3:11" x14ac:dyDescent="0.3">
      <c r="E24" s="5">
        <v>45762.624456018522</v>
      </c>
      <c r="F24" s="6">
        <f t="shared" si="1"/>
        <v>1.1631944449618459E-2</v>
      </c>
      <c r="G24" s="7">
        <v>45763.708935185183</v>
      </c>
      <c r="H24" s="6">
        <f t="shared" si="3"/>
        <v>1.190972221957054E-2</v>
      </c>
      <c r="J24" s="7">
        <v>45764.62158564815</v>
      </c>
      <c r="K24" s="6">
        <f t="shared" si="4"/>
        <v>1.2569444443215616E-2</v>
      </c>
    </row>
    <row r="25" spans="3:11" x14ac:dyDescent="0.3">
      <c r="E25" s="5">
        <v>45762.641979166663</v>
      </c>
      <c r="F25" s="6">
        <f t="shared" si="1"/>
        <v>1.7523148140753619E-2</v>
      </c>
      <c r="G25" s="7">
        <v>45763.715196759258</v>
      </c>
      <c r="H25" s="6">
        <f t="shared" si="3"/>
        <v>6.2615740753244609E-3</v>
      </c>
      <c r="J25" s="7">
        <v>45764.632592592592</v>
      </c>
      <c r="K25" s="6">
        <f t="shared" si="4"/>
        <v>1.1006944441760425E-2</v>
      </c>
    </row>
    <row r="26" spans="3:11" x14ac:dyDescent="0.3">
      <c r="E26" s="5">
        <v>45762.649282407408</v>
      </c>
      <c r="F26" s="6">
        <f t="shared" si="1"/>
        <v>7.3032407453865744E-3</v>
      </c>
      <c r="G26" s="7">
        <v>45763.721701388888</v>
      </c>
      <c r="H26" s="6">
        <f t="shared" si="3"/>
        <v>6.5046296294895001E-3</v>
      </c>
      <c r="J26" s="7">
        <v>45764.655115740738</v>
      </c>
      <c r="K26" s="6">
        <f t="shared" si="4"/>
        <v>2.2523148145410232E-2</v>
      </c>
    </row>
    <row r="27" spans="3:11" x14ac:dyDescent="0.3">
      <c r="E27" s="5">
        <v>45762.665659722217</v>
      </c>
      <c r="F27" s="6">
        <f t="shared" si="1"/>
        <v>1.6377314808778465E-2</v>
      </c>
      <c r="G27" s="7">
        <v>45763.732430555552</v>
      </c>
      <c r="H27" s="6">
        <f t="shared" si="3"/>
        <v>1.0729166664532386E-2</v>
      </c>
      <c r="J27" s="7">
        <v>45764.665706018517</v>
      </c>
      <c r="K27" s="6">
        <f t="shared" si="4"/>
        <v>1.0590277779556345E-2</v>
      </c>
    </row>
    <row r="28" spans="3:11" x14ac:dyDescent="0.3">
      <c r="E28" s="5">
        <v>45762.689930555563</v>
      </c>
      <c r="F28" s="6">
        <f t="shared" si="1"/>
        <v>2.4270833346236032E-2</v>
      </c>
      <c r="G28" s="7">
        <v>45763.739606481482</v>
      </c>
      <c r="H28" s="6">
        <f t="shared" si="3"/>
        <v>7.1759259299142286E-3</v>
      </c>
      <c r="J28" s="7">
        <v>45764.705011574071</v>
      </c>
      <c r="K28" s="6">
        <f t="shared" si="4"/>
        <v>3.9305555554165039E-2</v>
      </c>
    </row>
    <row r="29" spans="3:11" x14ac:dyDescent="0.3">
      <c r="E29" s="5">
        <v>45762.698009259257</v>
      </c>
      <c r="F29" s="6">
        <f t="shared" si="1"/>
        <v>8.0787036931724288E-3</v>
      </c>
      <c r="G29" s="7">
        <v>45763.747337962966</v>
      </c>
      <c r="H29" s="6">
        <f t="shared" si="3"/>
        <v>7.7314814843703061E-3</v>
      </c>
      <c r="J29" s="7">
        <v>45764.720451388886</v>
      </c>
      <c r="K29" s="6">
        <f t="shared" si="4"/>
        <v>1.5439814815181307E-2</v>
      </c>
    </row>
    <row r="30" spans="3:11" x14ac:dyDescent="0.3">
      <c r="E30" s="5">
        <v>45762.711643518523</v>
      </c>
      <c r="F30" s="6">
        <f t="shared" si="1"/>
        <v>1.3634259266837034E-2</v>
      </c>
      <c r="G30" s="7">
        <v>45763.770775462966</v>
      </c>
      <c r="H30" s="6">
        <f t="shared" si="3"/>
        <v>2.34375E-2</v>
      </c>
      <c r="J30" s="7">
        <v>45764.738819444443</v>
      </c>
      <c r="K30" s="6">
        <f t="shared" si="4"/>
        <v>1.8368055556493346E-2</v>
      </c>
    </row>
    <row r="31" spans="3:11" x14ac:dyDescent="0.3">
      <c r="E31" s="5">
        <v>45762.731921296298</v>
      </c>
      <c r="F31" s="6">
        <f t="shared" si="1"/>
        <v>2.0277777774026617E-2</v>
      </c>
      <c r="G31" s="7">
        <v>45763.773634259262</v>
      </c>
      <c r="H31" s="6">
        <f t="shared" si="3"/>
        <v>2.8587962951860391E-3</v>
      </c>
      <c r="J31" s="7">
        <v>45764.740879629629</v>
      </c>
      <c r="K31" s="6">
        <f t="shared" si="4"/>
        <v>2.0601851865649223E-3</v>
      </c>
    </row>
    <row r="32" spans="3:11" x14ac:dyDescent="0.3">
      <c r="E32" s="5">
        <v>45762.734502314823</v>
      </c>
      <c r="F32" s="6">
        <f t="shared" si="1"/>
        <v>2.5810185252339579E-3</v>
      </c>
      <c r="G32" s="7">
        <v>45763.778310185182</v>
      </c>
      <c r="H32" s="6">
        <f t="shared" si="3"/>
        <v>4.6759259203099646E-3</v>
      </c>
      <c r="J32" s="7">
        <v>45764.742708333331</v>
      </c>
      <c r="K32" s="6">
        <f t="shared" si="4"/>
        <v>1.8287037019035779E-3</v>
      </c>
    </row>
    <row r="33" spans="5:11" x14ac:dyDescent="0.3">
      <c r="E33" s="5">
        <v>45762.750740740739</v>
      </c>
      <c r="F33" s="6">
        <f t="shared" si="1"/>
        <v>1.6238425916526467E-2</v>
      </c>
      <c r="G33" s="7">
        <v>45763.818761574083</v>
      </c>
      <c r="J33" s="7">
        <v>45764.745937500003</v>
      </c>
      <c r="K33" s="6">
        <f t="shared" si="4"/>
        <v>3.2291666720993817E-3</v>
      </c>
    </row>
    <row r="34" spans="5:11" x14ac:dyDescent="0.3">
      <c r="E34" s="5">
        <v>45762.758761574078</v>
      </c>
      <c r="F34" s="6">
        <f t="shared" si="1"/>
        <v>8.0208333383779973E-3</v>
      </c>
      <c r="G34" s="7">
        <v>45763.829618055563</v>
      </c>
      <c r="H34" s="6">
        <f t="shared" ref="H34:H40" si="5">G34-G33</f>
        <v>1.0856481480004732E-2</v>
      </c>
    </row>
    <row r="35" spans="5:11" x14ac:dyDescent="0.3">
      <c r="E35" s="5">
        <v>45762.770972222221</v>
      </c>
      <c r="F35" s="6">
        <f t="shared" si="1"/>
        <v>1.2210648143081926E-2</v>
      </c>
      <c r="G35" s="7">
        <v>45763.84270833333</v>
      </c>
      <c r="H35" s="6">
        <f t="shared" si="5"/>
        <v>1.3090277767332736E-2</v>
      </c>
    </row>
    <row r="36" spans="5:11" x14ac:dyDescent="0.3">
      <c r="E36" s="5">
        <v>45762.821539351848</v>
      </c>
      <c r="G36" s="7">
        <v>45763.864328703698</v>
      </c>
      <c r="H36" s="6">
        <f t="shared" si="5"/>
        <v>2.1620370367600117E-2</v>
      </c>
    </row>
    <row r="37" spans="5:11" x14ac:dyDescent="0.3">
      <c r="E37" s="5">
        <v>45762.838680555556</v>
      </c>
      <c r="F37" s="6">
        <f t="shared" ref="F37:F52" si="6">E37-E36</f>
        <v>1.7141203708888497E-2</v>
      </c>
      <c r="G37" s="7">
        <v>45763.87945601852</v>
      </c>
      <c r="H37" s="6">
        <f t="shared" si="5"/>
        <v>1.5127314822166227E-2</v>
      </c>
    </row>
    <row r="38" spans="5:11" x14ac:dyDescent="0.3">
      <c r="E38" s="5">
        <v>45762.845300925917</v>
      </c>
      <c r="F38" s="6">
        <f t="shared" si="6"/>
        <v>6.6203703609062359E-3</v>
      </c>
      <c r="G38" s="7">
        <v>45763.893576388888</v>
      </c>
      <c r="H38" s="6">
        <f t="shared" si="5"/>
        <v>1.4120370367891155E-2</v>
      </c>
    </row>
    <row r="39" spans="5:11" x14ac:dyDescent="0.3">
      <c r="E39" s="5">
        <v>45762.850983796299</v>
      </c>
      <c r="F39" s="6">
        <f t="shared" si="6"/>
        <v>5.6828703818609938E-3</v>
      </c>
      <c r="G39" s="7">
        <v>45763.914502314823</v>
      </c>
      <c r="H39" s="6">
        <f t="shared" si="5"/>
        <v>2.0925925935443956E-2</v>
      </c>
    </row>
    <row r="40" spans="5:11" x14ac:dyDescent="0.3">
      <c r="E40" s="5">
        <v>45762.871493055558</v>
      </c>
      <c r="F40" s="6">
        <f t="shared" si="6"/>
        <v>2.0509259258687962E-2</v>
      </c>
      <c r="G40" s="7">
        <v>45763.957986111112</v>
      </c>
      <c r="H40" s="6">
        <f t="shared" si="5"/>
        <v>4.3483796289365273E-2</v>
      </c>
    </row>
    <row r="41" spans="5:11" x14ac:dyDescent="0.3">
      <c r="E41" s="5">
        <v>45762.875208333331</v>
      </c>
      <c r="F41" s="6">
        <f t="shared" si="6"/>
        <v>3.7152777731535025E-3</v>
      </c>
    </row>
    <row r="42" spans="5:11" x14ac:dyDescent="0.3">
      <c r="E42" s="5">
        <v>45762.879918981482</v>
      </c>
      <c r="F42" s="6">
        <f t="shared" si="6"/>
        <v>4.7106481506489217E-3</v>
      </c>
    </row>
    <row r="43" spans="5:11" x14ac:dyDescent="0.3">
      <c r="E43" s="5">
        <v>45762.887592592589</v>
      </c>
      <c r="F43" s="6">
        <f t="shared" si="6"/>
        <v>7.6736111077480018E-3</v>
      </c>
    </row>
    <row r="44" spans="5:11" x14ac:dyDescent="0.3">
      <c r="E44" s="5">
        <v>45762.896354166667</v>
      </c>
      <c r="F44" s="6">
        <f t="shared" si="6"/>
        <v>8.7615740776527673E-3</v>
      </c>
    </row>
    <row r="45" spans="5:11" x14ac:dyDescent="0.3">
      <c r="E45" s="5">
        <v>45762.915972222218</v>
      </c>
      <c r="F45" s="6">
        <f t="shared" si="6"/>
        <v>1.9618055550381541E-2</v>
      </c>
    </row>
    <row r="46" spans="5:11" x14ac:dyDescent="0.3">
      <c r="E46" s="5">
        <v>45762.925810185188</v>
      </c>
      <c r="F46" s="6">
        <f t="shared" si="6"/>
        <v>9.8379629707778804E-3</v>
      </c>
    </row>
    <row r="47" spans="5:11" x14ac:dyDescent="0.3">
      <c r="E47" s="5">
        <v>45762.931284722217</v>
      </c>
      <c r="F47" s="6">
        <f t="shared" si="6"/>
        <v>5.4745370289310813E-3</v>
      </c>
    </row>
    <row r="48" spans="5:11" x14ac:dyDescent="0.3">
      <c r="E48" s="5">
        <v>45762.940405092602</v>
      </c>
      <c r="F48" s="6">
        <f t="shared" si="6"/>
        <v>9.1203703850624152E-3</v>
      </c>
    </row>
    <row r="49" spans="5:6" x14ac:dyDescent="0.3">
      <c r="E49" s="5">
        <v>45762.946481481478</v>
      </c>
      <c r="F49" s="6">
        <f t="shared" si="6"/>
        <v>6.0763888759538531E-3</v>
      </c>
    </row>
    <row r="50" spans="5:6" x14ac:dyDescent="0.3">
      <c r="E50" s="5">
        <v>45762.954016203701</v>
      </c>
      <c r="F50" s="6">
        <f t="shared" si="6"/>
        <v>7.5347222227719612E-3</v>
      </c>
    </row>
    <row r="51" spans="5:6" x14ac:dyDescent="0.3">
      <c r="E51" s="5">
        <v>45762.963750000003</v>
      </c>
      <c r="F51" s="6">
        <f t="shared" si="6"/>
        <v>9.7337963015888818E-3</v>
      </c>
    </row>
    <row r="52" spans="5:6" x14ac:dyDescent="0.3">
      <c r="E52" s="5">
        <v>45762.978263888886</v>
      </c>
      <c r="F52" s="6">
        <f t="shared" si="6"/>
        <v>1.4513888883811887E-2</v>
      </c>
    </row>
  </sheetData>
  <phoneticPr fontId="1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7"/>
  <dimension ref="A1:AG120"/>
  <sheetViews>
    <sheetView topLeftCell="B1" zoomScaleNormal="100" workbookViewId="0">
      <pane xSplit="4" ySplit="1" topLeftCell="F7" activePane="bottomRight" state="frozen"/>
      <selection activeCell="B1" sqref="B1"/>
      <selection pane="topRight" activeCell="F1" sqref="F1"/>
      <selection pane="bottomLeft" activeCell="B2" sqref="B2"/>
      <selection pane="bottomRight" activeCell="J44" sqref="J44"/>
    </sheetView>
  </sheetViews>
  <sheetFormatPr defaultRowHeight="14" x14ac:dyDescent="0.3"/>
  <cols>
    <col min="1" max="1" width="10.58203125" style="350" bestFit="1" customWidth="1"/>
    <col min="2" max="2" width="14.33203125" style="350" customWidth="1"/>
    <col min="6" max="6" width="8.33203125" style="350" bestFit="1" customWidth="1"/>
    <col min="7" max="7" width="11.08203125" style="310" customWidth="1"/>
    <col min="8" max="8" width="9.08203125" style="311" customWidth="1"/>
    <col min="9" max="9" width="10.33203125" style="311" bestFit="1" customWidth="1"/>
    <col min="10" max="10" width="8.5" style="311" customWidth="1"/>
    <col min="11" max="11" width="9.08203125" style="311" customWidth="1"/>
    <col min="12" max="12" width="10.33203125" style="311" customWidth="1"/>
    <col min="13" max="13" width="8.83203125" style="311" customWidth="1"/>
    <col min="15" max="15" width="9.08203125" style="350" bestFit="1" customWidth="1"/>
    <col min="31" max="32" width="9.5" style="350" bestFit="1" customWidth="1"/>
  </cols>
  <sheetData>
    <row r="1" spans="2:33" ht="28" customHeight="1" x14ac:dyDescent="0.3">
      <c r="B1">
        <v>1380000</v>
      </c>
      <c r="C1" t="s">
        <v>1957</v>
      </c>
      <c r="D1" t="s">
        <v>306</v>
      </c>
      <c r="F1" t="s">
        <v>1958</v>
      </c>
      <c r="G1" s="313" t="s">
        <v>1959</v>
      </c>
      <c r="H1" s="314" t="s">
        <v>1960</v>
      </c>
      <c r="I1" s="314" t="s">
        <v>1961</v>
      </c>
      <c r="J1" s="314" t="s">
        <v>1962</v>
      </c>
      <c r="K1" s="314" t="s">
        <v>1963</v>
      </c>
      <c r="L1" s="314" t="s">
        <v>1964</v>
      </c>
      <c r="M1" s="314" t="s">
        <v>1965</v>
      </c>
      <c r="N1" s="314" t="s">
        <v>1966</v>
      </c>
      <c r="O1" s="314" t="s">
        <v>1967</v>
      </c>
      <c r="P1" s="314" t="s">
        <v>1968</v>
      </c>
      <c r="Q1" s="314" t="s">
        <v>1969</v>
      </c>
      <c r="R1" s="314" t="s">
        <v>1970</v>
      </c>
      <c r="S1" s="314" t="s">
        <v>1971</v>
      </c>
      <c r="T1" s="314" t="s">
        <v>1972</v>
      </c>
      <c r="U1" s="314" t="s">
        <v>1973</v>
      </c>
      <c r="V1" s="314" t="s">
        <v>1974</v>
      </c>
      <c r="W1" s="314" t="s">
        <v>1975</v>
      </c>
      <c r="X1" s="314" t="s">
        <v>1976</v>
      </c>
      <c r="Y1" s="314" t="s">
        <v>1977</v>
      </c>
      <c r="Z1" s="314" t="s">
        <v>1973</v>
      </c>
      <c r="AC1" s="314" t="s">
        <v>1978</v>
      </c>
      <c r="AD1" s="314" t="s">
        <v>1979</v>
      </c>
      <c r="AE1" s="314" t="s">
        <v>1980</v>
      </c>
      <c r="AF1" s="314" t="s">
        <v>1981</v>
      </c>
      <c r="AG1" s="314" t="s">
        <v>1973</v>
      </c>
    </row>
    <row r="2" spans="2:33" x14ac:dyDescent="0.3">
      <c r="B2" t="s">
        <v>1982</v>
      </c>
      <c r="C2">
        <f>B1-SUM(C3:C35)</f>
        <v>57400</v>
      </c>
      <c r="D2" s="279">
        <f t="shared" ref="D2:D15" si="0">C2/$B$1</f>
        <v>4.1594202898550724E-2</v>
      </c>
      <c r="G2" s="340" t="s">
        <v>1983</v>
      </c>
      <c r="H2" s="341"/>
      <c r="I2" s="341"/>
      <c r="J2" s="341"/>
      <c r="K2" s="341"/>
      <c r="L2" s="341"/>
      <c r="M2" s="341"/>
      <c r="N2" s="341"/>
      <c r="O2" s="341">
        <v>88219</v>
      </c>
      <c r="P2" s="341">
        <v>44874</v>
      </c>
      <c r="Q2" s="341">
        <f>9600+66808</f>
        <v>76408</v>
      </c>
      <c r="R2" s="341">
        <v>15830</v>
      </c>
      <c r="S2" s="339">
        <f>SUM(O2:R2)</f>
        <v>225331</v>
      </c>
    </row>
    <row r="3" spans="2:33" x14ac:dyDescent="0.3">
      <c r="B3" s="342" t="s">
        <v>1984</v>
      </c>
      <c r="C3">
        <v>120000</v>
      </c>
      <c r="D3" s="279">
        <f t="shared" si="0"/>
        <v>8.6956521739130432E-2</v>
      </c>
      <c r="F3" s="312">
        <v>3.2000000000000001E-2</v>
      </c>
      <c r="G3" s="310" t="s">
        <v>1985</v>
      </c>
      <c r="H3" s="312">
        <f>22094/300000</f>
        <v>7.3646666666666666E-2</v>
      </c>
      <c r="I3" s="312">
        <f>12386/340000</f>
        <v>3.6429411764705884E-2</v>
      </c>
      <c r="J3" s="312">
        <f>H3/1500000*300000</f>
        <v>1.4729333333333334E-2</v>
      </c>
      <c r="K3" s="312">
        <f>I3/1500000*340000</f>
        <v>8.2573333333333335E-3</v>
      </c>
      <c r="L3" s="312">
        <f>678/1500000</f>
        <v>4.5199999999999998E-4</v>
      </c>
      <c r="M3" s="311">
        <v>0</v>
      </c>
      <c r="N3" s="9">
        <f>SUM(J3:M3)</f>
        <v>2.343866666666667E-2</v>
      </c>
    </row>
    <row r="4" spans="2:33" x14ac:dyDescent="0.3">
      <c r="B4" s="342" t="s">
        <v>1986</v>
      </c>
      <c r="C4">
        <v>380000</v>
      </c>
      <c r="D4" s="279">
        <f t="shared" si="0"/>
        <v>0.27536231884057971</v>
      </c>
      <c r="F4" s="312">
        <v>0</v>
      </c>
      <c r="G4" s="310" t="s">
        <v>1987</v>
      </c>
      <c r="H4" s="312">
        <v>4.0500000000000001E-2</v>
      </c>
      <c r="I4" s="312">
        <v>-1.4200000000000001E-2</v>
      </c>
      <c r="J4" s="312">
        <f>H4/1500000*380000</f>
        <v>1.026E-2</v>
      </c>
      <c r="K4" s="312">
        <f>I4/1500000*380000</f>
        <v>-3.5973333333333335E-3</v>
      </c>
      <c r="L4" s="312">
        <f>10900/1500000</f>
        <v>7.2666666666666669E-3</v>
      </c>
      <c r="M4" s="312">
        <f>10500/1500000</f>
        <v>7.0000000000000001E-3</v>
      </c>
      <c r="N4" s="9">
        <f>SUM(J4:M4)</f>
        <v>2.0929333333333335E-2</v>
      </c>
      <c r="O4">
        <v>14552</v>
      </c>
      <c r="P4">
        <v>-5900</v>
      </c>
      <c r="Q4">
        <v>10900</v>
      </c>
      <c r="R4">
        <v>10500</v>
      </c>
      <c r="S4">
        <f>SUM(O4:R4)</f>
        <v>30052</v>
      </c>
    </row>
    <row r="5" spans="2:33" x14ac:dyDescent="0.3">
      <c r="B5" t="s">
        <v>1988</v>
      </c>
      <c r="C5">
        <v>30000</v>
      </c>
      <c r="D5" s="279">
        <f t="shared" si="0"/>
        <v>2.1739130434782608E-2</v>
      </c>
      <c r="F5" s="312">
        <v>-2.46E-2</v>
      </c>
      <c r="G5" s="310" t="s">
        <v>1989</v>
      </c>
      <c r="H5" s="312">
        <v>3.5299999999999998E-2</v>
      </c>
      <c r="I5" s="312">
        <v>2.3E-3</v>
      </c>
      <c r="J5" s="312">
        <f>H5/1500000*1000000</f>
        <v>2.3533333333333333E-2</v>
      </c>
      <c r="K5" s="312">
        <f>I5/1500000*400000</f>
        <v>6.1333333333333324E-4</v>
      </c>
      <c r="L5" s="312">
        <v>0</v>
      </c>
      <c r="M5" s="312">
        <v>6.0000000000000001E-3</v>
      </c>
      <c r="N5" s="9">
        <f>SUM(J5:M5)</f>
        <v>3.0146666666666669E-2</v>
      </c>
      <c r="S5">
        <v>45000</v>
      </c>
    </row>
    <row r="6" spans="2:33" x14ac:dyDescent="0.3">
      <c r="B6" t="s">
        <v>1990</v>
      </c>
      <c r="C6">
        <v>42000</v>
      </c>
      <c r="D6" s="279">
        <f t="shared" si="0"/>
        <v>3.0434782608695653E-2</v>
      </c>
      <c r="F6" s="312">
        <v>2.2800000000000001E-2</v>
      </c>
      <c r="G6" s="310" t="s">
        <v>1991</v>
      </c>
      <c r="H6" s="312">
        <v>-5.9200000000000003E-2</v>
      </c>
      <c r="I6" s="312">
        <v>2.5499999999999998E-2</v>
      </c>
      <c r="J6" s="312">
        <f>O6/1500000</f>
        <v>-1.4250666666666667E-2</v>
      </c>
      <c r="K6" s="312">
        <f>P6/1500000</f>
        <v>2.1706666666666667E-3</v>
      </c>
      <c r="L6" s="312">
        <v>0</v>
      </c>
      <c r="M6" s="312">
        <f>R6/1500000</f>
        <v>-8.0000000000000002E-3</v>
      </c>
      <c r="N6" s="9">
        <f>SUM(J6:M6)</f>
        <v>-2.0080000000000001E-2</v>
      </c>
      <c r="O6">
        <v>-21376</v>
      </c>
      <c r="P6">
        <v>3256</v>
      </c>
      <c r="Q6">
        <v>0</v>
      </c>
      <c r="R6">
        <f>9000-21000</f>
        <v>-12000</v>
      </c>
      <c r="S6">
        <f>SUM(O6:R6)</f>
        <v>-30120</v>
      </c>
    </row>
    <row r="7" spans="2:33" x14ac:dyDescent="0.3">
      <c r="B7" t="s">
        <v>1992</v>
      </c>
      <c r="C7">
        <v>42000</v>
      </c>
      <c r="D7" s="279">
        <f t="shared" si="0"/>
        <v>3.0434782608695653E-2</v>
      </c>
      <c r="F7" s="351">
        <f>SUM(F8:F19)</f>
        <v>-5.0600000000000006E-2</v>
      </c>
      <c r="G7" s="336" t="s">
        <v>1993</v>
      </c>
      <c r="H7" s="337"/>
      <c r="I7" s="338"/>
      <c r="J7" s="338"/>
      <c r="K7" s="338"/>
      <c r="L7" s="338"/>
      <c r="M7" s="337"/>
      <c r="N7" s="9">
        <f>S7/B1</f>
        <v>1.8207246376811596E-2</v>
      </c>
      <c r="O7" s="339">
        <f>SUM(O8:O18)</f>
        <v>-9582</v>
      </c>
      <c r="P7" s="339">
        <f>SUM(P8:P18)</f>
        <v>42098</v>
      </c>
      <c r="Q7" s="339">
        <f>SUM(Q8:Q18)</f>
        <v>0</v>
      </c>
      <c r="R7" s="339">
        <f>SUM(R8:R18)</f>
        <v>-7390</v>
      </c>
      <c r="S7" s="339">
        <f>SUM(S8:S18)</f>
        <v>25126</v>
      </c>
      <c r="AB7" s="336" t="s">
        <v>1993</v>
      </c>
    </row>
    <row r="8" spans="2:33" x14ac:dyDescent="0.3">
      <c r="B8" t="s">
        <v>1994</v>
      </c>
      <c r="C8">
        <v>115000</v>
      </c>
      <c r="D8" s="279">
        <f t="shared" si="0"/>
        <v>8.3333333333333329E-2</v>
      </c>
      <c r="F8" s="312">
        <v>1.6500000000000001E-2</v>
      </c>
      <c r="G8" s="310" t="s">
        <v>1995</v>
      </c>
      <c r="H8" s="312">
        <v>0</v>
      </c>
      <c r="I8" s="312">
        <v>8.3099999999999993E-2</v>
      </c>
      <c r="J8" s="312">
        <f>O8/1500000</f>
        <v>0</v>
      </c>
      <c r="K8" s="312">
        <f>P8/1380000</f>
        <v>4.4610869565217391E-2</v>
      </c>
      <c r="L8" s="312">
        <v>0</v>
      </c>
      <c r="M8" s="312">
        <f>R8/1380000</f>
        <v>1.6790579710144929E-2</v>
      </c>
      <c r="N8" s="9">
        <f t="shared" ref="N8:N16" si="1">SUM(J8:M8)</f>
        <v>6.140144927536232E-2</v>
      </c>
      <c r="O8">
        <v>0</v>
      </c>
      <c r="P8">
        <v>61563</v>
      </c>
      <c r="Q8">
        <v>0</v>
      </c>
      <c r="R8">
        <v>23171</v>
      </c>
      <c r="S8">
        <f t="shared" ref="S8:S16" si="2">SUM(O8:R8)</f>
        <v>84734</v>
      </c>
      <c r="V8">
        <v>3441320</v>
      </c>
      <c r="W8">
        <v>3802205</v>
      </c>
      <c r="X8">
        <f t="shared" ref="X8:X16" si="3">W8-V8</f>
        <v>360885</v>
      </c>
      <c r="Y8">
        <v>322691</v>
      </c>
      <c r="Z8">
        <f t="shared" ref="Z8:Z16" si="4">X8-Y8</f>
        <v>38194</v>
      </c>
      <c r="AB8" s="310" t="s">
        <v>1995</v>
      </c>
      <c r="AG8">
        <f t="shared" ref="AG8:AG16" si="5">AE8-AF8</f>
        <v>0</v>
      </c>
    </row>
    <row r="9" spans="2:33" x14ac:dyDescent="0.3">
      <c r="B9" t="s">
        <v>1996</v>
      </c>
      <c r="C9">
        <v>46000</v>
      </c>
      <c r="D9" s="279">
        <f t="shared" si="0"/>
        <v>3.3333333333333333E-2</v>
      </c>
      <c r="F9" s="312">
        <v>8.9999999999999998E-4</v>
      </c>
      <c r="G9" s="310" t="s">
        <v>1997</v>
      </c>
      <c r="H9" s="312">
        <v>0</v>
      </c>
      <c r="I9" s="312">
        <v>2.6100000000000002E-2</v>
      </c>
      <c r="J9" s="312">
        <f>O9/1500000</f>
        <v>0</v>
      </c>
      <c r="K9" s="312">
        <f>P9/1380000</f>
        <v>2.5655072463768115E-2</v>
      </c>
      <c r="L9" s="312">
        <v>0</v>
      </c>
      <c r="M9" s="312">
        <f>R9/1380000</f>
        <v>2.4687681159420289E-2</v>
      </c>
      <c r="N9" s="9">
        <f t="shared" si="1"/>
        <v>5.0342753623188408E-2</v>
      </c>
      <c r="O9">
        <v>0</v>
      </c>
      <c r="P9">
        <v>35404</v>
      </c>
      <c r="Q9">
        <v>0</v>
      </c>
      <c r="R9">
        <v>34069</v>
      </c>
      <c r="S9">
        <f t="shared" si="2"/>
        <v>69473</v>
      </c>
      <c r="V9">
        <v>3802205</v>
      </c>
      <c r="W9">
        <v>3947873</v>
      </c>
      <c r="X9">
        <f t="shared" si="3"/>
        <v>145668</v>
      </c>
      <c r="Y9">
        <v>78330</v>
      </c>
      <c r="Z9">
        <f t="shared" si="4"/>
        <v>67338</v>
      </c>
      <c r="AB9" s="310" t="s">
        <v>1997</v>
      </c>
      <c r="AG9">
        <f t="shared" si="5"/>
        <v>0</v>
      </c>
    </row>
    <row r="10" spans="2:33" ht="27.65" customHeight="1" x14ac:dyDescent="0.3">
      <c r="B10" t="s">
        <v>1998</v>
      </c>
      <c r="C10">
        <v>95000</v>
      </c>
      <c r="D10" s="279">
        <f t="shared" si="0"/>
        <v>6.8840579710144928E-2</v>
      </c>
      <c r="E10">
        <v>0</v>
      </c>
      <c r="F10" s="312">
        <v>-5.5300000000000002E-2</v>
      </c>
      <c r="G10" s="310" t="s">
        <v>1999</v>
      </c>
      <c r="H10" s="312">
        <v>0</v>
      </c>
      <c r="I10" s="312">
        <v>-6.6600000000000006E-2</v>
      </c>
      <c r="J10" s="312">
        <f>O10/1500000</f>
        <v>0</v>
      </c>
      <c r="K10" s="312">
        <f>P10/1380000</f>
        <v>-4.3478260869565216E-2</v>
      </c>
      <c r="L10" s="312">
        <v>0</v>
      </c>
      <c r="M10" s="312">
        <f>R10/1380000</f>
        <v>-8.1561594202898546E-2</v>
      </c>
      <c r="N10" s="9">
        <f t="shared" si="1"/>
        <v>-0.12503985507246376</v>
      </c>
      <c r="O10">
        <v>0</v>
      </c>
      <c r="P10">
        <v>-60000</v>
      </c>
      <c r="Q10">
        <v>0</v>
      </c>
      <c r="R10">
        <f>-172555-P10</f>
        <v>-112555</v>
      </c>
      <c r="S10">
        <f t="shared" si="2"/>
        <v>-172555</v>
      </c>
      <c r="V10">
        <v>3947873</v>
      </c>
      <c r="W10">
        <v>3647202</v>
      </c>
      <c r="X10">
        <f t="shared" si="3"/>
        <v>-300671</v>
      </c>
      <c r="Y10">
        <v>-354205</v>
      </c>
      <c r="Z10">
        <f t="shared" si="4"/>
        <v>53534</v>
      </c>
      <c r="AB10" s="310" t="s">
        <v>1999</v>
      </c>
      <c r="AE10">
        <v>-978328</v>
      </c>
      <c r="AF10">
        <v>-1037315</v>
      </c>
      <c r="AG10">
        <f t="shared" si="5"/>
        <v>58987</v>
      </c>
    </row>
    <row r="11" spans="2:33" x14ac:dyDescent="0.3">
      <c r="B11" t="s">
        <v>2000</v>
      </c>
      <c r="C11">
        <v>90000</v>
      </c>
      <c r="D11" s="279">
        <f t="shared" si="0"/>
        <v>6.5217391304347824E-2</v>
      </c>
      <c r="F11" s="312">
        <v>8.0299999999999996E-2</v>
      </c>
      <c r="G11" s="310" t="s">
        <v>2001</v>
      </c>
      <c r="H11" s="312">
        <v>0</v>
      </c>
      <c r="I11" s="312">
        <v>2.3E-3</v>
      </c>
      <c r="J11" s="312">
        <f>O11/1500000</f>
        <v>0</v>
      </c>
      <c r="K11" s="312">
        <f>P11/1380000</f>
        <v>1.6666666666666668E-3</v>
      </c>
      <c r="L11" s="312">
        <v>0</v>
      </c>
      <c r="M11" s="312">
        <f>R11/1380000</f>
        <v>3.4782608695652174E-2</v>
      </c>
      <c r="N11" s="9">
        <f t="shared" si="1"/>
        <v>3.6449275362318838E-2</v>
      </c>
      <c r="O11">
        <v>0</v>
      </c>
      <c r="P11">
        <v>2300</v>
      </c>
      <c r="Q11">
        <v>0</v>
      </c>
      <c r="R11">
        <v>48000</v>
      </c>
      <c r="S11">
        <f t="shared" si="2"/>
        <v>50300</v>
      </c>
      <c r="V11">
        <v>3647202</v>
      </c>
      <c r="W11">
        <v>3833830</v>
      </c>
      <c r="X11">
        <f t="shared" si="3"/>
        <v>186628</v>
      </c>
      <c r="Y11">
        <v>216658</v>
      </c>
      <c r="Z11">
        <f t="shared" si="4"/>
        <v>-30030</v>
      </c>
      <c r="AB11" s="310" t="s">
        <v>2001</v>
      </c>
      <c r="AE11">
        <v>453961</v>
      </c>
      <c r="AF11">
        <v>333429</v>
      </c>
      <c r="AG11">
        <f t="shared" si="5"/>
        <v>120532</v>
      </c>
    </row>
    <row r="12" spans="2:33" x14ac:dyDescent="0.3">
      <c r="B12" t="s">
        <v>2002</v>
      </c>
      <c r="C12">
        <v>95000</v>
      </c>
      <c r="D12" s="279">
        <f t="shared" si="0"/>
        <v>6.8840579710144928E-2</v>
      </c>
      <c r="F12" s="312">
        <v>1.7600000000000001E-2</v>
      </c>
      <c r="G12" s="310" t="s">
        <v>2003</v>
      </c>
      <c r="H12" s="312">
        <v>-5.3900000000000003E-2</v>
      </c>
      <c r="I12" s="312">
        <v>-3.3399999999999999E-2</v>
      </c>
      <c r="J12" s="312">
        <f>O12/1380000</f>
        <v>-7.8586956521739127E-3</v>
      </c>
      <c r="K12" s="312">
        <f>P12/1380000</f>
        <v>-9.3471014492753617E-3</v>
      </c>
      <c r="L12" s="312">
        <v>0</v>
      </c>
      <c r="M12" s="312">
        <f>R12/1380000</f>
        <v>-4.8264492753623191E-2</v>
      </c>
      <c r="N12" s="9">
        <f t="shared" si="1"/>
        <v>-6.5470289855072472E-2</v>
      </c>
      <c r="O12">
        <v>-10845</v>
      </c>
      <c r="P12">
        <v>-12899</v>
      </c>
      <c r="Q12">
        <v>0</v>
      </c>
      <c r="R12">
        <v>-66605</v>
      </c>
      <c r="S12">
        <f t="shared" si="2"/>
        <v>-90349</v>
      </c>
      <c r="T12">
        <v>-82072</v>
      </c>
      <c r="U12">
        <f>S12-T12</f>
        <v>-8277</v>
      </c>
      <c r="V12">
        <f t="shared" ref="V12:V17" si="6">W11</f>
        <v>3833830</v>
      </c>
      <c r="W12">
        <v>3575152</v>
      </c>
      <c r="X12">
        <f t="shared" si="3"/>
        <v>-258678</v>
      </c>
      <c r="Y12">
        <f>-301136+12852</f>
        <v>-288284</v>
      </c>
      <c r="Z12">
        <f t="shared" si="4"/>
        <v>29606</v>
      </c>
      <c r="AB12" s="310" t="s">
        <v>2003</v>
      </c>
      <c r="AE12">
        <v>-1372639</v>
      </c>
      <c r="AF12">
        <v>-1041718</v>
      </c>
      <c r="AG12">
        <f t="shared" si="5"/>
        <v>-330921</v>
      </c>
    </row>
    <row r="13" spans="2:33" x14ac:dyDescent="0.3">
      <c r="B13" t="s">
        <v>2004</v>
      </c>
      <c r="C13">
        <v>26000</v>
      </c>
      <c r="D13" s="279">
        <f t="shared" si="0"/>
        <v>1.8840579710144929E-2</v>
      </c>
      <c r="F13" s="312">
        <v>1.78E-2</v>
      </c>
      <c r="G13" s="310" t="s">
        <v>2005</v>
      </c>
      <c r="H13" s="312">
        <v>-0.13569999999999999</v>
      </c>
      <c r="I13" s="312">
        <v>4.7199999999999999E-2</v>
      </c>
      <c r="J13" s="312">
        <f>O13/1300000</f>
        <v>-2.8886923076923077E-2</v>
      </c>
      <c r="K13" s="312">
        <f>P13/1300000</f>
        <v>3.9369230769230766E-3</v>
      </c>
      <c r="L13" s="312">
        <v>0</v>
      </c>
      <c r="M13" s="312">
        <f>R13/1300000</f>
        <v>-7.9981538461538465E-2</v>
      </c>
      <c r="N13" s="9">
        <f t="shared" si="1"/>
        <v>-0.10493153846153846</v>
      </c>
      <c r="O13">
        <v>-37553</v>
      </c>
      <c r="P13">
        <v>5118</v>
      </c>
      <c r="Q13">
        <v>0</v>
      </c>
      <c r="R13">
        <v>-103976</v>
      </c>
      <c r="S13">
        <f t="shared" si="2"/>
        <v>-136411</v>
      </c>
      <c r="T13">
        <v>-103425</v>
      </c>
      <c r="U13">
        <f>S13-T13</f>
        <v>-32986</v>
      </c>
      <c r="V13">
        <f t="shared" si="6"/>
        <v>3575152</v>
      </c>
      <c r="W13">
        <v>3315677</v>
      </c>
      <c r="X13">
        <f t="shared" si="3"/>
        <v>-259475</v>
      </c>
      <c r="Y13">
        <v>-253164</v>
      </c>
      <c r="Z13">
        <f t="shared" si="4"/>
        <v>-6311</v>
      </c>
      <c r="AB13" s="310" t="s">
        <v>2005</v>
      </c>
      <c r="AE13">
        <v>-1599658</v>
      </c>
      <c r="AF13">
        <v>-1369778</v>
      </c>
      <c r="AG13">
        <f t="shared" si="5"/>
        <v>-229880</v>
      </c>
    </row>
    <row r="14" spans="2:33" x14ac:dyDescent="0.3">
      <c r="B14" t="s">
        <v>2006</v>
      </c>
      <c r="C14">
        <v>23000</v>
      </c>
      <c r="D14" s="279">
        <f t="shared" si="0"/>
        <v>1.6666666666666666E-2</v>
      </c>
      <c r="E14">
        <v>0</v>
      </c>
      <c r="F14" s="312">
        <v>-7.8600000000000003E-2</v>
      </c>
      <c r="G14" s="310" t="s">
        <v>2007</v>
      </c>
      <c r="H14" s="312">
        <v>0</v>
      </c>
      <c r="I14" s="312">
        <v>0.18329999999999999</v>
      </c>
      <c r="J14" s="312">
        <f>O14/1130000</f>
        <v>0</v>
      </c>
      <c r="K14" s="312">
        <f>P14/1130000</f>
        <v>7.4469026548672568E-3</v>
      </c>
      <c r="L14" s="312">
        <v>0</v>
      </c>
      <c r="M14" s="312">
        <f>R14/1130000</f>
        <v>5.8959292035398229E-2</v>
      </c>
      <c r="N14" s="9">
        <f t="shared" si="1"/>
        <v>6.6406194690265485E-2</v>
      </c>
      <c r="O14">
        <v>0</v>
      </c>
      <c r="P14">
        <v>8415</v>
      </c>
      <c r="Q14">
        <v>0</v>
      </c>
      <c r="R14">
        <v>66624</v>
      </c>
      <c r="S14">
        <f t="shared" si="2"/>
        <v>75039</v>
      </c>
      <c r="T14">
        <v>50109</v>
      </c>
      <c r="U14">
        <f>S14-T14</f>
        <v>24930</v>
      </c>
      <c r="V14">
        <f t="shared" si="6"/>
        <v>3315677</v>
      </c>
      <c r="W14">
        <v>3444591</v>
      </c>
      <c r="X14">
        <f t="shared" si="3"/>
        <v>128914</v>
      </c>
      <c r="Y14">
        <f>119044+10000</f>
        <v>129044</v>
      </c>
      <c r="Z14">
        <f t="shared" si="4"/>
        <v>-130</v>
      </c>
      <c r="AB14" s="310" t="s">
        <v>2007</v>
      </c>
      <c r="AE14">
        <v>901848</v>
      </c>
      <c r="AF14">
        <f>797126+120000</f>
        <v>917126</v>
      </c>
      <c r="AG14">
        <f t="shared" si="5"/>
        <v>-15278</v>
      </c>
    </row>
    <row r="15" spans="2:33" x14ac:dyDescent="0.3">
      <c r="B15" t="s">
        <v>2008</v>
      </c>
      <c r="C15">
        <v>0</v>
      </c>
      <c r="D15" s="279">
        <f t="shared" si="0"/>
        <v>0</v>
      </c>
      <c r="F15" s="312">
        <v>8.0000000000000002E-3</v>
      </c>
      <c r="G15" s="310" t="s">
        <v>2009</v>
      </c>
      <c r="H15" s="312">
        <v>0.15429999999999999</v>
      </c>
      <c r="I15" s="312">
        <v>9.7000000000000003E-3</v>
      </c>
      <c r="J15" s="312">
        <f>O15/1280000</f>
        <v>3.0920312500000002E-2</v>
      </c>
      <c r="K15" s="312">
        <f>P15/1280000</f>
        <v>2.090625E-3</v>
      </c>
      <c r="L15" s="312">
        <f>Q15/1180000</f>
        <v>0</v>
      </c>
      <c r="M15" s="312">
        <f>R15/1180000</f>
        <v>7.2173728813559324E-2</v>
      </c>
      <c r="N15" s="9">
        <f t="shared" si="1"/>
        <v>0.10518466631355933</v>
      </c>
      <c r="O15">
        <v>39578</v>
      </c>
      <c r="P15">
        <v>2676</v>
      </c>
      <c r="Q15">
        <v>0</v>
      </c>
      <c r="R15">
        <v>85165</v>
      </c>
      <c r="S15">
        <f t="shared" si="2"/>
        <v>127419</v>
      </c>
      <c r="T15">
        <v>121910</v>
      </c>
      <c r="U15">
        <f>S15-T15</f>
        <v>5509</v>
      </c>
      <c r="V15">
        <f t="shared" si="6"/>
        <v>3444591</v>
      </c>
      <c r="W15">
        <v>3689149</v>
      </c>
      <c r="X15">
        <f t="shared" si="3"/>
        <v>244558</v>
      </c>
      <c r="Y15">
        <v>235691</v>
      </c>
      <c r="Z15">
        <f t="shared" si="4"/>
        <v>8867</v>
      </c>
      <c r="AB15" s="310">
        <v>202608</v>
      </c>
      <c r="AE15">
        <v>1202381</v>
      </c>
      <c r="AF15">
        <v>1047511</v>
      </c>
      <c r="AG15">
        <f t="shared" si="5"/>
        <v>154870</v>
      </c>
    </row>
    <row r="16" spans="2:33" x14ac:dyDescent="0.3">
      <c r="B16" s="342" t="s">
        <v>2010</v>
      </c>
      <c r="F16" s="312">
        <v>-5.7799999999999997E-2</v>
      </c>
      <c r="G16" s="310" t="s">
        <v>2011</v>
      </c>
      <c r="H16" s="311">
        <v>-0.86</v>
      </c>
      <c r="I16" s="311">
        <v>-1.25</v>
      </c>
      <c r="J16" s="312">
        <f>O16/1180000</f>
        <v>-6.4576271186440675E-4</v>
      </c>
      <c r="K16" s="312">
        <f>P16/1180000</f>
        <v>-4.0593220338983049E-4</v>
      </c>
      <c r="L16" s="312">
        <f>Q16/1280000</f>
        <v>0</v>
      </c>
      <c r="M16" s="312">
        <f>R16/1280000</f>
        <v>1.4622656249999999E-2</v>
      </c>
      <c r="N16" s="9">
        <f t="shared" si="1"/>
        <v>1.3570961334745762E-2</v>
      </c>
      <c r="O16">
        <v>-762</v>
      </c>
      <c r="P16">
        <v>-479</v>
      </c>
      <c r="Q16">
        <v>0</v>
      </c>
      <c r="R16">
        <v>18717</v>
      </c>
      <c r="S16">
        <f t="shared" si="2"/>
        <v>17476</v>
      </c>
      <c r="T16">
        <v>-18849</v>
      </c>
      <c r="U16">
        <f>-4000-T16</f>
        <v>14849</v>
      </c>
      <c r="V16">
        <f t="shared" si="6"/>
        <v>3689149</v>
      </c>
      <c r="W16">
        <v>3747000</v>
      </c>
      <c r="X16">
        <f t="shared" si="3"/>
        <v>57851</v>
      </c>
      <c r="Y16">
        <v>77637</v>
      </c>
      <c r="Z16">
        <f t="shared" si="4"/>
        <v>-19786</v>
      </c>
      <c r="AB16" s="310">
        <v>202609</v>
      </c>
      <c r="AF16">
        <v>112762</v>
      </c>
      <c r="AG16">
        <f t="shared" si="5"/>
        <v>-112762</v>
      </c>
    </row>
    <row r="17" spans="2:22" x14ac:dyDescent="0.3">
      <c r="B17" t="s">
        <v>2012</v>
      </c>
      <c r="C17">
        <v>33000</v>
      </c>
      <c r="D17" s="279">
        <f>C17/$B$1</f>
        <v>2.391304347826087E-2</v>
      </c>
      <c r="G17" s="310" t="s">
        <v>2013</v>
      </c>
      <c r="V17">
        <f t="shared" si="6"/>
        <v>3747000</v>
      </c>
    </row>
    <row r="18" spans="2:22" x14ac:dyDescent="0.3">
      <c r="B18" t="s">
        <v>2014</v>
      </c>
      <c r="C18">
        <v>38000</v>
      </c>
      <c r="D18" s="279">
        <f>C18/$B$1</f>
        <v>2.753623188405797E-2</v>
      </c>
      <c r="G18" s="300"/>
      <c r="H18"/>
      <c r="I18"/>
      <c r="J18"/>
      <c r="K18"/>
      <c r="L18"/>
      <c r="M18"/>
    </row>
    <row r="19" spans="2:22" x14ac:dyDescent="0.3">
      <c r="B19" t="s">
        <v>2015</v>
      </c>
      <c r="C19">
        <v>21500</v>
      </c>
      <c r="D19" s="279">
        <f>C19/$B$1</f>
        <v>1.5579710144927537E-2</v>
      </c>
      <c r="G19" s="311"/>
    </row>
    <row r="20" spans="2:22" x14ac:dyDescent="0.3">
      <c r="B20" t="s">
        <v>2016</v>
      </c>
      <c r="C20">
        <v>10000</v>
      </c>
      <c r="D20" s="279">
        <f>C20/$B$1</f>
        <v>7.246376811594203E-3</v>
      </c>
      <c r="G20" s="311"/>
    </row>
    <row r="21" spans="2:22" x14ac:dyDescent="0.3">
      <c r="B21" t="s">
        <v>2017</v>
      </c>
      <c r="C21">
        <v>10000</v>
      </c>
      <c r="D21" s="279">
        <f>C21/$B$1</f>
        <v>7.246376811594203E-3</v>
      </c>
      <c r="G21" s="311"/>
    </row>
    <row r="22" spans="2:22" x14ac:dyDescent="0.3">
      <c r="B22" s="342" t="s">
        <v>2018</v>
      </c>
      <c r="G22" s="311"/>
    </row>
    <row r="23" spans="2:22" x14ac:dyDescent="0.3">
      <c r="B23" t="s">
        <v>879</v>
      </c>
      <c r="C23">
        <v>0</v>
      </c>
      <c r="D23" s="279">
        <f>C23/$B$1</f>
        <v>0</v>
      </c>
    </row>
    <row r="24" spans="2:22" x14ac:dyDescent="0.3">
      <c r="B24" t="s">
        <v>2019</v>
      </c>
      <c r="C24">
        <v>40000</v>
      </c>
      <c r="D24" s="279">
        <f>C24/$B$1</f>
        <v>2.8985507246376812E-2</v>
      </c>
      <c r="E24">
        <v>0</v>
      </c>
    </row>
    <row r="25" spans="2:22" x14ac:dyDescent="0.3">
      <c r="B25" t="s">
        <v>2020</v>
      </c>
      <c r="C25">
        <v>30000</v>
      </c>
      <c r="D25" s="279">
        <f>C25/$B$1</f>
        <v>2.1739130434782608E-2</v>
      </c>
      <c r="G25" s="300"/>
      <c r="H25"/>
      <c r="I25"/>
      <c r="J25"/>
      <c r="K25"/>
      <c r="L25"/>
      <c r="M25"/>
    </row>
    <row r="26" spans="2:22" x14ac:dyDescent="0.3">
      <c r="B26" t="s">
        <v>2021</v>
      </c>
      <c r="C26">
        <v>0</v>
      </c>
      <c r="D26" s="279">
        <f>C26/$B$1</f>
        <v>0</v>
      </c>
      <c r="G26" s="300"/>
      <c r="H26"/>
      <c r="I26"/>
      <c r="J26"/>
      <c r="K26"/>
      <c r="L26"/>
      <c r="M26"/>
    </row>
    <row r="27" spans="2:22" x14ac:dyDescent="0.3">
      <c r="B27" t="s">
        <v>2022</v>
      </c>
      <c r="C27">
        <v>23000</v>
      </c>
      <c r="D27" s="279">
        <f>C27/$B$1</f>
        <v>1.6666666666666666E-2</v>
      </c>
      <c r="G27" s="300"/>
      <c r="H27"/>
      <c r="I27"/>
      <c r="J27"/>
      <c r="K27"/>
      <c r="L27"/>
      <c r="M27"/>
    </row>
    <row r="28" spans="2:22" x14ac:dyDescent="0.3">
      <c r="B28" s="342" t="s">
        <v>2023</v>
      </c>
      <c r="G28" s="300"/>
      <c r="H28"/>
      <c r="I28"/>
      <c r="J28"/>
      <c r="K28"/>
      <c r="L28"/>
      <c r="M28"/>
    </row>
    <row r="29" spans="2:22" x14ac:dyDescent="0.3">
      <c r="B29" t="s">
        <v>2024</v>
      </c>
      <c r="C29">
        <v>6500</v>
      </c>
      <c r="D29" s="279">
        <f>C29/$B$1</f>
        <v>4.7101449275362322E-3</v>
      </c>
      <c r="G29" s="300"/>
      <c r="H29"/>
      <c r="I29"/>
      <c r="J29"/>
      <c r="K29"/>
      <c r="L29"/>
      <c r="M29"/>
    </row>
    <row r="30" spans="2:22" x14ac:dyDescent="0.3">
      <c r="B30" t="s">
        <v>2025</v>
      </c>
      <c r="D30" s="279">
        <f>C30/$B$1</f>
        <v>0</v>
      </c>
      <c r="G30" s="300"/>
      <c r="H30"/>
      <c r="I30"/>
      <c r="J30"/>
      <c r="K30"/>
      <c r="L30"/>
      <c r="M30"/>
    </row>
    <row r="31" spans="2:22" x14ac:dyDescent="0.3">
      <c r="B31" s="342" t="s">
        <v>2026</v>
      </c>
    </row>
    <row r="32" spans="2:22" x14ac:dyDescent="0.3">
      <c r="B32" t="s">
        <v>2027</v>
      </c>
      <c r="C32">
        <v>6600</v>
      </c>
      <c r="D32" s="279">
        <f>C32/$B$1</f>
        <v>4.7826086956521737E-3</v>
      </c>
      <c r="E32">
        <v>0</v>
      </c>
      <c r="G32" s="300"/>
      <c r="H32"/>
      <c r="I32"/>
      <c r="J32"/>
      <c r="K32"/>
      <c r="L32"/>
      <c r="M32"/>
    </row>
    <row r="33" spans="7:13" x14ac:dyDescent="0.3">
      <c r="H33"/>
      <c r="I33"/>
      <c r="J33"/>
      <c r="K33"/>
      <c r="L33"/>
      <c r="M33"/>
    </row>
    <row r="34" spans="7:13" x14ac:dyDescent="0.3">
      <c r="G34" s="300"/>
      <c r="H34"/>
      <c r="I34"/>
      <c r="J34"/>
      <c r="K34"/>
      <c r="L34"/>
      <c r="M34"/>
    </row>
    <row r="35" spans="7:13" x14ac:dyDescent="0.3">
      <c r="H35"/>
      <c r="I35"/>
      <c r="J35"/>
      <c r="K35"/>
      <c r="L35"/>
      <c r="M35"/>
    </row>
    <row r="36" spans="7:13" x14ac:dyDescent="0.3">
      <c r="G36" s="300"/>
      <c r="H36"/>
      <c r="I36"/>
      <c r="J36"/>
      <c r="K36"/>
      <c r="L36"/>
      <c r="M36"/>
    </row>
    <row r="37" spans="7:13" x14ac:dyDescent="0.3">
      <c r="G37" s="300"/>
      <c r="H37"/>
      <c r="I37"/>
      <c r="J37"/>
      <c r="K37"/>
      <c r="L37"/>
      <c r="M37"/>
    </row>
    <row r="38" spans="7:13" x14ac:dyDescent="0.3">
      <c r="G38" s="300"/>
      <c r="H38"/>
      <c r="I38"/>
      <c r="J38"/>
      <c r="K38"/>
      <c r="L38"/>
      <c r="M38"/>
    </row>
    <row r="39" spans="7:13" x14ac:dyDescent="0.3">
      <c r="G39" s="300"/>
      <c r="H39"/>
      <c r="I39"/>
      <c r="J39"/>
      <c r="K39"/>
      <c r="L39"/>
      <c r="M39"/>
    </row>
    <row r="40" spans="7:13" x14ac:dyDescent="0.3">
      <c r="G40" s="300"/>
      <c r="H40"/>
      <c r="I40"/>
      <c r="J40"/>
      <c r="K40"/>
      <c r="L40"/>
      <c r="M40"/>
    </row>
    <row r="41" spans="7:13" x14ac:dyDescent="0.3">
      <c r="G41" s="300"/>
      <c r="H41"/>
      <c r="I41"/>
      <c r="J41"/>
      <c r="K41"/>
      <c r="L41"/>
      <c r="M41"/>
    </row>
    <row r="43" spans="7:13" x14ac:dyDescent="0.3">
      <c r="G43" s="300"/>
      <c r="H43"/>
      <c r="I43"/>
      <c r="J43"/>
      <c r="K43"/>
      <c r="L43"/>
      <c r="M43"/>
    </row>
    <row r="44" spans="7:13" x14ac:dyDescent="0.3">
      <c r="G44" s="300"/>
      <c r="H44"/>
      <c r="I44"/>
      <c r="J44"/>
      <c r="K44"/>
      <c r="L44"/>
      <c r="M44"/>
    </row>
    <row r="45" spans="7:13" x14ac:dyDescent="0.3">
      <c r="G45" s="300"/>
      <c r="H45"/>
      <c r="I45"/>
      <c r="J45"/>
      <c r="K45"/>
      <c r="L45"/>
      <c r="M45"/>
    </row>
    <row r="46" spans="7:13" x14ac:dyDescent="0.3">
      <c r="G46" s="300"/>
      <c r="H46"/>
      <c r="I46"/>
      <c r="J46"/>
      <c r="K46"/>
      <c r="L46"/>
      <c r="M46"/>
    </row>
    <row r="47" spans="7:13" x14ac:dyDescent="0.3">
      <c r="G47" s="300"/>
      <c r="H47"/>
      <c r="I47"/>
      <c r="J47"/>
      <c r="K47"/>
      <c r="L47"/>
      <c r="M47"/>
    </row>
    <row r="48" spans="7:13" x14ac:dyDescent="0.3">
      <c r="G48" s="300"/>
      <c r="H48"/>
      <c r="I48"/>
      <c r="J48"/>
      <c r="K48"/>
      <c r="L48"/>
      <c r="M48"/>
    </row>
    <row r="49" spans="7:13" x14ac:dyDescent="0.3">
      <c r="G49" s="300"/>
      <c r="H49"/>
      <c r="I49"/>
      <c r="J49"/>
      <c r="K49"/>
      <c r="L49"/>
      <c r="M49"/>
    </row>
    <row r="50" spans="7:13" x14ac:dyDescent="0.3">
      <c r="G50" s="300"/>
      <c r="H50"/>
      <c r="I50"/>
      <c r="J50"/>
      <c r="K50"/>
      <c r="L50"/>
      <c r="M50"/>
    </row>
    <row r="51" spans="7:13" x14ac:dyDescent="0.3">
      <c r="G51" s="300"/>
      <c r="H51"/>
      <c r="I51"/>
      <c r="J51"/>
      <c r="K51"/>
      <c r="L51"/>
      <c r="M51"/>
    </row>
    <row r="52" spans="7:13" x14ac:dyDescent="0.3">
      <c r="G52" s="300"/>
      <c r="H52"/>
      <c r="I52"/>
      <c r="J52"/>
      <c r="K52"/>
      <c r="L52"/>
      <c r="M52"/>
    </row>
    <row r="53" spans="7:13" x14ac:dyDescent="0.3">
      <c r="G53" s="300"/>
      <c r="H53"/>
      <c r="I53"/>
      <c r="J53"/>
      <c r="K53"/>
      <c r="L53"/>
      <c r="M53"/>
    </row>
    <row r="55" spans="7:13" x14ac:dyDescent="0.3">
      <c r="G55" s="300"/>
      <c r="H55"/>
      <c r="I55"/>
      <c r="J55"/>
      <c r="K55"/>
      <c r="L55"/>
      <c r="M55"/>
    </row>
    <row r="56" spans="7:13" x14ac:dyDescent="0.3">
      <c r="G56" s="300"/>
      <c r="H56"/>
      <c r="I56"/>
      <c r="J56"/>
      <c r="K56"/>
      <c r="L56"/>
      <c r="M56"/>
    </row>
    <row r="57" spans="7:13" x14ac:dyDescent="0.3">
      <c r="G57" s="300"/>
      <c r="H57"/>
      <c r="I57"/>
      <c r="J57"/>
      <c r="K57"/>
      <c r="L57"/>
      <c r="M57"/>
    </row>
    <row r="58" spans="7:13" x14ac:dyDescent="0.3">
      <c r="G58" s="300"/>
      <c r="H58"/>
      <c r="I58"/>
      <c r="J58"/>
      <c r="K58"/>
      <c r="L58"/>
      <c r="M58"/>
    </row>
    <row r="59" spans="7:13" x14ac:dyDescent="0.3">
      <c r="G59" s="300"/>
      <c r="H59"/>
      <c r="I59"/>
      <c r="J59"/>
      <c r="K59"/>
      <c r="L59"/>
      <c r="M59"/>
    </row>
    <row r="60" spans="7:13" x14ac:dyDescent="0.3">
      <c r="G60" s="300"/>
      <c r="H60"/>
      <c r="I60"/>
      <c r="J60"/>
      <c r="K60"/>
      <c r="L60"/>
      <c r="M60"/>
    </row>
    <row r="61" spans="7:13" x14ac:dyDescent="0.3">
      <c r="G61" s="300"/>
      <c r="H61"/>
      <c r="I61"/>
      <c r="J61"/>
      <c r="K61"/>
      <c r="L61"/>
      <c r="M61"/>
    </row>
    <row r="63" spans="7:13" x14ac:dyDescent="0.3">
      <c r="G63" s="300"/>
      <c r="H63"/>
      <c r="I63"/>
      <c r="J63"/>
      <c r="K63"/>
      <c r="L63"/>
      <c r="M63"/>
    </row>
    <row r="64" spans="7:13" x14ac:dyDescent="0.3">
      <c r="G64" s="300"/>
      <c r="H64"/>
      <c r="I64"/>
      <c r="J64"/>
      <c r="K64"/>
      <c r="L64"/>
      <c r="M64"/>
    </row>
    <row r="65" spans="7:13" x14ac:dyDescent="0.3">
      <c r="G65" s="300"/>
      <c r="H65"/>
      <c r="I65"/>
      <c r="J65"/>
      <c r="K65"/>
      <c r="L65"/>
      <c r="M65"/>
    </row>
    <row r="66" spans="7:13" x14ac:dyDescent="0.3">
      <c r="G66" s="300"/>
      <c r="H66"/>
      <c r="I66"/>
      <c r="J66"/>
      <c r="K66"/>
      <c r="L66"/>
      <c r="M66"/>
    </row>
    <row r="67" spans="7:13" x14ac:dyDescent="0.3">
      <c r="G67" s="300"/>
      <c r="H67"/>
      <c r="I67"/>
      <c r="J67"/>
      <c r="K67"/>
      <c r="L67"/>
      <c r="M67"/>
    </row>
    <row r="68" spans="7:13" x14ac:dyDescent="0.3">
      <c r="G68" s="300"/>
      <c r="H68"/>
      <c r="I68"/>
      <c r="J68"/>
      <c r="K68"/>
      <c r="L68"/>
      <c r="M68"/>
    </row>
    <row r="69" spans="7:13" x14ac:dyDescent="0.3">
      <c r="G69" s="300"/>
      <c r="H69"/>
      <c r="I69"/>
      <c r="J69"/>
      <c r="K69"/>
      <c r="L69"/>
      <c r="M69"/>
    </row>
    <row r="71" spans="7:13" x14ac:dyDescent="0.3">
      <c r="G71" s="300"/>
      <c r="H71"/>
      <c r="I71"/>
      <c r="J71"/>
      <c r="K71"/>
      <c r="L71"/>
      <c r="M71"/>
    </row>
    <row r="73" spans="7:13" x14ac:dyDescent="0.3">
      <c r="G73" s="300"/>
      <c r="H73"/>
      <c r="I73"/>
      <c r="J73"/>
      <c r="K73"/>
      <c r="L73"/>
      <c r="M73"/>
    </row>
    <row r="74" spans="7:13" x14ac:dyDescent="0.3">
      <c r="G74" s="300"/>
      <c r="H74"/>
      <c r="I74"/>
      <c r="J74"/>
      <c r="K74"/>
      <c r="L74"/>
      <c r="M74"/>
    </row>
    <row r="75" spans="7:13" x14ac:dyDescent="0.3">
      <c r="G75" s="300"/>
      <c r="H75"/>
      <c r="I75"/>
      <c r="J75"/>
      <c r="K75"/>
      <c r="L75"/>
      <c r="M75"/>
    </row>
    <row r="76" spans="7:13" x14ac:dyDescent="0.3">
      <c r="G76" s="300"/>
      <c r="H76"/>
      <c r="I76"/>
      <c r="J76"/>
      <c r="K76"/>
      <c r="L76"/>
      <c r="M76"/>
    </row>
    <row r="77" spans="7:13" x14ac:dyDescent="0.3">
      <c r="G77" s="300"/>
      <c r="H77"/>
      <c r="I77"/>
      <c r="J77"/>
      <c r="K77"/>
      <c r="L77"/>
      <c r="M77"/>
    </row>
    <row r="78" spans="7:13" x14ac:dyDescent="0.3">
      <c r="G78" s="300"/>
      <c r="H78"/>
      <c r="I78"/>
      <c r="J78"/>
      <c r="K78"/>
      <c r="L78"/>
      <c r="M78"/>
    </row>
    <row r="79" spans="7:13" x14ac:dyDescent="0.3">
      <c r="G79" s="300"/>
      <c r="H79"/>
      <c r="I79"/>
      <c r="J79"/>
      <c r="K79"/>
      <c r="L79"/>
      <c r="M79"/>
    </row>
    <row r="80" spans="7:13" x14ac:dyDescent="0.3">
      <c r="G80" s="300"/>
      <c r="H80"/>
      <c r="I80"/>
      <c r="J80"/>
      <c r="K80"/>
      <c r="L80"/>
      <c r="M80"/>
    </row>
    <row r="81" spans="7:13" x14ac:dyDescent="0.3">
      <c r="G81" s="300"/>
      <c r="H81"/>
      <c r="I81"/>
      <c r="J81"/>
      <c r="K81"/>
      <c r="L81"/>
      <c r="M81"/>
    </row>
    <row r="82" spans="7:13" x14ac:dyDescent="0.3">
      <c r="G82" s="300"/>
      <c r="H82"/>
      <c r="I82"/>
      <c r="J82"/>
      <c r="K82"/>
      <c r="L82"/>
      <c r="M82"/>
    </row>
    <row r="83" spans="7:13" x14ac:dyDescent="0.3">
      <c r="G83" s="300"/>
      <c r="H83"/>
      <c r="I83"/>
      <c r="J83"/>
      <c r="K83"/>
      <c r="L83"/>
      <c r="M83"/>
    </row>
    <row r="84" spans="7:13" x14ac:dyDescent="0.3">
      <c r="G84" s="300"/>
      <c r="H84"/>
      <c r="I84"/>
      <c r="J84"/>
      <c r="K84"/>
      <c r="L84"/>
      <c r="M84"/>
    </row>
    <row r="85" spans="7:13" x14ac:dyDescent="0.3">
      <c r="G85" s="300"/>
      <c r="H85"/>
      <c r="I85"/>
      <c r="J85"/>
      <c r="K85"/>
      <c r="L85"/>
      <c r="M85"/>
    </row>
    <row r="86" spans="7:13" x14ac:dyDescent="0.3">
      <c r="G86" s="300"/>
      <c r="H86"/>
      <c r="I86"/>
      <c r="J86"/>
      <c r="K86"/>
      <c r="L86"/>
      <c r="M86"/>
    </row>
    <row r="87" spans="7:13" x14ac:dyDescent="0.3">
      <c r="G87" s="300"/>
      <c r="H87"/>
      <c r="I87"/>
      <c r="J87"/>
      <c r="K87"/>
      <c r="L87"/>
      <c r="M87"/>
    </row>
    <row r="88" spans="7:13" x14ac:dyDescent="0.3">
      <c r="G88" s="300"/>
      <c r="H88"/>
      <c r="I88"/>
      <c r="J88"/>
      <c r="K88"/>
      <c r="L88"/>
      <c r="M88"/>
    </row>
    <row r="89" spans="7:13" x14ac:dyDescent="0.3">
      <c r="G89" s="300"/>
      <c r="H89"/>
      <c r="I89"/>
      <c r="J89"/>
      <c r="K89"/>
      <c r="L89"/>
      <c r="M89"/>
    </row>
    <row r="90" spans="7:13" x14ac:dyDescent="0.3">
      <c r="G90" s="300"/>
      <c r="H90"/>
      <c r="I90"/>
      <c r="J90"/>
      <c r="K90"/>
      <c r="L90"/>
      <c r="M90"/>
    </row>
    <row r="91" spans="7:13" x14ac:dyDescent="0.3">
      <c r="G91" s="300"/>
      <c r="H91"/>
      <c r="I91"/>
      <c r="J91"/>
      <c r="K91"/>
      <c r="L91"/>
      <c r="M91"/>
    </row>
    <row r="92" spans="7:13" x14ac:dyDescent="0.3">
      <c r="G92" s="300"/>
      <c r="H92"/>
      <c r="I92"/>
      <c r="J92"/>
      <c r="K92"/>
      <c r="L92"/>
      <c r="M92"/>
    </row>
    <row r="93" spans="7:13" x14ac:dyDescent="0.3">
      <c r="G93" s="300"/>
      <c r="H93"/>
      <c r="I93"/>
      <c r="J93"/>
      <c r="K93"/>
      <c r="L93"/>
      <c r="M93"/>
    </row>
    <row r="94" spans="7:13" x14ac:dyDescent="0.3">
      <c r="G94" s="300"/>
      <c r="H94"/>
      <c r="I94"/>
      <c r="J94"/>
      <c r="K94"/>
      <c r="L94"/>
      <c r="M94"/>
    </row>
    <row r="96" spans="7:13" x14ac:dyDescent="0.3">
      <c r="G96" s="300"/>
      <c r="H96"/>
      <c r="I96"/>
      <c r="J96"/>
      <c r="K96"/>
      <c r="L96"/>
      <c r="M96"/>
    </row>
    <row r="97" spans="7:13" x14ac:dyDescent="0.3">
      <c r="G97" s="300"/>
      <c r="H97"/>
      <c r="I97"/>
      <c r="J97"/>
      <c r="K97"/>
      <c r="L97"/>
      <c r="M97"/>
    </row>
    <row r="98" spans="7:13" x14ac:dyDescent="0.3">
      <c r="G98" s="300"/>
      <c r="H98"/>
      <c r="I98"/>
      <c r="J98"/>
      <c r="K98"/>
      <c r="L98"/>
      <c r="M98"/>
    </row>
    <row r="99" spans="7:13" x14ac:dyDescent="0.3">
      <c r="G99" s="300"/>
      <c r="H99"/>
      <c r="I99"/>
      <c r="J99"/>
      <c r="K99"/>
      <c r="L99"/>
      <c r="M99"/>
    </row>
    <row r="100" spans="7:13" x14ac:dyDescent="0.3">
      <c r="G100" s="300"/>
      <c r="H100"/>
      <c r="I100"/>
      <c r="J100"/>
      <c r="K100"/>
      <c r="L100"/>
      <c r="M100"/>
    </row>
    <row r="101" spans="7:13" x14ac:dyDescent="0.3">
      <c r="G101" s="300"/>
      <c r="H101"/>
      <c r="I101"/>
      <c r="J101"/>
      <c r="K101"/>
      <c r="L101"/>
      <c r="M101"/>
    </row>
    <row r="102" spans="7:13" x14ac:dyDescent="0.3">
      <c r="G102" s="300"/>
      <c r="H102"/>
      <c r="I102"/>
      <c r="J102"/>
      <c r="K102"/>
      <c r="L102"/>
      <c r="M102"/>
    </row>
    <row r="103" spans="7:13" x14ac:dyDescent="0.3">
      <c r="G103" s="300"/>
      <c r="H103"/>
      <c r="I103"/>
      <c r="J103"/>
      <c r="K103"/>
      <c r="L103"/>
      <c r="M103"/>
    </row>
    <row r="104" spans="7:13" x14ac:dyDescent="0.3">
      <c r="G104" s="300"/>
      <c r="H104"/>
      <c r="I104"/>
      <c r="J104"/>
      <c r="K104"/>
      <c r="L104"/>
      <c r="M104"/>
    </row>
    <row r="105" spans="7:13" x14ac:dyDescent="0.3">
      <c r="G105" s="300"/>
      <c r="H105"/>
      <c r="I105"/>
      <c r="J105"/>
      <c r="K105"/>
      <c r="L105"/>
      <c r="M105"/>
    </row>
    <row r="106" spans="7:13" x14ac:dyDescent="0.3">
      <c r="G106" s="300"/>
      <c r="H106"/>
      <c r="I106"/>
      <c r="J106"/>
      <c r="K106"/>
      <c r="L106"/>
      <c r="M106"/>
    </row>
    <row r="107" spans="7:13" x14ac:dyDescent="0.3">
      <c r="G107" s="300"/>
      <c r="H107"/>
      <c r="I107"/>
      <c r="J107"/>
      <c r="K107"/>
      <c r="L107"/>
      <c r="M107"/>
    </row>
    <row r="108" spans="7:13" x14ac:dyDescent="0.3">
      <c r="G108" s="300"/>
      <c r="H108"/>
      <c r="I108"/>
      <c r="J108"/>
      <c r="K108"/>
      <c r="L108"/>
      <c r="M108"/>
    </row>
    <row r="109" spans="7:13" x14ac:dyDescent="0.3">
      <c r="G109" s="300"/>
      <c r="H109"/>
      <c r="I109"/>
      <c r="J109"/>
      <c r="K109"/>
      <c r="L109"/>
      <c r="M109"/>
    </row>
    <row r="110" spans="7:13" x14ac:dyDescent="0.3">
      <c r="G110" s="300"/>
      <c r="H110"/>
      <c r="I110"/>
      <c r="J110"/>
      <c r="K110"/>
      <c r="L110"/>
      <c r="M110"/>
    </row>
    <row r="111" spans="7:13" x14ac:dyDescent="0.3">
      <c r="G111" s="300"/>
      <c r="H111"/>
      <c r="I111"/>
      <c r="J111"/>
      <c r="K111"/>
      <c r="L111"/>
      <c r="M111"/>
    </row>
    <row r="112" spans="7:13" x14ac:dyDescent="0.3">
      <c r="G112" s="300"/>
      <c r="H112"/>
      <c r="I112"/>
      <c r="J112"/>
      <c r="K112"/>
      <c r="L112"/>
      <c r="M112"/>
    </row>
    <row r="113" spans="7:13" x14ac:dyDescent="0.3">
      <c r="G113" s="300"/>
      <c r="H113"/>
      <c r="I113"/>
      <c r="J113"/>
      <c r="K113"/>
      <c r="L113"/>
      <c r="M113"/>
    </row>
    <row r="114" spans="7:13" x14ac:dyDescent="0.3">
      <c r="G114" s="300"/>
      <c r="H114"/>
      <c r="I114"/>
      <c r="J114"/>
      <c r="K114"/>
      <c r="L114"/>
      <c r="M114"/>
    </row>
    <row r="115" spans="7:13" x14ac:dyDescent="0.3">
      <c r="G115" s="300"/>
      <c r="H115"/>
      <c r="I115"/>
      <c r="J115"/>
      <c r="K115"/>
      <c r="L115"/>
      <c r="M115"/>
    </row>
    <row r="116" spans="7:13" x14ac:dyDescent="0.3">
      <c r="G116" s="300"/>
      <c r="H116"/>
      <c r="I116"/>
      <c r="J116"/>
      <c r="K116"/>
      <c r="L116"/>
      <c r="M116"/>
    </row>
    <row r="117" spans="7:13" x14ac:dyDescent="0.3">
      <c r="G117" s="300"/>
      <c r="H117"/>
      <c r="I117"/>
      <c r="J117"/>
      <c r="K117"/>
      <c r="L117"/>
      <c r="M117"/>
    </row>
    <row r="118" spans="7:13" x14ac:dyDescent="0.3">
      <c r="G118" s="300"/>
      <c r="H118"/>
      <c r="I118"/>
      <c r="J118"/>
      <c r="K118"/>
      <c r="L118"/>
      <c r="M118"/>
    </row>
    <row r="120" spans="7:13" x14ac:dyDescent="0.3">
      <c r="G120" s="300"/>
      <c r="H120"/>
      <c r="I120"/>
      <c r="J120"/>
      <c r="K120"/>
      <c r="L120"/>
      <c r="M120"/>
    </row>
  </sheetData>
  <phoneticPr fontId="16" type="noConversion"/>
  <conditionalFormatting sqref="G1:N1048576 F3:F4">
    <cfRule type="cellIs" dxfId="383" priority="7" operator="lessThan">
      <formula>0</formula>
    </cfRule>
  </conditionalFormatting>
  <conditionalFormatting sqref="G1:N1048576 F3:F1048576">
    <cfRule type="cellIs" dxfId="382" priority="5" operator="lessThan">
      <formula>0</formula>
    </cfRule>
  </conditionalFormatting>
  <conditionalFormatting sqref="O1:Z1 O2:R2">
    <cfRule type="cellIs" dxfId="381" priority="8" operator="lessThan">
      <formula>0</formula>
    </cfRule>
    <cfRule type="cellIs" dxfId="380" priority="9" operator="lessThan">
      <formula>0</formula>
    </cfRule>
  </conditionalFormatting>
  <conditionalFormatting sqref="AB7:AB16">
    <cfRule type="cellIs" dxfId="379" priority="3" operator="lessThan">
      <formula>0</formula>
    </cfRule>
    <cfRule type="cellIs" dxfId="378" priority="4" operator="lessThan">
      <formula>0</formula>
    </cfRule>
  </conditionalFormatting>
  <conditionalFormatting sqref="AC1:AG1">
    <cfRule type="cellIs" dxfId="377" priority="1" operator="lessThan">
      <formula>0</formula>
    </cfRule>
    <cfRule type="cellIs" dxfId="376" priority="2" operator="lessThan">
      <formula>0</formula>
    </cfRule>
  </conditionalFormatting>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1:T100"/>
  <sheetViews>
    <sheetView workbookViewId="0">
      <pane ySplit="1" topLeftCell="A2" activePane="bottomLeft" state="frozen"/>
      <selection pane="bottomLeft" activeCell="K37" sqref="K37"/>
    </sheetView>
  </sheetViews>
  <sheetFormatPr defaultRowHeight="14" x14ac:dyDescent="0.3"/>
  <cols>
    <col min="1" max="1" width="9.08203125" style="350" bestFit="1" customWidth="1"/>
    <col min="3" max="3" width="7.08203125" style="350" customWidth="1"/>
    <col min="10" max="10" width="10.08203125" style="350" bestFit="1" customWidth="1"/>
    <col min="11" max="11" width="9.08203125" style="350" bestFit="1" customWidth="1"/>
    <col min="12" max="12" width="9" style="350" bestFit="1" customWidth="1"/>
    <col min="13" max="13" width="11.75" style="350" bestFit="1" customWidth="1"/>
    <col min="14" max="14" width="7.83203125" style="350" customWidth="1"/>
    <col min="15" max="15" width="11.33203125" style="350" customWidth="1"/>
    <col min="16" max="16" width="8.33203125" style="350" customWidth="1"/>
    <col min="17" max="17" width="9.33203125" style="350" customWidth="1"/>
    <col min="19" max="19" width="12.33203125" style="350" bestFit="1" customWidth="1"/>
  </cols>
  <sheetData>
    <row r="1" spans="1:20" s="8" customFormat="1" ht="28" customHeight="1" x14ac:dyDescent="0.3">
      <c r="A1" s="8" t="s">
        <v>2028</v>
      </c>
      <c r="B1" s="8" t="s">
        <v>2029</v>
      </c>
      <c r="C1" s="8" t="s">
        <v>2030</v>
      </c>
      <c r="D1" s="8" t="s">
        <v>2031</v>
      </c>
      <c r="E1" s="8" t="s">
        <v>2032</v>
      </c>
      <c r="F1" s="8" t="s">
        <v>2033</v>
      </c>
      <c r="G1" s="8" t="s">
        <v>2034</v>
      </c>
      <c r="H1" s="8" t="s">
        <v>2035</v>
      </c>
      <c r="I1" s="8" t="s">
        <v>2036</v>
      </c>
      <c r="J1" s="8" t="s">
        <v>2037</v>
      </c>
      <c r="K1" s="8" t="s">
        <v>2038</v>
      </c>
      <c r="L1" s="8" t="s">
        <v>2039</v>
      </c>
      <c r="M1" s="8" t="s">
        <v>2040</v>
      </c>
      <c r="N1" s="8" t="s">
        <v>2041</v>
      </c>
      <c r="O1" s="8" t="s">
        <v>2042</v>
      </c>
      <c r="P1" s="8" t="s">
        <v>2043</v>
      </c>
      <c r="Q1" s="8" t="s">
        <v>2044</v>
      </c>
      <c r="R1" s="8" t="s">
        <v>2045</v>
      </c>
      <c r="S1" s="8" t="s">
        <v>2046</v>
      </c>
      <c r="T1" s="8" t="s">
        <v>2047</v>
      </c>
    </row>
    <row r="2" spans="1:20" x14ac:dyDescent="0.3">
      <c r="A2">
        <f>VLOOKUP($F2,全部可转债!$A:$S,9,0)</f>
        <v>61.91</v>
      </c>
      <c r="B2" s="343">
        <f>L2*100/M2-100</f>
        <v>186.56934306569343</v>
      </c>
      <c r="C2">
        <v>0</v>
      </c>
      <c r="D2">
        <f>VLOOKUP(F2,全部可转债!$A:$S,16,0)</f>
        <v>73.45</v>
      </c>
      <c r="E2" t="str">
        <f>VLOOKUP($F2,全部可转债!$A:$S,2,0)</f>
        <v>110092</v>
      </c>
      <c r="F2" t="s">
        <v>2048</v>
      </c>
      <c r="G2">
        <f>VLOOKUP($F2,全部可转债!$A:$S,7,0)</f>
        <v>110</v>
      </c>
      <c r="H2" s="354">
        <f>G2/D2-1</f>
        <v>0.49761742682096655</v>
      </c>
      <c r="I2">
        <f>VLOOKUP($F2,全部可转债!$A:$S,19,0)</f>
        <v>-5.52</v>
      </c>
      <c r="J2">
        <f>VLOOKUP($F2,全部可转债!$A:$S,17,0)</f>
        <v>-2.87</v>
      </c>
      <c r="K2">
        <f>VLOOKUP($F2,全部可转债!$A:$S,5,0)</f>
        <v>3.02</v>
      </c>
      <c r="L2">
        <f>VLOOKUP($F2,全部可转债!$A:$S,6,0)</f>
        <v>3.9260000000000002</v>
      </c>
      <c r="M2">
        <f>VLOOKUP($F2,全部可转债!$A:$S,18,0)</f>
        <v>1.37</v>
      </c>
      <c r="N2">
        <f>VLOOKUP($F2,全部可转债!$A:$S,8,0)</f>
        <v>2.5670000000000002</v>
      </c>
      <c r="O2">
        <f>VLOOKUP($F2,全部可转债!$A:$S,15,0)</f>
        <v>20290106</v>
      </c>
      <c r="P2">
        <f>VLOOKUP($F2,全部可转债!$A:$S,14,0)</f>
        <v>21.184999999999999</v>
      </c>
      <c r="Q2">
        <v>703</v>
      </c>
      <c r="R2" t="str">
        <f>VLOOKUP($F2,全部可转债!$A:$S,11,0)</f>
        <v>未满足</v>
      </c>
    </row>
    <row r="3" spans="1:20" x14ac:dyDescent="0.3">
      <c r="A3">
        <f>VLOOKUP($F3,全部可转债!$A:$S,9,0)</f>
        <v>13.3</v>
      </c>
      <c r="B3" s="343">
        <f>L3*100/M3-100</f>
        <v>45.270846013390127</v>
      </c>
      <c r="C3">
        <v>0</v>
      </c>
      <c r="D3">
        <f>VLOOKUP(F3,全部可转债!$A:$S,16,0)</f>
        <v>101.39</v>
      </c>
      <c r="E3" t="str">
        <f>VLOOKUP($F3,全部可转债!$A:$S,2,0)</f>
        <v>110081</v>
      </c>
      <c r="F3" t="s">
        <v>2049</v>
      </c>
      <c r="G3">
        <f>VLOOKUP($F3,全部可转债!$A:$S,7,0)</f>
        <v>108</v>
      </c>
      <c r="H3" s="354">
        <f>G3/D3-1</f>
        <v>6.5193806095275697E-2</v>
      </c>
      <c r="I3">
        <f>VLOOKUP($F3,全部可转债!$A:$S,19,0)</f>
        <v>-0.48</v>
      </c>
      <c r="J3">
        <f>VLOOKUP($F3,全部可转债!$A:$S,17,0)</f>
        <v>0.32</v>
      </c>
      <c r="K3">
        <f>VLOOKUP($F3,全部可转债!$A:$S,5,0)</f>
        <v>18.36</v>
      </c>
      <c r="L3">
        <f>VLOOKUP($F3,全部可转债!$A:$S,6,0)</f>
        <v>23.867999999999999</v>
      </c>
      <c r="M3">
        <f>VLOOKUP($F3,全部可转债!$A:$S,18,0)</f>
        <v>16.43</v>
      </c>
      <c r="N3">
        <f>VLOOKUP($F3,全部可转债!$A:$S,8,0)</f>
        <v>15.606</v>
      </c>
      <c r="O3">
        <f>VLOOKUP($F3,全部可转债!$A:$S,15,0)</f>
        <v>20270728</v>
      </c>
      <c r="P3">
        <f>VLOOKUP($F3,全部可转债!$A:$S,14,0)</f>
        <v>71.5</v>
      </c>
      <c r="Q3">
        <v>-1</v>
      </c>
      <c r="R3" t="str">
        <f>VLOOKUP($F3,全部可转债!$A:$S,11,0)</f>
        <v>未满足</v>
      </c>
    </row>
    <row r="4" spans="1:20" x14ac:dyDescent="0.3">
      <c r="A4">
        <f>VLOOKUP($F4,全部可转债!$A:$S,9,0)</f>
        <v>7.75</v>
      </c>
      <c r="B4" s="343">
        <f>L4*100/M4-100</f>
        <v>2.6315789473684248</v>
      </c>
      <c r="C4">
        <v>0</v>
      </c>
      <c r="D4">
        <f>VLOOKUP(F4,全部可转债!$A:$S,16,0)</f>
        <v>136.47999999999999</v>
      </c>
      <c r="E4" t="str">
        <f>VLOOKUP($F4,全部可转债!$A:$S,2,0)</f>
        <v>113681</v>
      </c>
      <c r="F4" t="s">
        <v>2050</v>
      </c>
      <c r="G4">
        <f>VLOOKUP($F4,全部可转债!$A:$S,7,0)</f>
        <v>115</v>
      </c>
      <c r="H4" s="354">
        <f>G4/D4-1</f>
        <v>-0.15738569753810072</v>
      </c>
      <c r="I4">
        <f>VLOOKUP($F4,全部可转债!$A:$S,19,0)</f>
        <v>0.87</v>
      </c>
      <c r="J4">
        <f>VLOOKUP($F4,全部可转债!$A:$S,17,0)</f>
        <v>0.39</v>
      </c>
      <c r="K4">
        <f>VLOOKUP($F4,全部可转债!$A:$S,5,0)</f>
        <v>10.95</v>
      </c>
      <c r="L4">
        <f>VLOOKUP($F4,全部可转债!$A:$S,6,0)</f>
        <v>14.234999999999999</v>
      </c>
      <c r="M4">
        <f>VLOOKUP($F4,全部可转债!$A:$S,18,0)</f>
        <v>13.87</v>
      </c>
      <c r="N4">
        <f>VLOOKUP($F4,全部可转债!$A:$S,8,0)</f>
        <v>9.3070000000000004</v>
      </c>
      <c r="O4">
        <f>VLOOKUP($F4,全部可转债!$A:$S,15,0)</f>
        <v>20291229</v>
      </c>
      <c r="P4">
        <f>VLOOKUP($F4,全部可转债!$A:$S,14,0)</f>
        <v>5.476</v>
      </c>
      <c r="Q4">
        <v>0</v>
      </c>
      <c r="R4" t="str">
        <f>VLOOKUP($F4,全部可转债!$A:$S,11,0)</f>
        <v>未满足</v>
      </c>
    </row>
    <row r="7" spans="1:20" ht="13.5" customHeight="1" x14ac:dyDescent="0.3">
      <c r="A7">
        <f>VLOOKUP($F7,全部可转债!$A:$S,9,0)</f>
        <v>46.41</v>
      </c>
      <c r="B7" s="343">
        <f t="shared" ref="B7:B38" si="0">L7*100/M7-100</f>
        <v>58.605664488017425</v>
      </c>
      <c r="C7">
        <v>0</v>
      </c>
      <c r="D7">
        <f>VLOOKUP(F7,全部可转债!$A:$S,16,0)</f>
        <v>120</v>
      </c>
      <c r="E7" t="str">
        <f>VLOOKUP($F7,全部可转债!$A:$S,2,0)</f>
        <v>110087</v>
      </c>
      <c r="F7" t="s">
        <v>2051</v>
      </c>
      <c r="G7">
        <f>VLOOKUP($F7,全部可转债!$A:$S,7,0)</f>
        <v>108</v>
      </c>
      <c r="H7" s="354">
        <f t="shared" ref="H7:H38" si="1">G7/D7-1</f>
        <v>-9.9999999999999978E-2</v>
      </c>
      <c r="I7">
        <f>VLOOKUP($F7,全部可转债!$A:$S,19,0)</f>
        <v>1.55</v>
      </c>
      <c r="J7">
        <f>VLOOKUP($F7,全部可转债!$A:$S,17,0)</f>
        <v>1.59</v>
      </c>
      <c r="K7">
        <f>VLOOKUP($F7,全部可转债!$A:$S,5,0)</f>
        <v>5.6</v>
      </c>
      <c r="L7">
        <f>VLOOKUP($F7,全部可转债!$A:$S,6,0)</f>
        <v>7.28</v>
      </c>
      <c r="M7">
        <f>VLOOKUP($F7,全部可转债!$A:$S,18,0)</f>
        <v>4.59</v>
      </c>
      <c r="N7">
        <f>VLOOKUP($F7,全部可转债!$A:$S,8,0)</f>
        <v>4.76</v>
      </c>
      <c r="O7">
        <f>VLOOKUP($F7,全部可转债!$A:$S,15,0)</f>
        <v>20280623</v>
      </c>
      <c r="P7">
        <f>VLOOKUP($F7,全部可转债!$A:$S,14,0)</f>
        <v>29.975000000000001</v>
      </c>
      <c r="Q7"/>
      <c r="R7" t="str">
        <f>VLOOKUP($F7,全部可转债!$A:$S,11,0)</f>
        <v>未满足</v>
      </c>
    </row>
    <row r="8" spans="1:20" x14ac:dyDescent="0.3">
      <c r="A8">
        <f>VLOOKUP($F8,全部可转债!$A:$S,9,0)</f>
        <v>70.47</v>
      </c>
      <c r="B8" s="343">
        <f t="shared" si="0"/>
        <v>89.262966333030022</v>
      </c>
      <c r="C8">
        <v>0</v>
      </c>
      <c r="D8">
        <f>VLOOKUP(F8,全部可转债!$A:$S,16,0)</f>
        <v>117.09</v>
      </c>
      <c r="E8" t="str">
        <f>VLOOKUP($F8,全部可转债!$A:$S,2,0)</f>
        <v>118031</v>
      </c>
      <c r="F8" t="s">
        <v>2052</v>
      </c>
      <c r="G8">
        <f>VLOOKUP($F8,全部可转债!$A:$S,7,0)</f>
        <v>115</v>
      </c>
      <c r="H8" s="354">
        <f t="shared" si="1"/>
        <v>-1.7849517465197695E-2</v>
      </c>
      <c r="I8">
        <f>VLOOKUP($F8,全部可转债!$A:$S,19,0)</f>
        <v>1.76</v>
      </c>
      <c r="J8">
        <f>VLOOKUP($F8,全部可转债!$A:$S,17,0)</f>
        <v>0.54</v>
      </c>
      <c r="K8">
        <f>VLOOKUP($F8,全部可转债!$A:$S,5,0)</f>
        <v>16</v>
      </c>
      <c r="L8">
        <f>VLOOKUP($F8,全部可转债!$A:$S,6,0)</f>
        <v>20.8</v>
      </c>
      <c r="M8">
        <f>VLOOKUP($F8,全部可转债!$A:$S,18,0)</f>
        <v>10.99</v>
      </c>
      <c r="N8">
        <f>VLOOKUP($F8,全部可转债!$A:$S,8,0)</f>
        <v>13.6</v>
      </c>
      <c r="O8">
        <f>VLOOKUP($F8,全部可转债!$A:$S,15,0)</f>
        <v>20290213</v>
      </c>
      <c r="P8">
        <f>VLOOKUP($F8,全部可转债!$A:$S,14,0)</f>
        <v>58.512</v>
      </c>
      <c r="Q8"/>
      <c r="R8" t="str">
        <f>VLOOKUP($F8,全部可转债!$A:$S,11,0)</f>
        <v>未满足</v>
      </c>
    </row>
    <row r="9" spans="1:20" ht="13.5" customHeight="1" x14ac:dyDescent="0.3">
      <c r="A9">
        <f>VLOOKUP($F9,全部可转债!$A:$S,9,0)</f>
        <v>31.1</v>
      </c>
      <c r="B9" s="343">
        <f t="shared" si="0"/>
        <v>35.979112271540487</v>
      </c>
      <c r="C9">
        <v>0</v>
      </c>
      <c r="D9">
        <f>VLOOKUP(F9,全部可转债!$A:$S,16,0)</f>
        <v>115.69</v>
      </c>
      <c r="E9" t="str">
        <f>VLOOKUP($F9,全部可转债!$A:$S,2,0)</f>
        <v>118034</v>
      </c>
      <c r="F9" t="s">
        <v>2053</v>
      </c>
      <c r="G9">
        <f>VLOOKUP($F9,全部可转债!$A:$S,7,0)</f>
        <v>108</v>
      </c>
      <c r="H9" s="354">
        <f t="shared" si="1"/>
        <v>-6.6470740772754722E-2</v>
      </c>
      <c r="I9">
        <f>VLOOKUP($F9,全部可转债!$A:$S,19,0)</f>
        <v>2.41</v>
      </c>
      <c r="J9">
        <f>VLOOKUP($F9,全部可转债!$A:$S,17,0)</f>
        <v>0.55000000000000004</v>
      </c>
      <c r="K9">
        <f>VLOOKUP($F9,全部可转债!$A:$S,5,0)</f>
        <v>4.34</v>
      </c>
      <c r="L9">
        <f>VLOOKUP($F9,全部可转债!$A:$S,6,0)</f>
        <v>5.2080000000000002</v>
      </c>
      <c r="M9">
        <f>VLOOKUP($F9,全部可转债!$A:$S,18,0)</f>
        <v>3.83</v>
      </c>
      <c r="N9">
        <f>VLOOKUP($F9,全部可转债!$A:$S,8,0)</f>
        <v>3.6890000000000001</v>
      </c>
      <c r="O9">
        <f>VLOOKUP($F9,全部可转债!$A:$S,15,0)</f>
        <v>20290420</v>
      </c>
      <c r="P9">
        <f>VLOOKUP($F9,全部可转债!$A:$S,14,0)</f>
        <v>83.22</v>
      </c>
      <c r="Q9"/>
      <c r="R9" t="str">
        <f>VLOOKUP($F9,全部可转债!$A:$S,11,0)</f>
        <v>未满足</v>
      </c>
    </row>
    <row r="10" spans="1:20" x14ac:dyDescent="0.3">
      <c r="A10">
        <f>VLOOKUP($F10,全部可转债!$A:$S,9,0)</f>
        <v>61.2</v>
      </c>
      <c r="B10" s="343">
        <f t="shared" si="0"/>
        <v>72.709832134292583</v>
      </c>
      <c r="C10">
        <v>0</v>
      </c>
      <c r="D10">
        <f>VLOOKUP(F10,全部可转债!$A:$S,16,0)</f>
        <v>121.33</v>
      </c>
      <c r="E10" t="str">
        <f>VLOOKUP($F10,全部可转债!$A:$S,2,0)</f>
        <v>127108</v>
      </c>
      <c r="F10" t="s">
        <v>2054</v>
      </c>
      <c r="G10">
        <f>VLOOKUP($F10,全部可转债!$A:$S,7,0)</f>
        <v>112</v>
      </c>
      <c r="H10" s="354">
        <f t="shared" si="1"/>
        <v>-7.6897716970246388E-2</v>
      </c>
      <c r="I10">
        <f>VLOOKUP($F10,全部可转债!$A:$S,19,0)</f>
        <v>0.48</v>
      </c>
      <c r="J10">
        <f>VLOOKUP($F10,全部可转债!$A:$S,17,0)</f>
        <v>0.28000000000000003</v>
      </c>
      <c r="K10">
        <f>VLOOKUP($F10,全部可转债!$A:$S,5,0)</f>
        <v>5.54</v>
      </c>
      <c r="L10">
        <f>VLOOKUP($F10,全部可转债!$A:$S,6,0)</f>
        <v>7.202</v>
      </c>
      <c r="M10">
        <f>VLOOKUP($F10,全部可转债!$A:$S,18,0)</f>
        <v>4.17</v>
      </c>
      <c r="N10">
        <f>VLOOKUP($F10,全部可转债!$A:$S,8,0)</f>
        <v>4.7089999999999996</v>
      </c>
      <c r="O10">
        <f>VLOOKUP($F10,全部可转债!$A:$S,15,0)</f>
        <v>20310328</v>
      </c>
      <c r="P10">
        <f>VLOOKUP($F10,全部可转债!$A:$S,14,0)</f>
        <v>29.498000000000001</v>
      </c>
      <c r="Q10">
        <v>820</v>
      </c>
      <c r="R10" t="str">
        <f>VLOOKUP($F10,全部可转债!$A:$S,11,0)</f>
        <v>未满足</v>
      </c>
    </row>
    <row r="11" spans="1:20" x14ac:dyDescent="0.3">
      <c r="A11">
        <f>VLOOKUP($F11,全部可转债!$A:$S,9,0)</f>
        <v>24.23</v>
      </c>
      <c r="B11" s="343">
        <f t="shared" si="0"/>
        <v>25.821428571428584</v>
      </c>
      <c r="C11">
        <v>0</v>
      </c>
      <c r="D11">
        <f>VLOOKUP(F11,全部可转债!$A:$S,16,0)</f>
        <v>128.35</v>
      </c>
      <c r="E11" t="str">
        <f>VLOOKUP($F11,全部可转债!$A:$S,2,0)</f>
        <v>123149</v>
      </c>
      <c r="F11" t="s">
        <v>2055</v>
      </c>
      <c r="G11">
        <f>VLOOKUP($F11,全部可转债!$A:$S,7,0)</f>
        <v>112</v>
      </c>
      <c r="H11" s="354">
        <f t="shared" si="1"/>
        <v>-0.12738605375925205</v>
      </c>
      <c r="I11">
        <f>VLOOKUP($F11,全部可转债!$A:$S,19,0)</f>
        <v>-0.71</v>
      </c>
      <c r="J11">
        <f>VLOOKUP($F11,全部可转债!$A:$S,17,0)</f>
        <v>0.11</v>
      </c>
      <c r="K11">
        <f>VLOOKUP($F11,全部可转债!$A:$S,5,0)</f>
        <v>2.71</v>
      </c>
      <c r="L11">
        <f>VLOOKUP($F11,全部可转债!$A:$S,6,0)</f>
        <v>3.5230000000000001</v>
      </c>
      <c r="M11">
        <f>VLOOKUP($F11,全部可转债!$A:$S,18,0)</f>
        <v>2.8</v>
      </c>
      <c r="N11">
        <f>VLOOKUP($F11,全部可转债!$A:$S,8,0)</f>
        <v>2.3039999999999998</v>
      </c>
      <c r="O11">
        <f>VLOOKUP($F11,全部可转债!$A:$S,15,0)</f>
        <v>20280620</v>
      </c>
      <c r="P11">
        <f>VLOOKUP($F11,全部可转债!$A:$S,14,0)</f>
        <v>11.069000000000001</v>
      </c>
      <c r="Q11"/>
      <c r="R11" t="str">
        <f>VLOOKUP($F11,全部可转债!$A:$S,11,0)</f>
        <v>未满足</v>
      </c>
      <c r="S11">
        <v>13</v>
      </c>
    </row>
    <row r="12" spans="1:20" x14ac:dyDescent="0.3">
      <c r="A12" t="e">
        <f>VLOOKUP($F12,全部可转债!$A:$S,9,0)</f>
        <v>#N/A</v>
      </c>
      <c r="B12" s="343" t="e">
        <f t="shared" si="0"/>
        <v>#N/A</v>
      </c>
      <c r="C12">
        <v>15</v>
      </c>
      <c r="D12" t="e">
        <f>VLOOKUP(F12,全部可转债!$A:$S,16,0)</f>
        <v>#N/A</v>
      </c>
      <c r="E12" t="e">
        <f>VLOOKUP($F12,全部可转债!$A:$S,2,0)</f>
        <v>#N/A</v>
      </c>
      <c r="F12" t="s">
        <v>2056</v>
      </c>
      <c r="G12" t="e">
        <f>VLOOKUP($F12,全部可转债!$A:$S,7,0)</f>
        <v>#N/A</v>
      </c>
      <c r="H12" s="354" t="e">
        <f t="shared" si="1"/>
        <v>#N/A</v>
      </c>
      <c r="I12" t="e">
        <f>VLOOKUP($F12,全部可转债!$A:$S,19,0)</f>
        <v>#N/A</v>
      </c>
      <c r="J12" t="e">
        <f>VLOOKUP($F12,全部可转债!$A:$S,17,0)</f>
        <v>#N/A</v>
      </c>
      <c r="K12" t="e">
        <f>VLOOKUP($F12,全部可转债!$A:$S,5,0)</f>
        <v>#N/A</v>
      </c>
      <c r="L12" t="e">
        <f>VLOOKUP($F12,全部可转债!$A:$S,6,0)</f>
        <v>#N/A</v>
      </c>
      <c r="M12" t="e">
        <f>VLOOKUP($F12,全部可转债!$A:$S,18,0)</f>
        <v>#N/A</v>
      </c>
      <c r="N12" t="e">
        <f>VLOOKUP($F12,全部可转债!$A:$S,8,0)</f>
        <v>#N/A</v>
      </c>
      <c r="O12" t="e">
        <f>VLOOKUP($F12,全部可转债!$A:$S,15,0)</f>
        <v>#N/A</v>
      </c>
      <c r="P12" t="e">
        <f>VLOOKUP($F12,全部可转债!$A:$S,14,0)</f>
        <v>#N/A</v>
      </c>
      <c r="Q12"/>
      <c r="R12" t="e">
        <f>VLOOKUP($F12,全部可转债!$A:$S,11,0)</f>
        <v>#N/A</v>
      </c>
    </row>
    <row r="13" spans="1:20" x14ac:dyDescent="0.3">
      <c r="A13">
        <f>VLOOKUP($F13,全部可转债!$A:$S,9,0)</f>
        <v>31.42</v>
      </c>
      <c r="B13" s="343">
        <f t="shared" si="0"/>
        <v>33.827160493827165</v>
      </c>
      <c r="C13">
        <v>10</v>
      </c>
      <c r="D13">
        <f>VLOOKUP(F13,全部可转债!$A:$S,16,0)</f>
        <v>127.67</v>
      </c>
      <c r="E13" t="str">
        <f>VLOOKUP($F13,全部可转债!$A:$S,2,0)</f>
        <v>113640</v>
      </c>
      <c r="F13" t="s">
        <v>2057</v>
      </c>
      <c r="G13">
        <f>VLOOKUP($F13,全部可转债!$A:$S,7,0)</f>
        <v>115</v>
      </c>
      <c r="H13" s="354">
        <f t="shared" si="1"/>
        <v>-9.9240228714654988E-2</v>
      </c>
      <c r="I13">
        <f>VLOOKUP($F13,全部可转债!$A:$S,19,0)</f>
        <v>-0.28000000000000003</v>
      </c>
      <c r="J13">
        <f>VLOOKUP($F13,全部可转债!$A:$S,17,0)</f>
        <v>0.28999999999999998</v>
      </c>
      <c r="K13">
        <f>VLOOKUP($F13,全部可转债!$A:$S,5,0)</f>
        <v>10.84</v>
      </c>
      <c r="L13">
        <f>VLOOKUP($F13,全部可转债!$A:$S,6,0)</f>
        <v>14.092000000000001</v>
      </c>
      <c r="M13">
        <f>VLOOKUP($F13,全部可转债!$A:$S,18,0)</f>
        <v>10.53</v>
      </c>
      <c r="N13">
        <f>VLOOKUP($F13,全部可转债!$A:$S,8,0)</f>
        <v>9.7560000000000002</v>
      </c>
      <c r="O13">
        <f>VLOOKUP($F13,全部可转债!$A:$S,15,0)</f>
        <v>20280216</v>
      </c>
      <c r="P13">
        <f>VLOOKUP($F13,全部可转债!$A:$S,14,0)</f>
        <v>7.39</v>
      </c>
      <c r="Q13"/>
      <c r="R13" t="str">
        <f>VLOOKUP($F13,全部可转债!$A:$S,11,0)</f>
        <v>未满足</v>
      </c>
    </row>
    <row r="14" spans="1:20" x14ac:dyDescent="0.3">
      <c r="A14">
        <f>VLOOKUP($F14,全部可转债!$A:$S,9,0)</f>
        <v>20.81</v>
      </c>
      <c r="B14" s="343">
        <f t="shared" si="0"/>
        <v>12.537313432835802</v>
      </c>
      <c r="C14">
        <v>0</v>
      </c>
      <c r="D14">
        <f>VLOOKUP(F14,全部可转债!$A:$S,16,0)</f>
        <v>139.56</v>
      </c>
      <c r="E14" t="str">
        <f>VLOOKUP($F14,全部可转债!$A:$S,2,0)</f>
        <v>123178</v>
      </c>
      <c r="F14" t="s">
        <v>2058</v>
      </c>
      <c r="G14">
        <f>VLOOKUP($F14,全部可转债!$A:$S,7,0)</f>
        <v>115</v>
      </c>
      <c r="H14" s="354">
        <f t="shared" si="1"/>
        <v>-0.17598165663513898</v>
      </c>
      <c r="I14">
        <f>VLOOKUP($F14,全部可转债!$A:$S,19,0)</f>
        <v>0.52</v>
      </c>
      <c r="J14">
        <f>VLOOKUP($F14,全部可转债!$A:$S,17,0)</f>
        <v>0.49</v>
      </c>
      <c r="K14">
        <f>VLOOKUP($F14,全部可转债!$A:$S,5,0)</f>
        <v>13.34</v>
      </c>
      <c r="L14">
        <f>VLOOKUP($F14,全部可转债!$A:$S,6,0)</f>
        <v>17.341999999999999</v>
      </c>
      <c r="M14">
        <f>VLOOKUP($F14,全部可转债!$A:$S,18,0)</f>
        <v>15.41</v>
      </c>
      <c r="N14">
        <f>VLOOKUP($F14,全部可转债!$A:$S,8,0)</f>
        <v>11.339</v>
      </c>
      <c r="O14">
        <f>VLOOKUP($F14,全部可转债!$A:$S,15,0)</f>
        <v>20290306</v>
      </c>
      <c r="P14">
        <f>VLOOKUP($F14,全部可转债!$A:$S,14,0)</f>
        <v>11.58</v>
      </c>
      <c r="Q14"/>
      <c r="R14" t="str">
        <f>VLOOKUP($F14,全部可转债!$A:$S,11,0)</f>
        <v>未满足</v>
      </c>
    </row>
    <row r="15" spans="1:20" x14ac:dyDescent="0.3">
      <c r="A15">
        <f>VLOOKUP($F15,全部可转债!$A:$S,9,0)</f>
        <v>49.48</v>
      </c>
      <c r="B15" s="343">
        <f t="shared" si="0"/>
        <v>56.545801526717554</v>
      </c>
      <c r="C15">
        <v>0</v>
      </c>
      <c r="D15">
        <f>VLOOKUP(F15,全部可转债!$A:$S,16,0)</f>
        <v>124.13</v>
      </c>
      <c r="E15" t="str">
        <f>VLOOKUP($F15,全部可转债!$A:$S,2,0)</f>
        <v>113665</v>
      </c>
      <c r="F15" t="s">
        <v>2059</v>
      </c>
      <c r="G15">
        <f>VLOOKUP($F15,全部可转债!$A:$S,7,0)</f>
        <v>115</v>
      </c>
      <c r="H15" s="354">
        <f t="shared" si="1"/>
        <v>-7.3551921372754347E-2</v>
      </c>
      <c r="I15">
        <f>VLOOKUP($F15,全部可转债!$A:$S,19,0)</f>
        <v>-0.76</v>
      </c>
      <c r="J15">
        <f>VLOOKUP($F15,全部可转债!$A:$S,17,0)</f>
        <v>-0.27</v>
      </c>
      <c r="K15">
        <f>VLOOKUP($F15,全部可转债!$A:$S,5,0)</f>
        <v>6.31</v>
      </c>
      <c r="L15">
        <f>VLOOKUP($F15,全部可转债!$A:$S,6,0)</f>
        <v>8.2029999999999994</v>
      </c>
      <c r="M15">
        <f>VLOOKUP($F15,全部可转债!$A:$S,18,0)</f>
        <v>5.24</v>
      </c>
      <c r="N15">
        <f>VLOOKUP($F15,全部可转债!$A:$S,8,0)</f>
        <v>5.3639999999999999</v>
      </c>
      <c r="O15">
        <f>VLOOKUP($F15,全部可转债!$A:$S,15,0)</f>
        <v>20281215</v>
      </c>
      <c r="P15">
        <f>VLOOKUP($F15,全部可转债!$A:$S,14,0)</f>
        <v>3.5960000000000001</v>
      </c>
      <c r="R15" t="str">
        <f>VLOOKUP($F15,全部可转债!$A:$S,11,0)</f>
        <v>未满足</v>
      </c>
    </row>
    <row r="16" spans="1:20" x14ac:dyDescent="0.3">
      <c r="A16">
        <f>VLOOKUP($F16,全部可转债!$A:$S,9,0)</f>
        <v>38.1</v>
      </c>
      <c r="B16" s="343">
        <f t="shared" si="0"/>
        <v>53.716216216216225</v>
      </c>
      <c r="C16">
        <v>0</v>
      </c>
      <c r="D16">
        <f>VLOOKUP(F16,全部可转债!$A:$S,16,0)</f>
        <v>116.79</v>
      </c>
      <c r="E16" t="str">
        <f>VLOOKUP($F16,全部可转债!$A:$S,2,0)</f>
        <v>118020</v>
      </c>
      <c r="F16" t="s">
        <v>2060</v>
      </c>
      <c r="G16">
        <f>VLOOKUP($F16,全部可转债!$A:$S,7,0)</f>
        <v>120</v>
      </c>
      <c r="H16" s="354">
        <f t="shared" si="1"/>
        <v>2.7485229899820052E-2</v>
      </c>
      <c r="I16">
        <f>VLOOKUP($F16,全部可转债!$A:$S,19,0)</f>
        <v>0.51</v>
      </c>
      <c r="J16">
        <f>VLOOKUP($F16,全部可转债!$A:$S,17,0)</f>
        <v>0.09</v>
      </c>
      <c r="K16">
        <f>VLOOKUP($F16,全部可转债!$A:$S,5,0)</f>
        <v>7</v>
      </c>
      <c r="L16">
        <f>VLOOKUP($F16,全部可转债!$A:$S,6,0)</f>
        <v>9.1</v>
      </c>
      <c r="M16">
        <f>VLOOKUP($F16,全部可转债!$A:$S,18,0)</f>
        <v>5.92</v>
      </c>
      <c r="N16">
        <f>VLOOKUP($F16,全部可转债!$A:$S,8,0)</f>
        <v>5.95</v>
      </c>
      <c r="O16">
        <f>VLOOKUP($F16,全部可转债!$A:$S,15,0)</f>
        <v>20280923</v>
      </c>
      <c r="P16">
        <f>VLOOKUP($F16,全部可转债!$A:$S,14,0)</f>
        <v>6.4169999999999998</v>
      </c>
      <c r="Q16">
        <v>716</v>
      </c>
      <c r="R16" t="str">
        <f>VLOOKUP($F16,全部可转债!$A:$S,11,0)</f>
        <v>未满足</v>
      </c>
    </row>
    <row r="17" spans="1:19" x14ac:dyDescent="0.3">
      <c r="A17">
        <f>VLOOKUP($F17,全部可转债!$A:$S,9,0)</f>
        <v>119.17</v>
      </c>
      <c r="B17" s="343">
        <f t="shared" si="0"/>
        <v>130.70422535211267</v>
      </c>
      <c r="C17">
        <v>0</v>
      </c>
      <c r="D17">
        <f>VLOOKUP(F17,全部可转债!$A:$S,16,0)</f>
        <v>123.5</v>
      </c>
      <c r="E17" t="str">
        <f>VLOOKUP($F17,全部可转债!$A:$S,2,0)</f>
        <v>127062</v>
      </c>
      <c r="F17" t="s">
        <v>2061</v>
      </c>
      <c r="G17">
        <f>VLOOKUP($F17,全部可转债!$A:$S,7,0)</f>
        <v>115</v>
      </c>
      <c r="H17" s="354">
        <f t="shared" si="1"/>
        <v>-6.8825910931174072E-2</v>
      </c>
      <c r="I17">
        <f>VLOOKUP($F17,全部可转债!$A:$S,19,0)</f>
        <v>-0.23</v>
      </c>
      <c r="J17">
        <f>VLOOKUP($F17,全部可转债!$A:$S,17,0)</f>
        <v>0.41</v>
      </c>
      <c r="K17">
        <f>VLOOKUP($F17,全部可转债!$A:$S,5,0)</f>
        <v>7.56</v>
      </c>
      <c r="L17">
        <f>VLOOKUP($F17,全部可转债!$A:$S,6,0)</f>
        <v>9.8279999999999994</v>
      </c>
      <c r="M17">
        <f>VLOOKUP($F17,全部可转债!$A:$S,18,0)</f>
        <v>4.26</v>
      </c>
      <c r="N17">
        <f>VLOOKUP($F17,全部可转债!$A:$S,8,0)</f>
        <v>6.4260000000000002</v>
      </c>
      <c r="O17">
        <f>VLOOKUP($F17,全部可转债!$A:$S,15,0)</f>
        <v>20280421</v>
      </c>
      <c r="P17">
        <f>VLOOKUP($F17,全部可转债!$A:$S,14,0)</f>
        <v>3.9569999999999999</v>
      </c>
      <c r="Q17">
        <v>12</v>
      </c>
      <c r="R17" t="str">
        <f>VLOOKUP($F17,全部可转债!$A:$S,11,0)</f>
        <v>未满足</v>
      </c>
    </row>
    <row r="18" spans="1:19" ht="13.5" customHeight="1" x14ac:dyDescent="0.3">
      <c r="A18">
        <f>VLOOKUP($F18,全部可转债!$A:$S,9,0)</f>
        <v>35.590000000000003</v>
      </c>
      <c r="B18" s="343">
        <f t="shared" si="0"/>
        <v>36.980544747081723</v>
      </c>
      <c r="C18">
        <v>0</v>
      </c>
      <c r="D18">
        <f>VLOOKUP(F18,全部可转债!$A:$S,16,0)</f>
        <v>128.68</v>
      </c>
      <c r="E18" t="str">
        <f>VLOOKUP($F18,全部可转债!$A:$S,2,0)</f>
        <v>123171</v>
      </c>
      <c r="F18" t="s">
        <v>2062</v>
      </c>
      <c r="G18">
        <f>VLOOKUP($F18,全部可转债!$A:$S,7,0)</f>
        <v>115</v>
      </c>
      <c r="H18" s="354">
        <f t="shared" si="1"/>
        <v>-0.10631022691949021</v>
      </c>
      <c r="I18">
        <f>VLOOKUP($F18,全部可转债!$A:$S,19,0)</f>
        <v>2.72</v>
      </c>
      <c r="J18">
        <f>VLOOKUP($F18,全部可转债!$A:$S,17,0)</f>
        <v>1.02</v>
      </c>
      <c r="K18">
        <f>VLOOKUP($F18,全部可转债!$A:$S,5,0)</f>
        <v>27.08</v>
      </c>
      <c r="L18">
        <f>VLOOKUP($F18,全部可转债!$A:$S,6,0)</f>
        <v>35.204000000000001</v>
      </c>
      <c r="M18">
        <f>VLOOKUP($F18,全部可转债!$A:$S,18,0)</f>
        <v>25.7</v>
      </c>
      <c r="N18">
        <f>VLOOKUP($F18,全部可转债!$A:$S,8,0)</f>
        <v>23.018000000000001</v>
      </c>
      <c r="O18">
        <f>VLOOKUP($F18,全部可转债!$A:$S,15,0)</f>
        <v>20281128</v>
      </c>
      <c r="P18">
        <f>VLOOKUP($F18,全部可转债!$A:$S,14,0)</f>
        <v>3.7989999999999999</v>
      </c>
      <c r="Q18"/>
      <c r="R18" t="str">
        <f>VLOOKUP($F18,全部可转债!$A:$S,11,0)</f>
        <v>未满足</v>
      </c>
    </row>
    <row r="19" spans="1:19" x14ac:dyDescent="0.3">
      <c r="A19">
        <f>VLOOKUP($F19,全部可转债!$A:$S,9,0)</f>
        <v>79.28</v>
      </c>
      <c r="B19" s="343">
        <f t="shared" si="0"/>
        <v>87.001506780512301</v>
      </c>
      <c r="C19">
        <v>0</v>
      </c>
      <c r="D19">
        <f>VLOOKUP(F19,全部可转债!$A:$S,16,0)</f>
        <v>124.63</v>
      </c>
      <c r="E19" t="str">
        <f>VLOOKUP($F19,全部可转债!$A:$S,2,0)</f>
        <v>118037</v>
      </c>
      <c r="F19" t="s">
        <v>2063</v>
      </c>
      <c r="G19">
        <f>VLOOKUP($F19,全部可转债!$A:$S,7,0)</f>
        <v>111</v>
      </c>
      <c r="H19" s="354">
        <f t="shared" si="1"/>
        <v>-0.1093637166011393</v>
      </c>
      <c r="I19">
        <f>VLOOKUP($F19,全部可转债!$A:$S,19,0)</f>
        <v>-0.15</v>
      </c>
      <c r="J19">
        <f>VLOOKUP($F19,全部可转债!$A:$S,17,0)</f>
        <v>0.32</v>
      </c>
      <c r="K19">
        <f>VLOOKUP($F19,全部可转债!$A:$S,5,0)</f>
        <v>28.64</v>
      </c>
      <c r="L19">
        <f>VLOOKUP($F19,全部可转债!$A:$S,6,0)</f>
        <v>37.231999999999999</v>
      </c>
      <c r="M19">
        <f>VLOOKUP($F19,全部可转债!$A:$S,18,0)</f>
        <v>19.91</v>
      </c>
      <c r="N19">
        <f>VLOOKUP($F19,全部可转债!$A:$S,8,0)</f>
        <v>24.344000000000001</v>
      </c>
      <c r="O19">
        <f>VLOOKUP($F19,全部可转债!$A:$S,15,0)</f>
        <v>20290706</v>
      </c>
      <c r="P19">
        <f>VLOOKUP($F19,全部可转债!$A:$S,14,0)</f>
        <v>4.6790000000000003</v>
      </c>
      <c r="Q19"/>
      <c r="R19" t="str">
        <f>VLOOKUP($F19,全部可转债!$A:$S,11,0)</f>
        <v>未满足</v>
      </c>
    </row>
    <row r="20" spans="1:19" x14ac:dyDescent="0.3">
      <c r="A20" t="e">
        <f>VLOOKUP($F20,全部可转债!$A:$S,9,0)</f>
        <v>#N/A</v>
      </c>
      <c r="B20" s="343" t="e">
        <f t="shared" si="0"/>
        <v>#N/A</v>
      </c>
      <c r="C20">
        <v>0</v>
      </c>
      <c r="D20" t="e">
        <f>VLOOKUP(F20,全部可转债!$A:$S,16,0)</f>
        <v>#N/A</v>
      </c>
      <c r="E20" t="e">
        <f>VLOOKUP($F20,全部可转债!$A:$S,2,0)</f>
        <v>#N/A</v>
      </c>
      <c r="F20" t="s">
        <v>2064</v>
      </c>
      <c r="G20" t="e">
        <f>VLOOKUP($F20,全部可转债!$A:$S,7,0)</f>
        <v>#N/A</v>
      </c>
      <c r="H20" s="354" t="e">
        <f t="shared" si="1"/>
        <v>#N/A</v>
      </c>
      <c r="I20" t="e">
        <f>VLOOKUP($F20,全部可转债!$A:$S,19,0)</f>
        <v>#N/A</v>
      </c>
      <c r="J20" t="e">
        <f>VLOOKUP($F20,全部可转债!$A:$S,17,0)</f>
        <v>#N/A</v>
      </c>
      <c r="K20" t="e">
        <f>VLOOKUP($F20,全部可转债!$A:$S,5,0)</f>
        <v>#N/A</v>
      </c>
      <c r="L20" t="e">
        <f>VLOOKUP($F20,全部可转债!$A:$S,6,0)</f>
        <v>#N/A</v>
      </c>
      <c r="M20" t="e">
        <f>VLOOKUP($F20,全部可转债!$A:$S,18,0)</f>
        <v>#N/A</v>
      </c>
      <c r="N20" t="e">
        <f>VLOOKUP($F20,全部可转债!$A:$S,8,0)</f>
        <v>#N/A</v>
      </c>
      <c r="O20" t="e">
        <f>VLOOKUP($F20,全部可转债!$A:$S,15,0)</f>
        <v>#N/A</v>
      </c>
      <c r="P20" t="e">
        <f>VLOOKUP($F20,全部可转债!$A:$S,14,0)</f>
        <v>#N/A</v>
      </c>
      <c r="Q20"/>
      <c r="R20" t="e">
        <f>VLOOKUP($F20,全部可转债!$A:$S,11,0)</f>
        <v>#N/A</v>
      </c>
    </row>
    <row r="21" spans="1:19" x14ac:dyDescent="0.3">
      <c r="A21">
        <f>VLOOKUP($F21,全部可转债!$A:$S,9,0)</f>
        <v>28.15</v>
      </c>
      <c r="B21" s="343">
        <f t="shared" si="0"/>
        <v>24.898734177215189</v>
      </c>
      <c r="C21">
        <v>0</v>
      </c>
      <c r="D21">
        <f>VLOOKUP(F21,全部可转债!$A:$S,16,0)</f>
        <v>133.38</v>
      </c>
      <c r="E21" t="str">
        <f>VLOOKUP($F21,全部可转债!$A:$S,2,0)</f>
        <v>123189</v>
      </c>
      <c r="F21" t="s">
        <v>2065</v>
      </c>
      <c r="G21">
        <f>VLOOKUP($F21,全部可转债!$A:$S,7,0)</f>
        <v>113</v>
      </c>
      <c r="H21" s="354">
        <f t="shared" si="1"/>
        <v>-0.15279652121757381</v>
      </c>
      <c r="I21">
        <f>VLOOKUP($F21,全部可转债!$A:$S,19,0)</f>
        <v>-0.88</v>
      </c>
      <c r="J21">
        <f>VLOOKUP($F21,全部可转债!$A:$S,17,0)</f>
        <v>-0.37</v>
      </c>
      <c r="K21">
        <f>VLOOKUP($F21,全部可转债!$A:$S,5,0)</f>
        <v>15.18</v>
      </c>
      <c r="L21">
        <f>VLOOKUP($F21,全部可转债!$A:$S,6,0)</f>
        <v>19.734000000000002</v>
      </c>
      <c r="M21">
        <f>VLOOKUP($F21,全部可转债!$A:$S,18,0)</f>
        <v>15.8</v>
      </c>
      <c r="N21">
        <f>VLOOKUP($F21,全部可转债!$A:$S,8,0)</f>
        <v>12.903</v>
      </c>
      <c r="O21">
        <f>VLOOKUP($F21,全部可转债!$A:$S,15,0)</f>
        <v>20290406</v>
      </c>
      <c r="P21">
        <f>VLOOKUP($F21,全部可转债!$A:$S,14,0)</f>
        <v>3.286</v>
      </c>
      <c r="R21" t="str">
        <f>VLOOKUP($F21,全部可转债!$A:$S,11,0)</f>
        <v>未满足</v>
      </c>
    </row>
    <row r="22" spans="1:19" x14ac:dyDescent="0.3">
      <c r="A22">
        <f>VLOOKUP($F22,全部可转债!$A:$S,9,0)</f>
        <v>30.76</v>
      </c>
      <c r="B22" s="343">
        <f t="shared" si="0"/>
        <v>38.464373464373466</v>
      </c>
      <c r="C22">
        <v>0</v>
      </c>
      <c r="D22">
        <f>VLOOKUP(F22,全部可转债!$A:$S,16,0)</f>
        <v>122.77</v>
      </c>
      <c r="E22" t="str">
        <f>VLOOKUP($F22,全部可转债!$A:$S,2,0)</f>
        <v>113054</v>
      </c>
      <c r="F22" t="s">
        <v>2066</v>
      </c>
      <c r="G22">
        <f>VLOOKUP($F22,全部可转债!$A:$S,7,0)</f>
        <v>109</v>
      </c>
      <c r="H22" s="354">
        <f t="shared" si="1"/>
        <v>-0.11216095137248505</v>
      </c>
      <c r="I22">
        <f>VLOOKUP($F22,全部可转债!$A:$S,19,0)</f>
        <v>-1.45</v>
      </c>
      <c r="J22">
        <f>VLOOKUP($F22,全部可转债!$A:$S,17,0)</f>
        <v>-0.43</v>
      </c>
      <c r="K22">
        <f>VLOOKUP($F22,全部可转债!$A:$S,5,0)</f>
        <v>8.67</v>
      </c>
      <c r="L22">
        <f>VLOOKUP($F22,全部可转债!$A:$S,6,0)</f>
        <v>11.271000000000001</v>
      </c>
      <c r="M22">
        <f>VLOOKUP($F22,全部可转债!$A:$S,18,0)</f>
        <v>8.14</v>
      </c>
      <c r="N22">
        <f>VLOOKUP($F22,全部可转债!$A:$S,8,0)</f>
        <v>7.37</v>
      </c>
      <c r="O22">
        <f>VLOOKUP($F22,全部可转债!$A:$S,15,0)</f>
        <v>20280225</v>
      </c>
      <c r="P22">
        <f>VLOOKUP($F22,全部可转债!$A:$S,14,0)</f>
        <v>23.597999999999999</v>
      </c>
      <c r="R22" t="str">
        <f>VLOOKUP($F22,全部可转债!$A:$S,11,0)</f>
        <v>未满足</v>
      </c>
    </row>
    <row r="23" spans="1:19" ht="13.5" customHeight="1" x14ac:dyDescent="0.3">
      <c r="A23">
        <f>VLOOKUP($F23,全部可转债!$A:$S,9,0)</f>
        <v>35.229999999999997</v>
      </c>
      <c r="B23" s="343">
        <f t="shared" si="0"/>
        <v>40.955291090382758</v>
      </c>
      <c r="C23">
        <v>0</v>
      </c>
      <c r="D23">
        <f>VLOOKUP(F23,全部可转债!$A:$S,16,0)</f>
        <v>124.72</v>
      </c>
      <c r="E23" t="str">
        <f>VLOOKUP($F23,全部可转债!$A:$S,2,0)</f>
        <v>123142</v>
      </c>
      <c r="F23" t="s">
        <v>2067</v>
      </c>
      <c r="G23">
        <f>VLOOKUP($F23,全部可转债!$A:$S,7,0)</f>
        <v>110</v>
      </c>
      <c r="H23" s="354">
        <f t="shared" si="1"/>
        <v>-0.11802437459910198</v>
      </c>
      <c r="I23">
        <f>VLOOKUP($F23,全部可转债!$A:$S,19,0)</f>
        <v>4.5</v>
      </c>
      <c r="J23">
        <f>VLOOKUP($F23,全部可转债!$A:$S,17,0)</f>
        <v>1.31</v>
      </c>
      <c r="K23">
        <f>VLOOKUP($F23,全部可转债!$A:$S,5,0)</f>
        <v>33.71</v>
      </c>
      <c r="L23">
        <f>VLOOKUP($F23,全部可转债!$A:$S,6,0)</f>
        <v>43.823</v>
      </c>
      <c r="M23">
        <f>VLOOKUP($F23,全部可转债!$A:$S,18,0)</f>
        <v>31.09</v>
      </c>
      <c r="N23">
        <f>VLOOKUP($F23,全部可转债!$A:$S,8,0)</f>
        <v>28.652999999999999</v>
      </c>
      <c r="O23">
        <f>VLOOKUP($F23,全部可转债!$A:$S,15,0)</f>
        <v>20280318</v>
      </c>
      <c r="P23">
        <f>VLOOKUP($F23,全部可转债!$A:$S,14,0)</f>
        <v>5.4939999999999998</v>
      </c>
      <c r="Q23"/>
      <c r="R23" t="str">
        <f>VLOOKUP($F23,全部可转债!$A:$S,11,0)</f>
        <v>未满足</v>
      </c>
    </row>
    <row r="24" spans="1:19" ht="13.5" customHeight="1" x14ac:dyDescent="0.3">
      <c r="A24">
        <f>VLOOKUP($F24,全部可转债!$A:$S,9,0)</f>
        <v>70.569999999999993</v>
      </c>
      <c r="B24" s="343">
        <f t="shared" si="0"/>
        <v>84.247391952309982</v>
      </c>
      <c r="C24">
        <v>0</v>
      </c>
      <c r="D24">
        <f>VLOOKUP(F24,全部可转债!$A:$S,16,0)</f>
        <v>120.35</v>
      </c>
      <c r="E24" t="str">
        <f>VLOOKUP($F24,全部可转债!$A:$S,2,0)</f>
        <v>113652</v>
      </c>
      <c r="F24" t="s">
        <v>2068</v>
      </c>
      <c r="G24">
        <f>VLOOKUP($F24,全部可转债!$A:$S,7,0)</f>
        <v>110</v>
      </c>
      <c r="H24" s="354">
        <f t="shared" si="1"/>
        <v>-8.5999169090153704E-2</v>
      </c>
      <c r="I24">
        <f>VLOOKUP($F24,全部可转债!$A:$S,19,0)</f>
        <v>1.51</v>
      </c>
      <c r="J24">
        <f>VLOOKUP($F24,全部可转债!$A:$S,17,0)</f>
        <v>0.94</v>
      </c>
      <c r="K24">
        <f>VLOOKUP($F24,全部可转债!$A:$S,5,0)</f>
        <v>19.02</v>
      </c>
      <c r="L24">
        <f>VLOOKUP($F24,全部可转债!$A:$S,6,0)</f>
        <v>24.725999999999999</v>
      </c>
      <c r="M24">
        <f>VLOOKUP($F24,全部可转债!$A:$S,18,0)</f>
        <v>13.42</v>
      </c>
      <c r="N24">
        <f>VLOOKUP($F24,全部可转债!$A:$S,8,0)</f>
        <v>17.117999999999999</v>
      </c>
      <c r="O24">
        <f>VLOOKUP($F24,全部可转债!$A:$S,15,0)</f>
        <v>20280722</v>
      </c>
      <c r="P24">
        <f>VLOOKUP($F24,全部可转债!$A:$S,14,0)</f>
        <v>14.766</v>
      </c>
      <c r="Q24"/>
      <c r="R24" t="str">
        <f>VLOOKUP($F24,全部可转债!$A:$S,11,0)</f>
        <v>未满足</v>
      </c>
    </row>
    <row r="25" spans="1:19" x14ac:dyDescent="0.3">
      <c r="A25">
        <f>VLOOKUP($F25,全部可转债!$A:$S,9,0)</f>
        <v>11.18</v>
      </c>
      <c r="B25" s="343">
        <f t="shared" si="0"/>
        <v>8.6727122835943931</v>
      </c>
      <c r="C25">
        <v>0</v>
      </c>
      <c r="D25">
        <f>VLOOKUP(F25,全部可转债!$A:$S,16,0)</f>
        <v>133</v>
      </c>
      <c r="E25" t="str">
        <f>VLOOKUP($F25,全部可转债!$A:$S,2,0)</f>
        <v>111015</v>
      </c>
      <c r="F25" t="s">
        <v>2069</v>
      </c>
      <c r="G25">
        <f>VLOOKUP($F25,全部可转债!$A:$S,7,0)</f>
        <v>115</v>
      </c>
      <c r="H25" s="354">
        <f t="shared" si="1"/>
        <v>-0.13533834586466165</v>
      </c>
      <c r="I25">
        <f>VLOOKUP($F25,全部可转债!$A:$S,19,0)</f>
        <v>-2.2599999999999998</v>
      </c>
      <c r="J25">
        <f>VLOOKUP($F25,全部可转债!$A:$S,17,0)</f>
        <v>-0.1</v>
      </c>
      <c r="K25">
        <f>VLOOKUP($F25,全部可转债!$A:$S,5,0)</f>
        <v>20.28</v>
      </c>
      <c r="L25">
        <f>VLOOKUP($F25,全部可转债!$A:$S,6,0)</f>
        <v>26.364000000000001</v>
      </c>
      <c r="M25">
        <f>VLOOKUP($F25,全部可转债!$A:$S,18,0)</f>
        <v>24.26</v>
      </c>
      <c r="N25">
        <f>VLOOKUP($F25,全部可转债!$A:$S,8,0)</f>
        <v>18.251999999999999</v>
      </c>
      <c r="O25">
        <f>VLOOKUP($F25,全部可转债!$A:$S,15,0)</f>
        <v>20290706</v>
      </c>
      <c r="P25">
        <f>VLOOKUP($F25,全部可转债!$A:$S,14,0)</f>
        <v>6.6619999999999999</v>
      </c>
      <c r="Q25"/>
      <c r="R25" t="str">
        <f>VLOOKUP($F25,全部可转债!$A:$S,11,0)</f>
        <v>未满足</v>
      </c>
    </row>
    <row r="26" spans="1:19" x14ac:dyDescent="0.3">
      <c r="A26">
        <f>VLOOKUP($F26,全部可转债!$A:$S,9,0)</f>
        <v>6.77</v>
      </c>
      <c r="B26" s="343">
        <f t="shared" si="0"/>
        <v>28.518518518518533</v>
      </c>
      <c r="C26">
        <v>0</v>
      </c>
      <c r="D26">
        <f>VLOOKUP(F26,全部可转债!$A:$S,16,0)</f>
        <v>108</v>
      </c>
      <c r="E26" t="str">
        <f>VLOOKUP($F26,全部可转债!$A:$S,2,0)</f>
        <v>127061</v>
      </c>
      <c r="F26" t="s">
        <v>1992</v>
      </c>
      <c r="G26">
        <f>VLOOKUP($F26,全部可转债!$A:$S,7,0)</f>
        <v>118</v>
      </c>
      <c r="H26" s="354">
        <f t="shared" si="1"/>
        <v>9.259259259259256E-2</v>
      </c>
      <c r="I26">
        <f>VLOOKUP($F26,全部可转债!$A:$S,19,0)</f>
        <v>1.1499999999999999</v>
      </c>
      <c r="J26">
        <f>VLOOKUP($F26,全部可转债!$A:$S,17,0)</f>
        <v>0.62</v>
      </c>
      <c r="K26">
        <f>VLOOKUP($F26,全部可转债!$A:$S,5,0)</f>
        <v>3.47</v>
      </c>
      <c r="L26">
        <f>VLOOKUP($F26,全部可转债!$A:$S,6,0)</f>
        <v>4.5110000000000001</v>
      </c>
      <c r="M26">
        <f>VLOOKUP($F26,全部可转债!$A:$S,18,0)</f>
        <v>3.51</v>
      </c>
      <c r="N26">
        <f>VLOOKUP($F26,全部可转债!$A:$S,8,0)</f>
        <v>2.95</v>
      </c>
      <c r="O26">
        <f>VLOOKUP($F26,全部可转债!$A:$S,15,0)</f>
        <v>20280420</v>
      </c>
      <c r="P26">
        <f>VLOOKUP($F26,全部可转债!$A:$S,14,0)</f>
        <v>27.74</v>
      </c>
      <c r="Q26">
        <v>7</v>
      </c>
      <c r="R26" t="str">
        <f>VLOOKUP($F26,全部可转债!$A:$S,11,0)</f>
        <v>未满足</v>
      </c>
    </row>
    <row r="27" spans="1:19" x14ac:dyDescent="0.3">
      <c r="A27">
        <f>VLOOKUP($F27,全部可转债!$A:$S,9,0)</f>
        <v>42.62</v>
      </c>
      <c r="B27" s="343">
        <f t="shared" si="0"/>
        <v>47.215346534653463</v>
      </c>
      <c r="C27">
        <v>0</v>
      </c>
      <c r="D27">
        <f>VLOOKUP(F27,全部可转债!$A:$S,16,0)</f>
        <v>125.94</v>
      </c>
      <c r="E27" t="str">
        <f>VLOOKUP($F27,全部可转债!$A:$S,2,0)</f>
        <v>123122</v>
      </c>
      <c r="F27" t="s">
        <v>2070</v>
      </c>
      <c r="G27">
        <f>VLOOKUP($F27,全部可转债!$A:$S,7,0)</f>
        <v>115</v>
      </c>
      <c r="H27" s="354">
        <f t="shared" si="1"/>
        <v>-8.6866761950134985E-2</v>
      </c>
      <c r="I27">
        <f>VLOOKUP($F27,全部可转债!$A:$S,19,0)</f>
        <v>-2.08</v>
      </c>
      <c r="J27">
        <f>VLOOKUP($F27,全部可转债!$A:$S,17,0)</f>
        <v>-0.73</v>
      </c>
      <c r="K27">
        <f>VLOOKUP($F27,全部可转债!$A:$S,5,0)</f>
        <v>91.5</v>
      </c>
      <c r="L27">
        <f>VLOOKUP($F27,全部可转债!$A:$S,6,0)</f>
        <v>118.95</v>
      </c>
      <c r="M27">
        <f>VLOOKUP($F27,全部可转债!$A:$S,18,0)</f>
        <v>80.8</v>
      </c>
      <c r="N27">
        <f>VLOOKUP($F27,全部可转债!$A:$S,8,0)</f>
        <v>77.775000000000006</v>
      </c>
      <c r="O27">
        <f>VLOOKUP($F27,全部可转债!$A:$S,15,0)</f>
        <v>20270806</v>
      </c>
      <c r="P27">
        <f>VLOOKUP($F27,全部可转债!$A:$S,14,0)</f>
        <v>5.8010000000000002</v>
      </c>
      <c r="Q27">
        <v>1119</v>
      </c>
      <c r="R27" t="str">
        <f>VLOOKUP($F27,全部可转债!$A:$S,11,0)</f>
        <v>未满足</v>
      </c>
    </row>
    <row r="28" spans="1:19" x14ac:dyDescent="0.3">
      <c r="A28" t="e">
        <f>VLOOKUP($F28,全部可转债!$A:$S,9,0)</f>
        <v>#N/A</v>
      </c>
      <c r="B28" s="343" t="e">
        <f t="shared" si="0"/>
        <v>#N/A</v>
      </c>
      <c r="C28">
        <v>0</v>
      </c>
      <c r="D28" t="e">
        <f>VLOOKUP(F28,全部可转债!$A:$S,16,0)</f>
        <v>#N/A</v>
      </c>
      <c r="E28" t="e">
        <f>VLOOKUP($F28,全部可转债!$A:$S,2,0)</f>
        <v>#N/A</v>
      </c>
      <c r="F28" t="s">
        <v>2071</v>
      </c>
      <c r="G28" t="e">
        <f>VLOOKUP($F28,全部可转债!$A:$S,7,0)</f>
        <v>#N/A</v>
      </c>
      <c r="H28" s="354" t="e">
        <f t="shared" si="1"/>
        <v>#N/A</v>
      </c>
      <c r="I28" t="e">
        <f>VLOOKUP($F28,全部可转债!$A:$S,19,0)</f>
        <v>#N/A</v>
      </c>
      <c r="J28" t="e">
        <f>VLOOKUP($F28,全部可转债!$A:$S,17,0)</f>
        <v>#N/A</v>
      </c>
      <c r="K28" t="e">
        <f>VLOOKUP($F28,全部可转债!$A:$S,5,0)</f>
        <v>#N/A</v>
      </c>
      <c r="L28" t="e">
        <f>VLOOKUP($F28,全部可转债!$A:$S,6,0)</f>
        <v>#N/A</v>
      </c>
      <c r="M28" t="e">
        <f>VLOOKUP($F28,全部可转债!$A:$S,18,0)</f>
        <v>#N/A</v>
      </c>
      <c r="N28" t="e">
        <f>VLOOKUP($F28,全部可转债!$A:$S,8,0)</f>
        <v>#N/A</v>
      </c>
      <c r="O28" t="e">
        <f>VLOOKUP($F28,全部可转债!$A:$S,15,0)</f>
        <v>#N/A</v>
      </c>
      <c r="P28" t="e">
        <f>VLOOKUP($F28,全部可转债!$A:$S,14,0)</f>
        <v>#N/A</v>
      </c>
      <c r="Q28">
        <v>3</v>
      </c>
      <c r="R28" t="e">
        <f>VLOOKUP($F28,全部可转债!$A:$S,11,0)</f>
        <v>#N/A</v>
      </c>
    </row>
    <row r="29" spans="1:19" x14ac:dyDescent="0.3">
      <c r="A29" t="e">
        <f>VLOOKUP($F29,全部可转债!$A:$S,9,0)</f>
        <v>#N/A</v>
      </c>
      <c r="B29" s="343" t="e">
        <f t="shared" si="0"/>
        <v>#N/A</v>
      </c>
      <c r="C29">
        <v>0</v>
      </c>
      <c r="D29" t="e">
        <f>VLOOKUP(F29,全部可转债!$A:$S,16,0)</f>
        <v>#N/A</v>
      </c>
      <c r="E29" t="e">
        <f>VLOOKUP($F29,全部可转债!$A:$S,2,0)</f>
        <v>#N/A</v>
      </c>
      <c r="F29" t="s">
        <v>2072</v>
      </c>
      <c r="G29" t="e">
        <f>VLOOKUP($F29,全部可转债!$A:$S,7,0)</f>
        <v>#N/A</v>
      </c>
      <c r="H29" s="354" t="e">
        <f t="shared" si="1"/>
        <v>#N/A</v>
      </c>
      <c r="I29" t="e">
        <f>VLOOKUP($F29,全部可转债!$A:$S,19,0)</f>
        <v>#N/A</v>
      </c>
      <c r="J29" t="e">
        <f>VLOOKUP($F29,全部可转债!$A:$S,17,0)</f>
        <v>#N/A</v>
      </c>
      <c r="K29" t="e">
        <f>VLOOKUP($F29,全部可转债!$A:$S,5,0)</f>
        <v>#N/A</v>
      </c>
      <c r="L29" t="e">
        <f>VLOOKUP($F29,全部可转债!$A:$S,6,0)</f>
        <v>#N/A</v>
      </c>
      <c r="M29" t="e">
        <f>VLOOKUP($F29,全部可转债!$A:$S,18,0)</f>
        <v>#N/A</v>
      </c>
      <c r="N29" t="e">
        <f>VLOOKUP($F29,全部可转债!$A:$S,8,0)</f>
        <v>#N/A</v>
      </c>
      <c r="O29" t="e">
        <f>VLOOKUP($F29,全部可转债!$A:$S,15,0)</f>
        <v>#N/A</v>
      </c>
      <c r="P29" t="e">
        <f>VLOOKUP($F29,全部可转债!$A:$S,14,0)</f>
        <v>#N/A</v>
      </c>
      <c r="Q29"/>
      <c r="R29" t="e">
        <f>VLOOKUP($F29,全部可转债!$A:$S,11,0)</f>
        <v>#N/A</v>
      </c>
    </row>
    <row r="30" spans="1:19" x14ac:dyDescent="0.3">
      <c r="A30">
        <f>VLOOKUP($F30,全部可转债!$A:$S,9,0)</f>
        <v>70.52</v>
      </c>
      <c r="B30" s="343">
        <f t="shared" si="0"/>
        <v>77.908902691511372</v>
      </c>
      <c r="C30">
        <v>0</v>
      </c>
      <c r="D30">
        <f>VLOOKUP(F30,全部可转债!$A:$S,16,0)</f>
        <v>124.6</v>
      </c>
      <c r="E30" t="str">
        <f>VLOOKUP($F30,全部可转债!$A:$S,2,0)</f>
        <v>123216</v>
      </c>
      <c r="F30" t="s">
        <v>2073</v>
      </c>
      <c r="G30">
        <f>VLOOKUP($F30,全部可转债!$A:$S,7,0)</f>
        <v>115</v>
      </c>
      <c r="H30" s="354">
        <f t="shared" si="1"/>
        <v>-7.7046548956661298E-2</v>
      </c>
      <c r="I30">
        <f>VLOOKUP($F30,全部可转债!$A:$S,19,0)</f>
        <v>4.7699999999999996</v>
      </c>
      <c r="J30">
        <f>VLOOKUP($F30,全部可转债!$A:$S,17,0)</f>
        <v>1.99</v>
      </c>
      <c r="K30">
        <f>VLOOKUP($F30,全部可转债!$A:$S,5,0)</f>
        <v>6.61</v>
      </c>
      <c r="L30">
        <f>VLOOKUP($F30,全部可转债!$A:$S,6,0)</f>
        <v>8.593</v>
      </c>
      <c r="M30">
        <f>VLOOKUP($F30,全部可转债!$A:$S,18,0)</f>
        <v>4.83</v>
      </c>
      <c r="N30">
        <f>VLOOKUP($F30,全部可转债!$A:$S,8,0)</f>
        <v>5.6189999999999998</v>
      </c>
      <c r="O30">
        <f>VLOOKUP($F30,全部可转债!$A:$S,15,0)</f>
        <v>20290804</v>
      </c>
      <c r="P30">
        <f>VLOOKUP($F30,全部可转债!$A:$S,14,0)</f>
        <v>21.959</v>
      </c>
      <c r="R30" t="str">
        <f>VLOOKUP($F30,全部可转债!$A:$S,11,0)</f>
        <v>未满足</v>
      </c>
    </row>
    <row r="31" spans="1:19" x14ac:dyDescent="0.3">
      <c r="A31">
        <f>VLOOKUP($F31,全部可转债!$A:$S,9,0)</f>
        <v>29.31</v>
      </c>
      <c r="B31" s="343">
        <f t="shared" si="0"/>
        <v>19.473422752111276</v>
      </c>
      <c r="C31">
        <v>0</v>
      </c>
      <c r="D31">
        <f>VLOOKUP(F31,全部可转债!$A:$S,16,0)</f>
        <v>140.71</v>
      </c>
      <c r="E31" t="str">
        <f>VLOOKUP($F31,全部可转债!$A:$S,2,0)</f>
        <v>118036</v>
      </c>
      <c r="F31" t="s">
        <v>2074</v>
      </c>
      <c r="G31">
        <f>VLOOKUP($F31,全部可转债!$A:$S,7,0)</f>
        <v>115</v>
      </c>
      <c r="H31" s="354">
        <f t="shared" si="1"/>
        <v>-0.18271622485964045</v>
      </c>
      <c r="I31">
        <f>VLOOKUP($F31,全部可转债!$A:$S,19,0)</f>
        <v>-2.38</v>
      </c>
      <c r="J31">
        <f>VLOOKUP($F31,全部可转债!$A:$S,17,0)</f>
        <v>-0.77</v>
      </c>
      <c r="K31">
        <f>VLOOKUP($F31,全部可转债!$A:$S,5,0)</f>
        <v>18.5</v>
      </c>
      <c r="L31">
        <f>VLOOKUP($F31,全部可转债!$A:$S,6,0)</f>
        <v>24.05</v>
      </c>
      <c r="M31">
        <f>VLOOKUP($F31,全部可转债!$A:$S,18,0)</f>
        <v>20.13</v>
      </c>
      <c r="N31">
        <f>VLOOKUP($F31,全部可转债!$A:$S,8,0)</f>
        <v>15.725</v>
      </c>
      <c r="O31">
        <f>VLOOKUP($F31,全部可转债!$A:$S,15,0)</f>
        <v>20290628</v>
      </c>
      <c r="P31">
        <f>VLOOKUP($F31,全部可转债!$A:$S,14,0)</f>
        <v>3.8</v>
      </c>
      <c r="Q31"/>
      <c r="R31" t="str">
        <f>VLOOKUP($F31,全部可转债!$A:$S,11,0)</f>
        <v>未满足</v>
      </c>
      <c r="S31">
        <v>0</v>
      </c>
    </row>
    <row r="32" spans="1:19" x14ac:dyDescent="0.3">
      <c r="A32">
        <f>VLOOKUP($F32,全部可转债!$A:$S,9,0)</f>
        <v>55.05</v>
      </c>
      <c r="B32" s="343">
        <f t="shared" si="0"/>
        <v>59.974662162162161</v>
      </c>
      <c r="C32">
        <v>0</v>
      </c>
      <c r="D32">
        <f>VLOOKUP(F32,全部可转债!$A:$S,16,0)</f>
        <v>126</v>
      </c>
      <c r="E32" t="str">
        <f>VLOOKUP($F32,全部可转债!$A:$S,2,0)</f>
        <v>127069</v>
      </c>
      <c r="F32" t="s">
        <v>2075</v>
      </c>
      <c r="G32">
        <f>VLOOKUP($F32,全部可转债!$A:$S,7,0)</f>
        <v>115</v>
      </c>
      <c r="H32" s="354">
        <f t="shared" si="1"/>
        <v>-8.7301587301587324E-2</v>
      </c>
      <c r="I32">
        <f>VLOOKUP($F32,全部可转债!$A:$S,19,0)</f>
        <v>-0.08</v>
      </c>
      <c r="J32">
        <f>VLOOKUP($F32,全部可转债!$A:$S,17,0)</f>
        <v>0.36</v>
      </c>
      <c r="K32">
        <f>VLOOKUP($F32,全部可转债!$A:$S,5,0)</f>
        <v>43.71</v>
      </c>
      <c r="L32">
        <f>VLOOKUP($F32,全部可转债!$A:$S,6,0)</f>
        <v>56.823</v>
      </c>
      <c r="M32">
        <f>VLOOKUP($F32,全部可转债!$A:$S,18,0)</f>
        <v>35.520000000000003</v>
      </c>
      <c r="N32">
        <f>VLOOKUP($F32,全部可转债!$A:$S,8,0)</f>
        <v>37.154000000000003</v>
      </c>
      <c r="O32">
        <f>VLOOKUP($F32,全部可转债!$A:$S,15,0)</f>
        <v>20280812</v>
      </c>
      <c r="P32">
        <f>VLOOKUP($F32,全部可转债!$A:$S,14,0)</f>
        <v>5.0410000000000004</v>
      </c>
      <c r="Q32"/>
      <c r="R32" t="str">
        <f>VLOOKUP($F32,全部可转债!$A:$S,11,0)</f>
        <v>未满足</v>
      </c>
      <c r="S32"/>
    </row>
    <row r="33" spans="1:19" x14ac:dyDescent="0.3">
      <c r="A33">
        <f>VLOOKUP($F33,全部可转债!$A:$S,9,0)</f>
        <v>50.79</v>
      </c>
      <c r="B33" s="343">
        <f t="shared" si="0"/>
        <v>71.66172106824925</v>
      </c>
      <c r="C33">
        <v>0</v>
      </c>
      <c r="D33">
        <f>VLOOKUP(F33,全部可转债!$A:$S,16,0)</f>
        <v>114.19</v>
      </c>
      <c r="E33" t="str">
        <f>VLOOKUP($F33,全部可转债!$A:$S,2,0)</f>
        <v>127089</v>
      </c>
      <c r="F33" t="s">
        <v>2076</v>
      </c>
      <c r="G33">
        <f>VLOOKUP($F33,全部可转债!$A:$S,7,0)</f>
        <v>108</v>
      </c>
      <c r="H33" s="354">
        <f t="shared" si="1"/>
        <v>-5.4207899115509273E-2</v>
      </c>
      <c r="I33">
        <f>VLOOKUP($F33,全部可转债!$A:$S,19,0)</f>
        <v>2.12</v>
      </c>
      <c r="J33">
        <f>VLOOKUP($F33,全部可转债!$A:$S,17,0)</f>
        <v>0.5</v>
      </c>
      <c r="K33">
        <f>VLOOKUP($F33,全部可转债!$A:$S,5,0)</f>
        <v>8.9</v>
      </c>
      <c r="L33">
        <f>VLOOKUP($F33,全部可转债!$A:$S,6,0)</f>
        <v>11.57</v>
      </c>
      <c r="M33">
        <f>VLOOKUP($F33,全部可转债!$A:$S,18,0)</f>
        <v>6.74</v>
      </c>
      <c r="N33">
        <f>VLOOKUP($F33,全部可转债!$A:$S,8,0)</f>
        <v>7.5650000000000004</v>
      </c>
      <c r="O33">
        <f>VLOOKUP($F33,全部可转债!$A:$S,15,0)</f>
        <v>20290718</v>
      </c>
      <c r="P33">
        <f>VLOOKUP($F33,全部可转债!$A:$S,14,0)</f>
        <v>89.587999999999994</v>
      </c>
      <c r="Q33"/>
      <c r="R33" t="str">
        <f>VLOOKUP($F33,全部可转债!$A:$S,11,0)</f>
        <v>未满足</v>
      </c>
    </row>
    <row r="34" spans="1:19" x14ac:dyDescent="0.3">
      <c r="A34">
        <f>VLOOKUP($F34,全部可转债!$A:$S,9,0)</f>
        <v>35.68</v>
      </c>
      <c r="B34" s="343">
        <f t="shared" si="0"/>
        <v>36.847041847041851</v>
      </c>
      <c r="C34">
        <v>3</v>
      </c>
      <c r="D34">
        <f>VLOOKUP(F34,全部可转债!$A:$S,16,0)</f>
        <v>128.88999999999999</v>
      </c>
      <c r="E34" t="str">
        <f>VLOOKUP($F34,全部可转债!$A:$S,2,0)</f>
        <v>113661</v>
      </c>
      <c r="F34" t="s">
        <v>2077</v>
      </c>
      <c r="G34">
        <f>VLOOKUP($F34,全部可转债!$A:$S,7,0)</f>
        <v>110</v>
      </c>
      <c r="H34" s="354">
        <f t="shared" si="1"/>
        <v>-0.14655908138722928</v>
      </c>
      <c r="I34">
        <f>VLOOKUP($F34,全部可转债!$A:$S,19,0)</f>
        <v>0.73</v>
      </c>
      <c r="J34">
        <f>VLOOKUP($F34,全部可转债!$A:$S,17,0)</f>
        <v>0.56999999999999995</v>
      </c>
      <c r="K34">
        <f>VLOOKUP($F34,全部可转债!$A:$S,5,0)</f>
        <v>14.59</v>
      </c>
      <c r="L34">
        <f>VLOOKUP($F34,全部可转债!$A:$S,6,0)</f>
        <v>18.966999999999999</v>
      </c>
      <c r="M34">
        <f>VLOOKUP($F34,全部可转债!$A:$S,18,0)</f>
        <v>13.86</v>
      </c>
      <c r="N34">
        <f>VLOOKUP($F34,全部可转债!$A:$S,8,0)</f>
        <v>12.401999999999999</v>
      </c>
      <c r="O34">
        <f>VLOOKUP($F34,全部可转债!$A:$S,15,0)</f>
        <v>20281122</v>
      </c>
      <c r="P34">
        <f>VLOOKUP($F34,全部可转债!$A:$S,14,0)</f>
        <v>30.297000000000001</v>
      </c>
      <c r="Q34"/>
      <c r="R34" t="str">
        <f>VLOOKUP($F34,全部可转债!$A:$S,11,0)</f>
        <v>未满足</v>
      </c>
    </row>
    <row r="35" spans="1:19" x14ac:dyDescent="0.3">
      <c r="A35">
        <f>VLOOKUP($F35,全部可转债!$A:$S,9,0)</f>
        <v>24.15</v>
      </c>
      <c r="B35" s="343">
        <f t="shared" si="0"/>
        <v>24.94011976047905</v>
      </c>
      <c r="C35">
        <v>8</v>
      </c>
      <c r="D35">
        <f>VLOOKUP(F35,全部可转债!$A:$S,16,0)</f>
        <v>129.18</v>
      </c>
      <c r="E35" t="str">
        <f>VLOOKUP($F35,全部可转债!$A:$S,2,0)</f>
        <v>110084</v>
      </c>
      <c r="F35" t="s">
        <v>2078</v>
      </c>
      <c r="G35">
        <f>VLOOKUP($F35,全部可转债!$A:$S,7,0)</f>
        <v>110</v>
      </c>
      <c r="H35" s="354">
        <f t="shared" si="1"/>
        <v>-0.14847499612943182</v>
      </c>
      <c r="I35">
        <f>VLOOKUP($F35,全部可转债!$A:$S,19,0)</f>
        <v>2.61</v>
      </c>
      <c r="J35">
        <f>VLOOKUP($F35,全部可转债!$A:$S,17,0)</f>
        <v>0.8</v>
      </c>
      <c r="K35">
        <f>VLOOKUP($F35,全部可转债!$A:$S,5,0)</f>
        <v>6.42</v>
      </c>
      <c r="L35">
        <f>VLOOKUP($F35,全部可转债!$A:$S,6,0)</f>
        <v>8.3460000000000001</v>
      </c>
      <c r="M35">
        <f>VLOOKUP($F35,全部可转债!$A:$S,18,0)</f>
        <v>6.68</v>
      </c>
      <c r="N35">
        <f>VLOOKUP($F35,全部可转债!$A:$S,8,0)</f>
        <v>5.4569999999999999</v>
      </c>
      <c r="O35">
        <f>VLOOKUP($F35,全部可转债!$A:$S,15,0)</f>
        <v>20271227</v>
      </c>
      <c r="P35">
        <f>VLOOKUP($F35,全部可转债!$A:$S,14,0)</f>
        <v>8.157</v>
      </c>
      <c r="Q35"/>
      <c r="R35" t="str">
        <f>VLOOKUP($F35,全部可转债!$A:$S,11,0)</f>
        <v>未满足</v>
      </c>
    </row>
    <row r="36" spans="1:19" x14ac:dyDescent="0.3">
      <c r="A36" t="e">
        <f>VLOOKUP($F36,全部可转债!$A:$S,9,0)</f>
        <v>#N/A</v>
      </c>
      <c r="B36" s="343" t="e">
        <f t="shared" si="0"/>
        <v>#N/A</v>
      </c>
      <c r="C36">
        <v>-1</v>
      </c>
      <c r="D36" t="e">
        <f>VLOOKUP(F36,全部可转债!$A:$S,16,0)</f>
        <v>#N/A</v>
      </c>
      <c r="E36" t="e">
        <f>VLOOKUP($F36,全部可转债!$A:$S,2,0)</f>
        <v>#N/A</v>
      </c>
      <c r="F36" t="s">
        <v>2079</v>
      </c>
      <c r="G36" t="e">
        <f>VLOOKUP($F36,全部可转债!$A:$S,7,0)</f>
        <v>#N/A</v>
      </c>
      <c r="H36" s="354" t="e">
        <f t="shared" si="1"/>
        <v>#N/A</v>
      </c>
      <c r="I36" t="e">
        <f>VLOOKUP($F36,全部可转债!$A:$S,19,0)</f>
        <v>#N/A</v>
      </c>
      <c r="J36" t="e">
        <f>VLOOKUP($F36,全部可转债!$A:$S,17,0)</f>
        <v>#N/A</v>
      </c>
      <c r="K36" t="e">
        <f>VLOOKUP($F36,全部可转债!$A:$S,5,0)</f>
        <v>#N/A</v>
      </c>
      <c r="L36" t="e">
        <f>VLOOKUP($F36,全部可转债!$A:$S,6,0)</f>
        <v>#N/A</v>
      </c>
      <c r="M36" t="e">
        <f>VLOOKUP($F36,全部可转债!$A:$S,18,0)</f>
        <v>#N/A</v>
      </c>
      <c r="N36" t="e">
        <f>VLOOKUP($F36,全部可转债!$A:$S,8,0)</f>
        <v>#N/A</v>
      </c>
      <c r="O36" t="e">
        <f>VLOOKUP($F36,全部可转债!$A:$S,15,0)</f>
        <v>#N/A</v>
      </c>
      <c r="P36" t="e">
        <f>VLOOKUP($F36,全部可转债!$A:$S,14,0)</f>
        <v>#N/A</v>
      </c>
      <c r="Q36"/>
      <c r="R36" t="e">
        <f>VLOOKUP($F36,全部可转债!$A:$S,11,0)</f>
        <v>#N/A</v>
      </c>
    </row>
    <row r="37" spans="1:19" x14ac:dyDescent="0.3">
      <c r="A37">
        <f>VLOOKUP($F37,全部可转债!$A:$S,9,0)</f>
        <v>32.32</v>
      </c>
      <c r="B37" s="343">
        <f t="shared" si="0"/>
        <v>30.613207547169822</v>
      </c>
      <c r="C37">
        <v>0</v>
      </c>
      <c r="D37">
        <f>VLOOKUP(F37,全部可转债!$A:$S,16,0)</f>
        <v>131.69999999999999</v>
      </c>
      <c r="E37" t="str">
        <f>VLOOKUP($F37,全部可转债!$A:$S,2,0)</f>
        <v>123172</v>
      </c>
      <c r="F37" t="s">
        <v>2080</v>
      </c>
      <c r="G37">
        <f>VLOOKUP($F37,全部可转债!$A:$S,7,0)</f>
        <v>113</v>
      </c>
      <c r="H37" s="354">
        <f t="shared" si="1"/>
        <v>-0.14198936977980248</v>
      </c>
      <c r="I37">
        <f>VLOOKUP($F37,全部可转债!$A:$S,19,0)</f>
        <v>5.7</v>
      </c>
      <c r="J37">
        <f>VLOOKUP($F37,全部可转债!$A:$S,17,0)</f>
        <v>2.39</v>
      </c>
      <c r="K37">
        <f>VLOOKUP($F37,全部可转债!$A:$S,5,0)</f>
        <v>14.91</v>
      </c>
      <c r="L37">
        <f>VLOOKUP($F37,全部可转债!$A:$S,6,0)</f>
        <v>19.382999999999999</v>
      </c>
      <c r="M37">
        <f>VLOOKUP($F37,全部可转债!$A:$S,18,0)</f>
        <v>14.84</v>
      </c>
      <c r="N37">
        <f>VLOOKUP($F37,全部可转债!$A:$S,8,0)</f>
        <v>12.673</v>
      </c>
      <c r="O37">
        <f>VLOOKUP($F37,全部可转债!$A:$S,15,0)</f>
        <v>20281215</v>
      </c>
      <c r="P37">
        <f>VLOOKUP($F37,全部可转债!$A:$S,14,0)</f>
        <v>7.96</v>
      </c>
      <c r="Q37"/>
      <c r="R37" t="str">
        <f>VLOOKUP($F37,全部可转债!$A:$S,11,0)</f>
        <v>未满足</v>
      </c>
    </row>
    <row r="38" spans="1:19" x14ac:dyDescent="0.3">
      <c r="A38">
        <f>VLOOKUP($F38,全部可转债!$A:$S,9,0)</f>
        <v>53.04</v>
      </c>
      <c r="B38" s="343">
        <f t="shared" si="0"/>
        <v>47.782274382840967</v>
      </c>
      <c r="C38">
        <v>0</v>
      </c>
      <c r="D38">
        <f>VLOOKUP(F38,全部可转债!$A:$S,16,0)</f>
        <v>134.62</v>
      </c>
      <c r="E38" t="str">
        <f>VLOOKUP($F38,全部可转债!$A:$S,2,0)</f>
        <v>123224</v>
      </c>
      <c r="F38" t="s">
        <v>2081</v>
      </c>
      <c r="G38">
        <f>VLOOKUP($F38,全部可转债!$A:$S,7,0)</f>
        <v>115</v>
      </c>
      <c r="H38" s="354">
        <f t="shared" si="1"/>
        <v>-0.14574357450601694</v>
      </c>
      <c r="I38">
        <f>VLOOKUP($F38,全部可转债!$A:$S,19,0)</f>
        <v>-0.2</v>
      </c>
      <c r="J38">
        <f>VLOOKUP($F38,全部可转债!$A:$S,17,0)</f>
        <v>0</v>
      </c>
      <c r="K38">
        <f>VLOOKUP($F38,全部可转债!$A:$S,5,0)</f>
        <v>28.09</v>
      </c>
      <c r="L38">
        <f>VLOOKUP($F38,全部可转债!$A:$S,6,0)</f>
        <v>36.517000000000003</v>
      </c>
      <c r="M38">
        <f>VLOOKUP($F38,全部可转债!$A:$S,18,0)</f>
        <v>24.71</v>
      </c>
      <c r="N38">
        <f>VLOOKUP($F38,全部可转债!$A:$S,8,0)</f>
        <v>23.876999999999999</v>
      </c>
      <c r="O38">
        <f>VLOOKUP($F38,全部可转债!$A:$S,15,0)</f>
        <v>20290919</v>
      </c>
      <c r="P38">
        <f>VLOOKUP($F38,全部可转债!$A:$S,14,0)</f>
        <v>2.8479999999999999</v>
      </c>
      <c r="Q38"/>
      <c r="R38" t="str">
        <f>VLOOKUP($F38,全部可转债!$A:$S,11,0)</f>
        <v>未满足</v>
      </c>
    </row>
    <row r="39" spans="1:19" x14ac:dyDescent="0.3">
      <c r="A39">
        <f>VLOOKUP($F39,全部可转债!$A:$S,9,0)</f>
        <v>37.31</v>
      </c>
      <c r="B39" s="343">
        <f t="shared" ref="B39:B70" si="2">L39*100/M39-100</f>
        <v>48.599496221662463</v>
      </c>
      <c r="C39">
        <v>0</v>
      </c>
      <c r="D39">
        <f>VLOOKUP(F39,全部可转债!$A:$S,16,0)</f>
        <v>120.12</v>
      </c>
      <c r="E39" t="str">
        <f>VLOOKUP($F39,全部可转债!$A:$S,2,0)</f>
        <v>123114</v>
      </c>
      <c r="F39" t="s">
        <v>2082</v>
      </c>
      <c r="G39">
        <f>VLOOKUP($F39,全部可转债!$A:$S,7,0)</f>
        <v>115</v>
      </c>
      <c r="H39" s="354">
        <f t="shared" ref="H39:H70" si="3">G39/D39-1</f>
        <v>-4.2624042624042624E-2</v>
      </c>
      <c r="I39">
        <f>VLOOKUP($F39,全部可转债!$A:$S,19,0)</f>
        <v>-0.65</v>
      </c>
      <c r="J39">
        <f>VLOOKUP($F39,全部可转债!$A:$S,17,0)</f>
        <v>0.19</v>
      </c>
      <c r="K39">
        <f>VLOOKUP($F39,全部可转债!$A:$S,5,0)</f>
        <v>22.69</v>
      </c>
      <c r="L39">
        <f>VLOOKUP($F39,全部可转债!$A:$S,6,0)</f>
        <v>29.497</v>
      </c>
      <c r="M39">
        <f>VLOOKUP($F39,全部可转债!$A:$S,18,0)</f>
        <v>19.850000000000001</v>
      </c>
      <c r="N39">
        <f>VLOOKUP($F39,全部可转债!$A:$S,8,0)</f>
        <v>19.286999999999999</v>
      </c>
      <c r="O39">
        <f>VLOOKUP($F39,全部可转债!$A:$S,15,0)</f>
        <v>20270525</v>
      </c>
      <c r="P39">
        <f>VLOOKUP($F39,全部可转债!$A:$S,14,0)</f>
        <v>8.9990000000000006</v>
      </c>
      <c r="Q39"/>
      <c r="R39" t="str">
        <f>VLOOKUP($F39,全部可转债!$A:$S,11,0)</f>
        <v>未满足</v>
      </c>
    </row>
    <row r="40" spans="1:19" x14ac:dyDescent="0.3">
      <c r="A40">
        <f>VLOOKUP($F40,全部可转债!$A:$S,9,0)</f>
        <v>27.65</v>
      </c>
      <c r="B40" s="343">
        <f t="shared" si="2"/>
        <v>35.602873268342734</v>
      </c>
      <c r="C40">
        <v>0</v>
      </c>
      <c r="D40">
        <f>VLOOKUP(F40,全部可转债!$A:$S,16,0)</f>
        <v>122.37</v>
      </c>
      <c r="E40" t="str">
        <f>VLOOKUP($F40,全部可转债!$A:$S,2,0)</f>
        <v>127046</v>
      </c>
      <c r="F40" t="s">
        <v>2083</v>
      </c>
      <c r="G40">
        <f>VLOOKUP($F40,全部可转债!$A:$S,7,0)</f>
        <v>110</v>
      </c>
      <c r="H40" s="354">
        <f t="shared" si="3"/>
        <v>-0.1010868676963308</v>
      </c>
      <c r="I40">
        <f>VLOOKUP($F40,全部可转债!$A:$S,19,0)</f>
        <v>3.07</v>
      </c>
      <c r="J40">
        <f>VLOOKUP($F40,全部可转债!$A:$S,17,0)</f>
        <v>-0.13</v>
      </c>
      <c r="K40">
        <f>VLOOKUP($F40,全部可转债!$A:$S,5,0)</f>
        <v>20.329999999999998</v>
      </c>
      <c r="L40">
        <f>VLOOKUP($F40,全部可转债!$A:$S,6,0)</f>
        <v>26.428999999999998</v>
      </c>
      <c r="M40">
        <f>VLOOKUP($F40,全部可转债!$A:$S,18,0)</f>
        <v>19.489999999999998</v>
      </c>
      <c r="N40">
        <f>VLOOKUP($F40,全部可转债!$A:$S,8,0)</f>
        <v>17.28</v>
      </c>
      <c r="O40">
        <f>VLOOKUP($F40,全部可转债!$A:$S,15,0)</f>
        <v>20270929</v>
      </c>
      <c r="P40">
        <f>VLOOKUP($F40,全部可转债!$A:$S,14,0)</f>
        <v>11.273999999999999</v>
      </c>
      <c r="Q40"/>
      <c r="R40" t="str">
        <f>VLOOKUP($F40,全部可转债!$A:$S,11,0)</f>
        <v>未满足</v>
      </c>
      <c r="S40"/>
    </row>
    <row r="41" spans="1:19" x14ac:dyDescent="0.3">
      <c r="A41">
        <f>VLOOKUP($F41,全部可转债!$A:$S,9,0)</f>
        <v>49.74</v>
      </c>
      <c r="B41" s="343">
        <f t="shared" si="2"/>
        <v>66.730158730158706</v>
      </c>
      <c r="C41">
        <v>0</v>
      </c>
      <c r="D41">
        <f>VLOOKUP(F41,全部可转债!$A:$S,16,0)</f>
        <v>116.75</v>
      </c>
      <c r="E41" t="str">
        <f>VLOOKUP($F41,全部可转债!$A:$S,2,0)</f>
        <v>110093</v>
      </c>
      <c r="F41" t="s">
        <v>2084</v>
      </c>
      <c r="G41">
        <f>VLOOKUP($F41,全部可转债!$A:$S,7,0)</f>
        <v>107</v>
      </c>
      <c r="H41" s="354">
        <f t="shared" si="3"/>
        <v>-8.3511777301927159E-2</v>
      </c>
      <c r="I41">
        <f>VLOOKUP($F41,全部可转债!$A:$S,19,0)</f>
        <v>1.29</v>
      </c>
      <c r="J41">
        <f>VLOOKUP($F41,全部可转债!$A:$S,17,0)</f>
        <v>0.56999999999999995</v>
      </c>
      <c r="K41">
        <f>VLOOKUP($F41,全部可转债!$A:$S,5,0)</f>
        <v>8.08</v>
      </c>
      <c r="L41">
        <f>VLOOKUP($F41,全部可转债!$A:$S,6,0)</f>
        <v>10.504</v>
      </c>
      <c r="M41">
        <f>VLOOKUP($F41,全部可转债!$A:$S,18,0)</f>
        <v>6.3</v>
      </c>
      <c r="N41">
        <f>VLOOKUP($F41,全部可转债!$A:$S,8,0)</f>
        <v>6.4640000000000004</v>
      </c>
      <c r="O41">
        <f>VLOOKUP($F41,全部可转债!$A:$S,15,0)</f>
        <v>20290316</v>
      </c>
      <c r="P41">
        <f>VLOOKUP($F41,全部可转债!$A:$S,14,0)</f>
        <v>22.196999999999999</v>
      </c>
      <c r="Q41"/>
      <c r="R41" t="str">
        <f>VLOOKUP($F41,全部可转债!$A:$S,11,0)</f>
        <v>未满足</v>
      </c>
    </row>
    <row r="42" spans="1:19" x14ac:dyDescent="0.3">
      <c r="A42">
        <f>VLOOKUP($F42,全部可转债!$A:$S,9,0)</f>
        <v>72.61</v>
      </c>
      <c r="B42" s="343">
        <f t="shared" si="2"/>
        <v>99.354838709677438</v>
      </c>
      <c r="C42">
        <v>0</v>
      </c>
      <c r="D42">
        <f>VLOOKUP(F42,全部可转债!$A:$S,16,0)</f>
        <v>112.56</v>
      </c>
      <c r="E42" t="str">
        <f>VLOOKUP($F42,全部可转债!$A:$S,2,0)</f>
        <v>110095</v>
      </c>
      <c r="F42" t="s">
        <v>2085</v>
      </c>
      <c r="G42">
        <f>VLOOKUP($F42,全部可转债!$A:$S,7,0)</f>
        <v>110</v>
      </c>
      <c r="H42" s="354">
        <f t="shared" si="3"/>
        <v>-2.274342572850041E-2</v>
      </c>
      <c r="I42">
        <f>VLOOKUP($F42,全部可转债!$A:$S,19,0)</f>
        <v>3.07</v>
      </c>
      <c r="J42">
        <f>VLOOKUP($F42,全部可转债!$A:$S,17,0)</f>
        <v>0.97</v>
      </c>
      <c r="K42">
        <f>VLOOKUP($F42,全部可转债!$A:$S,5,0)</f>
        <v>6.18</v>
      </c>
      <c r="L42">
        <f>VLOOKUP($F42,全部可转债!$A:$S,6,0)</f>
        <v>8.0340000000000007</v>
      </c>
      <c r="M42">
        <f>VLOOKUP($F42,全部可转债!$A:$S,18,0)</f>
        <v>4.03</v>
      </c>
      <c r="N42">
        <f>VLOOKUP($F42,全部可转债!$A:$S,8,0)</f>
        <v>5.2530000000000001</v>
      </c>
      <c r="O42">
        <f>VLOOKUP($F42,全部可转债!$A:$S,15,0)</f>
        <v>20290808</v>
      </c>
      <c r="P42">
        <f>VLOOKUP($F42,全部可转债!$A:$S,14,0)</f>
        <v>14.006</v>
      </c>
      <c r="Q42"/>
      <c r="R42" t="str">
        <f>VLOOKUP($F42,全部可转债!$A:$S,11,0)</f>
        <v>未满足</v>
      </c>
    </row>
    <row r="43" spans="1:19" x14ac:dyDescent="0.3">
      <c r="A43">
        <f>VLOOKUP($F43,全部可转债!$A:$S,9,0)</f>
        <v>56.16</v>
      </c>
      <c r="B43" s="343">
        <f t="shared" si="2"/>
        <v>57.61904761904762</v>
      </c>
      <c r="C43">
        <v>0</v>
      </c>
      <c r="D43">
        <f>VLOOKUP(F43,全部可转债!$A:$S,16,0)</f>
        <v>128.80000000000001</v>
      </c>
      <c r="E43" t="str">
        <f>VLOOKUP($F43,全部可转债!$A:$S,2,0)</f>
        <v>123214</v>
      </c>
      <c r="F43" t="s">
        <v>2086</v>
      </c>
      <c r="G43">
        <f>VLOOKUP($F43,全部可转债!$A:$S,7,0)</f>
        <v>113</v>
      </c>
      <c r="H43" s="354">
        <f t="shared" si="3"/>
        <v>-0.12267080745341619</v>
      </c>
      <c r="I43">
        <f>VLOOKUP($F43,全部可转债!$A:$S,19,0)</f>
        <v>0.74</v>
      </c>
      <c r="J43">
        <f>VLOOKUP($F43,全部可转债!$A:$S,17,0)</f>
        <v>0.95</v>
      </c>
      <c r="K43">
        <f>VLOOKUP($F43,全部可转债!$A:$S,5,0)</f>
        <v>6.62</v>
      </c>
      <c r="L43">
        <f>VLOOKUP($F43,全部可转债!$A:$S,6,0)</f>
        <v>8.6059999999999999</v>
      </c>
      <c r="M43">
        <f>VLOOKUP($F43,全部可转债!$A:$S,18,0)</f>
        <v>5.46</v>
      </c>
      <c r="N43">
        <f>VLOOKUP($F43,全部可转债!$A:$S,8,0)</f>
        <v>5.9580000000000002</v>
      </c>
      <c r="O43">
        <f>VLOOKUP($F43,全部可转债!$A:$S,15,0)</f>
        <v>20290731</v>
      </c>
      <c r="P43">
        <f>VLOOKUP($F43,全部可转债!$A:$S,14,0)</f>
        <v>4.5490000000000004</v>
      </c>
      <c r="Q43">
        <v>1111</v>
      </c>
      <c r="R43" t="str">
        <f>VLOOKUP($F43,全部可转债!$A:$S,11,0)</f>
        <v>未满足</v>
      </c>
    </row>
    <row r="44" spans="1:19" x14ac:dyDescent="0.3">
      <c r="A44">
        <f>VLOOKUP($F44,全部可转债!$A:$S,9,0)</f>
        <v>32.24</v>
      </c>
      <c r="B44" s="343">
        <f t="shared" si="2"/>
        <v>25.494548286604356</v>
      </c>
      <c r="C44">
        <v>0</v>
      </c>
      <c r="D44">
        <f>VLOOKUP(F44,全部可转债!$A:$S,16,0)</f>
        <v>136.99</v>
      </c>
      <c r="E44" t="str">
        <f>VLOOKUP($F44,全部可转债!$A:$S,2,0)</f>
        <v>123194</v>
      </c>
      <c r="F44" t="s">
        <v>2087</v>
      </c>
      <c r="G44">
        <f>VLOOKUP($F44,全部可转债!$A:$S,7,0)</f>
        <v>113</v>
      </c>
      <c r="H44" s="354">
        <f t="shared" si="3"/>
        <v>-0.17512227169866423</v>
      </c>
      <c r="I44">
        <f>VLOOKUP($F44,全部可转债!$A:$S,19,0)</f>
        <v>2.56</v>
      </c>
      <c r="J44">
        <f>VLOOKUP($F44,全部可转债!$A:$S,17,0)</f>
        <v>1.48</v>
      </c>
      <c r="K44">
        <f>VLOOKUP($F44,全部可转债!$A:$S,5,0)</f>
        <v>24.79</v>
      </c>
      <c r="L44">
        <f>VLOOKUP($F44,全部可转债!$A:$S,6,0)</f>
        <v>32.226999999999997</v>
      </c>
      <c r="M44">
        <f>VLOOKUP($F44,全部可转债!$A:$S,18,0)</f>
        <v>25.68</v>
      </c>
      <c r="N44">
        <f>VLOOKUP($F44,全部可转债!$A:$S,8,0)</f>
        <v>21.071999999999999</v>
      </c>
      <c r="O44">
        <f>VLOOKUP($F44,全部可转债!$A:$S,15,0)</f>
        <v>20290414</v>
      </c>
      <c r="P44">
        <f>VLOOKUP($F44,全部可转债!$A:$S,14,0)</f>
        <v>8.4589999999999996</v>
      </c>
      <c r="Q44"/>
      <c r="R44" t="str">
        <f>VLOOKUP($F44,全部可转债!$A:$S,11,0)</f>
        <v>未满足</v>
      </c>
    </row>
    <row r="45" spans="1:19" x14ac:dyDescent="0.3">
      <c r="A45" t="e">
        <f>VLOOKUP($F45,全部可转债!$A:$S,9,0)</f>
        <v>#N/A</v>
      </c>
      <c r="B45" s="343" t="e">
        <f t="shared" si="2"/>
        <v>#N/A</v>
      </c>
      <c r="C45">
        <v>-1</v>
      </c>
      <c r="D45" t="e">
        <f>VLOOKUP(F45,全部可转债!$A:$S,16,0)</f>
        <v>#N/A</v>
      </c>
      <c r="E45" t="e">
        <f>VLOOKUP($F45,全部可转债!$A:$S,2,0)</f>
        <v>#N/A</v>
      </c>
      <c r="F45" t="s">
        <v>2088</v>
      </c>
      <c r="G45" t="e">
        <f>VLOOKUP($F45,全部可转债!$A:$S,7,0)</f>
        <v>#N/A</v>
      </c>
      <c r="H45" s="354" t="e">
        <f t="shared" si="3"/>
        <v>#N/A</v>
      </c>
      <c r="I45" t="e">
        <f>VLOOKUP($F45,全部可转债!$A:$S,19,0)</f>
        <v>#N/A</v>
      </c>
      <c r="J45" t="e">
        <f>VLOOKUP($F45,全部可转债!$A:$S,17,0)</f>
        <v>#N/A</v>
      </c>
      <c r="K45" t="e">
        <f>VLOOKUP($F45,全部可转债!$A:$S,5,0)</f>
        <v>#N/A</v>
      </c>
      <c r="L45" t="e">
        <f>VLOOKUP($F45,全部可转债!$A:$S,6,0)</f>
        <v>#N/A</v>
      </c>
      <c r="M45" t="e">
        <f>VLOOKUP($F45,全部可转债!$A:$S,18,0)</f>
        <v>#N/A</v>
      </c>
      <c r="N45" t="e">
        <f>VLOOKUP($F45,全部可转债!$A:$S,8,0)</f>
        <v>#N/A</v>
      </c>
      <c r="O45" t="e">
        <f>VLOOKUP($F45,全部可转债!$A:$S,15,0)</f>
        <v>#N/A</v>
      </c>
      <c r="P45" t="e">
        <f>VLOOKUP($F45,全部可转债!$A:$S,14,0)</f>
        <v>#N/A</v>
      </c>
      <c r="R45" t="e">
        <f>VLOOKUP($F45,全部可转债!$A:$S,11,0)</f>
        <v>#N/A</v>
      </c>
    </row>
    <row r="46" spans="1:19" x14ac:dyDescent="0.3">
      <c r="A46" t="e">
        <f>VLOOKUP($F46,全部可转债!$A:$S,9,0)</f>
        <v>#N/A</v>
      </c>
      <c r="B46" s="343" t="e">
        <f t="shared" si="2"/>
        <v>#N/A</v>
      </c>
      <c r="C46">
        <v>-1</v>
      </c>
      <c r="D46" t="e">
        <f>VLOOKUP(F46,全部可转债!$A:$S,16,0)</f>
        <v>#N/A</v>
      </c>
      <c r="E46" t="e">
        <f>VLOOKUP($F46,全部可转债!$A:$S,2,0)</f>
        <v>#N/A</v>
      </c>
      <c r="F46" t="s">
        <v>2089</v>
      </c>
      <c r="G46" t="e">
        <f>VLOOKUP($F46,全部可转债!$A:$S,7,0)</f>
        <v>#N/A</v>
      </c>
      <c r="H46" s="354" t="e">
        <f t="shared" si="3"/>
        <v>#N/A</v>
      </c>
      <c r="I46" t="e">
        <f>VLOOKUP($F46,全部可转债!$A:$S,19,0)</f>
        <v>#N/A</v>
      </c>
      <c r="J46" t="e">
        <f>VLOOKUP($F46,全部可转债!$A:$S,17,0)</f>
        <v>#N/A</v>
      </c>
      <c r="K46" t="e">
        <f>VLOOKUP($F46,全部可转债!$A:$S,5,0)</f>
        <v>#N/A</v>
      </c>
      <c r="L46" t="e">
        <f>VLOOKUP($F46,全部可转债!$A:$S,6,0)</f>
        <v>#N/A</v>
      </c>
      <c r="M46" t="e">
        <f>VLOOKUP($F46,全部可转债!$A:$S,18,0)</f>
        <v>#N/A</v>
      </c>
      <c r="N46" t="e">
        <f>VLOOKUP($F46,全部可转债!$A:$S,8,0)</f>
        <v>#N/A</v>
      </c>
      <c r="O46" t="e">
        <f>VLOOKUP($F46,全部可转债!$A:$S,15,0)</f>
        <v>#N/A</v>
      </c>
      <c r="P46" t="e">
        <f>VLOOKUP($F46,全部可转债!$A:$S,14,0)</f>
        <v>#N/A</v>
      </c>
      <c r="Q46"/>
      <c r="R46" t="e">
        <f>VLOOKUP($F46,全部可转债!$A:$S,11,0)</f>
        <v>#N/A</v>
      </c>
    </row>
    <row r="47" spans="1:19" x14ac:dyDescent="0.3">
      <c r="A47">
        <f>VLOOKUP($F47,全部可转债!$A:$S,9,0)</f>
        <v>40.659999999999997</v>
      </c>
      <c r="B47" s="343">
        <f t="shared" si="2"/>
        <v>34.911575562700989</v>
      </c>
      <c r="C47">
        <v>6</v>
      </c>
      <c r="D47">
        <f>VLOOKUP(F47,全部可转债!$A:$S,16,0)</f>
        <v>135.54</v>
      </c>
      <c r="E47" t="str">
        <f>VLOOKUP($F47,全部可转债!$A:$S,2,0)</f>
        <v>113680</v>
      </c>
      <c r="F47" t="s">
        <v>2090</v>
      </c>
      <c r="G47">
        <f>VLOOKUP($F47,全部可转债!$A:$S,7,0)</f>
        <v>115</v>
      </c>
      <c r="H47" s="354">
        <f t="shared" si="3"/>
        <v>-0.15154198022723919</v>
      </c>
      <c r="I47">
        <f>VLOOKUP($F47,全部可转债!$A:$S,19,0)</f>
        <v>-3.34</v>
      </c>
      <c r="J47">
        <f>VLOOKUP($F47,全部可转债!$A:$S,17,0)</f>
        <v>-1.32</v>
      </c>
      <c r="K47">
        <f>VLOOKUP($F47,全部可转债!$A:$S,5,0)</f>
        <v>12.91</v>
      </c>
      <c r="L47">
        <f>VLOOKUP($F47,全部可转债!$A:$S,6,0)</f>
        <v>16.783000000000001</v>
      </c>
      <c r="M47">
        <f>VLOOKUP($F47,全部可转债!$A:$S,18,0)</f>
        <v>12.44</v>
      </c>
      <c r="N47">
        <f>VLOOKUP($F47,全部可转债!$A:$S,8,0)</f>
        <v>10.973000000000001</v>
      </c>
      <c r="O47">
        <f>VLOOKUP($F47,全部可转债!$A:$S,15,0)</f>
        <v>20291115</v>
      </c>
      <c r="P47">
        <f>VLOOKUP($F47,全部可转债!$A:$S,14,0)</f>
        <v>2.9980000000000002</v>
      </c>
      <c r="Q47"/>
      <c r="R47" t="str">
        <f>VLOOKUP($F47,全部可转债!$A:$S,11,0)</f>
        <v>未满足</v>
      </c>
    </row>
    <row r="48" spans="1:19" x14ac:dyDescent="0.3">
      <c r="A48">
        <f>VLOOKUP($F48,全部可转债!$A:$S,9,0)</f>
        <v>72.95</v>
      </c>
      <c r="B48" s="343">
        <f t="shared" si="2"/>
        <v>76.338553318419088</v>
      </c>
      <c r="C48">
        <v>11</v>
      </c>
      <c r="D48">
        <f>VLOOKUP(F48,全部可转债!$A:$S,16,0)</f>
        <v>127.5</v>
      </c>
      <c r="E48" t="str">
        <f>VLOOKUP($F48,全部可转债!$A:$S,2,0)</f>
        <v>123253</v>
      </c>
      <c r="F48" t="s">
        <v>2091</v>
      </c>
      <c r="G48">
        <f>VLOOKUP($F48,全部可转债!$A:$S,7,0)</f>
        <v>113</v>
      </c>
      <c r="H48" s="354">
        <f t="shared" si="3"/>
        <v>-0.11372549019607847</v>
      </c>
      <c r="I48">
        <f>VLOOKUP($F48,全部可转债!$A:$S,19,0)</f>
        <v>-1.18</v>
      </c>
      <c r="J48">
        <f>VLOOKUP($F48,全部可转债!$A:$S,17,0)</f>
        <v>-0.31</v>
      </c>
      <c r="K48">
        <f>VLOOKUP($F48,全部可转债!$A:$S,5,0)</f>
        <v>18.190000000000001</v>
      </c>
      <c r="L48">
        <f>VLOOKUP($F48,全部可转债!$A:$S,6,0)</f>
        <v>23.646999999999998</v>
      </c>
      <c r="M48">
        <f>VLOOKUP($F48,全部可转债!$A:$S,18,0)</f>
        <v>13.41</v>
      </c>
      <c r="N48">
        <f>VLOOKUP($F48,全部可转债!$A:$S,8,0)</f>
        <v>15.462</v>
      </c>
      <c r="O48">
        <f>VLOOKUP($F48,全部可转债!$A:$S,15,0)</f>
        <v>20310313</v>
      </c>
      <c r="P48">
        <f>VLOOKUP($F48,全部可转债!$A:$S,14,0)</f>
        <v>9.7970000000000006</v>
      </c>
      <c r="Q48"/>
      <c r="R48" t="str">
        <f>VLOOKUP($F48,全部可转债!$A:$S,11,0)</f>
        <v>未满足</v>
      </c>
    </row>
    <row r="49" spans="1:18" x14ac:dyDescent="0.3">
      <c r="A49">
        <f>VLOOKUP($F49,全部可转债!$A:$S,9,0)</f>
        <v>70.569999999999993</v>
      </c>
      <c r="B49" s="343">
        <f t="shared" si="2"/>
        <v>84.247391952309982</v>
      </c>
      <c r="C49">
        <v>0</v>
      </c>
      <c r="D49">
        <f>VLOOKUP(F49,全部可转债!$A:$S,16,0)</f>
        <v>120.35</v>
      </c>
      <c r="E49" t="str">
        <f>VLOOKUP($F49,全部可转债!$A:$S,2,0)</f>
        <v>113652</v>
      </c>
      <c r="F49" t="s">
        <v>2068</v>
      </c>
      <c r="G49">
        <f>VLOOKUP($F49,全部可转债!$A:$S,7,0)</f>
        <v>110</v>
      </c>
      <c r="H49" s="354">
        <f t="shared" si="3"/>
        <v>-8.5999169090153704E-2</v>
      </c>
      <c r="I49">
        <f>VLOOKUP($F49,全部可转债!$A:$S,19,0)</f>
        <v>1.51</v>
      </c>
      <c r="J49">
        <f>VLOOKUP($F49,全部可转债!$A:$S,17,0)</f>
        <v>0.94</v>
      </c>
      <c r="K49">
        <f>VLOOKUP($F49,全部可转债!$A:$S,5,0)</f>
        <v>19.02</v>
      </c>
      <c r="L49">
        <f>VLOOKUP($F49,全部可转债!$A:$S,6,0)</f>
        <v>24.725999999999999</v>
      </c>
      <c r="M49">
        <f>VLOOKUP($F49,全部可转债!$A:$S,18,0)</f>
        <v>13.42</v>
      </c>
      <c r="N49">
        <f>VLOOKUP($F49,全部可转债!$A:$S,8,0)</f>
        <v>17.117999999999999</v>
      </c>
      <c r="O49">
        <f>VLOOKUP($F49,全部可转债!$A:$S,15,0)</f>
        <v>20280722</v>
      </c>
      <c r="P49">
        <f>VLOOKUP($F49,全部可转债!$A:$S,14,0)</f>
        <v>14.766</v>
      </c>
      <c r="Q49">
        <v>-1</v>
      </c>
      <c r="R49" t="str">
        <f>VLOOKUP($F49,全部可转债!$A:$S,11,0)</f>
        <v>未满足</v>
      </c>
    </row>
    <row r="50" spans="1:18" x14ac:dyDescent="0.3">
      <c r="A50">
        <f>VLOOKUP($F50,全部可转债!$A:$S,9,0)</f>
        <v>173.49</v>
      </c>
      <c r="B50" s="343">
        <f t="shared" si="2"/>
        <v>224.7871643745907</v>
      </c>
      <c r="C50">
        <v>0</v>
      </c>
      <c r="D50">
        <f>VLOOKUP(F50,全部可转债!$A:$S,16,0)</f>
        <v>109.47</v>
      </c>
      <c r="E50" t="str">
        <f>VLOOKUP($F50,全部可转债!$A:$S,2,0)</f>
        <v>123117</v>
      </c>
      <c r="F50" t="s">
        <v>2092</v>
      </c>
      <c r="G50">
        <f>VLOOKUP($F50,全部可转债!$A:$S,7,0)</f>
        <v>110</v>
      </c>
      <c r="H50" s="354">
        <f t="shared" si="3"/>
        <v>4.841509089248186E-3</v>
      </c>
      <c r="I50">
        <f>VLOOKUP($F50,全部可转债!$A:$S,19,0)</f>
        <v>2.2799999999999998</v>
      </c>
      <c r="J50">
        <f>VLOOKUP($F50,全部可转债!$A:$S,17,0)</f>
        <v>0.02</v>
      </c>
      <c r="K50">
        <f>VLOOKUP($F50,全部可转债!$A:$S,5,0)</f>
        <v>38.15</v>
      </c>
      <c r="L50">
        <f>VLOOKUP($F50,全部可转债!$A:$S,6,0)</f>
        <v>49.594999999999999</v>
      </c>
      <c r="M50">
        <f>VLOOKUP($F50,全部可转债!$A:$S,18,0)</f>
        <v>15.27</v>
      </c>
      <c r="N50">
        <f>VLOOKUP($F50,全部可转债!$A:$S,8,0)</f>
        <v>32.427999999999997</v>
      </c>
      <c r="O50">
        <f>VLOOKUP($F50,全部可转债!$A:$S,15,0)</f>
        <v>20270623</v>
      </c>
      <c r="P50">
        <f>VLOOKUP($F50,全部可转债!$A:$S,14,0)</f>
        <v>9.9979999999999993</v>
      </c>
      <c r="Q50">
        <v>817</v>
      </c>
      <c r="R50" t="str">
        <f>VLOOKUP($F50,全部可转债!$A:$S,11,0)</f>
        <v>未满足</v>
      </c>
    </row>
    <row r="51" spans="1:18" x14ac:dyDescent="0.3">
      <c r="A51">
        <f>VLOOKUP($F51,全部可转债!$A:$S,9,0)</f>
        <v>12.35</v>
      </c>
      <c r="B51" s="343">
        <f t="shared" si="2"/>
        <v>26.221928665785995</v>
      </c>
      <c r="C51">
        <v>0</v>
      </c>
      <c r="D51">
        <f>VLOOKUP(F51,全部可转债!$A:$S,16,0)</f>
        <v>115.71</v>
      </c>
      <c r="E51" t="str">
        <f>VLOOKUP($F51,全部可转债!$A:$S,2,0)</f>
        <v>127040</v>
      </c>
      <c r="F51" t="s">
        <v>2093</v>
      </c>
      <c r="G51">
        <f>VLOOKUP($F51,全部可转债!$A:$S,7,0)</f>
        <v>108</v>
      </c>
      <c r="H51" s="354">
        <f t="shared" si="3"/>
        <v>-6.6632097485092023E-2</v>
      </c>
      <c r="I51">
        <f>VLOOKUP($F51,全部可转债!$A:$S,19,0)</f>
        <v>1.47</v>
      </c>
      <c r="J51">
        <f>VLOOKUP($F51,全部可转债!$A:$S,17,0)</f>
        <v>1.63</v>
      </c>
      <c r="K51">
        <f>VLOOKUP($F51,全部可转债!$A:$S,5,0)</f>
        <v>7.35</v>
      </c>
      <c r="L51">
        <f>VLOOKUP($F51,全部可转债!$A:$S,6,0)</f>
        <v>9.5549999999999997</v>
      </c>
      <c r="M51">
        <f>VLOOKUP($F51,全部可转债!$A:$S,18,0)</f>
        <v>7.57</v>
      </c>
      <c r="N51">
        <f>VLOOKUP($F51,全部可转债!$A:$S,8,0)</f>
        <v>6.2469999999999999</v>
      </c>
      <c r="O51">
        <f>VLOOKUP($F51,全部可转债!$A:$S,15,0)</f>
        <v>20270707</v>
      </c>
      <c r="P51">
        <f>VLOOKUP($F51,全部可转债!$A:$S,14,0)</f>
        <v>39.862000000000002</v>
      </c>
      <c r="Q51"/>
      <c r="R51" t="str">
        <f>VLOOKUP($F51,全部可转债!$A:$S,11,0)</f>
        <v>未满足</v>
      </c>
    </row>
    <row r="52" spans="1:18" x14ac:dyDescent="0.3">
      <c r="A52">
        <f>VLOOKUP($F52,全部可转债!$A:$S,9,0)</f>
        <v>18.649999999999999</v>
      </c>
      <c r="B52" s="343">
        <f t="shared" si="2"/>
        <v>38.339947089947117</v>
      </c>
      <c r="C52">
        <v>0</v>
      </c>
      <c r="D52">
        <f>VLOOKUP(F52,全部可转债!$A:$S,16,0)</f>
        <v>111.5</v>
      </c>
      <c r="E52" t="str">
        <f>VLOOKUP($F52,全部可转债!$A:$S,2,0)</f>
        <v>123107</v>
      </c>
      <c r="F52" t="s">
        <v>2094</v>
      </c>
      <c r="G52">
        <f>VLOOKUP($F52,全部可转债!$A:$S,7,0)</f>
        <v>108</v>
      </c>
      <c r="H52" s="354">
        <f t="shared" si="3"/>
        <v>-3.1390134529147962E-2</v>
      </c>
      <c r="I52">
        <f>VLOOKUP($F52,全部可转债!$A:$S,19,0)</f>
        <v>0.27</v>
      </c>
      <c r="J52">
        <f>VLOOKUP($F52,全部可转债!$A:$S,17,0)</f>
        <v>0.4</v>
      </c>
      <c r="K52">
        <f>VLOOKUP($F52,全部可转债!$A:$S,5,0)</f>
        <v>16.09</v>
      </c>
      <c r="L52">
        <f>VLOOKUP($F52,全部可转债!$A:$S,6,0)</f>
        <v>20.917000000000002</v>
      </c>
      <c r="M52">
        <f>VLOOKUP($F52,全部可转债!$A:$S,18,0)</f>
        <v>15.12</v>
      </c>
      <c r="N52">
        <f>VLOOKUP($F52,全部可转债!$A:$S,8,0)</f>
        <v>14.481</v>
      </c>
      <c r="O52">
        <f>VLOOKUP($F52,全部可转债!$A:$S,15,0)</f>
        <v>20270329</v>
      </c>
      <c r="P52">
        <f>VLOOKUP($F52,全部可转债!$A:$S,14,0)</f>
        <v>77.063000000000002</v>
      </c>
      <c r="Q52"/>
      <c r="R52" t="str">
        <f>VLOOKUP($F52,全部可转债!$A:$S,11,0)</f>
        <v>未满足</v>
      </c>
    </row>
    <row r="53" spans="1:18" x14ac:dyDescent="0.3">
      <c r="A53">
        <f>VLOOKUP($F53,全部可转债!$A:$S,9,0)</f>
        <v>-0.34</v>
      </c>
      <c r="B53" s="343">
        <f t="shared" si="2"/>
        <v>12.918088737201373</v>
      </c>
      <c r="C53">
        <v>4</v>
      </c>
      <c r="D53">
        <f>VLOOKUP(F53,全部可转债!$A:$S,16,0)</f>
        <v>114.73</v>
      </c>
      <c r="E53" t="str">
        <f>VLOOKUP($F53,全部可转债!$A:$S,2,0)</f>
        <v>113046</v>
      </c>
      <c r="F53" t="s">
        <v>2095</v>
      </c>
      <c r="G53">
        <f>VLOOKUP($F53,全部可转债!$A:$S,7,0)</f>
        <v>110</v>
      </c>
      <c r="H53" s="354">
        <f t="shared" si="3"/>
        <v>-4.1227229146692301E-2</v>
      </c>
      <c r="I53">
        <f>VLOOKUP($F53,全部可转债!$A:$S,19,0)</f>
        <v>3.53</v>
      </c>
      <c r="J53">
        <f>VLOOKUP($F53,全部可转债!$A:$S,17,0)</f>
        <v>3.19</v>
      </c>
      <c r="K53">
        <f>VLOOKUP($F53,全部可转债!$A:$S,5,0)</f>
        <v>10.18</v>
      </c>
      <c r="L53">
        <f>VLOOKUP($F53,全部可转债!$A:$S,6,0)</f>
        <v>13.234</v>
      </c>
      <c r="M53">
        <f>VLOOKUP($F53,全部可转债!$A:$S,18,0)</f>
        <v>11.72</v>
      </c>
      <c r="N53">
        <f>VLOOKUP($F53,全部可转债!$A:$S,8,0)</f>
        <v>8.1440000000000001</v>
      </c>
      <c r="O53">
        <f>VLOOKUP($F53,全部可转债!$A:$S,15,0)</f>
        <v>20270322</v>
      </c>
      <c r="P53">
        <f>VLOOKUP($F53,全部可转债!$A:$S,14,0)</f>
        <v>12.518000000000001</v>
      </c>
      <c r="Q53"/>
      <c r="R53" t="str">
        <f>VLOOKUP($F53,全部可转债!$A:$S,11,0)</f>
        <v>公告强赎</v>
      </c>
    </row>
    <row r="54" spans="1:18" x14ac:dyDescent="0.3">
      <c r="A54">
        <f>VLOOKUP($F54,全部可转债!$A:$S,9,0)</f>
        <v>343.3</v>
      </c>
      <c r="B54" s="343">
        <f t="shared" si="2"/>
        <v>376.86821705426348</v>
      </c>
      <c r="C54">
        <v>0</v>
      </c>
      <c r="D54">
        <f>VLOOKUP(F54,全部可转债!$A:$S,16,0)</f>
        <v>120.85</v>
      </c>
      <c r="E54" t="str">
        <f>VLOOKUP($F54,全部可转债!$A:$S,2,0)</f>
        <v>123179</v>
      </c>
      <c r="F54" t="s">
        <v>2096</v>
      </c>
      <c r="G54">
        <f>VLOOKUP($F54,全部可转债!$A:$S,7,0)</f>
        <v>115</v>
      </c>
      <c r="H54" s="354">
        <f t="shared" si="3"/>
        <v>-4.8407116259826188E-2</v>
      </c>
      <c r="I54">
        <f>VLOOKUP($F54,全部可转债!$A:$S,19,0)</f>
        <v>1.42</v>
      </c>
      <c r="J54">
        <f>VLOOKUP($F54,全部可转债!$A:$S,17,0)</f>
        <v>0.11</v>
      </c>
      <c r="K54">
        <f>VLOOKUP($F54,全部可转债!$A:$S,5,0)</f>
        <v>94.64</v>
      </c>
      <c r="L54">
        <f>VLOOKUP($F54,全部可转债!$A:$S,6,0)</f>
        <v>123.032</v>
      </c>
      <c r="M54">
        <f>VLOOKUP($F54,全部可转债!$A:$S,18,0)</f>
        <v>25.8</v>
      </c>
      <c r="N54">
        <f>VLOOKUP($F54,全部可转债!$A:$S,8,0)</f>
        <v>80.444000000000003</v>
      </c>
      <c r="O54">
        <f>VLOOKUP($F54,全部可转债!$A:$S,15,0)</f>
        <v>20290307</v>
      </c>
      <c r="P54">
        <f>VLOOKUP($F54,全部可转债!$A:$S,14,0)</f>
        <v>9.4990000000000006</v>
      </c>
      <c r="Q54">
        <v>1107</v>
      </c>
      <c r="R54" t="str">
        <f>VLOOKUP($F54,全部可转债!$A:$S,11,0)</f>
        <v>未满足</v>
      </c>
    </row>
    <row r="55" spans="1:18" x14ac:dyDescent="0.3">
      <c r="A55">
        <f>VLOOKUP($F55,全部可转债!$A:$S,9,0)</f>
        <v>186.83</v>
      </c>
      <c r="B55" s="343">
        <f t="shared" si="2"/>
        <v>215.55066079295153</v>
      </c>
      <c r="C55">
        <v>0</v>
      </c>
      <c r="D55">
        <f>VLOOKUP(F55,全部可转债!$A:$S,16,0)</f>
        <v>118.17</v>
      </c>
      <c r="E55" t="str">
        <f>VLOOKUP($F55,全部可转债!$A:$S,2,0)</f>
        <v>123151</v>
      </c>
      <c r="F55" t="s">
        <v>2097</v>
      </c>
      <c r="G55">
        <f>VLOOKUP($F55,全部可转债!$A:$S,7,0)</f>
        <v>115</v>
      </c>
      <c r="H55" s="354">
        <f t="shared" si="3"/>
        <v>-2.682575949902688E-2</v>
      </c>
      <c r="I55">
        <f>VLOOKUP($F55,全部可转债!$A:$S,19,0)</f>
        <v>0.09</v>
      </c>
      <c r="J55">
        <f>VLOOKUP($F55,全部可转债!$A:$S,17,0)</f>
        <v>0.04</v>
      </c>
      <c r="K55">
        <f>VLOOKUP($F55,全部可转债!$A:$S,5,0)</f>
        <v>27.55</v>
      </c>
      <c r="L55">
        <f>VLOOKUP($F55,全部可转债!$A:$S,6,0)</f>
        <v>35.814999999999998</v>
      </c>
      <c r="M55">
        <f>VLOOKUP($F55,全部可转债!$A:$S,18,0)</f>
        <v>11.35</v>
      </c>
      <c r="N55">
        <f>VLOOKUP($F55,全部可转债!$A:$S,8,0)</f>
        <v>23.417999999999999</v>
      </c>
      <c r="O55">
        <f>VLOOKUP($F55,全部可转债!$A:$S,15,0)</f>
        <v>20280701</v>
      </c>
      <c r="P55">
        <f>VLOOKUP($F55,全部可转债!$A:$S,14,0)</f>
        <v>6.9980000000000002</v>
      </c>
      <c r="Q55">
        <v>1019</v>
      </c>
      <c r="R55" t="str">
        <f>VLOOKUP($F55,全部可转债!$A:$S,11,0)</f>
        <v>未满足</v>
      </c>
    </row>
    <row r="56" spans="1:18" x14ac:dyDescent="0.3">
      <c r="A56">
        <f>VLOOKUP($F56,全部可转债!$A:$S,9,0)</f>
        <v>39.32</v>
      </c>
      <c r="B56" s="343">
        <f t="shared" si="2"/>
        <v>43.987341772151893</v>
      </c>
      <c r="C56">
        <v>0</v>
      </c>
      <c r="D56">
        <f>VLOOKUP(F56,全部可转债!$A:$S,16,0)</f>
        <v>125.79</v>
      </c>
      <c r="E56" t="str">
        <f>VLOOKUP($F56,全部可转债!$A:$S,2,0)</f>
        <v>123144</v>
      </c>
      <c r="F56" t="s">
        <v>2098</v>
      </c>
      <c r="G56">
        <f>VLOOKUP($F56,全部可转债!$A:$S,7,0)</f>
        <v>115</v>
      </c>
      <c r="H56" s="354">
        <f t="shared" si="3"/>
        <v>-8.5777883774544872E-2</v>
      </c>
      <c r="I56">
        <f>VLOOKUP($F56,全部可转债!$A:$S,19,0)</f>
        <v>-3.07</v>
      </c>
      <c r="J56">
        <f>VLOOKUP($F56,全部可转债!$A:$S,17,0)</f>
        <v>-0.55000000000000004</v>
      </c>
      <c r="K56">
        <f>VLOOKUP($F56,全部可转债!$A:$S,5,0)</f>
        <v>7</v>
      </c>
      <c r="L56">
        <f>VLOOKUP($F56,全部可转债!$A:$S,6,0)</f>
        <v>9.1</v>
      </c>
      <c r="M56">
        <f>VLOOKUP($F56,全部可转债!$A:$S,18,0)</f>
        <v>6.32</v>
      </c>
      <c r="N56">
        <f>VLOOKUP($F56,全部可转债!$A:$S,8,0)</f>
        <v>5.95</v>
      </c>
      <c r="O56">
        <f>VLOOKUP($F56,全部可转债!$A:$S,15,0)</f>
        <v>20280411</v>
      </c>
      <c r="P56">
        <f>VLOOKUP($F56,全部可转债!$A:$S,14,0)</f>
        <v>5.9969999999999999</v>
      </c>
      <c r="Q56">
        <v>707</v>
      </c>
      <c r="R56" t="str">
        <f>VLOOKUP($F56,全部可转债!$A:$S,11,0)</f>
        <v>未满足</v>
      </c>
    </row>
    <row r="57" spans="1:18" x14ac:dyDescent="0.3">
      <c r="A57">
        <f>VLOOKUP($F57,全部可转债!$A:$S,9,0)</f>
        <v>41.4</v>
      </c>
      <c r="B57" s="343">
        <f t="shared" si="2"/>
        <v>62.656400384985545</v>
      </c>
      <c r="C57">
        <v>0</v>
      </c>
      <c r="D57">
        <f>VLOOKUP(F57,全部可转债!$A:$S,16,0)</f>
        <v>113.02</v>
      </c>
      <c r="E57" t="str">
        <f>VLOOKUP($F57,全部可转债!$A:$S,2,0)</f>
        <v>123175</v>
      </c>
      <c r="F57" t="s">
        <v>2099</v>
      </c>
      <c r="G57">
        <f>VLOOKUP($F57,全部可转债!$A:$S,7,0)</f>
        <v>112</v>
      </c>
      <c r="H57" s="354">
        <f t="shared" si="3"/>
        <v>-9.0249513360466382E-3</v>
      </c>
      <c r="I57">
        <f>VLOOKUP($F57,全部可转债!$A:$S,19,0)</f>
        <v>-1.33</v>
      </c>
      <c r="J57">
        <f>VLOOKUP($F57,全部可转债!$A:$S,17,0)</f>
        <v>-0.71</v>
      </c>
      <c r="K57">
        <f>VLOOKUP($F57,全部可转债!$A:$S,5,0)</f>
        <v>13</v>
      </c>
      <c r="L57">
        <f>VLOOKUP($F57,全部可转债!$A:$S,6,0)</f>
        <v>16.899999999999999</v>
      </c>
      <c r="M57">
        <f>VLOOKUP($F57,全部可转债!$A:$S,18,0)</f>
        <v>10.39</v>
      </c>
      <c r="N57">
        <f>VLOOKUP($F57,全部可转债!$A:$S,8,0)</f>
        <v>11.05</v>
      </c>
      <c r="O57">
        <f>VLOOKUP($F57,全部可转债!$A:$S,15,0)</f>
        <v>20290222</v>
      </c>
      <c r="P57">
        <f>VLOOKUP($F57,全部可转债!$A:$S,14,0)</f>
        <v>4.1989999999999998</v>
      </c>
      <c r="Q57">
        <v>714</v>
      </c>
      <c r="R57" t="str">
        <f>VLOOKUP($F57,全部可转债!$A:$S,11,0)</f>
        <v>未满足</v>
      </c>
    </row>
    <row r="58" spans="1:18" x14ac:dyDescent="0.3">
      <c r="A58" t="e">
        <f>VLOOKUP($F58,全部可转债!$A:$S,9,0)</f>
        <v>#N/A</v>
      </c>
      <c r="B58" s="343" t="e">
        <f t="shared" si="2"/>
        <v>#N/A</v>
      </c>
      <c r="C58">
        <v>11</v>
      </c>
      <c r="D58" t="e">
        <f>VLOOKUP(F58,全部可转债!$A:$S,16,0)</f>
        <v>#N/A</v>
      </c>
      <c r="E58" t="e">
        <f>VLOOKUP($F58,全部可转债!$A:$S,2,0)</f>
        <v>#N/A</v>
      </c>
      <c r="F58" t="s">
        <v>2100</v>
      </c>
      <c r="G58" t="e">
        <f>VLOOKUP($F58,全部可转债!$A:$S,7,0)</f>
        <v>#N/A</v>
      </c>
      <c r="H58" s="354" t="e">
        <f t="shared" si="3"/>
        <v>#N/A</v>
      </c>
      <c r="I58" t="e">
        <f>VLOOKUP($F58,全部可转债!$A:$S,19,0)</f>
        <v>#N/A</v>
      </c>
      <c r="J58" t="e">
        <f>VLOOKUP($F58,全部可转债!$A:$S,17,0)</f>
        <v>#N/A</v>
      </c>
      <c r="K58" t="e">
        <f>VLOOKUP($F58,全部可转债!$A:$S,5,0)</f>
        <v>#N/A</v>
      </c>
      <c r="L58" t="e">
        <f>VLOOKUP($F58,全部可转债!$A:$S,6,0)</f>
        <v>#N/A</v>
      </c>
      <c r="M58" t="e">
        <f>VLOOKUP($F58,全部可转债!$A:$S,18,0)</f>
        <v>#N/A</v>
      </c>
      <c r="N58" t="e">
        <f>VLOOKUP($F58,全部可转债!$A:$S,8,0)</f>
        <v>#N/A</v>
      </c>
      <c r="O58" t="e">
        <f>VLOOKUP($F58,全部可转债!$A:$S,15,0)</f>
        <v>#N/A</v>
      </c>
      <c r="P58" t="e">
        <f>VLOOKUP($F58,全部可转债!$A:$S,14,0)</f>
        <v>#N/A</v>
      </c>
      <c r="Q58"/>
      <c r="R58" t="e">
        <f>VLOOKUP($F58,全部可转债!$A:$S,11,0)</f>
        <v>#N/A</v>
      </c>
    </row>
    <row r="59" spans="1:18" x14ac:dyDescent="0.3">
      <c r="A59">
        <f>VLOOKUP($F59,全部可转债!$A:$S,9,0)</f>
        <v>18.079999999999998</v>
      </c>
      <c r="B59" s="343">
        <f t="shared" si="2"/>
        <v>-4.6537602382725254</v>
      </c>
      <c r="C59">
        <v>15</v>
      </c>
      <c r="D59">
        <f>VLOOKUP(F59,全部可转债!$A:$S,16,0)</f>
        <v>161</v>
      </c>
      <c r="E59" t="str">
        <f>VLOOKUP($F59,全部可转债!$A:$S,2,0)</f>
        <v>123160</v>
      </c>
      <c r="F59" t="s">
        <v>2101</v>
      </c>
      <c r="G59">
        <f>VLOOKUP($F59,全部可转债!$A:$S,7,0)</f>
        <v>115</v>
      </c>
      <c r="H59" s="354">
        <f t="shared" si="3"/>
        <v>-0.2857142857142857</v>
      </c>
      <c r="I59">
        <f>VLOOKUP($F59,全部可转债!$A:$S,19,0)</f>
        <v>-3</v>
      </c>
      <c r="J59">
        <f>VLOOKUP($F59,全部可转债!$A:$S,17,0)</f>
        <v>-0.87</v>
      </c>
      <c r="K59">
        <f>VLOOKUP($F59,全部可转债!$A:$S,5,0)</f>
        <v>19.7</v>
      </c>
      <c r="L59">
        <f>VLOOKUP($F59,全部可转债!$A:$S,6,0)</f>
        <v>25.61</v>
      </c>
      <c r="M59">
        <f>VLOOKUP($F59,全部可转债!$A:$S,18,0)</f>
        <v>26.86</v>
      </c>
      <c r="N59">
        <f>VLOOKUP($F59,全部可转债!$A:$S,8,0)</f>
        <v>16.745000000000001</v>
      </c>
      <c r="O59">
        <f>VLOOKUP($F59,全部可转债!$A:$S,15,0)</f>
        <v>20280928</v>
      </c>
      <c r="P59">
        <f>VLOOKUP($F59,全部可转债!$A:$S,14,0)</f>
        <v>2.3140000000000001</v>
      </c>
      <c r="Q59"/>
      <c r="R59" t="str">
        <f>VLOOKUP($F59,全部可转债!$A:$S,11,0)</f>
        <v>暂不强赎</v>
      </c>
    </row>
    <row r="60" spans="1:18" x14ac:dyDescent="0.3">
      <c r="A60">
        <f>VLOOKUP($F60,全部可转债!$A:$S,9,0)</f>
        <v>97.93</v>
      </c>
      <c r="B60" s="343">
        <f t="shared" si="2"/>
        <v>104.91366906474821</v>
      </c>
      <c r="C60">
        <v>0</v>
      </c>
      <c r="D60">
        <f>VLOOKUP(F60,全部可转债!$A:$S,16,0)</f>
        <v>125.57</v>
      </c>
      <c r="E60" t="str">
        <f>VLOOKUP($F60,全部可转债!$A:$S,2,0)</f>
        <v>123196</v>
      </c>
      <c r="F60" t="s">
        <v>2102</v>
      </c>
      <c r="G60">
        <f>VLOOKUP($F60,全部可转债!$A:$S,7,0)</f>
        <v>115</v>
      </c>
      <c r="H60" s="354">
        <f t="shared" si="3"/>
        <v>-8.4176156725332407E-2</v>
      </c>
      <c r="I60">
        <f>VLOOKUP($F60,全部可转债!$A:$S,19,0)</f>
        <v>-1.35</v>
      </c>
      <c r="J60">
        <f>VLOOKUP($F60,全部可转债!$A:$S,17,0)</f>
        <v>0.45</v>
      </c>
      <c r="K60">
        <f>VLOOKUP($F60,全部可转债!$A:$S,5,0)</f>
        <v>21.91</v>
      </c>
      <c r="L60">
        <f>VLOOKUP($F60,全部可转债!$A:$S,6,0)</f>
        <v>28.483000000000001</v>
      </c>
      <c r="M60">
        <f>VLOOKUP($F60,全部可转债!$A:$S,18,0)</f>
        <v>13.9</v>
      </c>
      <c r="N60">
        <f>VLOOKUP($F60,全部可转债!$A:$S,8,0)</f>
        <v>18.623000000000001</v>
      </c>
      <c r="O60">
        <f>VLOOKUP($F60,全部可转债!$A:$S,15,0)</f>
        <v>20290418</v>
      </c>
      <c r="P60">
        <f>VLOOKUP($F60,全部可转债!$A:$S,14,0)</f>
        <v>3.5009999999999999</v>
      </c>
      <c r="Q60">
        <v>811</v>
      </c>
      <c r="R60" t="str">
        <f>VLOOKUP($F60,全部可转债!$A:$S,11,0)</f>
        <v>未满足</v>
      </c>
    </row>
    <row r="61" spans="1:18" x14ac:dyDescent="0.3">
      <c r="A61">
        <f>VLOOKUP($F61,全部可转债!$A:$S,9,0)</f>
        <v>167.08</v>
      </c>
      <c r="B61" s="343">
        <f t="shared" si="2"/>
        <v>185.41557762676428</v>
      </c>
      <c r="C61">
        <v>0</v>
      </c>
      <c r="D61">
        <f>VLOOKUP(F61,全部可转债!$A:$S,16,0)</f>
        <v>121.65</v>
      </c>
      <c r="E61" t="str">
        <f>VLOOKUP($F61,全部可转债!$A:$S,2,0)</f>
        <v>127098</v>
      </c>
      <c r="F61" t="s">
        <v>2103</v>
      </c>
      <c r="G61">
        <f>VLOOKUP($F61,全部可转债!$A:$S,7,0)</f>
        <v>112</v>
      </c>
      <c r="H61" s="354">
        <f t="shared" si="3"/>
        <v>-7.9325935059597286E-2</v>
      </c>
      <c r="I61">
        <f>VLOOKUP($F61,全部可转债!$A:$S,19,0)</f>
        <v>0.53</v>
      </c>
      <c r="J61">
        <f>VLOOKUP($F61,全部可转债!$A:$S,17,0)</f>
        <v>0.83</v>
      </c>
      <c r="K61">
        <f>VLOOKUP($F61,全部可转债!$A:$S,5,0)</f>
        <v>42</v>
      </c>
      <c r="L61">
        <f>VLOOKUP($F61,全部可转债!$A:$S,6,0)</f>
        <v>54.6</v>
      </c>
      <c r="M61">
        <f>VLOOKUP($F61,全部可转债!$A:$S,18,0)</f>
        <v>19.13</v>
      </c>
      <c r="N61">
        <f>VLOOKUP($F61,全部可转债!$A:$S,8,0)</f>
        <v>35.700000000000003</v>
      </c>
      <c r="O61">
        <f>VLOOKUP($F61,全部可转债!$A:$S,15,0)</f>
        <v>20291124</v>
      </c>
      <c r="P61">
        <f>VLOOKUP($F61,全部可转债!$A:$S,14,0)</f>
        <v>4.6929999999999996</v>
      </c>
      <c r="Q61">
        <v>601</v>
      </c>
      <c r="R61" t="str">
        <f>VLOOKUP($F61,全部可转债!$A:$S,11,0)</f>
        <v>未满足</v>
      </c>
    </row>
    <row r="62" spans="1:18" x14ac:dyDescent="0.3">
      <c r="A62">
        <f>VLOOKUP($F62,全部可转债!$A:$S,9,0)</f>
        <v>39.64</v>
      </c>
      <c r="B62" s="343">
        <f t="shared" si="2"/>
        <v>30.555216595485064</v>
      </c>
      <c r="C62">
        <v>0</v>
      </c>
      <c r="D62">
        <f>VLOOKUP(F62,全部可转债!$A:$S,16,0)</f>
        <v>139.05000000000001</v>
      </c>
      <c r="E62" t="str">
        <f>VLOOKUP($F62,全部可转债!$A:$S,2,0)</f>
        <v>123222</v>
      </c>
      <c r="F62" t="s">
        <v>2104</v>
      </c>
      <c r="G62">
        <f>VLOOKUP($F62,全部可转债!$A:$S,7,0)</f>
        <v>115</v>
      </c>
      <c r="H62" s="354">
        <f t="shared" si="3"/>
        <v>-0.17295936713412452</v>
      </c>
      <c r="I62">
        <f>VLOOKUP($F62,全部可转债!$A:$S,19,0)</f>
        <v>3.6</v>
      </c>
      <c r="J62">
        <f>VLOOKUP($F62,全部可转债!$A:$S,17,0)</f>
        <v>1.24</v>
      </c>
      <c r="K62">
        <f>VLOOKUP($F62,全部可转债!$A:$S,5,0)</f>
        <v>16.46</v>
      </c>
      <c r="L62">
        <f>VLOOKUP($F62,全部可转债!$A:$S,6,0)</f>
        <v>21.398</v>
      </c>
      <c r="M62">
        <f>VLOOKUP($F62,全部可转债!$A:$S,18,0)</f>
        <v>16.39</v>
      </c>
      <c r="N62">
        <f>VLOOKUP($F62,全部可转债!$A:$S,8,0)</f>
        <v>13.991</v>
      </c>
      <c r="O62">
        <f>VLOOKUP($F62,全部可转债!$A:$S,15,0)</f>
        <v>20290908</v>
      </c>
      <c r="P62">
        <f>VLOOKUP($F62,全部可转债!$A:$S,14,0)</f>
        <v>2.4380000000000002</v>
      </c>
      <c r="Q62"/>
      <c r="R62" t="str">
        <f>VLOOKUP($F62,全部可转债!$A:$S,11,0)</f>
        <v>未满足</v>
      </c>
    </row>
    <row r="63" spans="1:18" x14ac:dyDescent="0.3">
      <c r="A63">
        <f>VLOOKUP($F63,全部可转债!$A:$S,9,0)</f>
        <v>35.15</v>
      </c>
      <c r="B63" s="343">
        <f t="shared" si="2"/>
        <v>35.991983967935852</v>
      </c>
      <c r="C63">
        <v>0</v>
      </c>
      <c r="D63">
        <f>VLOOKUP(F63,全部可转债!$A:$S,16,0)</f>
        <v>129.19</v>
      </c>
      <c r="E63" t="str">
        <f>VLOOKUP($F63,全部可转债!$A:$S,2,0)</f>
        <v>127082</v>
      </c>
      <c r="F63" t="s">
        <v>2105</v>
      </c>
      <c r="G63">
        <f>VLOOKUP($F63,全部可转债!$A:$S,7,0)</f>
        <v>112</v>
      </c>
      <c r="H63" s="354">
        <f t="shared" si="3"/>
        <v>-0.13305983435250401</v>
      </c>
      <c r="I63">
        <f>VLOOKUP($F63,全部可转债!$A:$S,19,0)</f>
        <v>0.4</v>
      </c>
      <c r="J63">
        <f>VLOOKUP($F63,全部可转债!$A:$S,17,0)</f>
        <v>0.27</v>
      </c>
      <c r="K63">
        <f>VLOOKUP($F63,全部可转债!$A:$S,5,0)</f>
        <v>5.22</v>
      </c>
      <c r="L63">
        <f>VLOOKUP($F63,全部可转债!$A:$S,6,0)</f>
        <v>6.7859999999999996</v>
      </c>
      <c r="M63">
        <f>VLOOKUP($F63,全部可转债!$A:$S,18,0)</f>
        <v>4.99</v>
      </c>
      <c r="N63">
        <f>VLOOKUP($F63,全部可转债!$A:$S,8,0)</f>
        <v>4.6980000000000004</v>
      </c>
      <c r="O63">
        <f>VLOOKUP($F63,全部可转债!$A:$S,15,0)</f>
        <v>20290309</v>
      </c>
      <c r="P63">
        <f>VLOOKUP($F63,全部可转债!$A:$S,14,0)</f>
        <v>11.585000000000001</v>
      </c>
      <c r="Q63"/>
      <c r="R63" t="str">
        <f>VLOOKUP($F63,全部可转债!$A:$S,11,0)</f>
        <v>未满足</v>
      </c>
    </row>
    <row r="64" spans="1:18" x14ac:dyDescent="0.3">
      <c r="A64">
        <f>VLOOKUP($F64,全部可转债!$A:$S,9,0)</f>
        <v>73.14</v>
      </c>
      <c r="B64" s="343">
        <f t="shared" si="2"/>
        <v>73.007518796992485</v>
      </c>
      <c r="C64">
        <v>0</v>
      </c>
      <c r="D64">
        <f>VLOOKUP(F64,全部可转债!$A:$S,16,0)</f>
        <v>130.1</v>
      </c>
      <c r="E64" t="str">
        <f>VLOOKUP($F64,全部可转债!$A:$S,2,0)</f>
        <v>123220</v>
      </c>
      <c r="F64" t="s">
        <v>2106</v>
      </c>
      <c r="G64">
        <f>VLOOKUP($F64,全部可转债!$A:$S,7,0)</f>
        <v>115</v>
      </c>
      <c r="H64" s="354">
        <f t="shared" si="3"/>
        <v>-0.11606456571867785</v>
      </c>
      <c r="I64">
        <f>VLOOKUP($F64,全部可转债!$A:$S,19,0)</f>
        <v>1.06</v>
      </c>
      <c r="J64">
        <f>VLOOKUP($F64,全部可转债!$A:$S,17,0)</f>
        <v>0.47</v>
      </c>
      <c r="K64">
        <f>VLOOKUP($F64,全部可转债!$A:$S,5,0)</f>
        <v>8.85</v>
      </c>
      <c r="L64">
        <f>VLOOKUP($F64,全部可转债!$A:$S,6,0)</f>
        <v>11.505000000000001</v>
      </c>
      <c r="M64">
        <f>VLOOKUP($F64,全部可转债!$A:$S,18,0)</f>
        <v>6.65</v>
      </c>
      <c r="N64">
        <f>VLOOKUP($F64,全部可转债!$A:$S,8,0)</f>
        <v>7.5220000000000002</v>
      </c>
      <c r="O64">
        <f>VLOOKUP($F64,全部可转债!$A:$S,15,0)</f>
        <v>20290818</v>
      </c>
      <c r="P64">
        <f>VLOOKUP($F64,全部可转债!$A:$S,14,0)</f>
        <v>2.9049999999999998</v>
      </c>
      <c r="Q64">
        <v>904</v>
      </c>
      <c r="R64" t="str">
        <f>VLOOKUP($F64,全部可转债!$A:$S,11,0)</f>
        <v>未满足</v>
      </c>
    </row>
    <row r="65" spans="1:18" x14ac:dyDescent="0.3">
      <c r="A65">
        <f>VLOOKUP($F65,全部可转债!$A:$S,9,0)</f>
        <v>41.91</v>
      </c>
      <c r="B65" s="343">
        <f t="shared" si="2"/>
        <v>25.76235541535226</v>
      </c>
      <c r="C65">
        <v>0</v>
      </c>
      <c r="D65">
        <f>VLOOKUP(F65,全部可转债!$A:$S,16,0)</f>
        <v>146.69</v>
      </c>
      <c r="E65" t="str">
        <f>VLOOKUP($F65,全部可转债!$A:$S,2,0)</f>
        <v>123211</v>
      </c>
      <c r="F65" t="s">
        <v>2107</v>
      </c>
      <c r="G65">
        <f>VLOOKUP($F65,全部可转债!$A:$S,7,0)</f>
        <v>115</v>
      </c>
      <c r="H65" s="354">
        <f t="shared" si="3"/>
        <v>-0.21603381280250866</v>
      </c>
      <c r="I65">
        <f>VLOOKUP($F65,全部可转债!$A:$S,19,0)</f>
        <v>1.17</v>
      </c>
      <c r="J65">
        <f>VLOOKUP($F65,全部可转债!$A:$S,17,0)</f>
        <v>7.0000000000000007E-2</v>
      </c>
      <c r="K65">
        <f>VLOOKUP($F65,全部可转债!$A:$S,5,0)</f>
        <v>9.1999999999999993</v>
      </c>
      <c r="L65">
        <f>VLOOKUP($F65,全部可转债!$A:$S,6,0)</f>
        <v>11.96</v>
      </c>
      <c r="M65">
        <f>VLOOKUP($F65,全部可转债!$A:$S,18,0)</f>
        <v>9.51</v>
      </c>
      <c r="N65">
        <f>VLOOKUP($F65,全部可转债!$A:$S,8,0)</f>
        <v>7.82</v>
      </c>
      <c r="O65">
        <f>VLOOKUP($F65,全部可转债!$A:$S,15,0)</f>
        <v>20290727</v>
      </c>
      <c r="P65">
        <f>VLOOKUP($F65,全部可转债!$A:$S,14,0)</f>
        <v>3.07</v>
      </c>
      <c r="Q65"/>
      <c r="R65" t="str">
        <f>VLOOKUP($F65,全部可转债!$A:$S,11,0)</f>
        <v>未满足</v>
      </c>
    </row>
    <row r="66" spans="1:18" x14ac:dyDescent="0.3">
      <c r="A66">
        <f>VLOOKUP($F66,全部可转债!$A:$S,9,0)</f>
        <v>33.479999999999997</v>
      </c>
      <c r="B66" s="343">
        <f t="shared" si="2"/>
        <v>10.285852713178301</v>
      </c>
      <c r="C66">
        <v>0</v>
      </c>
      <c r="D66">
        <f>VLOOKUP(F66,全部可转债!$A:$S,16,0)</f>
        <v>157.34</v>
      </c>
      <c r="E66" t="str">
        <f>VLOOKUP($F66,全部可转债!$A:$S,2,0)</f>
        <v>123209</v>
      </c>
      <c r="F66" t="s">
        <v>2108</v>
      </c>
      <c r="G66">
        <f>VLOOKUP($F66,全部可转债!$A:$S,7,0)</f>
        <v>113</v>
      </c>
      <c r="H66" s="354">
        <f t="shared" si="3"/>
        <v>-0.28181009279267832</v>
      </c>
      <c r="I66">
        <f>VLOOKUP($F66,全部可转债!$A:$S,19,0)</f>
        <v>-1.39</v>
      </c>
      <c r="J66">
        <f>VLOOKUP($F66,全部可转债!$A:$S,17,0)</f>
        <v>-0.52</v>
      </c>
      <c r="K66">
        <f>VLOOKUP($F66,全部可转债!$A:$S,5,0)</f>
        <v>17.510000000000002</v>
      </c>
      <c r="L66">
        <f>VLOOKUP($F66,全部可转债!$A:$S,6,0)</f>
        <v>22.763000000000002</v>
      </c>
      <c r="M66">
        <f>VLOOKUP($F66,全部可转债!$A:$S,18,0)</f>
        <v>20.64</v>
      </c>
      <c r="N66">
        <f>VLOOKUP($F66,全部可转债!$A:$S,8,0)</f>
        <v>14.884</v>
      </c>
      <c r="O66">
        <f>VLOOKUP($F66,全部可转债!$A:$S,15,0)</f>
        <v>20290726</v>
      </c>
      <c r="P66">
        <f>VLOOKUP($F66,全部可转债!$A:$S,14,0)</f>
        <v>1.6719999999999999</v>
      </c>
      <c r="Q66"/>
      <c r="R66" t="str">
        <f>VLOOKUP($F66,全部可转债!$A:$S,11,0)</f>
        <v>未满足</v>
      </c>
    </row>
    <row r="67" spans="1:18" x14ac:dyDescent="0.3">
      <c r="A67" t="e">
        <f>VLOOKUP($F67,全部可转债!$A:$S,9,0)</f>
        <v>#N/A</v>
      </c>
      <c r="B67" s="343" t="e">
        <f t="shared" si="2"/>
        <v>#N/A</v>
      </c>
      <c r="C67">
        <v>-1</v>
      </c>
      <c r="D67" t="e">
        <f>VLOOKUP(F67,全部可转债!$A:$S,16,0)</f>
        <v>#N/A</v>
      </c>
      <c r="E67" t="e">
        <f>VLOOKUP($F67,全部可转债!$A:$S,2,0)</f>
        <v>#N/A</v>
      </c>
      <c r="F67" t="s">
        <v>2109</v>
      </c>
      <c r="G67" t="e">
        <f>VLOOKUP($F67,全部可转债!$A:$S,7,0)</f>
        <v>#N/A</v>
      </c>
      <c r="H67" s="354" t="e">
        <f t="shared" si="3"/>
        <v>#N/A</v>
      </c>
      <c r="I67" t="e">
        <f>VLOOKUP($F67,全部可转债!$A:$S,19,0)</f>
        <v>#N/A</v>
      </c>
      <c r="J67" t="e">
        <f>VLOOKUP($F67,全部可转债!$A:$S,17,0)</f>
        <v>#N/A</v>
      </c>
      <c r="K67" t="e">
        <f>VLOOKUP($F67,全部可转债!$A:$S,5,0)</f>
        <v>#N/A</v>
      </c>
      <c r="L67" t="e">
        <f>VLOOKUP($F67,全部可转债!$A:$S,6,0)</f>
        <v>#N/A</v>
      </c>
      <c r="M67" t="e">
        <f>VLOOKUP($F67,全部可转债!$A:$S,18,0)</f>
        <v>#N/A</v>
      </c>
      <c r="N67" t="e">
        <f>VLOOKUP($F67,全部可转债!$A:$S,8,0)</f>
        <v>#N/A</v>
      </c>
      <c r="O67" t="e">
        <f>VLOOKUP($F67,全部可转债!$A:$S,15,0)</f>
        <v>#N/A</v>
      </c>
      <c r="P67" t="e">
        <f>VLOOKUP($F67,全部可转债!$A:$S,14,0)</f>
        <v>#N/A</v>
      </c>
      <c r="R67" t="e">
        <f>VLOOKUP($F67,全部可转债!$A:$S,11,0)</f>
        <v>#N/A</v>
      </c>
    </row>
    <row r="68" spans="1:18" x14ac:dyDescent="0.3">
      <c r="A68">
        <f>VLOOKUP($F68,全部可转债!$A:$S,9,0)</f>
        <v>10.55</v>
      </c>
      <c r="B68" s="343">
        <f t="shared" si="2"/>
        <v>9.6243523316062181</v>
      </c>
      <c r="C68">
        <v>0</v>
      </c>
      <c r="D68">
        <f>VLOOKUP(F68,全部可转债!$A:$S,16,0)</f>
        <v>131.1</v>
      </c>
      <c r="E68" t="str">
        <f>VLOOKUP($F68,全部可转债!$A:$S,2,0)</f>
        <v>113631</v>
      </c>
      <c r="F68" t="s">
        <v>2110</v>
      </c>
      <c r="G68">
        <f>VLOOKUP($F68,全部可转债!$A:$S,7,0)</f>
        <v>110</v>
      </c>
      <c r="H68" s="354">
        <f t="shared" si="3"/>
        <v>-0.16094584286803959</v>
      </c>
      <c r="I68">
        <f>VLOOKUP($F68,全部可转债!$A:$S,19,0)</f>
        <v>0.65</v>
      </c>
      <c r="J68">
        <f>VLOOKUP($F68,全部可转债!$A:$S,17,0)</f>
        <v>0.86</v>
      </c>
      <c r="K68">
        <f>VLOOKUP($F68,全部可转债!$A:$S,5,0)</f>
        <v>6.51</v>
      </c>
      <c r="L68">
        <f>VLOOKUP($F68,全部可转债!$A:$S,6,0)</f>
        <v>8.4629999999999992</v>
      </c>
      <c r="M68">
        <f>VLOOKUP($F68,全部可转债!$A:$S,18,0)</f>
        <v>7.72</v>
      </c>
      <c r="N68">
        <f>VLOOKUP($F68,全部可转债!$A:$S,8,0)</f>
        <v>5.2080000000000002</v>
      </c>
      <c r="O68">
        <f>VLOOKUP($F68,全部可转债!$A:$S,15,0)</f>
        <v>20271108</v>
      </c>
      <c r="P68">
        <f>VLOOKUP($F68,全部可转债!$A:$S,14,0)</f>
        <v>5.9580000000000002</v>
      </c>
      <c r="R68" t="str">
        <f>VLOOKUP($F68,全部可转债!$A:$S,11,0)</f>
        <v>未满足</v>
      </c>
    </row>
    <row r="69" spans="1:18" x14ac:dyDescent="0.3">
      <c r="A69">
        <f>VLOOKUP($F69,全部可转债!$A:$S,9,0)</f>
        <v>15.55</v>
      </c>
      <c r="B69" s="343">
        <f t="shared" si="2"/>
        <v>10.023640661938515</v>
      </c>
      <c r="C69">
        <v>4</v>
      </c>
      <c r="D69">
        <f>VLOOKUP(F69,全部可转债!$A:$S,16,0)</f>
        <v>136.53</v>
      </c>
      <c r="E69" t="str">
        <f>VLOOKUP($F69,全部可转债!$A:$S,2,0)</f>
        <v>127110</v>
      </c>
      <c r="F69" t="s">
        <v>2111</v>
      </c>
      <c r="G69">
        <f>VLOOKUP($F69,全部可转债!$A:$S,7,0)</f>
        <v>106</v>
      </c>
      <c r="H69" s="354">
        <f t="shared" si="3"/>
        <v>-0.22361385776019926</v>
      </c>
      <c r="I69">
        <f>VLOOKUP($F69,全部可转债!$A:$S,19,0)</f>
        <v>0.48</v>
      </c>
      <c r="J69">
        <f>VLOOKUP($F69,全部可转债!$A:$S,17,0)</f>
        <v>0.59</v>
      </c>
      <c r="K69">
        <f>VLOOKUP($F69,全部可转债!$A:$S,5,0)</f>
        <v>3.58</v>
      </c>
      <c r="L69">
        <f>VLOOKUP($F69,全部可转债!$A:$S,6,0)</f>
        <v>4.6539999999999999</v>
      </c>
      <c r="M69">
        <f>VLOOKUP($F69,全部可转债!$A:$S,18,0)</f>
        <v>4.2300000000000004</v>
      </c>
      <c r="N69">
        <f>VLOOKUP($F69,全部可转债!$A:$S,8,0)</f>
        <v>3.0430000000000001</v>
      </c>
      <c r="O69">
        <f>VLOOKUP($F69,全部可转债!$A:$S,15,0)</f>
        <v>20310709</v>
      </c>
      <c r="P69">
        <f>VLOOKUP($F69,全部可转债!$A:$S,14,0)</f>
        <v>48.991999999999997</v>
      </c>
      <c r="R69" t="str">
        <f>VLOOKUP($F69,全部可转债!$A:$S,11,0)</f>
        <v>未满足</v>
      </c>
    </row>
    <row r="70" spans="1:18" x14ac:dyDescent="0.3">
      <c r="A70">
        <f>VLOOKUP($F70,全部可转债!$A:$S,9,0)</f>
        <v>6.61</v>
      </c>
      <c r="B70" s="343">
        <f t="shared" si="2"/>
        <v>-5.7971014492753596</v>
      </c>
      <c r="C70">
        <v>15</v>
      </c>
      <c r="D70">
        <f>VLOOKUP(F70,全部可转债!$A:$S,16,0)</f>
        <v>147.12</v>
      </c>
      <c r="E70" t="str">
        <f>VLOOKUP($F70,全部可转债!$A:$S,2,0)</f>
        <v>113686</v>
      </c>
      <c r="F70" t="s">
        <v>2112</v>
      </c>
      <c r="G70">
        <f>VLOOKUP($F70,全部可转债!$A:$S,7,0)</f>
        <v>115</v>
      </c>
      <c r="H70" s="354">
        <f t="shared" si="3"/>
        <v>-0.21832517672648177</v>
      </c>
      <c r="I70">
        <f>VLOOKUP($F70,全部可转债!$A:$S,19,0)</f>
        <v>-2.82</v>
      </c>
      <c r="J70">
        <f>VLOOKUP($F70,全部可转债!$A:$S,17,0)</f>
        <v>-4.13</v>
      </c>
      <c r="K70">
        <f>VLOOKUP($F70,全部可转债!$A:$S,5,0)</f>
        <v>8</v>
      </c>
      <c r="L70">
        <f>VLOOKUP($F70,全部可转债!$A:$S,6,0)</f>
        <v>10.4</v>
      </c>
      <c r="M70">
        <f>VLOOKUP($F70,全部可转债!$A:$S,18,0)</f>
        <v>11.04</v>
      </c>
      <c r="N70">
        <f>VLOOKUP($F70,全部可转债!$A:$S,8,0)</f>
        <v>6.8</v>
      </c>
      <c r="O70">
        <f>VLOOKUP($F70,全部可转债!$A:$S,15,0)</f>
        <v>20300702</v>
      </c>
      <c r="P70">
        <f>VLOOKUP($F70,全部可转债!$A:$S,14,0)</f>
        <v>3.363</v>
      </c>
      <c r="R70" t="str">
        <f>VLOOKUP($F70,全部可转债!$A:$S,11,0)</f>
        <v>计数中</v>
      </c>
    </row>
    <row r="71" spans="1:18" x14ac:dyDescent="0.3">
      <c r="A71">
        <f>VLOOKUP($F71,全部可转债!$A:$S,9,0)</f>
        <v>32.54</v>
      </c>
      <c r="B71" s="343">
        <f t="shared" ref="B71:B79" si="4">L71*100/M71-100</f>
        <v>42.657502863688421</v>
      </c>
      <c r="C71">
        <v>3</v>
      </c>
      <c r="D71">
        <f>VLOOKUP(F71,全部可转债!$A:$S,16,0)</f>
        <v>120.78</v>
      </c>
      <c r="E71" t="str">
        <f>VLOOKUP($F71,全部可转债!$A:$S,2,0)</f>
        <v>127034</v>
      </c>
      <c r="F71" t="s">
        <v>2113</v>
      </c>
      <c r="G71">
        <f>VLOOKUP($F71,全部可转债!$A:$S,7,0)</f>
        <v>113</v>
      </c>
      <c r="H71" s="354">
        <f t="shared" ref="H71:H79" si="5">G71/D71-1</f>
        <v>-6.4414638185130046E-2</v>
      </c>
      <c r="I71">
        <f>VLOOKUP($F71,全部可转债!$A:$S,19,0)</f>
        <v>-1.24</v>
      </c>
      <c r="J71">
        <f>VLOOKUP($F71,全部可转债!$A:$S,17,0)</f>
        <v>0.23</v>
      </c>
      <c r="K71">
        <f>VLOOKUP($F71,全部可转债!$A:$S,5,0)</f>
        <v>9.58</v>
      </c>
      <c r="L71">
        <f>VLOOKUP($F71,全部可转债!$A:$S,6,0)</f>
        <v>12.454000000000001</v>
      </c>
      <c r="M71">
        <f>VLOOKUP($F71,全部可转债!$A:$S,18,0)</f>
        <v>8.73</v>
      </c>
      <c r="N71">
        <f>VLOOKUP($F71,全部可转债!$A:$S,8,0)</f>
        <v>8.1430000000000007</v>
      </c>
      <c r="O71">
        <f>VLOOKUP($F71,全部可转债!$A:$S,15,0)</f>
        <v>20270430</v>
      </c>
      <c r="P71">
        <f>VLOOKUP($F71,全部可转债!$A:$S,14,0)</f>
        <v>4.2789999999999999</v>
      </c>
      <c r="R71" t="str">
        <f>VLOOKUP($F71,全部可转债!$A:$S,11,0)</f>
        <v>未满足</v>
      </c>
    </row>
    <row r="72" spans="1:18" x14ac:dyDescent="0.3">
      <c r="A72">
        <f>VLOOKUP($F72,全部可转债!$A:$S,9,0)</f>
        <v>35.82</v>
      </c>
      <c r="B72" s="343">
        <f t="shared" si="4"/>
        <v>36.823529411764696</v>
      </c>
      <c r="C72">
        <v>1</v>
      </c>
      <c r="D72">
        <f>VLOOKUP(F72,全部可转债!$A:$S,16,0)</f>
        <v>129.05000000000001</v>
      </c>
      <c r="E72" t="str">
        <f>VLOOKUP($F72,全部可转债!$A:$S,2,0)</f>
        <v>123183</v>
      </c>
      <c r="F72" t="s">
        <v>2114</v>
      </c>
      <c r="G72">
        <f>VLOOKUP($F72,全部可转债!$A:$S,7,0)</f>
        <v>115</v>
      </c>
      <c r="H72" s="354">
        <f t="shared" si="5"/>
        <v>-0.10887253002712138</v>
      </c>
      <c r="I72">
        <f>VLOOKUP($F72,全部可转债!$A:$S,19,0)</f>
        <v>1.38</v>
      </c>
      <c r="J72">
        <f>VLOOKUP($F72,全部可转债!$A:$S,17,0)</f>
        <v>-0.65</v>
      </c>
      <c r="K72">
        <f>VLOOKUP($F72,全部可转债!$A:$S,5,0)</f>
        <v>11.63</v>
      </c>
      <c r="L72">
        <f>VLOOKUP($F72,全部可转债!$A:$S,6,0)</f>
        <v>15.119</v>
      </c>
      <c r="M72">
        <f>VLOOKUP($F72,全部可转债!$A:$S,18,0)</f>
        <v>11.05</v>
      </c>
      <c r="N72">
        <f>VLOOKUP($F72,全部可转债!$A:$S,8,0)</f>
        <v>9.8859999999999992</v>
      </c>
      <c r="O72">
        <f>VLOOKUP($F72,全部可转债!$A:$S,15,0)</f>
        <v>20290323</v>
      </c>
      <c r="P72">
        <f>VLOOKUP($F72,全部可转债!$A:$S,14,0)</f>
        <v>6.3289999999999997</v>
      </c>
      <c r="R72" t="str">
        <f>VLOOKUP($F72,全部可转债!$A:$S,11,0)</f>
        <v>未满足</v>
      </c>
    </row>
    <row r="73" spans="1:18" x14ac:dyDescent="0.3">
      <c r="A73">
        <f>VLOOKUP($F73,全部可转债!$A:$S,9,0)</f>
        <v>44.43</v>
      </c>
      <c r="B73" s="343">
        <f t="shared" si="4"/>
        <v>22.972972972972983</v>
      </c>
      <c r="C73">
        <v>12</v>
      </c>
      <c r="D73">
        <f>VLOOKUP(F73,全部可转债!$A:$S,16,0)</f>
        <v>152.68</v>
      </c>
      <c r="E73" t="str">
        <f>VLOOKUP($F73,全部可转债!$A:$S,2,0)</f>
        <v>113646</v>
      </c>
      <c r="F73" t="s">
        <v>2115</v>
      </c>
      <c r="G73">
        <f>VLOOKUP($F73,全部可转债!$A:$S,7,0)</f>
        <v>108.3</v>
      </c>
      <c r="H73" s="354">
        <f t="shared" si="5"/>
        <v>-0.29067330364160338</v>
      </c>
      <c r="I73">
        <f>VLOOKUP($F73,全部可转债!$A:$S,19,0)</f>
        <v>-1.85</v>
      </c>
      <c r="J73">
        <f>VLOOKUP($F73,全部可转债!$A:$S,17,0)</f>
        <v>-1.19</v>
      </c>
      <c r="K73">
        <f>VLOOKUP($F73,全部可转债!$A:$S,5,0)</f>
        <v>8.0500000000000007</v>
      </c>
      <c r="L73">
        <f>VLOOKUP($F73,全部可转债!$A:$S,6,0)</f>
        <v>10.465</v>
      </c>
      <c r="M73">
        <f>VLOOKUP($F73,全部可转债!$A:$S,18,0)</f>
        <v>8.51</v>
      </c>
      <c r="N73">
        <f>VLOOKUP($F73,全部可转债!$A:$S,8,0)</f>
        <v>6.843</v>
      </c>
      <c r="O73">
        <f>VLOOKUP($F73,全部可转债!$A:$S,15,0)</f>
        <v>20280414</v>
      </c>
      <c r="P73">
        <f>VLOOKUP($F73,全部可转债!$A:$S,14,0)</f>
        <v>1.3720000000000001</v>
      </c>
      <c r="R73" t="str">
        <f>VLOOKUP($F73,全部可转债!$A:$S,11,0)</f>
        <v>未满足</v>
      </c>
    </row>
    <row r="74" spans="1:18" x14ac:dyDescent="0.3">
      <c r="A74">
        <f>VLOOKUP($F74,全部可转债!$A:$S,9,0)</f>
        <v>7.75</v>
      </c>
      <c r="B74" s="343">
        <f t="shared" si="4"/>
        <v>2.6315789473684248</v>
      </c>
      <c r="C74">
        <v>4</v>
      </c>
      <c r="D74">
        <f>VLOOKUP(F74,全部可转债!$A:$S,16,0)</f>
        <v>136.47999999999999</v>
      </c>
      <c r="E74" t="str">
        <f>VLOOKUP($F74,全部可转债!$A:$S,2,0)</f>
        <v>113681</v>
      </c>
      <c r="F74" t="s">
        <v>2050</v>
      </c>
      <c r="G74">
        <f>VLOOKUP($F74,全部可转债!$A:$S,7,0)</f>
        <v>115</v>
      </c>
      <c r="H74" s="354">
        <f t="shared" si="5"/>
        <v>-0.15738569753810072</v>
      </c>
      <c r="I74">
        <f>VLOOKUP($F74,全部可转债!$A:$S,19,0)</f>
        <v>0.87</v>
      </c>
      <c r="J74">
        <f>VLOOKUP($F74,全部可转债!$A:$S,17,0)</f>
        <v>0.39</v>
      </c>
      <c r="K74">
        <f>VLOOKUP($F74,全部可转债!$A:$S,5,0)</f>
        <v>10.95</v>
      </c>
      <c r="L74">
        <f>VLOOKUP($F74,全部可转债!$A:$S,6,0)</f>
        <v>14.234999999999999</v>
      </c>
      <c r="M74">
        <f>VLOOKUP($F74,全部可转债!$A:$S,18,0)</f>
        <v>13.87</v>
      </c>
      <c r="N74">
        <f>VLOOKUP($F74,全部可转债!$A:$S,8,0)</f>
        <v>9.3070000000000004</v>
      </c>
      <c r="O74">
        <f>VLOOKUP($F74,全部可转债!$A:$S,15,0)</f>
        <v>20291229</v>
      </c>
      <c r="P74">
        <f>VLOOKUP($F74,全部可转债!$A:$S,14,0)</f>
        <v>5.476</v>
      </c>
      <c r="R74" t="str">
        <f>VLOOKUP($F74,全部可转债!$A:$S,11,0)</f>
        <v>未满足</v>
      </c>
    </row>
    <row r="75" spans="1:18" x14ac:dyDescent="0.3">
      <c r="A75">
        <f>VLOOKUP($F75,全部可转债!$A:$S,9,0)</f>
        <v>13.62</v>
      </c>
      <c r="B75" s="343">
        <f t="shared" si="4"/>
        <v>16.47999999999999</v>
      </c>
      <c r="C75">
        <v>0</v>
      </c>
      <c r="D75">
        <f>VLOOKUP(F75,全部可转债!$A:$S,16,0)</f>
        <v>126.81</v>
      </c>
      <c r="E75" t="str">
        <f>VLOOKUP($F75,全部可转债!$A:$S,2,0)</f>
        <v>113058</v>
      </c>
      <c r="F75" t="s">
        <v>2116</v>
      </c>
      <c r="G75">
        <f>VLOOKUP($F75,全部可转债!$A:$S,7,0)</f>
        <v>112</v>
      </c>
      <c r="H75" s="354">
        <f t="shared" si="5"/>
        <v>-0.11678889677470228</v>
      </c>
      <c r="I75">
        <f>VLOOKUP($F75,全部可转债!$A:$S,19,0)</f>
        <v>0.6</v>
      </c>
      <c r="J75">
        <f>VLOOKUP($F75,全部可转债!$A:$S,17,0)</f>
        <v>0.72</v>
      </c>
      <c r="K75">
        <f>VLOOKUP($F75,全部可转债!$A:$S,5,0)</f>
        <v>4.4800000000000004</v>
      </c>
      <c r="L75">
        <f>VLOOKUP($F75,全部可转债!$A:$S,6,0)</f>
        <v>5.8239999999999998</v>
      </c>
      <c r="M75">
        <f>VLOOKUP($F75,全部可转债!$A:$S,18,0)</f>
        <v>5</v>
      </c>
      <c r="N75">
        <f>VLOOKUP($F75,全部可转债!$A:$S,8,0)</f>
        <v>3.8079999999999998</v>
      </c>
      <c r="O75">
        <f>VLOOKUP($F75,全部可转债!$A:$S,15,0)</f>
        <v>20280330</v>
      </c>
      <c r="P75">
        <f>VLOOKUP($F75,全部可转债!$A:$S,14,0)</f>
        <v>18.638000000000002</v>
      </c>
      <c r="R75" t="str">
        <f>VLOOKUP($F75,全部可转债!$A:$S,11,0)</f>
        <v>未满足</v>
      </c>
    </row>
    <row r="76" spans="1:18" x14ac:dyDescent="0.3">
      <c r="A76" t="e">
        <f>VLOOKUP($F76,全部可转债!$A:$S,9,0)</f>
        <v>#N/A</v>
      </c>
      <c r="B76" s="343" t="e">
        <f t="shared" si="4"/>
        <v>#N/A</v>
      </c>
      <c r="C76">
        <v>-1</v>
      </c>
      <c r="D76" t="e">
        <f>VLOOKUP(F76,全部可转债!$A:$S,16,0)</f>
        <v>#N/A</v>
      </c>
      <c r="E76" t="e">
        <f>VLOOKUP($F76,全部可转债!$A:$S,2,0)</f>
        <v>#N/A</v>
      </c>
      <c r="F76" t="s">
        <v>2117</v>
      </c>
      <c r="G76" t="e">
        <f>VLOOKUP($F76,全部可转债!$A:$S,7,0)</f>
        <v>#N/A</v>
      </c>
      <c r="H76" s="354" t="e">
        <f t="shared" si="5"/>
        <v>#N/A</v>
      </c>
      <c r="I76" t="e">
        <f>VLOOKUP($F76,全部可转债!$A:$S,19,0)</f>
        <v>#N/A</v>
      </c>
      <c r="J76" t="e">
        <f>VLOOKUP($F76,全部可转债!$A:$S,17,0)</f>
        <v>#N/A</v>
      </c>
      <c r="K76" t="e">
        <f>VLOOKUP($F76,全部可转债!$A:$S,5,0)</f>
        <v>#N/A</v>
      </c>
      <c r="L76" t="e">
        <f>VLOOKUP($F76,全部可转债!$A:$S,6,0)</f>
        <v>#N/A</v>
      </c>
      <c r="M76" t="e">
        <f>VLOOKUP($F76,全部可转债!$A:$S,18,0)</f>
        <v>#N/A</v>
      </c>
      <c r="N76" t="e">
        <f>VLOOKUP($F76,全部可转债!$A:$S,8,0)</f>
        <v>#N/A</v>
      </c>
      <c r="O76" t="e">
        <f>VLOOKUP($F76,全部可转债!$A:$S,15,0)</f>
        <v>#N/A</v>
      </c>
      <c r="P76" t="e">
        <f>VLOOKUP($F76,全部可转债!$A:$S,14,0)</f>
        <v>#N/A</v>
      </c>
      <c r="R76" t="e">
        <f>VLOOKUP($F76,全部可转债!$A:$S,11,0)</f>
        <v>#N/A</v>
      </c>
    </row>
    <row r="77" spans="1:18" x14ac:dyDescent="0.3">
      <c r="A77">
        <f>VLOOKUP($F77,全部可转债!$A:$S,9,0)</f>
        <v>109.3</v>
      </c>
      <c r="B77" s="343">
        <f t="shared" si="4"/>
        <v>126.96837513631405</v>
      </c>
      <c r="C77">
        <v>0</v>
      </c>
      <c r="D77">
        <f>VLOOKUP(F77,全部可转债!$A:$S,16,0)</f>
        <v>119.88</v>
      </c>
      <c r="E77" t="str">
        <f>VLOOKUP($F77,全部可转债!$A:$S,2,0)</f>
        <v>113638</v>
      </c>
      <c r="F77" t="s">
        <v>2118</v>
      </c>
      <c r="G77">
        <f>VLOOKUP($F77,全部可转债!$A:$S,7,0)</f>
        <v>112</v>
      </c>
      <c r="H77" s="354">
        <f t="shared" si="5"/>
        <v>-6.5732399065732361E-2</v>
      </c>
      <c r="I77">
        <f>VLOOKUP($F77,全部可转债!$A:$S,19,0)</f>
        <v>1.44</v>
      </c>
      <c r="J77">
        <f>VLOOKUP($F77,全部可转债!$A:$S,17,0)</f>
        <v>0.52</v>
      </c>
      <c r="K77">
        <f>VLOOKUP($F77,全部可转债!$A:$S,5,0)</f>
        <v>16.010000000000002</v>
      </c>
      <c r="L77">
        <f>VLOOKUP($F77,全部可转债!$A:$S,6,0)</f>
        <v>20.812999999999999</v>
      </c>
      <c r="M77">
        <f>VLOOKUP($F77,全部可转债!$A:$S,18,0)</f>
        <v>9.17</v>
      </c>
      <c r="N77">
        <f>VLOOKUP($F77,全部可转债!$A:$S,8,0)</f>
        <v>13.609</v>
      </c>
      <c r="O77">
        <f>VLOOKUP($F77,全部可转债!$A:$S,15,0)</f>
        <v>20271229</v>
      </c>
      <c r="P77">
        <f>VLOOKUP($F77,全部可转债!$A:$S,14,0)</f>
        <v>5.9969999999999999</v>
      </c>
      <c r="Q77">
        <v>820</v>
      </c>
      <c r="R77" t="str">
        <f>VLOOKUP($F77,全部可转债!$A:$S,11,0)</f>
        <v>未满足</v>
      </c>
    </row>
    <row r="78" spans="1:18" x14ac:dyDescent="0.3">
      <c r="A78">
        <f>VLOOKUP($F78,全部可转债!$A:$S,9,0)</f>
        <v>30.75</v>
      </c>
      <c r="B78" s="343">
        <f t="shared" si="4"/>
        <v>53.508771929824547</v>
      </c>
      <c r="C78">
        <v>0</v>
      </c>
      <c r="D78">
        <f>VLOOKUP(F78,全部可转债!$A:$S,16,0)</f>
        <v>110.73</v>
      </c>
      <c r="E78" t="str">
        <f>VLOOKUP($F78,全部可转债!$A:$S,2,0)</f>
        <v>128142</v>
      </c>
      <c r="F78" t="s">
        <v>2119</v>
      </c>
      <c r="G78">
        <f>VLOOKUP($F78,全部可转债!$A:$S,7,0)</f>
        <v>110</v>
      </c>
      <c r="H78" s="354">
        <f t="shared" si="5"/>
        <v>-6.5926126614287428E-3</v>
      </c>
      <c r="I78">
        <f>VLOOKUP($F78,全部可转债!$A:$S,19,0)</f>
        <v>4</v>
      </c>
      <c r="J78">
        <f>VLOOKUP($F78,全部可转债!$A:$S,17,0)</f>
        <v>0.7</v>
      </c>
      <c r="K78">
        <f>VLOOKUP($F78,全部可转债!$A:$S,5,0)</f>
        <v>17.5</v>
      </c>
      <c r="L78">
        <f>VLOOKUP($F78,全部可转债!$A:$S,6,0)</f>
        <v>22.75</v>
      </c>
      <c r="M78">
        <f>VLOOKUP($F78,全部可转债!$A:$S,18,0)</f>
        <v>14.82</v>
      </c>
      <c r="N78">
        <f>VLOOKUP($F78,全部可转债!$A:$S,8,0)</f>
        <v>14</v>
      </c>
      <c r="O78">
        <f>VLOOKUP($F78,全部可转债!$A:$S,15,0)</f>
        <v>20261218</v>
      </c>
      <c r="P78">
        <f>VLOOKUP($F78,全部可转债!$A:$S,14,0)</f>
        <v>7.1779999999999999</v>
      </c>
      <c r="Q78"/>
      <c r="R78" t="str">
        <f>VLOOKUP($F78,全部可转债!$A:$S,11,0)</f>
        <v>未满足</v>
      </c>
    </row>
    <row r="79" spans="1:18" x14ac:dyDescent="0.3">
      <c r="A79">
        <f>VLOOKUP($F79,全部可转债!$A:$S,9,0)</f>
        <v>23.68</v>
      </c>
      <c r="B79" s="343">
        <f t="shared" si="4"/>
        <v>30.744985673352403</v>
      </c>
      <c r="C79">
        <v>1</v>
      </c>
      <c r="D79">
        <f>VLOOKUP(F79,全部可转债!$A:$S,16,0)</f>
        <v>122.98</v>
      </c>
      <c r="E79" t="str">
        <f>VLOOKUP($F79,全部可转债!$A:$S,2,0)</f>
        <v>123104</v>
      </c>
      <c r="F79" t="s">
        <v>2120</v>
      </c>
      <c r="G79">
        <f>VLOOKUP($F79,全部可转债!$A:$S,7,0)</f>
        <v>120</v>
      </c>
      <c r="H79" s="354">
        <f t="shared" si="5"/>
        <v>-2.4231582371117333E-2</v>
      </c>
      <c r="I79">
        <f>VLOOKUP($F79,全部可转债!$A:$S,19,0)</f>
        <v>0.28999999999999998</v>
      </c>
      <c r="J79">
        <f>VLOOKUP($F79,全部可转债!$A:$S,17,0)</f>
        <v>0.4</v>
      </c>
      <c r="K79">
        <f>VLOOKUP($F79,全部可转债!$A:$S,5,0)</f>
        <v>7.02</v>
      </c>
      <c r="L79">
        <f>VLOOKUP($F79,全部可转债!$A:$S,6,0)</f>
        <v>9.1259999999999994</v>
      </c>
      <c r="M79">
        <f>VLOOKUP($F79,全部可转债!$A:$S,18,0)</f>
        <v>6.98</v>
      </c>
      <c r="N79">
        <f>VLOOKUP($F79,全部可转债!$A:$S,8,0)</f>
        <v>5.9669999999999996</v>
      </c>
      <c r="O79">
        <f>VLOOKUP($F79,全部可转债!$A:$S,15,0)</f>
        <v>20270316</v>
      </c>
      <c r="P79">
        <f>VLOOKUP($F79,全部可转债!$A:$S,14,0)</f>
        <v>9.6989999999999998</v>
      </c>
      <c r="Q79">
        <v>14</v>
      </c>
      <c r="R79" t="str">
        <f>VLOOKUP($F79,全部可转债!$A:$S,11,0)</f>
        <v>未满足</v>
      </c>
    </row>
    <row r="80" spans="1:18" x14ac:dyDescent="0.3">
      <c r="A80"/>
    </row>
    <row r="81" spans="1:1" x14ac:dyDescent="0.3">
      <c r="A81"/>
    </row>
    <row r="82" spans="1:1" x14ac:dyDescent="0.3">
      <c r="A82"/>
    </row>
    <row r="83" spans="1:1" x14ac:dyDescent="0.3">
      <c r="A83"/>
    </row>
    <row r="84" spans="1:1" x14ac:dyDescent="0.3">
      <c r="A84"/>
    </row>
    <row r="85" spans="1:1" x14ac:dyDescent="0.3">
      <c r="A85"/>
    </row>
    <row r="86" spans="1:1" x14ac:dyDescent="0.3">
      <c r="A86"/>
    </row>
    <row r="87" spans="1:1" x14ac:dyDescent="0.3">
      <c r="A87"/>
    </row>
    <row r="88" spans="1:1" x14ac:dyDescent="0.3">
      <c r="A88"/>
    </row>
    <row r="89" spans="1:1" x14ac:dyDescent="0.3">
      <c r="A89"/>
    </row>
    <row r="90" spans="1:1" x14ac:dyDescent="0.3">
      <c r="A90"/>
    </row>
    <row r="91" spans="1:1" x14ac:dyDescent="0.3">
      <c r="A91"/>
    </row>
    <row r="92" spans="1:1" x14ac:dyDescent="0.3">
      <c r="A92"/>
    </row>
    <row r="93" spans="1:1" x14ac:dyDescent="0.3">
      <c r="A93"/>
    </row>
    <row r="94" spans="1:1" x14ac:dyDescent="0.3">
      <c r="A94"/>
    </row>
    <row r="95" spans="1:1" x14ac:dyDescent="0.3">
      <c r="A95"/>
    </row>
    <row r="96" spans="1:1" x14ac:dyDescent="0.3">
      <c r="A96"/>
    </row>
    <row r="97" spans="1:1" x14ac:dyDescent="0.3">
      <c r="A97"/>
    </row>
    <row r="98" spans="1:1" x14ac:dyDescent="0.3">
      <c r="A98"/>
    </row>
    <row r="99" spans="1:1" x14ac:dyDescent="0.3">
      <c r="A99"/>
    </row>
    <row r="100" spans="1:1" x14ac:dyDescent="0.3">
      <c r="A100"/>
    </row>
  </sheetData>
  <phoneticPr fontId="16" type="noConversion"/>
  <conditionalFormatting sqref="A1:A4 A7:A79 A101:A1048576">
    <cfRule type="cellIs" dxfId="375" priority="16" operator="greaterThan">
      <formula>60</formula>
    </cfRule>
    <cfRule type="cellIs" dxfId="374" priority="17" operator="between">
      <formula>0</formula>
      <formula>30</formula>
    </cfRule>
  </conditionalFormatting>
  <conditionalFormatting sqref="A7:A79 A1:A4 A101:A1048576">
    <cfRule type="cellIs" dxfId="373" priority="18" operator="lessThan">
      <formula>0</formula>
    </cfRule>
  </conditionalFormatting>
  <conditionalFormatting sqref="B2:C4 B7:C29 A29 A30:C30 A31 B31:C79">
    <cfRule type="cellIs" dxfId="372" priority="6" operator="lessThan">
      <formula>0</formula>
    </cfRule>
  </conditionalFormatting>
  <conditionalFormatting sqref="C2:C4 C7:C79">
    <cfRule type="cellIs" dxfId="371" priority="37" operator="greaterThan">
      <formula>0</formula>
    </cfRule>
    <cfRule type="cellIs" dxfId="370" priority="38" operator="greaterThan">
      <formula>0</formula>
    </cfRule>
  </conditionalFormatting>
  <conditionalFormatting sqref="D2:D4 D7:D1048576">
    <cfRule type="cellIs" dxfId="369" priority="21" operator="between">
      <formula>1</formula>
      <formula>140</formula>
    </cfRule>
    <cfRule type="cellIs" dxfId="368" priority="22" operator="greaterThan">
      <formula>160</formula>
    </cfRule>
  </conditionalFormatting>
  <conditionalFormatting sqref="H2:H4 H7:H79 H97:H1048576">
    <cfRule type="cellIs" dxfId="367" priority="1" operator="greaterThan">
      <formula>-0.03</formula>
    </cfRule>
  </conditionalFormatting>
  <conditionalFormatting sqref="O1:O4 O7:O1048576">
    <cfRule type="cellIs" dxfId="366" priority="15" operator="between">
      <formula>1</formula>
      <formula>20270601</formula>
    </cfRule>
  </conditionalFormatting>
  <conditionalFormatting sqref="P1:P4 P7:P1048576">
    <cfRule type="cellIs" dxfId="365" priority="11" operator="between">
      <formula>0.1</formula>
      <formula>4</formula>
    </cfRule>
  </conditionalFormatting>
  <conditionalFormatting sqref="Q1:Q4 Q7:Q21 Q23:Q1048576">
    <cfRule type="cellIs" dxfId="364" priority="30" operator="between">
      <formula>1</formula>
      <formula>3</formula>
    </cfRule>
  </conditionalFormatting>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3:S17"/>
  <sheetViews>
    <sheetView workbookViewId="0">
      <selection activeCell="I48" sqref="I48"/>
    </sheetView>
  </sheetViews>
  <sheetFormatPr defaultRowHeight="14" x14ac:dyDescent="0.3"/>
  <sheetData>
    <row r="3" spans="3:19" x14ac:dyDescent="0.3">
      <c r="D3" t="s">
        <v>2121</v>
      </c>
    </row>
    <row r="4" spans="3:19" x14ac:dyDescent="0.3">
      <c r="D4" t="s">
        <v>2122</v>
      </c>
      <c r="E4" t="s">
        <v>2123</v>
      </c>
      <c r="F4" t="s">
        <v>2124</v>
      </c>
      <c r="G4" t="s">
        <v>2125</v>
      </c>
      <c r="H4" t="s">
        <v>2043</v>
      </c>
      <c r="J4" t="s">
        <v>2126</v>
      </c>
      <c r="L4" t="s">
        <v>2127</v>
      </c>
      <c r="M4" t="s">
        <v>2128</v>
      </c>
      <c r="P4" t="s">
        <v>2129</v>
      </c>
      <c r="Q4" t="s">
        <v>2130</v>
      </c>
      <c r="R4" t="s">
        <v>2028</v>
      </c>
      <c r="S4" t="s">
        <v>2131</v>
      </c>
    </row>
    <row r="5" spans="3:19" x14ac:dyDescent="0.3">
      <c r="D5">
        <f>E5*F5</f>
        <v>8400</v>
      </c>
      <c r="E5">
        <v>80</v>
      </c>
      <c r="F5">
        <v>105</v>
      </c>
      <c r="G5">
        <v>90</v>
      </c>
      <c r="H5">
        <f>MOD(100*E5,G5)</f>
        <v>80</v>
      </c>
      <c r="I5">
        <f>H5*0.02</f>
        <v>1.6</v>
      </c>
      <c r="J5">
        <f>H5+I5</f>
        <v>81.599999999999994</v>
      </c>
      <c r="L5">
        <f>INT(100*E5/G5)</f>
        <v>88</v>
      </c>
      <c r="M5">
        <v>95</v>
      </c>
      <c r="P5">
        <f>M5*L5+J5</f>
        <v>8441.6</v>
      </c>
      <c r="Q5">
        <f>P5-F5*E5</f>
        <v>41.600000000000364</v>
      </c>
      <c r="R5" s="272">
        <f>F5/(100/G5*M5)-1</f>
        <v>-5.2631578947368585E-3</v>
      </c>
      <c r="S5">
        <f>P5/D5-1</f>
        <v>4.9523809523810414E-3</v>
      </c>
    </row>
    <row r="7" spans="3:19" x14ac:dyDescent="0.3">
      <c r="D7" t="s">
        <v>2132</v>
      </c>
    </row>
    <row r="8" spans="3:19" x14ac:dyDescent="0.3">
      <c r="D8" t="s">
        <v>2124</v>
      </c>
      <c r="E8" t="s">
        <v>2125</v>
      </c>
      <c r="F8" t="s">
        <v>2128</v>
      </c>
      <c r="G8" t="s">
        <v>2133</v>
      </c>
      <c r="H8" t="s">
        <v>2134</v>
      </c>
      <c r="I8" t="s">
        <v>2135</v>
      </c>
    </row>
    <row r="9" spans="3:19" x14ac:dyDescent="0.3">
      <c r="C9" t="s">
        <v>2136</v>
      </c>
      <c r="D9">
        <v>137.11099999999999</v>
      </c>
      <c r="E9">
        <v>8.2200000000000006</v>
      </c>
      <c r="F9">
        <v>11.29</v>
      </c>
      <c r="G9">
        <v>0.21176</v>
      </c>
      <c r="H9" s="273">
        <f>D9/(100/E9*F9)-1</f>
        <v>-1.7250487156774685E-3</v>
      </c>
      <c r="I9" s="273">
        <f>D9/(100/(E9-G9)*(F9-G9))-1</f>
        <v>-8.8517719060067224E-3</v>
      </c>
      <c r="L9" t="s">
        <v>2137</v>
      </c>
    </row>
    <row r="10" spans="3:19" x14ac:dyDescent="0.3">
      <c r="C10" t="s">
        <v>2138</v>
      </c>
      <c r="D10">
        <v>129.91399999999999</v>
      </c>
      <c r="E10">
        <v>5.14</v>
      </c>
      <c r="F10">
        <v>6.65</v>
      </c>
      <c r="G10">
        <v>0.13900000000000001</v>
      </c>
      <c r="H10" s="273">
        <f>D10/(100/E10*F10)-1</f>
        <v>4.1473082706764419E-3</v>
      </c>
      <c r="I10" s="273">
        <f>D10/(100/(E10-G10)*(F10-G10))-1</f>
        <v>-2.1503394255876218E-3</v>
      </c>
    </row>
    <row r="12" spans="3:19" x14ac:dyDescent="0.3">
      <c r="D12" t="s">
        <v>2139</v>
      </c>
    </row>
    <row r="13" spans="3:19" ht="28" customHeight="1" x14ac:dyDescent="0.3">
      <c r="C13" s="8"/>
      <c r="D13" s="8" t="s">
        <v>2140</v>
      </c>
      <c r="E13" s="8" t="s">
        <v>2141</v>
      </c>
      <c r="F13" s="8" t="s">
        <v>2142</v>
      </c>
      <c r="G13" s="8" t="s">
        <v>2143</v>
      </c>
      <c r="H13" s="8" t="s">
        <v>2144</v>
      </c>
      <c r="I13" s="8" t="s">
        <v>2145</v>
      </c>
      <c r="J13" s="8" t="s">
        <v>2146</v>
      </c>
      <c r="K13" s="8"/>
      <c r="L13" s="8" t="s">
        <v>2147</v>
      </c>
      <c r="M13" s="8" t="s">
        <v>2128</v>
      </c>
      <c r="N13" s="8"/>
      <c r="O13" s="8"/>
      <c r="P13" s="8" t="s">
        <v>2124</v>
      </c>
      <c r="Q13" s="8" t="s">
        <v>2135</v>
      </c>
      <c r="R13" s="8"/>
      <c r="S13" s="8"/>
    </row>
    <row r="14" spans="3:19" x14ac:dyDescent="0.3">
      <c r="C14" t="s">
        <v>2148</v>
      </c>
      <c r="D14">
        <v>12.77</v>
      </c>
      <c r="E14" s="271">
        <f>8.69-0.008</f>
        <v>8.6820000000000004</v>
      </c>
      <c r="F14">
        <v>169005534</v>
      </c>
      <c r="G14">
        <v>49484821</v>
      </c>
      <c r="H14">
        <f>G14/F14</f>
        <v>0.29280000381525967</v>
      </c>
      <c r="I14" s="271">
        <f>(D14+E14*H14)/(1+H14)</f>
        <v>11.84412870353934</v>
      </c>
      <c r="J14">
        <f>I14*1.3</f>
        <v>15.397367314601142</v>
      </c>
      <c r="L14">
        <f>I14/D14</f>
        <v>0.92749637459196088</v>
      </c>
      <c r="M14">
        <v>13.51</v>
      </c>
      <c r="P14">
        <v>126</v>
      </c>
      <c r="Q14">
        <f>P14/(100/I14*M14)-1</f>
        <v>0.10463376509693334</v>
      </c>
      <c r="S14" t="s">
        <v>2149</v>
      </c>
    </row>
    <row r="15" spans="3:19" x14ac:dyDescent="0.3">
      <c r="C15" t="s">
        <v>2150</v>
      </c>
      <c r="D15">
        <v>8.49</v>
      </c>
      <c r="M15">
        <v>6.81</v>
      </c>
    </row>
    <row r="16" spans="3:19" x14ac:dyDescent="0.3">
      <c r="C16" t="s">
        <v>2151</v>
      </c>
      <c r="D16">
        <v>12.92</v>
      </c>
      <c r="I16">
        <f>D16-0.41</f>
        <v>12.51</v>
      </c>
      <c r="L16">
        <f>I16/D16</f>
        <v>0.96826625386996901</v>
      </c>
      <c r="M16">
        <f>14.58-0.41</f>
        <v>14.17</v>
      </c>
      <c r="P16">
        <v>114.5</v>
      </c>
      <c r="Q16">
        <f>P16/(100/I16*M16)-1</f>
        <v>1.0864502470007142E-2</v>
      </c>
    </row>
    <row r="17" spans="9:9" x14ac:dyDescent="0.3">
      <c r="I17" s="271"/>
    </row>
  </sheetData>
  <phoneticPr fontId="16"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dimension ref="A1:AL317"/>
  <sheetViews>
    <sheetView tabSelected="1" workbookViewId="0">
      <pane xSplit="2" ySplit="1" topLeftCell="I290" activePane="bottomRight" state="frozen"/>
      <selection activeCell="BA74" sqref="BA74"/>
      <selection pane="topRight" activeCell="BA74" sqref="BA74"/>
      <selection pane="bottomLeft" activeCell="BA74" sqref="BA74"/>
      <selection pane="bottomRight" activeCell="AA301" sqref="AA301:AA317"/>
    </sheetView>
  </sheetViews>
  <sheetFormatPr defaultRowHeight="14" x14ac:dyDescent="0.3"/>
  <cols>
    <col min="1" max="1" width="10.1640625" style="350" customWidth="1"/>
    <col min="2" max="2" width="13.58203125" style="350" customWidth="1"/>
    <col min="3" max="3" width="8.08203125" style="350" customWidth="1"/>
    <col min="4" max="4" width="9.58203125" style="279" customWidth="1"/>
    <col min="5" max="5" width="8.33203125" style="279" customWidth="1"/>
    <col min="6" max="6" width="8.6640625" style="279" customWidth="1"/>
    <col min="7" max="7" width="9.5" style="279" customWidth="1"/>
    <col min="8" max="8" width="9.75" style="305" customWidth="1"/>
    <col min="9" max="9" width="8.83203125" style="279" customWidth="1"/>
    <col min="10" max="11" width="8.58203125" style="279" customWidth="1"/>
    <col min="13" max="15" width="8.58203125" style="9" customWidth="1"/>
    <col min="16" max="16" width="13.08203125" style="350" bestFit="1" customWidth="1"/>
    <col min="17" max="17" width="8.75" style="350" customWidth="1"/>
    <col min="18" max="18" width="8.5" style="9" bestFit="1" customWidth="1"/>
    <col min="19" max="19" width="8.58203125" style="391" customWidth="1"/>
    <col min="20" max="20" width="6.33203125" style="9" customWidth="1"/>
    <col min="21" max="21" width="8.33203125" style="350" bestFit="1" customWidth="1"/>
    <col min="22" max="22" width="6.1640625" style="393" customWidth="1"/>
    <col min="23" max="23" width="6.75" style="393" customWidth="1"/>
    <col min="24" max="24" width="5.08203125" style="350" customWidth="1"/>
    <col min="25" max="25" width="5.5" style="350" customWidth="1"/>
    <col min="26" max="26" width="7.08203125" style="346" bestFit="1" customWidth="1"/>
    <col min="27" max="27" width="6.5" style="349" customWidth="1"/>
  </cols>
  <sheetData>
    <row r="1" spans="1:28" s="8" customFormat="1" ht="28" customHeight="1" x14ac:dyDescent="0.3">
      <c r="A1" s="8">
        <v>0.6</v>
      </c>
      <c r="B1" s="8" t="s">
        <v>0</v>
      </c>
      <c r="C1" s="8" t="s">
        <v>1</v>
      </c>
      <c r="D1" s="293" t="s">
        <v>2</v>
      </c>
      <c r="E1" s="293" t="s">
        <v>3</v>
      </c>
      <c r="F1" s="293" t="s">
        <v>4</v>
      </c>
      <c r="G1" s="293" t="s">
        <v>5</v>
      </c>
      <c r="H1" s="303" t="s">
        <v>6</v>
      </c>
      <c r="I1" s="293" t="s">
        <v>7</v>
      </c>
      <c r="J1" s="293" t="s">
        <v>8</v>
      </c>
      <c r="K1" s="293" t="s">
        <v>9</v>
      </c>
      <c r="L1" s="8" t="s">
        <v>10</v>
      </c>
      <c r="M1" s="9" t="s">
        <v>11</v>
      </c>
      <c r="N1" s="9" t="s">
        <v>12</v>
      </c>
      <c r="O1" s="9" t="s">
        <v>13</v>
      </c>
      <c r="P1" t="s">
        <v>14</v>
      </c>
      <c r="Q1" t="s">
        <v>15</v>
      </c>
      <c r="R1" s="9" t="s">
        <v>16</v>
      </c>
      <c r="S1" s="9" t="s">
        <v>17</v>
      </c>
      <c r="T1" s="293" t="s">
        <v>18</v>
      </c>
      <c r="U1" s="8" t="s">
        <v>19</v>
      </c>
      <c r="V1" s="8" t="s">
        <v>20</v>
      </c>
      <c r="W1" s="8" t="s">
        <v>21</v>
      </c>
      <c r="X1" s="293" t="s">
        <v>22</v>
      </c>
      <c r="Y1" s="293" t="s">
        <v>23</v>
      </c>
      <c r="Z1" s="345" t="s">
        <v>24</v>
      </c>
      <c r="AA1" s="348" t="s">
        <v>25</v>
      </c>
      <c r="AB1" s="8" t="s">
        <v>26</v>
      </c>
    </row>
    <row r="2" spans="1:28" s="8" customFormat="1" x14ac:dyDescent="0.3">
      <c r="B2" s="295" t="s">
        <v>27</v>
      </c>
      <c r="C2" s="9">
        <f>SUM(C3:C23)</f>
        <v>-5.2000000000000005E-2</v>
      </c>
      <c r="D2" s="296">
        <f>SUM(D3:D23)</f>
        <v>5.2000000000000005E-2</v>
      </c>
      <c r="E2" s="296"/>
      <c r="F2" s="296">
        <f>SUM(F3:F23)</f>
        <v>0</v>
      </c>
      <c r="G2" s="296"/>
      <c r="H2" s="304"/>
      <c r="I2" s="296"/>
      <c r="J2" s="296">
        <f>SUM(J3:J24)</f>
        <v>8.4299999999999986E-2</v>
      </c>
      <c r="K2" s="296">
        <f>SUM(K3:K24)</f>
        <v>3.2999999999999995E-3</v>
      </c>
      <c r="L2" s="296">
        <f>SUM(L3:L24)</f>
        <v>8.0999999999999989E-2</v>
      </c>
      <c r="M2" s="9"/>
      <c r="N2" s="9"/>
      <c r="O2" s="9"/>
      <c r="P2"/>
      <c r="Q2"/>
      <c r="R2" s="9"/>
      <c r="S2" s="391"/>
      <c r="T2" s="9"/>
      <c r="V2" s="392"/>
      <c r="W2" s="392"/>
      <c r="X2"/>
      <c r="Y2"/>
      <c r="Z2" s="345"/>
      <c r="AA2" s="348"/>
    </row>
    <row r="3" spans="1:28" s="299" customFormat="1" x14ac:dyDescent="0.3">
      <c r="B3" s="299">
        <v>45870</v>
      </c>
      <c r="C3" s="9">
        <f t="shared" ref="C3:C23" si="0">F3-D3</f>
        <v>-3.7000000000000002E-3</v>
      </c>
      <c r="D3" s="9">
        <v>3.7000000000000002E-3</v>
      </c>
      <c r="E3" s="9"/>
      <c r="F3" s="279">
        <v>0</v>
      </c>
      <c r="G3" s="279"/>
      <c r="H3" s="305"/>
      <c r="I3" s="279"/>
      <c r="M3" s="9"/>
      <c r="N3" s="9"/>
      <c r="O3" s="9"/>
      <c r="P3"/>
      <c r="Q3"/>
      <c r="R3" s="9"/>
      <c r="S3" s="391"/>
      <c r="T3" s="9"/>
      <c r="V3" s="391"/>
      <c r="W3" s="391"/>
      <c r="X3"/>
      <c r="Y3"/>
      <c r="Z3" s="346"/>
      <c r="AA3" s="349"/>
    </row>
    <row r="4" spans="1:28" s="299" customFormat="1" x14ac:dyDescent="0.3">
      <c r="B4" s="299">
        <v>45873</v>
      </c>
      <c r="C4" s="9">
        <f t="shared" si="0"/>
        <v>-1.14E-2</v>
      </c>
      <c r="D4" s="9">
        <v>1.14E-2</v>
      </c>
      <c r="E4" s="9"/>
      <c r="F4" s="279">
        <v>0</v>
      </c>
      <c r="G4" s="279"/>
      <c r="H4" s="305"/>
      <c r="I4" s="279"/>
      <c r="M4" s="9"/>
      <c r="N4" s="9"/>
      <c r="O4" s="9"/>
      <c r="P4"/>
      <c r="Q4"/>
      <c r="R4" s="9"/>
      <c r="S4" s="391"/>
      <c r="T4" s="9"/>
      <c r="V4" s="391"/>
      <c r="W4" s="391"/>
      <c r="X4"/>
      <c r="Y4"/>
      <c r="Z4" s="346"/>
      <c r="AA4" s="349"/>
    </row>
    <row r="5" spans="1:28" s="299" customFormat="1" x14ac:dyDescent="0.3">
      <c r="B5" s="299">
        <v>45874</v>
      </c>
      <c r="C5" s="9">
        <f t="shared" si="0"/>
        <v>-8.2000000000000007E-3</v>
      </c>
      <c r="D5" s="9">
        <v>8.2000000000000007E-3</v>
      </c>
      <c r="E5" s="9"/>
      <c r="F5" s="279"/>
      <c r="G5" s="279"/>
      <c r="H5" s="305"/>
      <c r="I5" s="279"/>
      <c r="M5" s="9"/>
      <c r="N5" s="9"/>
      <c r="O5" s="9"/>
      <c r="P5"/>
      <c r="Q5"/>
      <c r="R5" s="9"/>
      <c r="S5" s="391"/>
      <c r="T5" s="9"/>
      <c r="V5" s="391"/>
      <c r="W5" s="391"/>
      <c r="X5"/>
      <c r="Y5"/>
      <c r="Z5" s="346"/>
      <c r="AA5" s="349"/>
    </row>
    <row r="6" spans="1:28" s="299" customFormat="1" x14ac:dyDescent="0.3">
      <c r="B6" s="299">
        <v>45875</v>
      </c>
      <c r="C6" s="9">
        <f t="shared" si="0"/>
        <v>-7.6E-3</v>
      </c>
      <c r="D6" s="9">
        <v>7.6E-3</v>
      </c>
      <c r="E6" s="9"/>
      <c r="F6" s="279"/>
      <c r="G6" s="279"/>
      <c r="H6" s="305"/>
      <c r="I6" s="279"/>
      <c r="M6" s="9"/>
      <c r="N6" s="9"/>
      <c r="O6" s="9"/>
      <c r="P6"/>
      <c r="Q6"/>
      <c r="R6" s="9"/>
      <c r="S6" s="391"/>
      <c r="T6" s="9"/>
      <c r="V6" s="391"/>
      <c r="W6" s="391"/>
      <c r="X6"/>
      <c r="Y6"/>
      <c r="Z6" s="346"/>
      <c r="AA6" s="349"/>
    </row>
    <row r="7" spans="1:28" s="299" customFormat="1" x14ac:dyDescent="0.3">
      <c r="B7" s="299">
        <v>45876</v>
      </c>
      <c r="C7" s="9">
        <f t="shared" si="0"/>
        <v>1.4E-3</v>
      </c>
      <c r="D7" s="9">
        <v>-1.4E-3</v>
      </c>
      <c r="E7" s="9"/>
      <c r="F7" s="279"/>
      <c r="G7" s="279"/>
      <c r="H7" s="305"/>
      <c r="I7" s="279"/>
      <c r="M7" s="9"/>
      <c r="N7" s="9"/>
      <c r="O7" s="9"/>
      <c r="P7"/>
      <c r="Q7"/>
      <c r="R7" s="9"/>
      <c r="S7" s="391"/>
      <c r="T7" s="9"/>
      <c r="V7" s="391"/>
      <c r="W7" s="391"/>
      <c r="X7"/>
      <c r="Y7"/>
      <c r="Z7" s="346"/>
      <c r="AA7" s="349"/>
    </row>
    <row r="8" spans="1:28" s="299" customFormat="1" x14ac:dyDescent="0.3">
      <c r="B8" s="299">
        <v>45877</v>
      </c>
      <c r="C8" s="9">
        <f t="shared" si="0"/>
        <v>-1.4E-3</v>
      </c>
      <c r="D8" s="9">
        <v>1.4E-3</v>
      </c>
      <c r="E8" s="9"/>
      <c r="F8" s="279"/>
      <c r="G8" s="279"/>
      <c r="H8" s="305"/>
      <c r="I8" s="279"/>
      <c r="M8" s="9"/>
      <c r="N8" s="9"/>
      <c r="O8" s="9"/>
      <c r="P8"/>
      <c r="Q8"/>
      <c r="R8" s="9"/>
      <c r="S8" s="391"/>
      <c r="T8" s="9"/>
      <c r="V8" s="391"/>
      <c r="W8" s="391"/>
      <c r="X8"/>
      <c r="Y8"/>
      <c r="Z8" s="346"/>
      <c r="AA8" s="349"/>
    </row>
    <row r="9" spans="1:28" s="299" customFormat="1" x14ac:dyDescent="0.3">
      <c r="B9" s="299">
        <v>45880</v>
      </c>
      <c r="C9" s="9">
        <f t="shared" si="0"/>
        <v>-1.09E-2</v>
      </c>
      <c r="D9" s="9">
        <v>1.09E-2</v>
      </c>
      <c r="E9" s="9"/>
      <c r="F9" s="279"/>
      <c r="G9" s="279"/>
      <c r="H9" s="305"/>
      <c r="I9" s="279"/>
      <c r="M9" s="9"/>
      <c r="N9" s="9"/>
      <c r="O9" s="9"/>
      <c r="P9"/>
      <c r="Q9"/>
      <c r="R9" s="9"/>
      <c r="S9" s="391"/>
      <c r="T9" s="9"/>
      <c r="V9" s="391"/>
      <c r="W9" s="391"/>
      <c r="X9"/>
      <c r="Y9"/>
      <c r="Z9" s="346"/>
      <c r="AA9" s="349"/>
    </row>
    <row r="10" spans="1:28" s="299" customFormat="1" x14ac:dyDescent="0.3">
      <c r="B10" s="299">
        <v>45881</v>
      </c>
      <c r="C10" s="9">
        <f t="shared" si="0"/>
        <v>3.5000000000000001E-3</v>
      </c>
      <c r="D10" s="9">
        <v>-3.5000000000000001E-3</v>
      </c>
      <c r="E10" s="9"/>
      <c r="F10" s="279"/>
      <c r="G10" s="279"/>
      <c r="H10" s="305"/>
      <c r="I10" s="279"/>
      <c r="M10" s="9"/>
      <c r="N10" s="9"/>
      <c r="O10" s="9"/>
      <c r="P10"/>
      <c r="Q10"/>
      <c r="R10" s="9"/>
      <c r="S10" s="391"/>
      <c r="T10" s="9"/>
      <c r="V10" s="391"/>
      <c r="W10" s="391"/>
      <c r="X10"/>
      <c r="Y10"/>
      <c r="Z10" s="346"/>
      <c r="AA10" s="349"/>
    </row>
    <row r="11" spans="1:28" s="299" customFormat="1" x14ac:dyDescent="0.3">
      <c r="B11" s="299">
        <v>45882</v>
      </c>
      <c r="C11" s="9">
        <f t="shared" si="0"/>
        <v>-9.7000000000000003E-3</v>
      </c>
      <c r="D11" s="9">
        <v>9.7000000000000003E-3</v>
      </c>
      <c r="E11" s="9"/>
      <c r="F11" s="279"/>
      <c r="G11" s="279"/>
      <c r="H11" s="305"/>
      <c r="I11" s="279"/>
      <c r="M11" s="9"/>
      <c r="N11" s="9"/>
      <c r="O11" s="9"/>
      <c r="P11"/>
      <c r="Q11"/>
      <c r="R11" s="9"/>
      <c r="S11" s="391"/>
      <c r="T11" s="9"/>
      <c r="V11" s="391"/>
      <c r="W11" s="391"/>
      <c r="X11"/>
      <c r="Y11"/>
      <c r="Z11" s="346"/>
      <c r="AA11" s="349"/>
    </row>
    <row r="12" spans="1:28" s="299" customFormat="1" x14ac:dyDescent="0.3">
      <c r="B12" s="299">
        <v>45883</v>
      </c>
      <c r="C12" s="9">
        <f t="shared" si="0"/>
        <v>6.7000000000000002E-3</v>
      </c>
      <c r="D12" s="9">
        <v>-6.7000000000000002E-3</v>
      </c>
      <c r="E12" s="9"/>
      <c r="F12" s="279"/>
      <c r="G12" s="279"/>
      <c r="H12" s="305"/>
      <c r="I12" s="279"/>
      <c r="M12" s="9"/>
      <c r="N12" s="9"/>
      <c r="O12" s="9"/>
      <c r="P12"/>
      <c r="Q12"/>
      <c r="R12" s="9"/>
      <c r="S12" s="391"/>
      <c r="T12" s="9"/>
      <c r="V12" s="391"/>
      <c r="W12" s="391"/>
      <c r="X12"/>
      <c r="Y12"/>
      <c r="Z12" s="346"/>
      <c r="AA12" s="349"/>
    </row>
    <row r="13" spans="1:28" s="299" customFormat="1" x14ac:dyDescent="0.3">
      <c r="B13" s="299">
        <v>45884</v>
      </c>
      <c r="C13" s="9">
        <f t="shared" si="0"/>
        <v>-1.3100000000000001E-2</v>
      </c>
      <c r="D13" s="9">
        <v>1.3100000000000001E-2</v>
      </c>
      <c r="E13" s="9"/>
      <c r="F13" s="279"/>
      <c r="G13" s="279"/>
      <c r="H13" s="305"/>
      <c r="I13" s="279"/>
      <c r="M13" s="9"/>
      <c r="N13" s="9"/>
      <c r="O13" s="9"/>
      <c r="P13"/>
      <c r="Q13"/>
      <c r="R13" s="9"/>
      <c r="S13" s="391"/>
      <c r="T13" s="9"/>
      <c r="V13" s="391"/>
      <c r="W13" s="391"/>
      <c r="X13"/>
      <c r="Y13"/>
      <c r="Z13" s="346"/>
      <c r="AA13" s="349"/>
    </row>
    <row r="14" spans="1:28" s="299" customFormat="1" x14ac:dyDescent="0.3">
      <c r="B14" s="299">
        <v>45887</v>
      </c>
      <c r="C14" s="9">
        <f t="shared" si="0"/>
        <v>-1.1900000000000001E-2</v>
      </c>
      <c r="D14" s="9">
        <v>1.1900000000000001E-2</v>
      </c>
      <c r="E14" s="9"/>
      <c r="F14" s="279"/>
      <c r="G14" s="279"/>
      <c r="H14" s="305"/>
      <c r="I14" s="279"/>
      <c r="M14" s="9"/>
      <c r="N14" s="9"/>
      <c r="O14" s="9"/>
      <c r="P14"/>
      <c r="Q14"/>
      <c r="R14" s="9"/>
      <c r="S14" s="391"/>
      <c r="T14" s="9"/>
      <c r="V14" s="391"/>
      <c r="W14" s="391"/>
      <c r="X14"/>
      <c r="Y14"/>
      <c r="Z14" s="346"/>
      <c r="AA14" s="349"/>
    </row>
    <row r="15" spans="1:28" s="299" customFormat="1" x14ac:dyDescent="0.3">
      <c r="B15" s="299">
        <v>45888</v>
      </c>
      <c r="C15" s="9">
        <f t="shared" si="0"/>
        <v>-3.7000000000000002E-3</v>
      </c>
      <c r="D15" s="9">
        <v>3.7000000000000002E-3</v>
      </c>
      <c r="E15" s="9"/>
      <c r="F15" s="279"/>
      <c r="G15" s="279"/>
      <c r="H15" s="305"/>
      <c r="I15" s="279"/>
      <c r="M15" s="9"/>
      <c r="N15" s="9"/>
      <c r="O15" s="9"/>
      <c r="P15"/>
      <c r="Q15"/>
      <c r="R15" s="9"/>
      <c r="S15" s="391"/>
      <c r="T15" s="9"/>
      <c r="V15" s="391"/>
      <c r="W15" s="391"/>
      <c r="X15"/>
      <c r="Y15"/>
      <c r="Z15" s="346"/>
      <c r="AA15" s="349"/>
    </row>
    <row r="16" spans="1:28" s="299" customFormat="1" x14ac:dyDescent="0.3">
      <c r="B16" s="299">
        <v>45889</v>
      </c>
      <c r="C16" s="9">
        <f t="shared" si="0"/>
        <v>-3.3999999999999998E-3</v>
      </c>
      <c r="D16" s="9">
        <v>3.3999999999999998E-3</v>
      </c>
      <c r="E16" s="9"/>
      <c r="F16" s="279"/>
      <c r="G16" s="279"/>
      <c r="H16" s="305"/>
      <c r="I16" s="279"/>
      <c r="M16" s="9"/>
      <c r="N16" s="9"/>
      <c r="O16" s="9"/>
      <c r="P16"/>
      <c r="Q16"/>
      <c r="R16" s="9"/>
      <c r="S16" s="391"/>
      <c r="T16" s="9"/>
      <c r="V16" s="391"/>
      <c r="W16" s="391"/>
      <c r="X16"/>
      <c r="Y16"/>
      <c r="Z16" s="346"/>
      <c r="AA16" s="349"/>
    </row>
    <row r="17" spans="2:38" s="299" customFormat="1" x14ac:dyDescent="0.3">
      <c r="B17" s="299">
        <v>45890</v>
      </c>
      <c r="C17" s="9">
        <f t="shared" si="0"/>
        <v>-4.0000000000000001E-3</v>
      </c>
      <c r="D17" s="9">
        <v>4.0000000000000001E-3</v>
      </c>
      <c r="E17" s="9"/>
      <c r="F17" s="279"/>
      <c r="G17" s="279"/>
      <c r="H17" s="305"/>
      <c r="I17" s="279"/>
      <c r="M17" s="9"/>
      <c r="N17" s="9"/>
      <c r="O17" s="9"/>
      <c r="P17"/>
      <c r="Q17"/>
      <c r="R17" s="9"/>
      <c r="S17" s="391"/>
      <c r="T17" s="9"/>
      <c r="V17" s="391"/>
      <c r="W17" s="391"/>
      <c r="X17"/>
      <c r="Y17"/>
      <c r="Z17" s="346"/>
      <c r="AA17" s="349"/>
    </row>
    <row r="18" spans="2:38" s="299" customFormat="1" x14ac:dyDescent="0.3">
      <c r="B18" s="299">
        <v>45891</v>
      </c>
      <c r="C18" s="9">
        <f t="shared" si="0"/>
        <v>-8.8999999999999999E-3</v>
      </c>
      <c r="D18" s="9">
        <v>8.8999999999999999E-3</v>
      </c>
      <c r="E18" s="9"/>
      <c r="F18" s="279"/>
      <c r="G18" s="279"/>
      <c r="H18" s="305"/>
      <c r="I18" s="279"/>
      <c r="M18" s="9"/>
      <c r="N18" s="9"/>
      <c r="O18" s="9"/>
      <c r="P18"/>
      <c r="Q18"/>
      <c r="R18" s="9"/>
      <c r="S18" s="391"/>
      <c r="T18" s="9"/>
      <c r="V18" s="391"/>
      <c r="W18" s="391"/>
      <c r="X18"/>
      <c r="Y18"/>
      <c r="Z18" s="346"/>
      <c r="AA18" s="349"/>
    </row>
    <row r="19" spans="2:38" s="299" customFormat="1" x14ac:dyDescent="0.3">
      <c r="B19" s="299">
        <v>45894</v>
      </c>
      <c r="C19" s="9">
        <f t="shared" si="0"/>
        <v>-5.4999999999999997E-3</v>
      </c>
      <c r="D19" s="9">
        <v>5.4999999999999997E-3</v>
      </c>
      <c r="E19" s="9"/>
      <c r="F19" s="279"/>
      <c r="G19" s="279"/>
      <c r="H19" s="305"/>
      <c r="I19" s="279"/>
      <c r="M19" s="9"/>
      <c r="N19" s="9"/>
      <c r="O19" s="9"/>
      <c r="P19"/>
      <c r="Q19"/>
      <c r="R19" s="9"/>
      <c r="S19" s="391"/>
      <c r="T19" s="9"/>
      <c r="V19" s="391"/>
      <c r="W19" s="391"/>
      <c r="X19"/>
      <c r="Y19"/>
      <c r="Z19" s="346"/>
      <c r="AA19" s="349"/>
    </row>
    <row r="20" spans="2:38" s="299" customFormat="1" x14ac:dyDescent="0.3">
      <c r="B20" s="299">
        <v>45895</v>
      </c>
      <c r="C20" s="9">
        <f t="shared" si="0"/>
        <v>6.9999999999999999E-4</v>
      </c>
      <c r="D20" s="9">
        <v>-6.9999999999999999E-4</v>
      </c>
      <c r="E20" s="9"/>
      <c r="F20" s="279"/>
      <c r="G20" s="279"/>
      <c r="H20" s="305"/>
      <c r="I20" s="279"/>
      <c r="M20" s="9"/>
      <c r="N20" s="9"/>
      <c r="O20" s="9"/>
      <c r="P20"/>
      <c r="Q20"/>
      <c r="R20" s="9"/>
      <c r="S20" s="391"/>
      <c r="T20" s="9"/>
      <c r="V20" s="391"/>
      <c r="W20" s="391"/>
      <c r="X20"/>
      <c r="Y20"/>
      <c r="Z20" s="346"/>
      <c r="AA20" s="349"/>
    </row>
    <row r="21" spans="2:38" s="299" customFormat="1" x14ac:dyDescent="0.3">
      <c r="B21" s="299">
        <v>45896</v>
      </c>
      <c r="C21" s="9">
        <f t="shared" si="0"/>
        <v>3.2300000000000002E-2</v>
      </c>
      <c r="D21" s="9">
        <v>-3.2300000000000002E-2</v>
      </c>
      <c r="E21" s="9"/>
      <c r="F21" s="279"/>
      <c r="G21" s="279"/>
      <c r="H21" s="305"/>
      <c r="I21" s="279"/>
      <c r="M21" s="9"/>
      <c r="N21" s="9"/>
      <c r="O21" s="9"/>
      <c r="P21"/>
      <c r="Q21"/>
      <c r="R21" s="9"/>
      <c r="S21" s="391"/>
      <c r="T21" s="9"/>
      <c r="V21" s="391"/>
      <c r="W21" s="391"/>
      <c r="X21"/>
      <c r="Y21"/>
      <c r="Z21" s="346"/>
      <c r="AA21" s="349"/>
    </row>
    <row r="22" spans="2:38" s="299" customFormat="1" x14ac:dyDescent="0.3">
      <c r="B22" s="299">
        <v>45897</v>
      </c>
      <c r="C22" s="9">
        <f t="shared" si="0"/>
        <v>-1E-4</v>
      </c>
      <c r="D22" s="9">
        <v>1E-4</v>
      </c>
      <c r="E22" s="9"/>
      <c r="F22" s="279"/>
      <c r="G22" s="279"/>
      <c r="H22" s="305"/>
      <c r="I22" s="279"/>
      <c r="M22" s="9"/>
      <c r="N22" s="9"/>
      <c r="O22" s="9"/>
      <c r="P22"/>
      <c r="Q22"/>
      <c r="R22" s="9"/>
      <c r="S22" s="391"/>
      <c r="T22" s="9"/>
      <c r="V22" s="391"/>
      <c r="W22" s="391"/>
      <c r="X22"/>
      <c r="Y22"/>
      <c r="Z22" s="346"/>
      <c r="AA22" s="349"/>
    </row>
    <row r="23" spans="2:38" s="299" customFormat="1" x14ac:dyDescent="0.3">
      <c r="B23" s="299">
        <v>45898</v>
      </c>
      <c r="C23" s="9">
        <f t="shared" si="0"/>
        <v>6.8999999999999999E-3</v>
      </c>
      <c r="D23" s="9">
        <v>-6.8999999999999999E-3</v>
      </c>
      <c r="E23" s="9"/>
      <c r="F23" s="279"/>
      <c r="G23" s="279"/>
      <c r="H23" s="305"/>
      <c r="I23" s="279"/>
      <c r="M23" s="9"/>
      <c r="N23" s="9"/>
      <c r="O23" s="9"/>
      <c r="P23"/>
      <c r="Q23"/>
      <c r="R23" s="9"/>
      <c r="S23" s="391"/>
      <c r="T23" s="9"/>
      <c r="V23" s="391"/>
      <c r="W23" s="391"/>
      <c r="X23"/>
      <c r="Y23"/>
      <c r="Z23" s="346"/>
      <c r="AA23" s="349"/>
    </row>
    <row r="24" spans="2:38" s="8" customFormat="1" x14ac:dyDescent="0.3">
      <c r="B24" s="295" t="s">
        <v>28</v>
      </c>
      <c r="C24" s="296">
        <f>SUM(C25:C46)</f>
        <v>6.5699999999999968E-3</v>
      </c>
      <c r="D24" s="296">
        <f>SUM(D25:D46)</f>
        <v>2.47E-2</v>
      </c>
      <c r="E24" s="296">
        <f>SUM(E25:E46)</f>
        <v>3.1269999999999999E-2</v>
      </c>
      <c r="F24" s="296">
        <f>SUM(F25:F46)</f>
        <v>3.1269999999999999E-2</v>
      </c>
      <c r="G24" s="296">
        <f>SUM(G25:G46)</f>
        <v>7.2699999999999978E-3</v>
      </c>
      <c r="H24" s="306">
        <f t="shared" ref="H24:H47" si="1">F24/G24</f>
        <v>4.3012379642365897</v>
      </c>
      <c r="I24" s="296">
        <f>SUM(I25:I46)</f>
        <v>4.3619999999999996E-3</v>
      </c>
      <c r="J24" s="296">
        <f>SUM(J25:J46)</f>
        <v>8.4299999999999986E-2</v>
      </c>
      <c r="K24" s="296">
        <f>SUM(K25:K46)</f>
        <v>3.2999999999999995E-3</v>
      </c>
      <c r="L24" s="296">
        <f>SUM(L25:L46)</f>
        <v>8.0999999999999989E-2</v>
      </c>
      <c r="M24" s="9"/>
      <c r="N24" s="9"/>
      <c r="O24" s="9"/>
      <c r="P24"/>
      <c r="Q24"/>
      <c r="R24" s="9"/>
      <c r="S24" s="391"/>
      <c r="T24" s="9"/>
      <c r="V24" s="392"/>
      <c r="W24" s="392"/>
      <c r="X24"/>
      <c r="Y24"/>
      <c r="Z24" s="345"/>
      <c r="AA24" s="348"/>
    </row>
    <row r="25" spans="2:38" x14ac:dyDescent="0.3">
      <c r="B25">
        <v>20250901</v>
      </c>
      <c r="C25" s="9">
        <f t="shared" ref="C25:C46" si="2">F25-D25</f>
        <v>-7.9999999999999993E-4</v>
      </c>
      <c r="D25" s="9">
        <v>-3.5000000000000001E-3</v>
      </c>
      <c r="E25" s="9">
        <f t="shared" ref="E25:E46" si="3">F25</f>
        <v>-4.3E-3</v>
      </c>
      <c r="F25" s="9">
        <v>-4.3E-3</v>
      </c>
      <c r="G25" s="9">
        <v>5.4999999999999997E-3</v>
      </c>
      <c r="H25" s="305">
        <f t="shared" si="1"/>
        <v>-0.78181818181818186</v>
      </c>
      <c r="I25" s="9">
        <f t="shared" ref="I25:I46" si="4">G25*$A$1</f>
        <v>3.2999999999999995E-3</v>
      </c>
      <c r="J25" s="9">
        <v>1.4E-2</v>
      </c>
      <c r="K25" s="9">
        <v>8.3999999999999995E-3</v>
      </c>
      <c r="L25" s="9">
        <f t="shared" ref="L25:L46" si="5">J25-K25</f>
        <v>5.6000000000000008E-3</v>
      </c>
      <c r="AB25" s="9"/>
      <c r="AG25" s="9"/>
      <c r="AH25" s="9"/>
      <c r="AI25" s="9"/>
      <c r="AL25" s="9"/>
    </row>
    <row r="26" spans="2:38" x14ac:dyDescent="0.3">
      <c r="B26">
        <v>20250902</v>
      </c>
      <c r="C26" s="9">
        <f t="shared" si="2"/>
        <v>2.3999999999999994E-3</v>
      </c>
      <c r="D26" s="9">
        <v>-1.2699999999999999E-2</v>
      </c>
      <c r="E26" s="9">
        <f t="shared" si="3"/>
        <v>-1.03E-2</v>
      </c>
      <c r="F26" s="9">
        <v>-1.03E-2</v>
      </c>
      <c r="G26" s="9">
        <v>-1.54E-2</v>
      </c>
      <c r="H26" s="305">
        <f t="shared" si="1"/>
        <v>0.66883116883116878</v>
      </c>
      <c r="I26" s="9">
        <f t="shared" si="4"/>
        <v>-9.2399999999999999E-3</v>
      </c>
      <c r="J26" s="9">
        <v>-1.5E-3</v>
      </c>
      <c r="K26" s="9">
        <v>-7.1999999999999998E-3</v>
      </c>
      <c r="L26" s="9">
        <f t="shared" si="5"/>
        <v>5.7000000000000002E-3</v>
      </c>
      <c r="AB26" s="9"/>
      <c r="AG26" s="9"/>
      <c r="AH26" s="9"/>
      <c r="AI26" s="9"/>
      <c r="AL26" s="9"/>
    </row>
    <row r="27" spans="2:38" x14ac:dyDescent="0.3">
      <c r="B27">
        <v>20250903</v>
      </c>
      <c r="C27" s="9">
        <f t="shared" si="2"/>
        <v>-2.1000000000000003E-3</v>
      </c>
      <c r="D27" s="9">
        <v>1.1000000000000001E-3</v>
      </c>
      <c r="E27" s="9">
        <f t="shared" si="3"/>
        <v>-1E-3</v>
      </c>
      <c r="F27" s="9">
        <v>-1E-3</v>
      </c>
      <c r="G27" s="9">
        <v>-2.69E-2</v>
      </c>
      <c r="H27" s="305">
        <f t="shared" si="1"/>
        <v>3.717472118959108E-2</v>
      </c>
      <c r="I27" s="9">
        <f t="shared" si="4"/>
        <v>-1.6139999999999998E-2</v>
      </c>
      <c r="J27" s="9">
        <v>5.7000000000000002E-3</v>
      </c>
      <c r="K27" s="9">
        <v>-6.8999999999999999E-3</v>
      </c>
      <c r="L27" s="9">
        <f t="shared" si="5"/>
        <v>1.26E-2</v>
      </c>
      <c r="AB27" s="9"/>
      <c r="AG27" s="9"/>
      <c r="AH27" s="9"/>
      <c r="AI27" s="9"/>
      <c r="AL27" s="9"/>
    </row>
    <row r="28" spans="2:38" x14ac:dyDescent="0.3">
      <c r="B28">
        <v>20250904</v>
      </c>
      <c r="C28" s="9">
        <f t="shared" si="2"/>
        <v>2.4000000000000002E-3</v>
      </c>
      <c r="D28" s="9">
        <v>-5.7000000000000002E-3</v>
      </c>
      <c r="E28" s="9">
        <f t="shared" si="3"/>
        <v>-3.3E-3</v>
      </c>
      <c r="F28" s="9">
        <v>-3.3E-3</v>
      </c>
      <c r="G28" s="9">
        <v>-1.1299999999999999E-2</v>
      </c>
      <c r="H28" s="305">
        <f t="shared" si="1"/>
        <v>0.29203539823008851</v>
      </c>
      <c r="I28" s="9">
        <f t="shared" si="4"/>
        <v>-6.7799999999999996E-3</v>
      </c>
      <c r="J28" s="9">
        <v>-3.0999999999999999E-3</v>
      </c>
      <c r="K28" s="9">
        <v>-9.9000000000000008E-3</v>
      </c>
      <c r="L28" s="9">
        <f t="shared" si="5"/>
        <v>6.8000000000000005E-3</v>
      </c>
      <c r="AB28" s="9"/>
      <c r="AG28" s="9"/>
      <c r="AH28" s="9"/>
      <c r="AI28" s="9"/>
      <c r="AL28" s="9"/>
    </row>
    <row r="29" spans="2:38" x14ac:dyDescent="0.3">
      <c r="B29">
        <v>20250905</v>
      </c>
      <c r="C29" s="9">
        <f t="shared" si="2"/>
        <v>3.9000000000000007E-3</v>
      </c>
      <c r="D29" s="9">
        <v>2.64E-2</v>
      </c>
      <c r="E29" s="9">
        <f t="shared" si="3"/>
        <v>3.0300000000000001E-2</v>
      </c>
      <c r="F29" s="9">
        <v>3.0300000000000001E-2</v>
      </c>
      <c r="G29" s="9">
        <v>3.4599999999999999E-2</v>
      </c>
      <c r="H29" s="305">
        <f t="shared" si="1"/>
        <v>0.87572254335260125</v>
      </c>
      <c r="I29" s="9">
        <f t="shared" si="4"/>
        <v>2.0759999999999997E-2</v>
      </c>
      <c r="J29" s="9">
        <v>1.0800000000000001E-2</v>
      </c>
      <c r="K29" s="9">
        <v>1.35E-2</v>
      </c>
      <c r="L29" s="9">
        <f t="shared" si="5"/>
        <v>-2.6999999999999993E-3</v>
      </c>
      <c r="AB29" s="9"/>
      <c r="AG29" s="9"/>
      <c r="AH29" s="9"/>
      <c r="AI29" s="9"/>
      <c r="AL29" s="9"/>
    </row>
    <row r="30" spans="2:38" x14ac:dyDescent="0.3">
      <c r="B30">
        <v>20250908</v>
      </c>
      <c r="C30" s="9">
        <f t="shared" si="2"/>
        <v>2.5999999999999999E-3</v>
      </c>
      <c r="D30" s="9">
        <v>8.9999999999999993E-3</v>
      </c>
      <c r="E30" s="9">
        <f t="shared" si="3"/>
        <v>1.1599999999999999E-2</v>
      </c>
      <c r="F30" s="9">
        <v>1.1599999999999999E-2</v>
      </c>
      <c r="G30" s="9">
        <v>2.1999999999999999E-2</v>
      </c>
      <c r="H30" s="305">
        <f t="shared" si="1"/>
        <v>0.52727272727272723</v>
      </c>
      <c r="I30" s="9">
        <f t="shared" si="4"/>
        <v>1.3199999999999998E-2</v>
      </c>
      <c r="J30" s="9">
        <v>2.9700000000000001E-2</v>
      </c>
      <c r="K30" s="9">
        <v>1.4999999999999999E-2</v>
      </c>
      <c r="L30" s="9">
        <f t="shared" si="5"/>
        <v>1.4700000000000001E-2</v>
      </c>
      <c r="AB30" s="9"/>
      <c r="AG30" s="9"/>
      <c r="AH30" s="9"/>
      <c r="AI30" s="9"/>
      <c r="AL30" s="9"/>
    </row>
    <row r="31" spans="2:38" x14ac:dyDescent="0.3">
      <c r="B31">
        <v>20250909</v>
      </c>
      <c r="C31" s="9">
        <f t="shared" si="2"/>
        <v>4.0999999999999995E-3</v>
      </c>
      <c r="D31" s="9">
        <v>-1.24E-2</v>
      </c>
      <c r="E31" s="9">
        <f t="shared" si="3"/>
        <v>-8.3000000000000001E-3</v>
      </c>
      <c r="F31" s="9">
        <v>-8.3000000000000001E-3</v>
      </c>
      <c r="G31" s="9">
        <v>-4.7000000000000002E-3</v>
      </c>
      <c r="H31" s="305">
        <f t="shared" si="1"/>
        <v>1.7659574468085106</v>
      </c>
      <c r="I31" s="9">
        <f t="shared" si="4"/>
        <v>-2.82E-3</v>
      </c>
      <c r="J31" s="9">
        <v>1.84E-2</v>
      </c>
      <c r="K31" s="9">
        <v>4.7999999999999996E-3</v>
      </c>
      <c r="L31" s="9">
        <f t="shared" si="5"/>
        <v>1.3600000000000001E-2</v>
      </c>
      <c r="AB31" s="9"/>
      <c r="AG31" s="9"/>
      <c r="AH31" s="9"/>
      <c r="AI31" s="9"/>
      <c r="AL31" s="9"/>
    </row>
    <row r="32" spans="2:38" x14ac:dyDescent="0.3">
      <c r="B32">
        <v>20250910</v>
      </c>
      <c r="C32" s="9">
        <f t="shared" si="2"/>
        <v>-8.0000000000000036E-4</v>
      </c>
      <c r="D32" s="9">
        <v>-7.7000000000000002E-3</v>
      </c>
      <c r="E32" s="9">
        <f t="shared" si="3"/>
        <v>-8.5000000000000006E-3</v>
      </c>
      <c r="F32" s="9">
        <v>-8.5000000000000006E-3</v>
      </c>
      <c r="G32" s="9">
        <v>3.7000000000000002E-3</v>
      </c>
      <c r="H32" s="305">
        <f t="shared" si="1"/>
        <v>-2.2972972972972974</v>
      </c>
      <c r="I32" s="9">
        <f t="shared" si="4"/>
        <v>2.2200000000000002E-3</v>
      </c>
      <c r="J32" s="9">
        <v>1.0999999999999999E-2</v>
      </c>
      <c r="K32" s="9">
        <v>1.11E-2</v>
      </c>
      <c r="L32" s="9">
        <f t="shared" si="5"/>
        <v>-1.0000000000000113E-4</v>
      </c>
      <c r="AB32" s="9"/>
      <c r="AG32" s="9"/>
      <c r="AH32" s="9"/>
      <c r="AI32" s="9"/>
      <c r="AL32" s="9"/>
    </row>
    <row r="33" spans="2:38" x14ac:dyDescent="0.3">
      <c r="B33">
        <v>20250911</v>
      </c>
      <c r="C33" s="9">
        <f t="shared" si="2"/>
        <v>-2.8999999999999998E-3</v>
      </c>
      <c r="D33" s="9">
        <v>1.5599999999999999E-2</v>
      </c>
      <c r="E33" s="9">
        <f t="shared" si="3"/>
        <v>1.2699999999999999E-2</v>
      </c>
      <c r="F33" s="9">
        <v>1.2699999999999999E-2</v>
      </c>
      <c r="G33" s="9">
        <v>1.32E-2</v>
      </c>
      <c r="H33" s="305">
        <f t="shared" si="1"/>
        <v>0.96212121212121204</v>
      </c>
      <c r="I33" s="9">
        <f t="shared" si="4"/>
        <v>7.92E-3</v>
      </c>
      <c r="J33" s="9">
        <v>-2.8E-3</v>
      </c>
      <c r="K33" s="9">
        <v>0</v>
      </c>
      <c r="L33" s="9">
        <f t="shared" si="5"/>
        <v>-2.8E-3</v>
      </c>
      <c r="AB33" s="9"/>
      <c r="AG33" s="9"/>
      <c r="AH33" s="9"/>
      <c r="AI33" s="9"/>
      <c r="AL33" s="9"/>
    </row>
    <row r="34" spans="2:38" x14ac:dyDescent="0.3">
      <c r="B34">
        <v>20250912</v>
      </c>
      <c r="C34" s="9">
        <f t="shared" si="2"/>
        <v>-7.000000000000001E-4</v>
      </c>
      <c r="D34" s="9">
        <v>3.2000000000000002E-3</v>
      </c>
      <c r="E34" s="9">
        <f t="shared" si="3"/>
        <v>2.5000000000000001E-3</v>
      </c>
      <c r="F34" s="9">
        <v>2.5000000000000001E-3</v>
      </c>
      <c r="G34" s="9">
        <v>2.8999999999999998E-3</v>
      </c>
      <c r="H34" s="305">
        <f t="shared" si="1"/>
        <v>0.86206896551724144</v>
      </c>
      <c r="I34" s="9">
        <f t="shared" si="4"/>
        <v>1.7399999999999998E-3</v>
      </c>
      <c r="J34" s="9">
        <v>3.8E-3</v>
      </c>
      <c r="K34" s="9">
        <v>2.0999999999999999E-3</v>
      </c>
      <c r="L34" s="9">
        <f t="shared" si="5"/>
        <v>1.7000000000000001E-3</v>
      </c>
      <c r="AB34" s="9"/>
      <c r="AG34" s="9"/>
      <c r="AH34" s="9"/>
      <c r="AI34" s="9"/>
      <c r="AL34" s="9"/>
    </row>
    <row r="35" spans="2:38" x14ac:dyDescent="0.3">
      <c r="B35">
        <v>20250915</v>
      </c>
      <c r="C35" s="9">
        <f t="shared" si="2"/>
        <v>-8.9999999999999976E-4</v>
      </c>
      <c r="D35" s="9">
        <v>-8.2000000000000007E-3</v>
      </c>
      <c r="E35" s="9">
        <f t="shared" si="3"/>
        <v>-9.1000000000000004E-3</v>
      </c>
      <c r="F35" s="9">
        <v>-9.1000000000000004E-3</v>
      </c>
      <c r="G35" s="9">
        <v>-1.15E-2</v>
      </c>
      <c r="H35" s="305">
        <f t="shared" si="1"/>
        <v>0.79130434782608705</v>
      </c>
      <c r="I35" s="9">
        <f t="shared" si="4"/>
        <v>-6.8999999999999999E-3</v>
      </c>
      <c r="J35" s="9">
        <v>-8.9999999999999998E-4</v>
      </c>
      <c r="K35" s="9">
        <v>-5.8999999999999999E-3</v>
      </c>
      <c r="L35" s="9">
        <f t="shared" si="5"/>
        <v>5.0000000000000001E-3</v>
      </c>
      <c r="AB35" s="9"/>
      <c r="AG35" s="9"/>
      <c r="AH35" s="9"/>
      <c r="AI35" s="9"/>
      <c r="AL35" s="9"/>
    </row>
    <row r="36" spans="2:38" x14ac:dyDescent="0.3">
      <c r="B36">
        <v>20250916</v>
      </c>
      <c r="C36" s="9">
        <f t="shared" si="2"/>
        <v>-3.0000000000000001E-3</v>
      </c>
      <c r="D36" s="9">
        <v>1.8E-3</v>
      </c>
      <c r="E36" s="9">
        <f t="shared" si="3"/>
        <v>-1.1999999999999999E-3</v>
      </c>
      <c r="F36" s="9">
        <v>-1.1999999999999999E-3</v>
      </c>
      <c r="G36" s="9">
        <v>7.7999999999999996E-3</v>
      </c>
      <c r="H36" s="305">
        <f t="shared" si="1"/>
        <v>-0.15384615384615383</v>
      </c>
      <c r="I36" s="9">
        <f t="shared" si="4"/>
        <v>4.6799999999999993E-3</v>
      </c>
      <c r="J36" s="9">
        <v>1.46E-2</v>
      </c>
      <c r="K36" s="9">
        <v>3.3E-3</v>
      </c>
      <c r="L36" s="9">
        <f t="shared" si="5"/>
        <v>1.1300000000000001E-2</v>
      </c>
      <c r="AB36" s="9"/>
      <c r="AG36" s="9"/>
      <c r="AH36" s="9"/>
      <c r="AI36" s="9"/>
      <c r="AL36" s="9"/>
    </row>
    <row r="37" spans="2:38" x14ac:dyDescent="0.3">
      <c r="B37">
        <v>20250917</v>
      </c>
      <c r="C37" s="9">
        <f t="shared" si="2"/>
        <v>-8.0000000000000036E-4</v>
      </c>
      <c r="D37" s="9">
        <v>7.6E-3</v>
      </c>
      <c r="E37" s="9">
        <f t="shared" si="3"/>
        <v>6.7999999999999996E-3</v>
      </c>
      <c r="F37" s="9">
        <v>6.7999999999999996E-3</v>
      </c>
      <c r="G37" s="9">
        <v>4.8700000000000002E-3</v>
      </c>
      <c r="H37" s="305">
        <f t="shared" si="1"/>
        <v>1.3963039014373715</v>
      </c>
      <c r="I37" s="9">
        <f t="shared" si="4"/>
        <v>2.9220000000000001E-3</v>
      </c>
      <c r="J37" s="9">
        <v>1.15E-2</v>
      </c>
      <c r="K37" s="9">
        <v>-8.9999999999999998E-4</v>
      </c>
      <c r="L37" s="9">
        <f t="shared" si="5"/>
        <v>1.24E-2</v>
      </c>
      <c r="AB37" s="9"/>
      <c r="AG37" s="9"/>
      <c r="AH37" s="9"/>
      <c r="AI37" s="9"/>
      <c r="AL37" s="9"/>
    </row>
    <row r="38" spans="2:38" x14ac:dyDescent="0.3">
      <c r="B38">
        <v>20250918</v>
      </c>
      <c r="C38" s="9">
        <f t="shared" si="2"/>
        <v>2.8999999999999998E-3</v>
      </c>
      <c r="D38" s="9">
        <v>-6.8999999999999999E-3</v>
      </c>
      <c r="E38" s="9">
        <f t="shared" si="3"/>
        <v>-4.0000000000000001E-3</v>
      </c>
      <c r="F38" s="9">
        <v>-4.0000000000000001E-3</v>
      </c>
      <c r="G38" s="9">
        <v>-5.5999999999999999E-3</v>
      </c>
      <c r="H38" s="305">
        <f t="shared" si="1"/>
        <v>0.7142857142857143</v>
      </c>
      <c r="I38" s="9">
        <f t="shared" si="4"/>
        <v>-3.3599999999999997E-3</v>
      </c>
      <c r="J38" s="9">
        <v>-1.41E-2</v>
      </c>
      <c r="K38" s="9">
        <v>-1.6799999999999999E-2</v>
      </c>
      <c r="L38" s="9">
        <f t="shared" si="5"/>
        <v>2.6999999999999993E-3</v>
      </c>
      <c r="AB38" s="9"/>
      <c r="AG38" s="9"/>
      <c r="AH38" s="9"/>
      <c r="AI38" s="9"/>
      <c r="AL38" s="9"/>
    </row>
    <row r="39" spans="2:38" x14ac:dyDescent="0.3">
      <c r="B39">
        <v>20250919</v>
      </c>
      <c r="C39" s="9">
        <f t="shared" si="2"/>
        <v>6.0000000000000071E-4</v>
      </c>
      <c r="D39" s="9">
        <v>-7.1000000000000004E-3</v>
      </c>
      <c r="E39" s="9">
        <f t="shared" si="3"/>
        <v>-6.4999999999999997E-3</v>
      </c>
      <c r="F39" s="9">
        <v>-6.4999999999999997E-3</v>
      </c>
      <c r="G39" s="9">
        <v>-8.3999999999999995E-3</v>
      </c>
      <c r="H39" s="305">
        <f t="shared" si="1"/>
        <v>0.77380952380952384</v>
      </c>
      <c r="I39" s="9">
        <f t="shared" si="4"/>
        <v>-5.0399999999999993E-3</v>
      </c>
      <c r="J39" s="9">
        <v>-6.4000000000000003E-3</v>
      </c>
      <c r="K39" s="9">
        <v>-2.0000000000000001E-4</v>
      </c>
      <c r="L39" s="9">
        <f t="shared" si="5"/>
        <v>-6.2000000000000006E-3</v>
      </c>
      <c r="AB39" s="9"/>
      <c r="AG39" s="9"/>
      <c r="AH39" s="9"/>
      <c r="AI39" s="9"/>
      <c r="AL39" s="9"/>
    </row>
    <row r="40" spans="2:38" x14ac:dyDescent="0.3">
      <c r="B40">
        <v>20250922</v>
      </c>
      <c r="C40" s="9">
        <f t="shared" si="2"/>
        <v>1.9999999999999966E-4</v>
      </c>
      <c r="D40" s="9">
        <v>-3.8999999999999998E-3</v>
      </c>
      <c r="E40" s="9">
        <f t="shared" si="3"/>
        <v>-3.7000000000000002E-3</v>
      </c>
      <c r="F40" s="9">
        <v>-3.7000000000000002E-3</v>
      </c>
      <c r="G40" s="9">
        <v>1E-4</v>
      </c>
      <c r="H40" s="305">
        <f t="shared" si="1"/>
        <v>-37</v>
      </c>
      <c r="I40" s="9">
        <f t="shared" si="4"/>
        <v>6.0000000000000002E-5</v>
      </c>
      <c r="J40" s="9">
        <v>0</v>
      </c>
      <c r="K40" s="9">
        <v>-7.6E-3</v>
      </c>
      <c r="L40" s="9">
        <f t="shared" si="5"/>
        <v>7.6E-3</v>
      </c>
      <c r="AB40" s="9"/>
      <c r="AG40" s="9"/>
      <c r="AH40" s="9"/>
      <c r="AI40" s="9"/>
      <c r="AL40" s="9"/>
    </row>
    <row r="41" spans="2:38" x14ac:dyDescent="0.3">
      <c r="B41">
        <v>20250923</v>
      </c>
      <c r="C41" s="9">
        <f t="shared" si="2"/>
        <v>2.9999999999999992E-4</v>
      </c>
      <c r="D41" s="9">
        <v>-2.3E-3</v>
      </c>
      <c r="E41" s="9">
        <f t="shared" si="3"/>
        <v>-2E-3</v>
      </c>
      <c r="F41" s="9">
        <v>-2E-3</v>
      </c>
      <c r="G41" s="9">
        <v>-1.44E-2</v>
      </c>
      <c r="H41" s="305">
        <f t="shared" si="1"/>
        <v>0.1388888888888889</v>
      </c>
      <c r="I41" s="9">
        <f t="shared" si="4"/>
        <v>-8.6400000000000001E-3</v>
      </c>
      <c r="J41" s="9">
        <v>-1.3100000000000001E-2</v>
      </c>
      <c r="K41" s="9">
        <v>-1.89E-2</v>
      </c>
      <c r="L41" s="9">
        <f t="shared" si="5"/>
        <v>5.7999999999999996E-3</v>
      </c>
      <c r="AB41" s="9"/>
      <c r="AG41" s="9"/>
      <c r="AH41" s="9"/>
      <c r="AI41" s="9"/>
      <c r="AL41" s="9"/>
    </row>
    <row r="42" spans="2:38" x14ac:dyDescent="0.3">
      <c r="B42">
        <v>20250924</v>
      </c>
      <c r="C42" s="9">
        <f t="shared" si="2"/>
        <v>6.6999999999999872E-4</v>
      </c>
      <c r="D42" s="9">
        <v>1.4200000000000001E-2</v>
      </c>
      <c r="E42" s="9">
        <f t="shared" si="3"/>
        <v>1.487E-2</v>
      </c>
      <c r="F42" s="9">
        <v>1.487E-2</v>
      </c>
      <c r="G42" s="9">
        <v>1.55E-2</v>
      </c>
      <c r="H42" s="305">
        <f t="shared" si="1"/>
        <v>0.95935483870967742</v>
      </c>
      <c r="I42" s="9">
        <f t="shared" si="4"/>
        <v>9.2999999999999992E-3</v>
      </c>
      <c r="J42" s="9">
        <v>0.01</v>
      </c>
      <c r="K42" s="9">
        <v>9.5999999999999992E-3</v>
      </c>
      <c r="L42" s="9">
        <f t="shared" si="5"/>
        <v>4.0000000000000105E-4</v>
      </c>
      <c r="AB42" s="9"/>
      <c r="AG42" s="9"/>
      <c r="AH42" s="9"/>
      <c r="AI42" s="9"/>
      <c r="AL42" s="9"/>
    </row>
    <row r="43" spans="2:38" x14ac:dyDescent="0.3">
      <c r="B43">
        <v>20250925</v>
      </c>
      <c r="C43" s="9">
        <f t="shared" si="2"/>
        <v>-2.5000000000000001E-3</v>
      </c>
      <c r="D43" s="9">
        <v>3.3E-3</v>
      </c>
      <c r="E43" s="9">
        <f t="shared" si="3"/>
        <v>8.0000000000000004E-4</v>
      </c>
      <c r="F43" s="9">
        <v>8.0000000000000004E-4</v>
      </c>
      <c r="G43" s="9">
        <v>-1.0500000000000001E-2</v>
      </c>
      <c r="H43" s="305">
        <f t="shared" si="1"/>
        <v>-7.6190476190476183E-2</v>
      </c>
      <c r="I43" s="9">
        <f t="shared" si="4"/>
        <v>-6.3E-3</v>
      </c>
      <c r="J43" s="9">
        <v>-2.0000000000000001E-4</v>
      </c>
      <c r="K43" s="9">
        <v>-8.9999999999999998E-4</v>
      </c>
      <c r="L43" s="9">
        <f t="shared" si="5"/>
        <v>6.9999999999999999E-4</v>
      </c>
      <c r="AB43" s="9"/>
      <c r="AG43" s="9"/>
      <c r="AH43" s="9"/>
      <c r="AI43" s="9"/>
      <c r="AL43" s="9"/>
    </row>
    <row r="44" spans="2:38" x14ac:dyDescent="0.3">
      <c r="B44">
        <v>20250926</v>
      </c>
      <c r="C44" s="9">
        <f t="shared" si="2"/>
        <v>3.9000000000000003E-3</v>
      </c>
      <c r="D44" s="9">
        <v>-4.7000000000000002E-3</v>
      </c>
      <c r="E44" s="9">
        <f t="shared" si="3"/>
        <v>-8.0000000000000004E-4</v>
      </c>
      <c r="F44" s="9">
        <v>-8.0000000000000004E-4</v>
      </c>
      <c r="G44" s="9">
        <v>-8.2000000000000007E-3</v>
      </c>
      <c r="H44" s="305">
        <f t="shared" si="1"/>
        <v>9.7560975609756101E-2</v>
      </c>
      <c r="I44" s="9">
        <f t="shared" si="4"/>
        <v>-4.9199999999999999E-3</v>
      </c>
      <c r="J44" s="9">
        <v>-4.7999999999999996E-3</v>
      </c>
      <c r="K44" s="9">
        <v>2.8999999999999998E-3</v>
      </c>
      <c r="L44" s="9">
        <f t="shared" si="5"/>
        <v>-7.6999999999999994E-3</v>
      </c>
      <c r="AB44" s="9"/>
      <c r="AG44" s="9"/>
      <c r="AH44" s="9"/>
      <c r="AI44" s="9"/>
      <c r="AL44" s="9"/>
    </row>
    <row r="45" spans="2:38" x14ac:dyDescent="0.3">
      <c r="B45">
        <v>20250929</v>
      </c>
      <c r="C45" s="9">
        <f t="shared" si="2"/>
        <v>-2.4000000000000011E-3</v>
      </c>
      <c r="D45" s="9">
        <v>1.11E-2</v>
      </c>
      <c r="E45" s="9">
        <f t="shared" si="3"/>
        <v>8.6999999999999994E-3</v>
      </c>
      <c r="F45" s="9">
        <v>8.6999999999999994E-3</v>
      </c>
      <c r="G45" s="9">
        <v>8.9999999999999993E-3</v>
      </c>
      <c r="H45" s="305">
        <f t="shared" si="1"/>
        <v>0.96666666666666667</v>
      </c>
      <c r="I45" s="9">
        <f t="shared" si="4"/>
        <v>5.3999999999999994E-3</v>
      </c>
      <c r="J45" s="9">
        <v>-2.8E-3</v>
      </c>
      <c r="K45" s="9">
        <v>3.2000000000000002E-3</v>
      </c>
      <c r="L45" s="9">
        <f t="shared" si="5"/>
        <v>-6.0000000000000001E-3</v>
      </c>
      <c r="AB45" s="9"/>
      <c r="AG45" s="9"/>
      <c r="AH45" s="9"/>
      <c r="AI45" s="9"/>
      <c r="AL45" s="9"/>
    </row>
    <row r="46" spans="2:38" x14ac:dyDescent="0.3">
      <c r="B46">
        <v>20250930</v>
      </c>
      <c r="C46" s="9">
        <f t="shared" si="2"/>
        <v>-4.9999999999999958E-4</v>
      </c>
      <c r="D46" s="9">
        <v>6.4999999999999997E-3</v>
      </c>
      <c r="E46" s="9">
        <f t="shared" si="3"/>
        <v>6.0000000000000001E-3</v>
      </c>
      <c r="F46" s="9">
        <v>6.0000000000000001E-3</v>
      </c>
      <c r="G46" s="9">
        <v>5.0000000000000001E-3</v>
      </c>
      <c r="H46" s="305">
        <f t="shared" si="1"/>
        <v>1.2</v>
      </c>
      <c r="I46" s="9">
        <f t="shared" si="4"/>
        <v>3.0000000000000001E-3</v>
      </c>
      <c r="J46" s="9">
        <v>4.4999999999999997E-3</v>
      </c>
      <c r="K46" s="9">
        <v>4.5999999999999999E-3</v>
      </c>
      <c r="L46" s="9">
        <f t="shared" si="5"/>
        <v>-1.0000000000000026E-4</v>
      </c>
      <c r="AB46" s="9"/>
      <c r="AG46" s="9"/>
      <c r="AH46" s="9"/>
      <c r="AI46" s="9"/>
      <c r="AL46" s="9"/>
    </row>
    <row r="47" spans="2:38" x14ac:dyDescent="0.3">
      <c r="B47" s="295" t="s">
        <v>29</v>
      </c>
      <c r="C47" s="296">
        <f>SUM(C48:C64)</f>
        <v>-1.085E-2</v>
      </c>
      <c r="D47" s="296">
        <f>SUM(D48:D64)</f>
        <v>-3.3000000000000026E-3</v>
      </c>
      <c r="E47" s="296">
        <f>SUM(E48:E64)</f>
        <v>-5.7200000000000029E-3</v>
      </c>
      <c r="F47" s="296">
        <f>SUM(F48:F64)</f>
        <v>-1.4150000000000003E-2</v>
      </c>
      <c r="G47" s="296">
        <f>SUM(G48:G64)</f>
        <v>-2.0899999999999998E-3</v>
      </c>
      <c r="H47" s="306">
        <f t="shared" si="1"/>
        <v>6.7703349282296665</v>
      </c>
      <c r="I47" s="296">
        <f>SUM(I48:I64)</f>
        <v>-1.2540000000000016E-3</v>
      </c>
      <c r="J47" s="296">
        <f>SUM(J48:J64)</f>
        <v>4.0500000000000001E-2</v>
      </c>
      <c r="K47" s="296">
        <f>SUM(K48:K64)</f>
        <v>5.5100000000000003E-2</v>
      </c>
      <c r="L47" s="296">
        <f>SUM(L48:L64)</f>
        <v>-1.4599999999999995E-2</v>
      </c>
      <c r="R47" s="9">
        <v>1.4E-2</v>
      </c>
      <c r="AB47" s="9"/>
      <c r="AG47" s="9"/>
      <c r="AH47" s="9"/>
      <c r="AI47" s="9"/>
      <c r="AL47" s="9"/>
    </row>
    <row r="48" spans="2:38" x14ac:dyDescent="0.3">
      <c r="B48">
        <v>20251009</v>
      </c>
      <c r="C48" s="9">
        <f t="shared" ref="C48:C64" si="6">F48-D48</f>
        <v>-5.5999999999999999E-3</v>
      </c>
      <c r="D48" s="9">
        <v>5.3E-3</v>
      </c>
      <c r="E48" s="9">
        <f t="shared" ref="E48:E57" si="7">F48</f>
        <v>-2.9999999999999997E-4</v>
      </c>
      <c r="F48" s="9">
        <v>-2.9999999999999997E-4</v>
      </c>
      <c r="G48" s="9">
        <v>8.9999999999999998E-4</v>
      </c>
      <c r="H48" s="305">
        <f t="shared" ref="H48:H64" si="8">E48/G48</f>
        <v>-0.33333333333333331</v>
      </c>
      <c r="I48" s="9">
        <f t="shared" ref="I48:I64" si="9">G48*$A$1</f>
        <v>5.4000000000000001E-4</v>
      </c>
      <c r="J48" s="9">
        <v>-9.7000000000000003E-3</v>
      </c>
      <c r="K48" s="9">
        <v>-9.5999999999999992E-3</v>
      </c>
      <c r="L48" s="9">
        <f t="shared" ref="L48:L64" si="10">J48-K48</f>
        <v>-1.0000000000000113E-4</v>
      </c>
      <c r="AB48" s="9"/>
      <c r="AG48" s="9"/>
      <c r="AH48" s="9"/>
      <c r="AI48" s="9"/>
      <c r="AL48" s="9"/>
    </row>
    <row r="49" spans="1:38" x14ac:dyDescent="0.3">
      <c r="B49">
        <v>20251010</v>
      </c>
      <c r="C49" s="9">
        <f t="shared" si="6"/>
        <v>5.0000000000000001E-3</v>
      </c>
      <c r="D49" s="9">
        <v>-5.0000000000000001E-3</v>
      </c>
      <c r="E49" s="9">
        <f t="shared" si="7"/>
        <v>0</v>
      </c>
      <c r="F49" s="9">
        <v>0</v>
      </c>
      <c r="G49" s="9">
        <v>-1.5299999999999999E-3</v>
      </c>
      <c r="H49" s="305">
        <f t="shared" si="8"/>
        <v>0</v>
      </c>
      <c r="I49" s="9">
        <f t="shared" si="9"/>
        <v>-9.1799999999999987E-4</v>
      </c>
      <c r="J49" s="9">
        <v>5.4999999999999997E-3</v>
      </c>
      <c r="K49" s="9">
        <v>2.2000000000000001E-3</v>
      </c>
      <c r="L49" s="9">
        <f t="shared" si="10"/>
        <v>3.2999999999999995E-3</v>
      </c>
      <c r="AB49" s="9"/>
      <c r="AG49" s="9"/>
      <c r="AH49" s="9"/>
      <c r="AI49" s="9"/>
      <c r="AL49" s="9"/>
    </row>
    <row r="50" spans="1:38" x14ac:dyDescent="0.3">
      <c r="B50">
        <v>20251013</v>
      </c>
      <c r="C50" s="9">
        <f t="shared" si="6"/>
        <v>3.1999999999999997E-3</v>
      </c>
      <c r="D50" s="9">
        <v>-3.8999999999999998E-3</v>
      </c>
      <c r="E50" s="9">
        <f t="shared" si="7"/>
        <v>-6.9999999999999999E-4</v>
      </c>
      <c r="F50" s="9">
        <v>-6.9999999999999999E-4</v>
      </c>
      <c r="G50" s="9">
        <v>-1.5399999999999999E-3</v>
      </c>
      <c r="H50" s="305">
        <f t="shared" si="8"/>
        <v>0.45454545454545459</v>
      </c>
      <c r="I50" s="9">
        <f t="shared" si="9"/>
        <v>-9.2399999999999991E-4</v>
      </c>
      <c r="J50" s="9">
        <v>-8.6E-3</v>
      </c>
      <c r="K50" s="9">
        <v>-2.2000000000000001E-3</v>
      </c>
      <c r="L50" s="9">
        <f t="shared" si="10"/>
        <v>-6.3999999999999994E-3</v>
      </c>
      <c r="AB50" s="9"/>
      <c r="AG50" s="9"/>
      <c r="AH50" s="9"/>
      <c r="AI50" s="9"/>
      <c r="AL50" s="9"/>
    </row>
    <row r="51" spans="1:38" x14ac:dyDescent="0.3">
      <c r="B51">
        <v>20251014</v>
      </c>
      <c r="C51" s="9">
        <f t="shared" si="6"/>
        <v>5.1999999999999998E-3</v>
      </c>
      <c r="D51" s="9">
        <v>-1.2699999999999999E-2</v>
      </c>
      <c r="E51" s="9">
        <f t="shared" si="7"/>
        <v>-7.4999999999999997E-3</v>
      </c>
      <c r="F51" s="9">
        <v>-7.4999999999999997E-3</v>
      </c>
      <c r="G51" s="9">
        <v>-1.345E-2</v>
      </c>
      <c r="H51" s="305">
        <f t="shared" si="8"/>
        <v>0.55762081784386619</v>
      </c>
      <c r="I51" s="9">
        <f t="shared" si="9"/>
        <v>-8.069999999999999E-3</v>
      </c>
      <c r="J51" s="9">
        <v>8.0000000000000004E-4</v>
      </c>
      <c r="K51" s="9">
        <v>-4.1000000000000003E-3</v>
      </c>
      <c r="L51" s="9">
        <f t="shared" si="10"/>
        <v>4.9000000000000007E-3</v>
      </c>
      <c r="AG51" s="9"/>
      <c r="AH51" s="9"/>
      <c r="AI51" s="9"/>
      <c r="AL51" s="9"/>
    </row>
    <row r="52" spans="1:38" x14ac:dyDescent="0.3">
      <c r="B52">
        <v>20251015</v>
      </c>
      <c r="C52" s="9">
        <f t="shared" si="6"/>
        <v>-3.9000000000000003E-3</v>
      </c>
      <c r="D52" s="9">
        <v>6.4000000000000003E-3</v>
      </c>
      <c r="E52" s="9">
        <f t="shared" si="7"/>
        <v>2.5000000000000001E-3</v>
      </c>
      <c r="F52" s="9">
        <v>2.5000000000000001E-3</v>
      </c>
      <c r="G52" s="9">
        <v>7.1399999999999996E-3</v>
      </c>
      <c r="H52" s="305">
        <f t="shared" si="8"/>
        <v>0.350140056022409</v>
      </c>
      <c r="I52" s="9">
        <f t="shared" si="9"/>
        <v>4.2839999999999996E-3</v>
      </c>
      <c r="J52" s="9">
        <v>7.9000000000000008E-3</v>
      </c>
      <c r="K52" s="9">
        <v>1.2200000000000001E-2</v>
      </c>
      <c r="L52" s="9">
        <f t="shared" si="10"/>
        <v>-4.3E-3</v>
      </c>
      <c r="AG52" s="9"/>
      <c r="AH52" s="9"/>
      <c r="AI52" s="9"/>
      <c r="AL52" s="9"/>
    </row>
    <row r="53" spans="1:38" x14ac:dyDescent="0.3">
      <c r="B53">
        <v>20251016</v>
      </c>
      <c r="C53" s="9">
        <f t="shared" si="6"/>
        <v>1.6000000000000007E-3</v>
      </c>
      <c r="D53" s="9">
        <v>-1.1900000000000001E-2</v>
      </c>
      <c r="E53" s="9">
        <f t="shared" si="7"/>
        <v>-1.03E-2</v>
      </c>
      <c r="F53" s="9">
        <v>-1.03E-2</v>
      </c>
      <c r="G53" s="9">
        <v>-1.3259999999999999E-2</v>
      </c>
      <c r="H53" s="305">
        <f t="shared" si="8"/>
        <v>0.77677224736048267</v>
      </c>
      <c r="I53" s="9">
        <f t="shared" si="9"/>
        <v>-7.9559999999999995E-3</v>
      </c>
      <c r="J53" s="9">
        <v>4.0000000000000001E-3</v>
      </c>
      <c r="K53" s="9">
        <v>6.4000000000000003E-3</v>
      </c>
      <c r="L53" s="9">
        <f t="shared" si="10"/>
        <v>-2.4000000000000002E-3</v>
      </c>
      <c r="AG53" s="9"/>
      <c r="AH53" s="9"/>
      <c r="AI53" s="9"/>
      <c r="AL53" s="9"/>
    </row>
    <row r="54" spans="1:38" x14ac:dyDescent="0.3">
      <c r="B54">
        <v>20251017</v>
      </c>
      <c r="C54" s="9">
        <f t="shared" si="6"/>
        <v>1.1000000000000003E-3</v>
      </c>
      <c r="D54" s="9">
        <v>-1.03E-2</v>
      </c>
      <c r="E54" s="9">
        <f t="shared" si="7"/>
        <v>-9.1999999999999998E-3</v>
      </c>
      <c r="F54" s="9">
        <v>-9.1999999999999998E-3</v>
      </c>
      <c r="G54" s="9">
        <v>-2.4400000000000002E-2</v>
      </c>
      <c r="H54" s="305">
        <f t="shared" si="8"/>
        <v>0.37704918032786883</v>
      </c>
      <c r="I54" s="9">
        <f t="shared" si="9"/>
        <v>-1.464E-2</v>
      </c>
      <c r="J54" s="9">
        <v>-6.1999999999999998E-3</v>
      </c>
      <c r="K54" s="9">
        <v>-1.11E-2</v>
      </c>
      <c r="L54" s="9">
        <f t="shared" si="10"/>
        <v>4.9000000000000007E-3</v>
      </c>
      <c r="AG54" s="9"/>
      <c r="AH54" s="9"/>
      <c r="AI54" s="9"/>
      <c r="AL54" s="9"/>
    </row>
    <row r="55" spans="1:38" x14ac:dyDescent="0.3">
      <c r="B55">
        <v>20251020</v>
      </c>
      <c r="C55" s="9">
        <f t="shared" si="6"/>
        <v>1.5E-3</v>
      </c>
      <c r="D55" s="9">
        <v>3.8E-3</v>
      </c>
      <c r="E55" s="9">
        <f t="shared" si="7"/>
        <v>5.3E-3</v>
      </c>
      <c r="F55" s="9">
        <v>5.3E-3</v>
      </c>
      <c r="G55" s="9">
        <v>1.4E-2</v>
      </c>
      <c r="H55" s="305">
        <f t="shared" si="8"/>
        <v>0.37857142857142856</v>
      </c>
      <c r="I55" s="9">
        <f t="shared" si="9"/>
        <v>8.3999999999999995E-3</v>
      </c>
      <c r="J55" s="9">
        <v>0.01</v>
      </c>
      <c r="K55" s="9">
        <v>1.55E-2</v>
      </c>
      <c r="L55" s="9">
        <f t="shared" si="10"/>
        <v>-5.4999999999999997E-3</v>
      </c>
      <c r="AG55" s="9"/>
      <c r="AH55" s="9"/>
      <c r="AI55" s="9"/>
      <c r="AL55" s="9"/>
    </row>
    <row r="56" spans="1:38" x14ac:dyDescent="0.3">
      <c r="B56">
        <v>20251021</v>
      </c>
      <c r="C56" s="9">
        <f t="shared" si="6"/>
        <v>-2.1999999999999988E-3</v>
      </c>
      <c r="D56" s="9">
        <v>1.2999999999999999E-2</v>
      </c>
      <c r="E56" s="9">
        <f t="shared" si="7"/>
        <v>1.0800000000000001E-2</v>
      </c>
      <c r="F56" s="9">
        <v>1.0800000000000001E-2</v>
      </c>
      <c r="G56" s="9">
        <v>1.6500000000000001E-2</v>
      </c>
      <c r="H56" s="305">
        <f t="shared" si="8"/>
        <v>0.65454545454545454</v>
      </c>
      <c r="I56" s="9">
        <f t="shared" si="9"/>
        <v>9.9000000000000008E-3</v>
      </c>
      <c r="J56" s="9">
        <v>1.5800000000000002E-2</v>
      </c>
      <c r="K56" s="9">
        <v>1.15E-2</v>
      </c>
      <c r="L56" s="9">
        <f t="shared" si="10"/>
        <v>4.3000000000000017E-3</v>
      </c>
      <c r="AG56" s="9"/>
      <c r="AH56" s="9"/>
      <c r="AI56" s="9"/>
      <c r="AL56" s="9"/>
    </row>
    <row r="57" spans="1:38" x14ac:dyDescent="0.3">
      <c r="B57">
        <v>20251022</v>
      </c>
      <c r="C57" s="9">
        <f t="shared" si="6"/>
        <v>2.7000000000000001E-3</v>
      </c>
      <c r="D57" s="9">
        <v>-4.4000000000000003E-3</v>
      </c>
      <c r="E57" s="9">
        <f t="shared" si="7"/>
        <v>-1.6999999999999999E-3</v>
      </c>
      <c r="F57" s="9">
        <v>-1.6999999999999999E-3</v>
      </c>
      <c r="G57" s="9">
        <v>1.8E-3</v>
      </c>
      <c r="H57" s="305">
        <f t="shared" si="8"/>
        <v>-0.94444444444444442</v>
      </c>
      <c r="I57" s="9">
        <f t="shared" si="9"/>
        <v>1.08E-3</v>
      </c>
      <c r="J57" s="9">
        <v>0</v>
      </c>
      <c r="K57" s="9">
        <v>1.0500000000000001E-2</v>
      </c>
      <c r="L57" s="9">
        <f t="shared" si="10"/>
        <v>-1.0500000000000001E-2</v>
      </c>
      <c r="AG57" s="9"/>
      <c r="AH57" s="9"/>
      <c r="AI57" s="9"/>
      <c r="AL57" s="9"/>
    </row>
    <row r="58" spans="1:38" x14ac:dyDescent="0.3">
      <c r="A58" t="s">
        <v>30</v>
      </c>
      <c r="B58">
        <v>20251023</v>
      </c>
      <c r="C58" s="9">
        <f t="shared" si="6"/>
        <v>3.2000000000000002E-3</v>
      </c>
      <c r="D58" s="9">
        <v>1E-4</v>
      </c>
      <c r="E58" s="9">
        <v>2.3E-3</v>
      </c>
      <c r="F58" s="9">
        <v>3.3E-3</v>
      </c>
      <c r="G58" s="9">
        <v>4.4999999999999997E-3</v>
      </c>
      <c r="H58" s="305">
        <f t="shared" si="8"/>
        <v>0.51111111111111118</v>
      </c>
      <c r="I58" s="9">
        <f t="shared" si="9"/>
        <v>2.6999999999999997E-3</v>
      </c>
      <c r="J58" s="9">
        <v>7.1000000000000004E-3</v>
      </c>
      <c r="K58" s="9">
        <v>7.1000000000000004E-3</v>
      </c>
      <c r="L58" s="9">
        <f t="shared" si="10"/>
        <v>0</v>
      </c>
      <c r="AG58" s="9"/>
      <c r="AH58" s="9"/>
      <c r="AI58" s="9"/>
      <c r="AL58" s="9"/>
    </row>
    <row r="59" spans="1:38" x14ac:dyDescent="0.3">
      <c r="B59">
        <v>20251024</v>
      </c>
      <c r="C59" s="9">
        <f t="shared" si="6"/>
        <v>-0.01</v>
      </c>
      <c r="D59" s="9">
        <v>1.0200000000000001E-2</v>
      </c>
      <c r="E59" s="9">
        <v>4.8999999999999998E-3</v>
      </c>
      <c r="F59" s="9">
        <v>2.0000000000000001E-4</v>
      </c>
      <c r="G59" s="9">
        <v>2.0000000000000001E-4</v>
      </c>
      <c r="H59" s="305">
        <f t="shared" si="8"/>
        <v>24.499999999999996</v>
      </c>
      <c r="I59" s="9">
        <f t="shared" si="9"/>
        <v>1.2E-4</v>
      </c>
      <c r="J59" s="9">
        <v>1.52E-2</v>
      </c>
      <c r="K59" s="9">
        <v>6.1999999999999998E-3</v>
      </c>
      <c r="L59" s="9">
        <f t="shared" si="10"/>
        <v>9.0000000000000011E-3</v>
      </c>
      <c r="AG59" s="9"/>
      <c r="AH59" s="9"/>
      <c r="AI59" s="9"/>
      <c r="AL59" s="9"/>
    </row>
    <row r="60" spans="1:38" x14ac:dyDescent="0.3">
      <c r="B60">
        <v>20251027</v>
      </c>
      <c r="C60" s="9">
        <f t="shared" si="6"/>
        <v>-3.6000000000000003E-3</v>
      </c>
      <c r="D60" s="9">
        <v>6.7000000000000002E-3</v>
      </c>
      <c r="E60" s="9">
        <v>5.5799999999999999E-3</v>
      </c>
      <c r="F60" s="9">
        <v>3.0999999999999999E-3</v>
      </c>
      <c r="G60" s="9">
        <v>6.1999999999999998E-3</v>
      </c>
      <c r="H60" s="305">
        <f t="shared" si="8"/>
        <v>0.9</v>
      </c>
      <c r="I60" s="9">
        <f t="shared" si="9"/>
        <v>3.7199999999999998E-3</v>
      </c>
      <c r="J60" s="9">
        <v>5.5999999999999999E-3</v>
      </c>
      <c r="K60" s="9">
        <v>8.9999999999999998E-4</v>
      </c>
      <c r="L60" s="9">
        <f t="shared" si="10"/>
        <v>4.7000000000000002E-3</v>
      </c>
      <c r="AG60" s="9"/>
      <c r="AH60" s="9"/>
      <c r="AI60" s="9"/>
      <c r="AL60" s="9"/>
    </row>
    <row r="61" spans="1:38" x14ac:dyDescent="0.3">
      <c r="B61">
        <v>20251028</v>
      </c>
      <c r="C61" s="9">
        <f t="shared" si="6"/>
        <v>3.15E-3</v>
      </c>
      <c r="D61" s="9">
        <v>-3.0000000000000001E-3</v>
      </c>
      <c r="E61" s="9">
        <v>-1.9E-3</v>
      </c>
      <c r="F61" s="9">
        <v>1.4999999999999999E-4</v>
      </c>
      <c r="G61" s="9">
        <v>2.9999999999999997E-4</v>
      </c>
      <c r="H61" s="305">
        <f t="shared" si="8"/>
        <v>-6.3333333333333339</v>
      </c>
      <c r="I61" s="9">
        <f t="shared" si="9"/>
        <v>1.7999999999999998E-4</v>
      </c>
      <c r="J61" s="9">
        <v>-1.15E-2</v>
      </c>
      <c r="K61" s="9">
        <v>1E-4</v>
      </c>
      <c r="L61" s="9">
        <f t="shared" si="10"/>
        <v>-1.1599999999999999E-2</v>
      </c>
      <c r="AG61" s="9"/>
      <c r="AH61" s="9"/>
      <c r="AI61" s="9"/>
      <c r="AL61" s="9"/>
    </row>
    <row r="62" spans="1:38" x14ac:dyDescent="0.3">
      <c r="A62" t="s">
        <v>31</v>
      </c>
      <c r="B62">
        <v>20251029</v>
      </c>
      <c r="C62" s="9">
        <f t="shared" si="6"/>
        <v>-6.6E-3</v>
      </c>
      <c r="D62" s="9">
        <v>6.6E-3</v>
      </c>
      <c r="E62" s="9">
        <v>4.3E-3</v>
      </c>
      <c r="F62" s="9">
        <v>0</v>
      </c>
      <c r="G62" s="9">
        <v>6.4000000000000003E-3</v>
      </c>
      <c r="H62" s="305">
        <f t="shared" si="8"/>
        <v>0.671875</v>
      </c>
      <c r="I62" s="9">
        <f t="shared" si="9"/>
        <v>3.8400000000000001E-3</v>
      </c>
      <c r="J62" s="9">
        <v>-6.3E-3</v>
      </c>
      <c r="K62" s="9">
        <v>-6.1999999999999998E-3</v>
      </c>
      <c r="L62" s="9">
        <f t="shared" si="10"/>
        <v>-1.0000000000000026E-4</v>
      </c>
      <c r="AG62" s="9"/>
      <c r="AH62" s="9"/>
      <c r="AI62" s="9"/>
      <c r="AL62" s="9"/>
    </row>
    <row r="63" spans="1:38" x14ac:dyDescent="0.3">
      <c r="B63">
        <v>20251030</v>
      </c>
      <c r="C63" s="9">
        <f t="shared" si="6"/>
        <v>-4.6999999999999993E-3</v>
      </c>
      <c r="D63" s="9">
        <v>-9.1000000000000004E-3</v>
      </c>
      <c r="E63" s="9">
        <v>-1.38E-2</v>
      </c>
      <c r="F63" s="9">
        <v>-1.38E-2</v>
      </c>
      <c r="G63" s="9">
        <v>-1.5299999999999999E-2</v>
      </c>
      <c r="H63" s="305">
        <f t="shared" si="8"/>
        <v>0.90196078431372551</v>
      </c>
      <c r="I63" s="9">
        <f t="shared" si="9"/>
        <v>-9.1799999999999989E-3</v>
      </c>
      <c r="J63" s="9">
        <v>-3.3999999999999998E-3</v>
      </c>
      <c r="K63" s="9">
        <v>1.4E-3</v>
      </c>
      <c r="L63" s="9">
        <f t="shared" si="10"/>
        <v>-4.7999999999999996E-3</v>
      </c>
      <c r="AG63" s="9"/>
      <c r="AH63" s="9"/>
      <c r="AI63" s="9"/>
      <c r="AL63" s="9"/>
    </row>
    <row r="64" spans="1:38" x14ac:dyDescent="0.3">
      <c r="B64">
        <v>20251031</v>
      </c>
      <c r="C64" s="9">
        <f t="shared" si="6"/>
        <v>-8.9999999999999976E-4</v>
      </c>
      <c r="D64" s="9">
        <v>4.8999999999999998E-3</v>
      </c>
      <c r="E64" s="9">
        <v>4.0000000000000001E-3</v>
      </c>
      <c r="F64" s="9">
        <v>4.0000000000000001E-3</v>
      </c>
      <c r="G64" s="9">
        <v>9.4500000000000001E-3</v>
      </c>
      <c r="H64" s="305">
        <f t="shared" si="8"/>
        <v>0.42328042328042331</v>
      </c>
      <c r="I64" s="9">
        <f t="shared" si="9"/>
        <v>5.6699999999999997E-3</v>
      </c>
      <c r="J64" s="9">
        <v>1.43E-2</v>
      </c>
      <c r="K64" s="9">
        <v>1.43E-2</v>
      </c>
      <c r="L64" s="9">
        <f t="shared" si="10"/>
        <v>0</v>
      </c>
      <c r="P64">
        <f>8696</f>
        <v>8696</v>
      </c>
      <c r="Q64"/>
      <c r="AG64" s="9"/>
      <c r="AH64" s="9"/>
      <c r="AI64" s="9"/>
      <c r="AL64" s="9"/>
    </row>
    <row r="65" spans="2:38" x14ac:dyDescent="0.3">
      <c r="B65" s="295" t="s">
        <v>32</v>
      </c>
      <c r="C65" s="296">
        <f>SUM(C66:C85)</f>
        <v>8.2499999999999952E-3</v>
      </c>
      <c r="D65" s="296">
        <f>SUM(D66:D85)</f>
        <v>-5.9999999999999984E-3</v>
      </c>
      <c r="E65" s="296">
        <f>SUM(E66:E85)</f>
        <v>-3.0500000000000006E-3</v>
      </c>
      <c r="F65" s="296">
        <f>SUM(F66:F85)</f>
        <v>2.2499999999999994E-3</v>
      </c>
      <c r="G65" s="296">
        <f>SUM(G66:G85)</f>
        <v>-5.2820000000000006E-2</v>
      </c>
      <c r="H65" s="306">
        <f>F65/G65</f>
        <v>-4.2597500946611119E-2</v>
      </c>
      <c r="I65" s="296">
        <f t="shared" ref="I65:P65" si="11">SUM(I66:I85)</f>
        <v>-3.1691999999999984E-2</v>
      </c>
      <c r="J65" s="296">
        <f t="shared" si="11"/>
        <v>3.5249999999999997E-2</v>
      </c>
      <c r="K65" s="296">
        <f t="shared" si="11"/>
        <v>3.3600000000000005E-2</v>
      </c>
      <c r="L65" s="296">
        <f t="shared" si="11"/>
        <v>1.649999999999997E-3</v>
      </c>
      <c r="M65" s="296">
        <f t="shared" si="11"/>
        <v>2.8579999999999998E-2</v>
      </c>
      <c r="N65" s="296">
        <f t="shared" si="11"/>
        <v>3.2078999999999996E-2</v>
      </c>
      <c r="O65" s="296">
        <f t="shared" si="11"/>
        <v>-8.3900000000000002E-2</v>
      </c>
      <c r="P65" s="315">
        <f t="shared" si="11"/>
        <v>46884</v>
      </c>
      <c r="Q65" s="315"/>
      <c r="R65" s="296">
        <f>SUM(R66:R85)</f>
        <v>3.6000000000000025E-3</v>
      </c>
      <c r="S65" s="315"/>
      <c r="T65" s="296"/>
      <c r="U65" s="296">
        <f>SUM(U66:U85)</f>
        <v>4.5599999999999988E-2</v>
      </c>
      <c r="V65" s="315"/>
      <c r="W65" s="315"/>
      <c r="AG65" s="9"/>
      <c r="AH65" s="9"/>
      <c r="AI65" s="9"/>
      <c r="AL65" s="9"/>
    </row>
    <row r="66" spans="2:38" x14ac:dyDescent="0.3">
      <c r="B66">
        <v>20251103</v>
      </c>
      <c r="C66" s="279">
        <f t="shared" ref="C66:C85" si="12">F66-D66</f>
        <v>2.8E-3</v>
      </c>
      <c r="D66" s="279">
        <v>8.0000000000000004E-4</v>
      </c>
      <c r="E66" s="279">
        <v>3.5999999999999999E-3</v>
      </c>
      <c r="F66" s="279">
        <v>3.5999999999999999E-3</v>
      </c>
      <c r="G66" s="279">
        <v>4.4000000000000003E-3</v>
      </c>
      <c r="H66" s="305">
        <f t="shared" ref="H66:H85" si="13">E66/G66</f>
        <v>0.81818181818181812</v>
      </c>
      <c r="I66" s="279">
        <f t="shared" ref="I66:I85" si="14">G66*$A$1</f>
        <v>2.64E-3</v>
      </c>
      <c r="J66" s="279">
        <v>1.4E-2</v>
      </c>
      <c r="K66" s="279">
        <v>1.8800000000000001E-2</v>
      </c>
      <c r="L66" s="9">
        <f t="shared" ref="L66:L85" si="15">J66-K66</f>
        <v>-4.8000000000000004E-3</v>
      </c>
      <c r="M66" s="9">
        <v>1.84E-2</v>
      </c>
      <c r="N66" s="9">
        <v>1.78E-2</v>
      </c>
      <c r="P66">
        <v>13093</v>
      </c>
      <c r="Q66"/>
      <c r="R66" s="9">
        <v>1.6999999999999999E-3</v>
      </c>
      <c r="U66" s="9">
        <v>1.4E-2</v>
      </c>
      <c r="V66" s="391"/>
      <c r="W66" s="391"/>
      <c r="X66">
        <v>31</v>
      </c>
      <c r="AG66" s="9"/>
      <c r="AH66" s="9"/>
      <c r="AI66" s="9"/>
      <c r="AL66" s="9"/>
    </row>
    <row r="67" spans="2:38" x14ac:dyDescent="0.3">
      <c r="B67">
        <v>20251104</v>
      </c>
      <c r="C67" s="279">
        <f t="shared" si="12"/>
        <v>2.4999999999999996E-3</v>
      </c>
      <c r="D67" s="279">
        <v>-8.9999999999999993E-3</v>
      </c>
      <c r="E67" s="279">
        <v>-6.4999999999999997E-3</v>
      </c>
      <c r="F67" s="279">
        <v>-6.4999999999999997E-3</v>
      </c>
      <c r="G67" s="279">
        <v>-1.0500000000000001E-2</v>
      </c>
      <c r="H67" s="305">
        <f t="shared" si="13"/>
        <v>0.61904761904761896</v>
      </c>
      <c r="I67" s="279">
        <f t="shared" si="14"/>
        <v>-6.3E-3</v>
      </c>
      <c r="J67" s="279">
        <v>2.5999999999999999E-3</v>
      </c>
      <c r="K67" s="279">
        <v>2.0999999999999999E-3</v>
      </c>
      <c r="L67" s="9">
        <f t="shared" si="15"/>
        <v>5.0000000000000001E-4</v>
      </c>
      <c r="M67" s="9">
        <v>1.6999999999999999E-3</v>
      </c>
      <c r="N67" s="9">
        <v>2.379E-3</v>
      </c>
      <c r="P67">
        <v>-1175</v>
      </c>
      <c r="Q67"/>
      <c r="R67" s="9">
        <v>-6.6E-3</v>
      </c>
      <c r="U67" s="9">
        <v>2.8999999999999998E-3</v>
      </c>
      <c r="V67" s="391"/>
      <c r="W67" s="391"/>
      <c r="X67">
        <v>18</v>
      </c>
      <c r="AG67" s="9"/>
      <c r="AH67" s="9"/>
      <c r="AI67" s="9"/>
      <c r="AL67" s="9"/>
    </row>
    <row r="68" spans="2:38" x14ac:dyDescent="0.3">
      <c r="B68">
        <v>20251105</v>
      </c>
      <c r="C68" s="279">
        <f t="shared" si="12"/>
        <v>-5.9999999999999984E-4</v>
      </c>
      <c r="D68" s="279">
        <v>7.0000000000000001E-3</v>
      </c>
      <c r="E68" s="279">
        <v>6.4000000000000003E-3</v>
      </c>
      <c r="F68" s="279">
        <v>6.4000000000000003E-3</v>
      </c>
      <c r="G68" s="279">
        <v>5.7999999999999996E-3</v>
      </c>
      <c r="H68" s="305">
        <f t="shared" si="13"/>
        <v>1.1034482758620692</v>
      </c>
      <c r="I68" s="279">
        <f t="shared" si="14"/>
        <v>3.4799999999999996E-3</v>
      </c>
      <c r="J68" s="279">
        <v>3.0999999999999999E-3</v>
      </c>
      <c r="K68" s="279">
        <v>4.1000000000000003E-3</v>
      </c>
      <c r="L68" s="9">
        <f t="shared" si="15"/>
        <v>-1.0000000000000005E-3</v>
      </c>
      <c r="M68" s="9">
        <v>5.0000000000000001E-4</v>
      </c>
      <c r="N68" s="9">
        <v>7.4999999999999997E-3</v>
      </c>
      <c r="P68">
        <v>6620</v>
      </c>
      <c r="Q68"/>
      <c r="R68" s="9">
        <v>5.4999999999999997E-3</v>
      </c>
      <c r="U68" s="9">
        <v>1.14E-2</v>
      </c>
      <c r="V68" s="391"/>
      <c r="W68" s="391"/>
      <c r="X68">
        <v>17</v>
      </c>
      <c r="AG68" s="9"/>
      <c r="AH68" s="9"/>
      <c r="AI68" s="9"/>
      <c r="AL68" s="9"/>
    </row>
    <row r="69" spans="2:38" x14ac:dyDescent="0.3">
      <c r="B69">
        <v>20251106</v>
      </c>
      <c r="C69" s="279">
        <f t="shared" si="12"/>
        <v>-3.4999999999999996E-3</v>
      </c>
      <c r="D69" s="279">
        <v>6.4999999999999997E-3</v>
      </c>
      <c r="E69" s="279">
        <v>3.0000000000000001E-3</v>
      </c>
      <c r="F69" s="279">
        <v>3.0000000000000001E-3</v>
      </c>
      <c r="G69" s="279">
        <v>3.0000000000000001E-3</v>
      </c>
      <c r="H69" s="305">
        <f t="shared" si="13"/>
        <v>1</v>
      </c>
      <c r="I69" s="279">
        <f t="shared" si="14"/>
        <v>1.8E-3</v>
      </c>
      <c r="J69" s="279">
        <v>-4.5999999999999999E-3</v>
      </c>
      <c r="K69" s="279">
        <v>-3.8999999999999998E-3</v>
      </c>
      <c r="L69" s="9">
        <f t="shared" si="15"/>
        <v>-7.000000000000001E-4</v>
      </c>
      <c r="M69" s="9">
        <v>-4.7999999999999996E-3</v>
      </c>
      <c r="N69" s="9">
        <v>-2.5999999999999999E-3</v>
      </c>
      <c r="P69">
        <v>-2020</v>
      </c>
      <c r="Q69"/>
      <c r="R69" s="9">
        <v>3.3E-3</v>
      </c>
      <c r="U69" s="9">
        <v>1.5E-3</v>
      </c>
      <c r="V69" s="391"/>
      <c r="W69" s="391"/>
      <c r="X69">
        <v>11</v>
      </c>
      <c r="AG69" s="9"/>
      <c r="AH69" s="9"/>
      <c r="AI69" s="9"/>
      <c r="AL69" s="9"/>
    </row>
    <row r="70" spans="2:38" x14ac:dyDescent="0.3">
      <c r="B70">
        <v>20251107</v>
      </c>
      <c r="C70" s="279">
        <f t="shared" si="12"/>
        <v>1.1999999999999999E-3</v>
      </c>
      <c r="D70" s="279">
        <v>-1.1999999999999999E-3</v>
      </c>
      <c r="E70" s="279">
        <v>0</v>
      </c>
      <c r="F70" s="279">
        <v>0</v>
      </c>
      <c r="G70" s="279">
        <v>1.5399999999999999E-3</v>
      </c>
      <c r="H70" s="305">
        <f t="shared" si="13"/>
        <v>0</v>
      </c>
      <c r="I70" s="279">
        <f t="shared" si="14"/>
        <v>9.2399999999999991E-4</v>
      </c>
      <c r="J70" s="279">
        <v>-1.8500000000000001E-3</v>
      </c>
      <c r="K70" s="279">
        <v>-2.9999999999999997E-4</v>
      </c>
      <c r="L70" s="9">
        <f t="shared" si="15"/>
        <v>-1.5500000000000002E-3</v>
      </c>
      <c r="M70" s="9">
        <v>1.2199999999999999E-3</v>
      </c>
      <c r="N70" s="9">
        <v>-2E-3</v>
      </c>
      <c r="P70">
        <v>-2330</v>
      </c>
      <c r="Q70"/>
      <c r="R70" s="9">
        <v>-2.0000000000000001E-4</v>
      </c>
      <c r="U70" s="9">
        <v>1.2999999999999999E-3</v>
      </c>
      <c r="V70" s="391"/>
      <c r="W70" s="391"/>
      <c r="X70">
        <v>13</v>
      </c>
      <c r="AG70" s="9"/>
      <c r="AH70" s="9"/>
      <c r="AI70" s="9"/>
      <c r="AL70" s="9"/>
    </row>
    <row r="71" spans="2:38" x14ac:dyDescent="0.3">
      <c r="B71">
        <v>20251110</v>
      </c>
      <c r="C71" s="279">
        <f t="shared" si="12"/>
        <v>2.8999999999999998E-3</v>
      </c>
      <c r="D71" s="279">
        <v>5.1999999999999998E-3</v>
      </c>
      <c r="E71" s="279">
        <v>8.0999999999999996E-3</v>
      </c>
      <c r="F71" s="279">
        <v>8.0999999999999996E-3</v>
      </c>
      <c r="G71" s="279">
        <v>1.0500000000000001E-2</v>
      </c>
      <c r="H71" s="305">
        <f t="shared" si="13"/>
        <v>0.77142857142857135</v>
      </c>
      <c r="I71" s="279">
        <f t="shared" si="14"/>
        <v>6.3E-3</v>
      </c>
      <c r="J71" s="279">
        <v>5.5999999999999999E-3</v>
      </c>
      <c r="K71" s="279">
        <v>6.4999999999999997E-3</v>
      </c>
      <c r="L71" s="9">
        <f t="shared" si="15"/>
        <v>-8.9999999999999976E-4</v>
      </c>
      <c r="M71" s="9">
        <v>9.1000000000000004E-3</v>
      </c>
      <c r="N71" s="9">
        <v>3.0000000000000001E-3</v>
      </c>
      <c r="P71">
        <v>9500</v>
      </c>
      <c r="Q71"/>
      <c r="R71" s="9">
        <v>1.15E-2</v>
      </c>
      <c r="U71" s="9">
        <v>7.3000000000000001E-3</v>
      </c>
      <c r="V71" s="391"/>
      <c r="W71" s="391"/>
      <c r="X71">
        <v>25</v>
      </c>
      <c r="AG71" s="9"/>
      <c r="AH71" s="9"/>
      <c r="AI71" s="9"/>
      <c r="AL71" s="9"/>
    </row>
    <row r="72" spans="2:38" x14ac:dyDescent="0.3">
      <c r="B72">
        <v>20251111</v>
      </c>
      <c r="C72" s="279">
        <f t="shared" si="12"/>
        <v>1.2499999999999998E-3</v>
      </c>
      <c r="D72" s="279">
        <v>-5.9999999999999995E-4</v>
      </c>
      <c r="E72" s="279">
        <v>6.4999999999999997E-4</v>
      </c>
      <c r="F72" s="279">
        <v>6.4999999999999997E-4</v>
      </c>
      <c r="G72" s="279">
        <v>4.0000000000000003E-5</v>
      </c>
      <c r="H72" s="305">
        <f t="shared" si="13"/>
        <v>16.249999999999996</v>
      </c>
      <c r="I72" s="279">
        <f t="shared" si="14"/>
        <v>2.4000000000000001E-5</v>
      </c>
      <c r="J72" s="279">
        <v>1.3299999999999999E-2</v>
      </c>
      <c r="K72" s="279">
        <v>7.4999999999999997E-3</v>
      </c>
      <c r="L72" s="9">
        <f t="shared" si="15"/>
        <v>5.7999999999999996E-3</v>
      </c>
      <c r="M72" s="9">
        <v>9.1599999999999997E-3</v>
      </c>
      <c r="N72" s="9">
        <v>5.7000000000000002E-3</v>
      </c>
      <c r="P72">
        <v>10600</v>
      </c>
      <c r="Q72"/>
      <c r="R72" s="9">
        <v>1E-4</v>
      </c>
      <c r="U72" s="9">
        <v>7.7000000000000002E-3</v>
      </c>
      <c r="V72" s="391"/>
      <c r="W72" s="391"/>
      <c r="X72">
        <v>19</v>
      </c>
      <c r="AG72" s="9"/>
      <c r="AH72" s="9"/>
      <c r="AI72" s="9"/>
      <c r="AL72" s="9"/>
    </row>
    <row r="73" spans="2:38" x14ac:dyDescent="0.3">
      <c r="B73">
        <v>20251112</v>
      </c>
      <c r="C73" s="279">
        <f t="shared" si="12"/>
        <v>1.5999999999999999E-3</v>
      </c>
      <c r="D73" s="279">
        <v>-3.0999999999999999E-3</v>
      </c>
      <c r="E73" s="279">
        <v>-1.5E-3</v>
      </c>
      <c r="F73" s="279">
        <v>-1.5E-3</v>
      </c>
      <c r="G73" s="279">
        <v>-9.1999999999999998E-3</v>
      </c>
      <c r="H73" s="305">
        <f t="shared" si="13"/>
        <v>0.16304347826086957</v>
      </c>
      <c r="I73" s="279">
        <f t="shared" si="14"/>
        <v>-5.5199999999999997E-3</v>
      </c>
      <c r="J73" s="279">
        <v>1.9800000000000002E-2</v>
      </c>
      <c r="K73" s="279">
        <v>7.4000000000000003E-3</v>
      </c>
      <c r="L73" s="9">
        <f t="shared" si="15"/>
        <v>1.2400000000000001E-2</v>
      </c>
      <c r="M73" s="9">
        <v>6.4000000000000003E-3</v>
      </c>
      <c r="N73" s="9">
        <v>7.1000000000000004E-3</v>
      </c>
      <c r="P73">
        <v>17700</v>
      </c>
      <c r="Q73"/>
      <c r="R73" s="9">
        <v>-3.5000000000000001E-3</v>
      </c>
      <c r="U73" s="9">
        <v>-2.7000000000000001E-3</v>
      </c>
      <c r="V73" s="391"/>
      <c r="W73" s="391"/>
      <c r="X73">
        <v>24</v>
      </c>
      <c r="AG73" s="9"/>
      <c r="AH73" s="9"/>
      <c r="AI73" s="9"/>
      <c r="AL73" s="9"/>
    </row>
    <row r="74" spans="2:38" x14ac:dyDescent="0.3">
      <c r="B74">
        <v>20251113</v>
      </c>
      <c r="C74" s="279">
        <f t="shared" si="12"/>
        <v>-3.6000000000000008E-3</v>
      </c>
      <c r="D74" s="279">
        <v>1.14E-2</v>
      </c>
      <c r="E74" s="279">
        <v>7.7999999999999996E-3</v>
      </c>
      <c r="F74" s="279">
        <v>7.7999999999999996E-3</v>
      </c>
      <c r="G74" s="279">
        <v>8.8000000000000005E-3</v>
      </c>
      <c r="H74" s="305">
        <f t="shared" si="13"/>
        <v>0.88636363636363624</v>
      </c>
      <c r="I74" s="279">
        <f t="shared" si="14"/>
        <v>5.28E-3</v>
      </c>
      <c r="J74" s="279">
        <v>1.4200000000000001E-2</v>
      </c>
      <c r="K74" s="279">
        <v>1.0200000000000001E-2</v>
      </c>
      <c r="L74" s="9">
        <f t="shared" si="15"/>
        <v>4.0000000000000001E-3</v>
      </c>
      <c r="M74" s="9">
        <v>1.72E-2</v>
      </c>
      <c r="N74" s="9">
        <v>5.1999999999999998E-3</v>
      </c>
      <c r="P74">
        <v>17200</v>
      </c>
      <c r="Q74"/>
      <c r="R74" s="9">
        <v>8.0999999999999996E-3</v>
      </c>
      <c r="U74" s="9">
        <v>8.8999999999999999E-3</v>
      </c>
      <c r="V74" s="391"/>
      <c r="W74" s="391"/>
      <c r="X74">
        <v>23</v>
      </c>
      <c r="AG74" s="9"/>
      <c r="AH74" s="9"/>
      <c r="AI74" s="9"/>
      <c r="AL74" s="9"/>
    </row>
    <row r="75" spans="2:38" x14ac:dyDescent="0.3">
      <c r="B75">
        <v>20251114</v>
      </c>
      <c r="C75" s="279">
        <f t="shared" si="12"/>
        <v>4.9999999999999958E-4</v>
      </c>
      <c r="D75" s="279">
        <v>-6.7999999999999996E-3</v>
      </c>
      <c r="E75" s="279">
        <v>-6.3E-3</v>
      </c>
      <c r="F75" s="279">
        <v>-6.3E-3</v>
      </c>
      <c r="G75" s="279">
        <v>-7.6E-3</v>
      </c>
      <c r="H75" s="305">
        <f t="shared" si="13"/>
        <v>0.82894736842105265</v>
      </c>
      <c r="I75" s="279">
        <f t="shared" si="14"/>
        <v>-4.5599999999999998E-3</v>
      </c>
      <c r="J75" s="279">
        <v>1.54E-2</v>
      </c>
      <c r="K75" s="279">
        <v>6.3E-3</v>
      </c>
      <c r="L75" s="9">
        <f t="shared" si="15"/>
        <v>9.1000000000000004E-3</v>
      </c>
      <c r="M75" s="9">
        <v>5.1000000000000004E-3</v>
      </c>
      <c r="N75" s="9">
        <v>6.7999999999999996E-3</v>
      </c>
      <c r="P75">
        <v>12500</v>
      </c>
      <c r="Q75"/>
      <c r="R75" s="9">
        <v>-5.8999999999999999E-3</v>
      </c>
      <c r="U75" s="9">
        <v>9.4000000000000004E-3</v>
      </c>
      <c r="V75" s="391"/>
      <c r="W75" s="391"/>
      <c r="X75">
        <v>25</v>
      </c>
      <c r="AG75" s="9"/>
      <c r="AH75" s="9"/>
      <c r="AI75" s="9"/>
      <c r="AL75" s="9"/>
    </row>
    <row r="76" spans="2:38" x14ac:dyDescent="0.3">
      <c r="B76">
        <v>20251117</v>
      </c>
      <c r="C76" s="279">
        <f t="shared" si="12"/>
        <v>-2.7000000000000001E-3</v>
      </c>
      <c r="D76" s="279">
        <v>-1.6000000000000001E-3</v>
      </c>
      <c r="E76" s="279">
        <v>-4.3E-3</v>
      </c>
      <c r="F76" s="279">
        <v>-4.3E-3</v>
      </c>
      <c r="G76" s="279">
        <v>-8.9999999999999993E-3</v>
      </c>
      <c r="H76" s="305">
        <f t="shared" si="13"/>
        <v>0.4777777777777778</v>
      </c>
      <c r="I76" s="279">
        <f t="shared" si="14"/>
        <v>-5.3999999999999994E-3</v>
      </c>
      <c r="J76" s="279">
        <v>4.7999999999999996E-3</v>
      </c>
      <c r="K76" s="279">
        <v>3.3999999999999998E-3</v>
      </c>
      <c r="L76" s="9">
        <f t="shared" si="15"/>
        <v>1.3999999999999998E-3</v>
      </c>
      <c r="M76" s="9">
        <v>6.1999999999999998E-3</v>
      </c>
      <c r="N76" s="9">
        <v>4.0000000000000002E-4</v>
      </c>
      <c r="O76" s="9">
        <v>-1.2E-2</v>
      </c>
      <c r="P76">
        <v>3400</v>
      </c>
      <c r="Q76"/>
      <c r="R76" s="9">
        <v>-2.7000000000000001E-3</v>
      </c>
      <c r="U76" s="9">
        <v>8.0999999999999996E-3</v>
      </c>
      <c r="V76" s="391"/>
      <c r="W76" s="391"/>
      <c r="X76">
        <v>22</v>
      </c>
      <c r="AG76" s="9"/>
      <c r="AH76" s="9"/>
      <c r="AI76" s="9"/>
      <c r="AL76" s="9"/>
    </row>
    <row r="77" spans="2:38" x14ac:dyDescent="0.3">
      <c r="B77">
        <v>20251118</v>
      </c>
      <c r="C77" s="279">
        <f t="shared" si="12"/>
        <v>7.000000000000001E-4</v>
      </c>
      <c r="D77" s="279">
        <v>-5.3E-3</v>
      </c>
      <c r="E77" s="279">
        <v>-4.5999999999999999E-3</v>
      </c>
      <c r="F77" s="279">
        <v>-4.5999999999999999E-3</v>
      </c>
      <c r="G77" s="279">
        <v>-1.5800000000000002E-2</v>
      </c>
      <c r="H77" s="305">
        <f t="shared" si="13"/>
        <v>0.29113924050632906</v>
      </c>
      <c r="I77" s="279">
        <f t="shared" si="14"/>
        <v>-9.4800000000000006E-3</v>
      </c>
      <c r="J77" s="279">
        <v>7.7000000000000002E-3</v>
      </c>
      <c r="K77" s="279">
        <v>-2.2000000000000001E-3</v>
      </c>
      <c r="L77" s="9">
        <f t="shared" si="15"/>
        <v>9.9000000000000008E-3</v>
      </c>
      <c r="M77" s="9">
        <v>-6.0000000000000001E-3</v>
      </c>
      <c r="N77" s="9">
        <v>8.0000000000000004E-4</v>
      </c>
      <c r="O77" s="9">
        <v>-6.0000000000000001E-3</v>
      </c>
      <c r="P77">
        <v>5900</v>
      </c>
      <c r="Q77"/>
      <c r="R77" s="9">
        <v>-6.1999999999999998E-3</v>
      </c>
      <c r="U77" s="9">
        <v>-7.0000000000000001E-3</v>
      </c>
      <c r="V77" s="391"/>
      <c r="W77" s="391"/>
      <c r="X77">
        <v>21</v>
      </c>
      <c r="AG77" s="9"/>
      <c r="AH77" s="9"/>
      <c r="AI77" s="9"/>
      <c r="AL77" s="9"/>
    </row>
    <row r="78" spans="2:38" x14ac:dyDescent="0.3">
      <c r="B78">
        <v>20251119</v>
      </c>
      <c r="C78" s="279">
        <f t="shared" si="12"/>
        <v>1.3999999999999998E-3</v>
      </c>
      <c r="D78" s="279">
        <v>1E-3</v>
      </c>
      <c r="E78" s="279">
        <v>2.3999999999999998E-3</v>
      </c>
      <c r="F78" s="279">
        <v>2.3999999999999998E-3</v>
      </c>
      <c r="G78" s="279">
        <v>-8.8000000000000005E-3</v>
      </c>
      <c r="H78" s="305">
        <f t="shared" si="13"/>
        <v>-0.27272727272727271</v>
      </c>
      <c r="I78" s="279">
        <f t="shared" si="14"/>
        <v>-5.28E-3</v>
      </c>
      <c r="J78" s="279">
        <v>-8.2000000000000007E-3</v>
      </c>
      <c r="K78" s="279">
        <v>-1.2800000000000001E-2</v>
      </c>
      <c r="L78" s="9">
        <f t="shared" si="15"/>
        <v>4.5999999999999999E-3</v>
      </c>
      <c r="M78" s="9">
        <v>-2.0500000000000001E-2</v>
      </c>
      <c r="N78" s="9">
        <v>-8.0000000000000002E-3</v>
      </c>
      <c r="O78" s="9">
        <v>-0.03</v>
      </c>
      <c r="P78">
        <v>-6767</v>
      </c>
      <c r="Q78"/>
      <c r="R78" s="9">
        <v>2.3E-3</v>
      </c>
      <c r="U78" s="9">
        <v>-2.1700000000000001E-2</v>
      </c>
      <c r="V78" s="391"/>
      <c r="W78" s="391"/>
      <c r="X78">
        <v>13</v>
      </c>
      <c r="AG78" s="9"/>
      <c r="AH78" s="9"/>
      <c r="AI78" s="9"/>
      <c r="AL78" s="9"/>
    </row>
    <row r="79" spans="2:38" x14ac:dyDescent="0.3">
      <c r="B79">
        <v>20251120</v>
      </c>
      <c r="C79" s="279">
        <f t="shared" si="12"/>
        <v>-1.9E-3</v>
      </c>
      <c r="D79" s="279">
        <v>-1.9E-3</v>
      </c>
      <c r="E79" s="279">
        <v>-3.8E-3</v>
      </c>
      <c r="F79" s="279">
        <v>-3.8E-3</v>
      </c>
      <c r="G79" s="279">
        <v>-1.5299999999999999E-2</v>
      </c>
      <c r="H79" s="305">
        <f t="shared" si="13"/>
        <v>0.24836601307189543</v>
      </c>
      <c r="I79" s="279">
        <f t="shared" si="14"/>
        <v>-9.1799999999999989E-3</v>
      </c>
      <c r="J79" s="279">
        <v>-2.5000000000000001E-2</v>
      </c>
      <c r="K79" s="279">
        <v>-1.01E-2</v>
      </c>
      <c r="L79" s="9">
        <f t="shared" si="15"/>
        <v>-1.4900000000000002E-2</v>
      </c>
      <c r="M79" s="9">
        <v>-9.4999999999999998E-3</v>
      </c>
      <c r="N79" s="9">
        <v>-1.0999999999999999E-2</v>
      </c>
      <c r="O79" s="9">
        <v>-1.7999999999999999E-2</v>
      </c>
      <c r="P79">
        <v>-24500</v>
      </c>
      <c r="Q79"/>
      <c r="R79" s="9">
        <v>-3.8E-3</v>
      </c>
      <c r="U79" s="9">
        <v>-6.4999999999999997E-3</v>
      </c>
      <c r="V79" s="391"/>
      <c r="W79" s="391"/>
      <c r="X79">
        <v>12</v>
      </c>
      <c r="AG79" s="9"/>
      <c r="AH79" s="9"/>
      <c r="AI79" s="9"/>
      <c r="AL79" s="9"/>
    </row>
    <row r="80" spans="2:38" x14ac:dyDescent="0.3">
      <c r="B80">
        <v>20251121</v>
      </c>
      <c r="C80" s="279">
        <f t="shared" si="12"/>
        <v>5.3E-3</v>
      </c>
      <c r="D80" s="279">
        <v>-1.18E-2</v>
      </c>
      <c r="E80" s="279">
        <v>-9.4999999999999998E-3</v>
      </c>
      <c r="F80" s="279">
        <v>-6.4999999999999997E-3</v>
      </c>
      <c r="G80" s="279">
        <v>-3.7999999999999999E-2</v>
      </c>
      <c r="H80" s="305">
        <f t="shared" si="13"/>
        <v>0.25</v>
      </c>
      <c r="I80" s="279">
        <f t="shared" si="14"/>
        <v>-2.2799999999999997E-2</v>
      </c>
      <c r="J80" s="279">
        <v>-0.03</v>
      </c>
      <c r="K80" s="279">
        <v>-3.3700000000000001E-2</v>
      </c>
      <c r="L80" s="9">
        <f t="shared" si="15"/>
        <v>3.7000000000000019E-3</v>
      </c>
      <c r="M80" s="9">
        <v>-3.6299999999999999E-2</v>
      </c>
      <c r="N80" s="9">
        <v>-3.1600000000000003E-2</v>
      </c>
      <c r="O80" s="9">
        <v>-4.1500000000000002E-2</v>
      </c>
      <c r="P80">
        <v>-20000</v>
      </c>
      <c r="Q80"/>
      <c r="R80" s="9">
        <v>-7.3000000000000001E-3</v>
      </c>
      <c r="U80" s="9">
        <v>-4.9000000000000002E-2</v>
      </c>
      <c r="V80" s="391"/>
      <c r="W80" s="391"/>
      <c r="X80">
        <v>5</v>
      </c>
      <c r="AG80" s="9"/>
      <c r="AH80" s="9"/>
      <c r="AI80" s="9"/>
      <c r="AL80" s="9"/>
    </row>
    <row r="81" spans="2:38" x14ac:dyDescent="0.3">
      <c r="B81">
        <v>20251124</v>
      </c>
      <c r="C81" s="279">
        <f t="shared" si="12"/>
        <v>-1.3000000000000008E-3</v>
      </c>
      <c r="D81" s="279">
        <v>6.1000000000000004E-3</v>
      </c>
      <c r="E81" s="279">
        <v>4.7999999999999996E-3</v>
      </c>
      <c r="F81" s="279">
        <v>4.7999999999999996E-3</v>
      </c>
      <c r="G81" s="279">
        <v>8.2000000000000007E-3</v>
      </c>
      <c r="H81" s="305">
        <f t="shared" si="13"/>
        <v>0.58536585365853644</v>
      </c>
      <c r="I81" s="279">
        <f t="shared" si="14"/>
        <v>4.9199999999999999E-3</v>
      </c>
      <c r="J81" s="279">
        <v>3.0000000000000001E-3</v>
      </c>
      <c r="K81" s="279">
        <v>6.3E-3</v>
      </c>
      <c r="L81" s="9">
        <f t="shared" si="15"/>
        <v>-3.3E-3</v>
      </c>
      <c r="M81" s="9">
        <v>6.7999999999999996E-3</v>
      </c>
      <c r="N81" s="9">
        <v>4.3E-3</v>
      </c>
      <c r="O81" s="9">
        <v>1.67E-2</v>
      </c>
      <c r="P81">
        <v>2600</v>
      </c>
      <c r="Q81"/>
      <c r="R81" s="9">
        <v>6.1000000000000004E-3</v>
      </c>
      <c r="U81" s="9">
        <v>2.2499999999999999E-2</v>
      </c>
      <c r="V81" s="391"/>
      <c r="W81" s="391"/>
      <c r="X81">
        <v>15</v>
      </c>
      <c r="AG81" s="9"/>
      <c r="AH81" s="9"/>
      <c r="AI81" s="9"/>
      <c r="AL81" s="9"/>
    </row>
    <row r="82" spans="2:38" x14ac:dyDescent="0.3">
      <c r="B82">
        <v>20251125</v>
      </c>
      <c r="C82" s="279">
        <f t="shared" si="12"/>
        <v>-1.1999999999999999E-3</v>
      </c>
      <c r="D82" s="279">
        <v>3.0999999999999999E-3</v>
      </c>
      <c r="E82" s="279">
        <v>1.9E-3</v>
      </c>
      <c r="F82" s="279">
        <v>1.9E-3</v>
      </c>
      <c r="G82" s="279">
        <v>1.01E-2</v>
      </c>
      <c r="H82" s="305">
        <f t="shared" si="13"/>
        <v>0.18811881188118812</v>
      </c>
      <c r="I82" s="279">
        <f t="shared" si="14"/>
        <v>6.0599999999999994E-3</v>
      </c>
      <c r="J82" s="279">
        <v>0</v>
      </c>
      <c r="K82" s="279">
        <v>1.7100000000000001E-2</v>
      </c>
      <c r="L82" s="9">
        <f t="shared" si="15"/>
        <v>-1.7100000000000001E-2</v>
      </c>
      <c r="M82" s="9">
        <v>1.7600000000000001E-2</v>
      </c>
      <c r="N82" s="9">
        <v>1.83E-2</v>
      </c>
      <c r="O82" s="9">
        <v>1.12E-2</v>
      </c>
      <c r="P82">
        <v>1386</v>
      </c>
      <c r="Q82"/>
      <c r="R82" s="9">
        <v>3.8E-3</v>
      </c>
      <c r="U82" s="9">
        <v>1.7600000000000001E-2</v>
      </c>
      <c r="V82" s="391"/>
      <c r="W82" s="391"/>
      <c r="X82">
        <v>22</v>
      </c>
      <c r="AG82" s="9"/>
      <c r="AH82" s="9"/>
      <c r="AI82" s="9"/>
      <c r="AL82" s="9"/>
    </row>
    <row r="83" spans="2:38" x14ac:dyDescent="0.3">
      <c r="B83">
        <v>20251126</v>
      </c>
      <c r="C83" s="279">
        <f t="shared" si="12"/>
        <v>2.7000000000000001E-3</v>
      </c>
      <c r="D83" s="279">
        <v>-8.8999999999999999E-3</v>
      </c>
      <c r="E83" s="279">
        <v>-8.0000000000000002E-3</v>
      </c>
      <c r="F83" s="279">
        <v>-6.1999999999999998E-3</v>
      </c>
      <c r="G83" s="279">
        <v>-5.4999999999999997E-3</v>
      </c>
      <c r="H83" s="305">
        <f t="shared" si="13"/>
        <v>1.4545454545454546</v>
      </c>
      <c r="I83" s="279">
        <f t="shared" si="14"/>
        <v>-3.2999999999999995E-3</v>
      </c>
      <c r="J83" s="279">
        <v>-1.5E-3</v>
      </c>
      <c r="K83" s="279">
        <v>1.5E-3</v>
      </c>
      <c r="L83" s="9">
        <f t="shared" si="15"/>
        <v>-3.0000000000000001E-3</v>
      </c>
      <c r="M83" s="9">
        <v>6.4000000000000003E-3</v>
      </c>
      <c r="N83" s="9">
        <v>-1.4E-3</v>
      </c>
      <c r="O83" s="9">
        <v>1E-4</v>
      </c>
      <c r="P83">
        <v>-2000</v>
      </c>
      <c r="Q83"/>
      <c r="R83" s="9">
        <v>-6.4999999999999997E-3</v>
      </c>
      <c r="U83" s="9">
        <v>-1.0200000000000001E-2</v>
      </c>
      <c r="V83" s="391"/>
      <c r="W83" s="391"/>
      <c r="X83">
        <v>12</v>
      </c>
      <c r="AG83" s="9"/>
      <c r="AH83" s="9"/>
      <c r="AI83" s="9"/>
      <c r="AL83" s="9"/>
    </row>
    <row r="84" spans="2:38" x14ac:dyDescent="0.3">
      <c r="B84">
        <v>20251127</v>
      </c>
      <c r="C84" s="279">
        <f t="shared" si="12"/>
        <v>0</v>
      </c>
      <c r="D84" s="279">
        <v>-5.0000000000000001E-3</v>
      </c>
      <c r="E84" s="279">
        <v>-5.4999999999999997E-3</v>
      </c>
      <c r="F84" s="279">
        <v>-5.0000000000000001E-3</v>
      </c>
      <c r="G84" s="279">
        <v>7.3000000000000001E-3</v>
      </c>
      <c r="H84" s="305">
        <f t="shared" si="13"/>
        <v>-0.75342465753424648</v>
      </c>
      <c r="I84" s="279">
        <f t="shared" si="14"/>
        <v>4.3800000000000002E-3</v>
      </c>
      <c r="J84" s="279">
        <v>-8.0000000000000004E-4</v>
      </c>
      <c r="K84" s="279">
        <v>-3.5000000000000001E-3</v>
      </c>
      <c r="L84" s="9">
        <f t="shared" si="15"/>
        <v>2.7000000000000001E-3</v>
      </c>
      <c r="M84" s="9">
        <v>-6.3E-3</v>
      </c>
      <c r="N84" s="9">
        <v>-1.1000000000000001E-3</v>
      </c>
      <c r="O84" s="9">
        <v>-1.14E-2</v>
      </c>
      <c r="P84">
        <v>-923</v>
      </c>
      <c r="Q84"/>
      <c r="R84" s="9">
        <v>-5.1999999999999998E-3</v>
      </c>
      <c r="U84" s="9">
        <v>1.26E-2</v>
      </c>
      <c r="V84" s="391"/>
      <c r="W84" s="391"/>
      <c r="X84">
        <v>10</v>
      </c>
      <c r="AG84" s="9"/>
      <c r="AH84" s="9"/>
      <c r="AI84" s="9"/>
      <c r="AL84" s="9"/>
    </row>
    <row r="85" spans="2:38" x14ac:dyDescent="0.3">
      <c r="B85">
        <v>20251128</v>
      </c>
      <c r="C85" s="279">
        <f t="shared" si="12"/>
        <v>2.0000000000000052E-4</v>
      </c>
      <c r="D85" s="279">
        <v>8.0999999999999996E-3</v>
      </c>
      <c r="E85" s="279">
        <v>8.3000000000000001E-3</v>
      </c>
      <c r="F85" s="279">
        <v>8.3000000000000001E-3</v>
      </c>
      <c r="G85" s="279">
        <v>7.1999999999999998E-3</v>
      </c>
      <c r="H85" s="305">
        <f t="shared" si="13"/>
        <v>1.1527777777777779</v>
      </c>
      <c r="I85" s="279">
        <f t="shared" si="14"/>
        <v>4.3200000000000001E-3</v>
      </c>
      <c r="J85" s="279">
        <v>3.7000000000000002E-3</v>
      </c>
      <c r="K85" s="279">
        <v>8.8999999999999999E-3</v>
      </c>
      <c r="L85" s="9">
        <f t="shared" si="15"/>
        <v>-5.1999999999999998E-3</v>
      </c>
      <c r="M85" s="9">
        <v>6.1999999999999998E-3</v>
      </c>
      <c r="N85" s="9">
        <v>1.0500000000000001E-2</v>
      </c>
      <c r="O85" s="9">
        <v>7.0000000000000001E-3</v>
      </c>
      <c r="P85">
        <v>6100</v>
      </c>
      <c r="Q85"/>
      <c r="R85" s="9">
        <v>9.1000000000000004E-3</v>
      </c>
      <c r="U85" s="9">
        <v>1.7500000000000002E-2</v>
      </c>
      <c r="V85" s="391"/>
      <c r="W85" s="391"/>
      <c r="AG85" s="9"/>
      <c r="AH85" s="9"/>
      <c r="AI85" s="9"/>
      <c r="AL85" s="9"/>
    </row>
    <row r="86" spans="2:38" x14ac:dyDescent="0.3">
      <c r="B86" s="295" t="s">
        <v>33</v>
      </c>
      <c r="C86" s="296">
        <f>SUM(C87:C109)</f>
        <v>-5.4435897435897457E-3</v>
      </c>
      <c r="D86" s="296">
        <f>SUM(D87:D109)</f>
        <v>3.0900000000000004E-2</v>
      </c>
      <c r="E86" s="296">
        <f>SUM(E87:E109)</f>
        <v>1.7250000000000001E-2</v>
      </c>
      <c r="F86" s="296">
        <f>SUM(F87:F109)</f>
        <v>2.5456410256410256E-2</v>
      </c>
      <c r="G86" s="296">
        <f>SUM(G87:G109)</f>
        <v>4.640000000000007E-3</v>
      </c>
      <c r="H86" s="306">
        <f>F86/G86</f>
        <v>5.4862953138815129</v>
      </c>
      <c r="I86" s="296">
        <f t="shared" ref="I86:P86" si="16">SUM(I87:I109)</f>
        <v>2.7840000000000078E-3</v>
      </c>
      <c r="J86" s="296">
        <f t="shared" si="16"/>
        <v>-3.9179999999999993E-2</v>
      </c>
      <c r="K86" s="296">
        <f t="shared" si="16"/>
        <v>-4.7799999999999988E-2</v>
      </c>
      <c r="L86" s="296">
        <f t="shared" si="16"/>
        <v>8.619999999999994E-3</v>
      </c>
      <c r="M86" s="296">
        <f t="shared" si="16"/>
        <v>-5.7799999999999983E-2</v>
      </c>
      <c r="N86" s="296">
        <f t="shared" si="16"/>
        <v>-3.9716000000000022E-2</v>
      </c>
      <c r="O86" s="296">
        <f t="shared" si="16"/>
        <v>-4.1999999999999954E-3</v>
      </c>
      <c r="P86" s="315">
        <f t="shared" si="16"/>
        <v>-7926</v>
      </c>
      <c r="Q86" s="315"/>
      <c r="R86" s="296">
        <f>SUM(R87:R109)</f>
        <v>1.9399999999999997E-2</v>
      </c>
      <c r="S86" s="315"/>
      <c r="T86" s="296">
        <f>SUM(T87:T109)</f>
        <v>1.5599999999999998E-2</v>
      </c>
      <c r="U86" s="296">
        <f>SUM(U87:U109)</f>
        <v>-1.9499999999999993E-2</v>
      </c>
      <c r="V86" s="315"/>
      <c r="W86" s="315"/>
      <c r="AG86" s="9"/>
      <c r="AH86" s="9"/>
      <c r="AI86" s="9"/>
      <c r="AL86" s="9"/>
    </row>
    <row r="87" spans="2:38" x14ac:dyDescent="0.3">
      <c r="B87">
        <v>20251201</v>
      </c>
      <c r="C87" s="279">
        <f t="shared" ref="C87:C109" si="17">F87-D87</f>
        <v>1E-3</v>
      </c>
      <c r="D87" s="279">
        <v>6.9999999999999999E-4</v>
      </c>
      <c r="E87" s="279">
        <v>1.2999999999999999E-3</v>
      </c>
      <c r="F87" s="279">
        <v>1.6999999999999999E-3</v>
      </c>
      <c r="G87" s="279">
        <v>7.4999999999999997E-3</v>
      </c>
      <c r="H87" s="305">
        <f t="shared" ref="H87:H109" si="18">E87/G87</f>
        <v>0.17333333333333334</v>
      </c>
      <c r="I87" s="279">
        <f t="shared" ref="I87:I109" si="19">G87*$A$1</f>
        <v>4.4999999999999997E-3</v>
      </c>
      <c r="J87" s="279">
        <v>3.0999999999999999E-3</v>
      </c>
      <c r="K87" s="279">
        <v>-2.9999999999999997E-4</v>
      </c>
      <c r="L87" s="9">
        <f t="shared" ref="L87:L109" si="20">J87-K87</f>
        <v>3.3999999999999998E-3</v>
      </c>
      <c r="M87" s="9">
        <v>1.5E-3</v>
      </c>
      <c r="N87" s="9">
        <v>-1.1000000000000001E-3</v>
      </c>
      <c r="O87" s="9">
        <v>-2.7000000000000001E-3</v>
      </c>
      <c r="P87">
        <v>50</v>
      </c>
      <c r="Q87"/>
      <c r="R87" s="9">
        <v>2.8999999999999998E-3</v>
      </c>
      <c r="U87" s="9">
        <v>0</v>
      </c>
      <c r="V87" s="391"/>
      <c r="W87" s="391"/>
      <c r="X87">
        <v>13</v>
      </c>
      <c r="AG87" s="9"/>
      <c r="AH87" s="9"/>
      <c r="AI87" s="9"/>
      <c r="AL87" s="9"/>
    </row>
    <row r="88" spans="2:38" x14ac:dyDescent="0.3">
      <c r="B88">
        <v>20251202</v>
      </c>
      <c r="C88" s="279">
        <f t="shared" si="17"/>
        <v>6.9999999999999923E-4</v>
      </c>
      <c r="D88" s="279">
        <v>-5.7999999999999996E-3</v>
      </c>
      <c r="E88" s="279">
        <v>-6.1000000000000004E-3</v>
      </c>
      <c r="F88" s="279">
        <v>-5.1000000000000004E-3</v>
      </c>
      <c r="G88" s="279">
        <v>-1.0699999999999999E-2</v>
      </c>
      <c r="H88" s="305">
        <f t="shared" si="18"/>
        <v>0.5700934579439253</v>
      </c>
      <c r="I88" s="279">
        <f t="shared" si="19"/>
        <v>-6.4199999999999995E-3</v>
      </c>
      <c r="J88" s="279">
        <v>0.01</v>
      </c>
      <c r="K88" s="279">
        <v>-6.1999999999999998E-3</v>
      </c>
      <c r="L88" s="9">
        <f t="shared" si="20"/>
        <v>1.6199999999999999E-2</v>
      </c>
      <c r="M88" s="9">
        <v>-5.5999999999999999E-3</v>
      </c>
      <c r="N88" s="9">
        <v>-4.1000000000000003E-3</v>
      </c>
      <c r="O88" s="9">
        <v>-2.0000000000000001E-4</v>
      </c>
      <c r="P88">
        <v>3000</v>
      </c>
      <c r="Q88"/>
      <c r="R88" s="9">
        <v>-6.1000000000000004E-3</v>
      </c>
      <c r="U88" s="9">
        <v>-3.3E-3</v>
      </c>
      <c r="V88" s="391"/>
      <c r="W88" s="391"/>
      <c r="X88">
        <v>9</v>
      </c>
      <c r="AG88" s="9"/>
      <c r="AH88" s="9"/>
      <c r="AI88" s="9"/>
      <c r="AL88" s="9"/>
    </row>
    <row r="89" spans="2:38" x14ac:dyDescent="0.3">
      <c r="B89">
        <v>20251203</v>
      </c>
      <c r="C89" s="279">
        <f t="shared" si="17"/>
        <v>-6.0000000000000027E-4</v>
      </c>
      <c r="D89" s="279">
        <v>-2.3999999999999998E-3</v>
      </c>
      <c r="E89" s="279">
        <v>-3.0000000000000001E-3</v>
      </c>
      <c r="F89" s="279">
        <v>-3.0000000000000001E-3</v>
      </c>
      <c r="G89" s="279">
        <v>-8.8999999999999999E-3</v>
      </c>
      <c r="H89" s="305">
        <f t="shared" si="18"/>
        <v>0.33707865168539325</v>
      </c>
      <c r="I89" s="279">
        <f t="shared" si="19"/>
        <v>-5.3400000000000001E-3</v>
      </c>
      <c r="J89" s="279">
        <v>-1.32E-2</v>
      </c>
      <c r="K89" s="279">
        <v>-1.12E-2</v>
      </c>
      <c r="L89" s="9">
        <f t="shared" si="20"/>
        <v>-2E-3</v>
      </c>
      <c r="M89" s="9">
        <v>-1.7399999999999999E-2</v>
      </c>
      <c r="N89" s="9">
        <v>-6.3E-3</v>
      </c>
      <c r="O89" s="9">
        <v>2.0999999999999999E-3</v>
      </c>
      <c r="P89">
        <v>-5800</v>
      </c>
      <c r="Q89"/>
      <c r="R89" s="9">
        <v>-2.5999999999999999E-3</v>
      </c>
      <c r="U89" s="9">
        <v>-8.8999999999999999E-3</v>
      </c>
      <c r="V89" s="391"/>
      <c r="W89" s="391"/>
      <c r="X89">
        <v>8</v>
      </c>
      <c r="AG89" s="9"/>
      <c r="AH89" s="9"/>
      <c r="AI89" s="9"/>
      <c r="AL89" s="9"/>
    </row>
    <row r="90" spans="2:38" x14ac:dyDescent="0.3">
      <c r="B90">
        <v>20251204</v>
      </c>
      <c r="C90" s="279">
        <f t="shared" si="17"/>
        <v>-6.9999999999999988E-4</v>
      </c>
      <c r="D90" s="279">
        <v>-1.6999999999999999E-3</v>
      </c>
      <c r="E90" s="279">
        <v>-3.0000000000000001E-3</v>
      </c>
      <c r="F90" s="279">
        <v>-2.3999999999999998E-3</v>
      </c>
      <c r="G90" s="279">
        <v>-1.09E-2</v>
      </c>
      <c r="H90" s="305">
        <f t="shared" si="18"/>
        <v>0.27522935779816515</v>
      </c>
      <c r="I90" s="279">
        <f t="shared" si="19"/>
        <v>-6.5399999999999998E-3</v>
      </c>
      <c r="J90" s="279">
        <v>-2.9100000000000001E-2</v>
      </c>
      <c r="K90" s="279">
        <v>-1.9099999999999999E-2</v>
      </c>
      <c r="L90" s="279">
        <f t="shared" si="20"/>
        <v>-1.0000000000000002E-2</v>
      </c>
      <c r="M90" s="279">
        <v>-1.34E-2</v>
      </c>
      <c r="N90" s="279">
        <v>-2.3199999999999998E-2</v>
      </c>
      <c r="O90" s="279">
        <v>-0.03</v>
      </c>
      <c r="P90">
        <v>-12300</v>
      </c>
      <c r="Q90"/>
      <c r="R90" s="9">
        <v>-2.0999999999999999E-3</v>
      </c>
      <c r="U90" s="9">
        <v>-1.72E-2</v>
      </c>
      <c r="V90" s="391"/>
      <c r="W90" s="391"/>
      <c r="X90">
        <v>2</v>
      </c>
      <c r="AG90" s="9"/>
      <c r="AH90" s="9"/>
      <c r="AI90" s="9"/>
      <c r="AL90" s="9"/>
    </row>
    <row r="91" spans="2:38" x14ac:dyDescent="0.3">
      <c r="B91">
        <v>20251205</v>
      </c>
      <c r="C91" s="279">
        <f t="shared" si="17"/>
        <v>5.9999999999999984E-4</v>
      </c>
      <c r="D91" s="279">
        <v>1.14E-2</v>
      </c>
      <c r="E91" s="279">
        <v>1.1900000000000001E-2</v>
      </c>
      <c r="F91" s="279">
        <v>1.2E-2</v>
      </c>
      <c r="G91" s="279">
        <v>1.2200000000000001E-2</v>
      </c>
      <c r="H91" s="305">
        <f t="shared" si="18"/>
        <v>0.97540983606557374</v>
      </c>
      <c r="I91" s="279">
        <f t="shared" si="19"/>
        <v>7.3200000000000001E-3</v>
      </c>
      <c r="J91" s="279">
        <v>8.0000000000000002E-3</v>
      </c>
      <c r="K91" s="279">
        <v>5.3E-3</v>
      </c>
      <c r="L91" s="279">
        <f t="shared" si="20"/>
        <v>2.7000000000000001E-3</v>
      </c>
      <c r="M91" s="279">
        <v>6.1999999999999998E-3</v>
      </c>
      <c r="N91" s="279">
        <v>5.8999999999999999E-3</v>
      </c>
      <c r="O91" s="279">
        <v>-8.5000000000000006E-3</v>
      </c>
      <c r="P91">
        <v>4300</v>
      </c>
      <c r="Q91"/>
      <c r="R91" s="9">
        <v>1.2999999999999999E-2</v>
      </c>
      <c r="U91" s="9">
        <v>1.77E-2</v>
      </c>
      <c r="V91" s="391"/>
      <c r="W91" s="391"/>
      <c r="X91">
        <v>10</v>
      </c>
      <c r="AG91" s="9"/>
      <c r="AH91" s="9"/>
      <c r="AI91" s="9"/>
      <c r="AL91" s="9"/>
    </row>
    <row r="92" spans="2:38" x14ac:dyDescent="0.3">
      <c r="B92">
        <v>20251208</v>
      </c>
      <c r="C92" s="279">
        <f t="shared" si="17"/>
        <v>-1.9000000000000006E-3</v>
      </c>
      <c r="D92" s="279">
        <v>6.1000000000000004E-3</v>
      </c>
      <c r="E92" s="279">
        <v>3.8E-3</v>
      </c>
      <c r="F92" s="279">
        <v>4.1999999999999997E-3</v>
      </c>
      <c r="G92" s="279">
        <v>6.3E-3</v>
      </c>
      <c r="H92" s="305">
        <f t="shared" si="18"/>
        <v>0.60317460317460314</v>
      </c>
      <c r="I92" s="279">
        <f t="shared" si="19"/>
        <v>3.7799999999999999E-3</v>
      </c>
      <c r="J92" s="279">
        <v>3.5999999999999999E-3</v>
      </c>
      <c r="K92" s="279">
        <v>8.9999999999999998E-4</v>
      </c>
      <c r="L92" s="9">
        <f t="shared" si="20"/>
        <v>2.7000000000000001E-3</v>
      </c>
      <c r="M92" s="9">
        <v>2.3E-3</v>
      </c>
      <c r="N92" s="9">
        <v>-1E-3</v>
      </c>
      <c r="O92" s="9">
        <v>1.2800000000000001E-2</v>
      </c>
      <c r="P92">
        <v>2400</v>
      </c>
      <c r="Q92"/>
      <c r="R92" s="9">
        <v>2.0999999999999999E-3</v>
      </c>
      <c r="U92" s="9">
        <v>1.12E-2</v>
      </c>
      <c r="V92" s="391"/>
      <c r="W92" s="391"/>
      <c r="X92">
        <v>7</v>
      </c>
      <c r="AG92" s="9"/>
      <c r="AH92" s="9"/>
      <c r="AI92" s="9"/>
      <c r="AL92" s="9"/>
    </row>
    <row r="93" spans="2:38" x14ac:dyDescent="0.3">
      <c r="B93">
        <v>20251209</v>
      </c>
      <c r="C93" s="279">
        <f t="shared" si="17"/>
        <v>7.000000000000001E-4</v>
      </c>
      <c r="D93" s="279">
        <v>-7.0000000000000001E-3</v>
      </c>
      <c r="E93" s="279">
        <v>-6.4999999999999997E-3</v>
      </c>
      <c r="F93" s="279">
        <v>-6.3E-3</v>
      </c>
      <c r="G93" s="279">
        <v>-7.1000000000000004E-3</v>
      </c>
      <c r="H93" s="305">
        <f t="shared" si="18"/>
        <v>0.91549295774647876</v>
      </c>
      <c r="I93" s="279">
        <f t="shared" si="19"/>
        <v>-4.2599999999999999E-3</v>
      </c>
      <c r="J93" s="279">
        <v>-1E-4</v>
      </c>
      <c r="K93" s="279">
        <v>-3.8999999999999998E-3</v>
      </c>
      <c r="L93" s="279">
        <f t="shared" si="20"/>
        <v>3.8E-3</v>
      </c>
      <c r="M93" s="279">
        <v>-1E-4</v>
      </c>
      <c r="N93" s="279">
        <v>-4.1999999999999997E-3</v>
      </c>
      <c r="O93" s="279">
        <v>-7.3000000000000001E-3</v>
      </c>
      <c r="P93">
        <v>-1700</v>
      </c>
      <c r="Q93"/>
      <c r="R93" s="9">
        <v>-7.1000000000000004E-3</v>
      </c>
      <c r="U93" s="9">
        <v>-8.8000000000000005E-3</v>
      </c>
      <c r="V93" s="391"/>
      <c r="W93" s="391"/>
      <c r="X93">
        <v>3</v>
      </c>
      <c r="Y93">
        <v>6</v>
      </c>
      <c r="AG93" s="9"/>
      <c r="AH93" s="9"/>
      <c r="AI93" s="9"/>
      <c r="AL93" s="9"/>
    </row>
    <row r="94" spans="2:38" x14ac:dyDescent="0.3">
      <c r="B94">
        <v>20251210</v>
      </c>
      <c r="C94" s="279">
        <f t="shared" si="17"/>
        <v>2.3E-3</v>
      </c>
      <c r="D94" s="279">
        <v>3.8999999999999998E-3</v>
      </c>
      <c r="E94" s="279">
        <v>6.0000000000000001E-3</v>
      </c>
      <c r="F94" s="279">
        <v>6.1999999999999998E-3</v>
      </c>
      <c r="G94" s="279">
        <v>6.7000000000000002E-3</v>
      </c>
      <c r="H94" s="305">
        <f t="shared" si="18"/>
        <v>0.89552238805970152</v>
      </c>
      <c r="I94" s="279">
        <f t="shared" si="19"/>
        <v>4.0200000000000001E-3</v>
      </c>
      <c r="J94" s="279">
        <v>-1.83E-2</v>
      </c>
      <c r="K94" s="279">
        <v>-4.7999999999999996E-3</v>
      </c>
      <c r="L94" s="279">
        <f t="shared" si="20"/>
        <v>-1.3500000000000002E-2</v>
      </c>
      <c r="M94" s="279">
        <v>-4.4999999999999997E-3</v>
      </c>
      <c r="N94" s="279">
        <v>-3.5999999999999999E-3</v>
      </c>
      <c r="O94" s="279">
        <v>-1.01E-2</v>
      </c>
      <c r="P94">
        <v>-6200</v>
      </c>
      <c r="Q94"/>
      <c r="R94" s="9">
        <v>6.1999999999999998E-3</v>
      </c>
      <c r="U94" s="9">
        <v>-1.03E-2</v>
      </c>
      <c r="V94" s="391"/>
      <c r="W94" s="391"/>
      <c r="X94">
        <v>4</v>
      </c>
      <c r="Y94">
        <v>9</v>
      </c>
      <c r="AG94" s="9"/>
      <c r="AH94" s="9"/>
      <c r="AI94" s="9"/>
      <c r="AL94" s="9"/>
    </row>
    <row r="95" spans="2:38" x14ac:dyDescent="0.3">
      <c r="B95">
        <v>20251211</v>
      </c>
      <c r="C95" s="279">
        <f t="shared" si="17"/>
        <v>-3.6435897435897436E-3</v>
      </c>
      <c r="D95" s="279">
        <v>-5.5999999999999999E-3</v>
      </c>
      <c r="E95" s="279">
        <v>-9.1000000000000004E-3</v>
      </c>
      <c r="F95" s="279">
        <f>-721/78000</f>
        <v>-9.2435897435897436E-3</v>
      </c>
      <c r="G95" s="279">
        <v>-2.4199999999999999E-2</v>
      </c>
      <c r="H95" s="305">
        <f t="shared" si="18"/>
        <v>0.37603305785123969</v>
      </c>
      <c r="I95" s="279">
        <f t="shared" si="19"/>
        <v>-1.4519999999999998E-2</v>
      </c>
      <c r="J95" s="279">
        <v>-0.02</v>
      </c>
      <c r="K95" s="279">
        <v>-1.54E-2</v>
      </c>
      <c r="L95" s="279">
        <f t="shared" si="20"/>
        <v>-4.5999999999999999E-3</v>
      </c>
      <c r="M95" s="279">
        <v>-1.6E-2</v>
      </c>
      <c r="N95" s="279">
        <v>-1.32E-2</v>
      </c>
      <c r="O95" s="279">
        <v>-4.0000000000000002E-4</v>
      </c>
      <c r="P95">
        <v>-8872</v>
      </c>
      <c r="Q95"/>
      <c r="R95" s="9">
        <v>-7.7000000000000002E-3</v>
      </c>
      <c r="U95" s="9">
        <v>-2.64E-2</v>
      </c>
      <c r="V95" s="391"/>
      <c r="W95" s="391"/>
      <c r="X95">
        <v>3</v>
      </c>
      <c r="Y95">
        <v>9</v>
      </c>
      <c r="AG95" s="9"/>
      <c r="AH95" s="9"/>
      <c r="AI95" s="9"/>
      <c r="AL95" s="9"/>
    </row>
    <row r="96" spans="2:38" x14ac:dyDescent="0.3">
      <c r="B96">
        <v>20251212</v>
      </c>
      <c r="C96" s="279">
        <f t="shared" si="17"/>
        <v>-3.0000000000000035E-4</v>
      </c>
      <c r="D96" s="279">
        <v>3.7000000000000002E-3</v>
      </c>
      <c r="E96" s="279">
        <v>3.0000000000000001E-3</v>
      </c>
      <c r="F96" s="279">
        <v>3.3999999999999998E-3</v>
      </c>
      <c r="G96" s="279">
        <v>1.1299999999999999E-2</v>
      </c>
      <c r="H96" s="305">
        <f t="shared" si="18"/>
        <v>0.26548672566371684</v>
      </c>
      <c r="I96" s="279">
        <f t="shared" si="19"/>
        <v>6.7799999999999996E-3</v>
      </c>
      <c r="J96" s="279">
        <v>-0.01</v>
      </c>
      <c r="K96" s="279">
        <v>-8.0999999999999996E-3</v>
      </c>
      <c r="L96" s="279">
        <f t="shared" si="20"/>
        <v>-1.9000000000000006E-3</v>
      </c>
      <c r="M96" s="279">
        <v>-8.2000000000000007E-3</v>
      </c>
      <c r="N96" s="279">
        <v>-1.0500000000000001E-2</v>
      </c>
      <c r="O96" s="279">
        <v>1E-4</v>
      </c>
      <c r="P96">
        <v>-3934</v>
      </c>
      <c r="Q96"/>
      <c r="R96" s="9">
        <v>2.5000000000000001E-3</v>
      </c>
      <c r="U96" s="9">
        <v>-1.2999999999999999E-2</v>
      </c>
      <c r="V96" s="391"/>
      <c r="W96" s="391"/>
      <c r="X96">
        <v>4</v>
      </c>
      <c r="Y96">
        <v>15</v>
      </c>
      <c r="AG96" s="9"/>
      <c r="AH96" s="9"/>
      <c r="AI96" s="9"/>
      <c r="AL96" s="9"/>
    </row>
    <row r="97" spans="1:38" x14ac:dyDescent="0.3">
      <c r="B97">
        <v>20251215</v>
      </c>
      <c r="C97" s="279">
        <f t="shared" si="17"/>
        <v>2.0999999999999999E-3</v>
      </c>
      <c r="D97" s="279">
        <v>-2.0999999999999999E-3</v>
      </c>
      <c r="E97" s="279">
        <v>4.0000000000000002E-4</v>
      </c>
      <c r="F97" s="279">
        <v>0</v>
      </c>
      <c r="G97" s="279">
        <v>5.1999999999999998E-3</v>
      </c>
      <c r="H97" s="305">
        <f t="shared" si="18"/>
        <v>7.6923076923076927E-2</v>
      </c>
      <c r="I97" s="279">
        <f t="shared" si="19"/>
        <v>3.1199999999999999E-3</v>
      </c>
      <c r="J97" s="279">
        <v>0</v>
      </c>
      <c r="K97" s="279">
        <v>-6.8999999999999999E-3</v>
      </c>
      <c r="L97" s="279">
        <f t="shared" si="20"/>
        <v>6.8999999999999999E-3</v>
      </c>
      <c r="M97" s="279">
        <v>-5.1000000000000004E-3</v>
      </c>
      <c r="N97" s="279">
        <v>-1.2E-2</v>
      </c>
      <c r="O97" s="279">
        <v>4.7000000000000002E-3</v>
      </c>
      <c r="P97">
        <v>-120</v>
      </c>
      <c r="Q97"/>
      <c r="R97" s="9">
        <v>1.1999999999999999E-3</v>
      </c>
      <c r="U97" s="9">
        <v>6.3E-3</v>
      </c>
      <c r="V97" s="391"/>
      <c r="W97" s="391"/>
      <c r="X97">
        <v>5</v>
      </c>
      <c r="Y97">
        <v>21</v>
      </c>
      <c r="AG97" s="9"/>
      <c r="AH97" s="9"/>
      <c r="AI97" s="9"/>
      <c r="AL97" s="9"/>
    </row>
    <row r="98" spans="1:38" x14ac:dyDescent="0.3">
      <c r="B98">
        <v>20251216</v>
      </c>
      <c r="C98" s="279">
        <f t="shared" si="17"/>
        <v>1.2000000000000005E-3</v>
      </c>
      <c r="D98" s="279">
        <v>-8.8000000000000005E-3</v>
      </c>
      <c r="E98" s="279">
        <v>-8.0000000000000002E-3</v>
      </c>
      <c r="F98" s="279">
        <v>-7.6E-3</v>
      </c>
      <c r="G98" s="279">
        <v>-1.8599999999999998E-2</v>
      </c>
      <c r="H98" s="305">
        <f t="shared" si="18"/>
        <v>0.43010752688172049</v>
      </c>
      <c r="I98" s="279">
        <f t="shared" si="19"/>
        <v>-1.1159999999999998E-2</v>
      </c>
      <c r="J98" s="279">
        <v>-1.9400000000000001E-2</v>
      </c>
      <c r="K98" s="279">
        <v>-2.1700000000000001E-2</v>
      </c>
      <c r="L98" s="279">
        <f t="shared" si="20"/>
        <v>2.3E-3</v>
      </c>
      <c r="M98" s="279">
        <v>-1.9900000000000001E-2</v>
      </c>
      <c r="N98" s="279">
        <v>-2.3699999999999999E-2</v>
      </c>
      <c r="O98" s="279">
        <v>-1.18E-2</v>
      </c>
      <c r="P98">
        <v>-7719</v>
      </c>
      <c r="Q98"/>
      <c r="R98" s="279">
        <v>-8.0000000000000002E-3</v>
      </c>
      <c r="S98" s="349"/>
      <c r="T98" s="279"/>
      <c r="U98" s="279">
        <v>-1.8800000000000001E-2</v>
      </c>
      <c r="V98" s="349"/>
      <c r="W98" s="349"/>
      <c r="X98">
        <v>4</v>
      </c>
      <c r="Y98">
        <v>31</v>
      </c>
      <c r="AB98" s="279"/>
      <c r="AC98" s="279"/>
      <c r="AG98" s="9"/>
      <c r="AH98" s="9"/>
      <c r="AI98" s="9"/>
      <c r="AL98" s="9"/>
    </row>
    <row r="99" spans="1:38" x14ac:dyDescent="0.3">
      <c r="B99">
        <v>20251217</v>
      </c>
      <c r="C99" s="279">
        <f t="shared" si="17"/>
        <v>-1.3000000000000008E-3</v>
      </c>
      <c r="D99" s="279">
        <v>9.4000000000000004E-3</v>
      </c>
      <c r="E99" s="279">
        <v>8.0999999999999996E-3</v>
      </c>
      <c r="F99" s="279">
        <v>8.0999999999999996E-3</v>
      </c>
      <c r="G99" s="279">
        <v>9.2599999999999991E-3</v>
      </c>
      <c r="H99" s="305">
        <f t="shared" si="18"/>
        <v>0.87473002159827218</v>
      </c>
      <c r="I99" s="279">
        <f t="shared" si="19"/>
        <v>5.5559999999999993E-3</v>
      </c>
      <c r="J99" s="279">
        <v>8.5999999999999998E-4</v>
      </c>
      <c r="K99" s="279">
        <v>3.0000000000000001E-3</v>
      </c>
      <c r="L99" s="279">
        <f t="shared" si="20"/>
        <v>-2.14E-3</v>
      </c>
      <c r="M99" s="9">
        <v>7.4999999999999997E-3</v>
      </c>
      <c r="N99" s="9">
        <v>7.5000000000000002E-4</v>
      </c>
      <c r="O99" s="9">
        <v>2.0999999999999999E-3</v>
      </c>
      <c r="P99">
        <v>1169</v>
      </c>
      <c r="Q99"/>
      <c r="R99" s="9">
        <v>8.3999999999999995E-3</v>
      </c>
      <c r="U99" s="279">
        <v>1E-3</v>
      </c>
      <c r="V99" s="349"/>
      <c r="W99" s="349"/>
      <c r="X99">
        <v>8</v>
      </c>
      <c r="Y99">
        <v>7</v>
      </c>
      <c r="AG99" s="9"/>
      <c r="AH99" s="9"/>
      <c r="AI99" s="9"/>
      <c r="AL99" s="9"/>
    </row>
    <row r="100" spans="1:38" x14ac:dyDescent="0.3">
      <c r="B100">
        <v>20251218</v>
      </c>
      <c r="C100" s="279">
        <f t="shared" si="17"/>
        <v>2.9999999999999992E-4</v>
      </c>
      <c r="D100" s="279">
        <v>3.5999999999999999E-3</v>
      </c>
      <c r="E100" s="279">
        <v>3.8999999999999998E-3</v>
      </c>
      <c r="F100" s="279">
        <v>3.8999999999999998E-3</v>
      </c>
      <c r="G100" s="279">
        <v>1.0500000000000001E-2</v>
      </c>
      <c r="H100" s="305">
        <f t="shared" si="18"/>
        <v>0.37142857142857139</v>
      </c>
      <c r="I100" s="279">
        <f t="shared" si="19"/>
        <v>6.3E-3</v>
      </c>
      <c r="J100" s="279">
        <v>1.0800000000000001E-2</v>
      </c>
      <c r="K100" s="279">
        <v>3.5000000000000001E-3</v>
      </c>
      <c r="L100" s="279">
        <f t="shared" si="20"/>
        <v>7.3000000000000009E-3</v>
      </c>
      <c r="M100" s="9">
        <v>5.7000000000000002E-3</v>
      </c>
      <c r="N100" s="9">
        <v>2.2000000000000001E-3</v>
      </c>
      <c r="O100" s="9">
        <v>4.1000000000000003E-3</v>
      </c>
      <c r="P100">
        <v>7700</v>
      </c>
      <c r="Q100"/>
      <c r="R100" s="9">
        <v>6.3E-3</v>
      </c>
      <c r="S100" s="349"/>
      <c r="T100" s="279"/>
      <c r="U100" s="279">
        <v>1.84E-2</v>
      </c>
      <c r="V100" s="349"/>
      <c r="W100" s="349"/>
      <c r="X100">
        <v>13</v>
      </c>
      <c r="Y100">
        <v>7</v>
      </c>
      <c r="AG100" s="9"/>
      <c r="AH100" s="9"/>
      <c r="AI100" s="9"/>
      <c r="AL100" s="9"/>
    </row>
    <row r="101" spans="1:38" x14ac:dyDescent="0.3">
      <c r="B101">
        <v>20251219</v>
      </c>
      <c r="C101" s="279">
        <f t="shared" si="17"/>
        <v>-1.2000000000000001E-3</v>
      </c>
      <c r="D101" s="279">
        <v>5.0000000000000001E-3</v>
      </c>
      <c r="E101" s="279">
        <v>4.1000000000000003E-3</v>
      </c>
      <c r="F101" s="279">
        <v>3.8E-3</v>
      </c>
      <c r="G101" s="279">
        <v>1.34E-2</v>
      </c>
      <c r="H101" s="305">
        <f t="shared" si="18"/>
        <v>0.30597014925373134</v>
      </c>
      <c r="I101" s="279">
        <f t="shared" si="19"/>
        <v>8.0400000000000003E-3</v>
      </c>
      <c r="J101" s="279">
        <v>1.46E-2</v>
      </c>
      <c r="K101" s="279">
        <v>1.3899999999999999E-2</v>
      </c>
      <c r="L101" s="279">
        <f t="shared" si="20"/>
        <v>7.0000000000000097E-4</v>
      </c>
      <c r="M101" s="9">
        <v>1.46E-2</v>
      </c>
      <c r="N101" s="9">
        <v>1.35E-2</v>
      </c>
      <c r="O101" s="9">
        <v>1.8700000000000001E-2</v>
      </c>
      <c r="P101">
        <v>7300</v>
      </c>
      <c r="Q101"/>
      <c r="R101" s="9">
        <v>3.7000000000000002E-3</v>
      </c>
      <c r="S101" s="349"/>
      <c r="T101" s="279"/>
      <c r="U101" s="279">
        <v>2.5000000000000001E-2</v>
      </c>
      <c r="V101" s="349"/>
      <c r="W101" s="349"/>
      <c r="X101">
        <v>15</v>
      </c>
      <c r="Y101">
        <v>7</v>
      </c>
      <c r="AG101" s="9"/>
      <c r="AH101" s="9"/>
      <c r="AI101" s="9"/>
      <c r="AL101" s="9"/>
    </row>
    <row r="102" spans="1:38" x14ac:dyDescent="0.3">
      <c r="B102">
        <v>20251222</v>
      </c>
      <c r="C102" s="279">
        <f t="shared" si="17"/>
        <v>4.7000000000000002E-3</v>
      </c>
      <c r="D102" s="279">
        <v>6.1999999999999998E-3</v>
      </c>
      <c r="E102" s="279">
        <v>9.5999999999999992E-3</v>
      </c>
      <c r="F102" s="279">
        <v>1.09E-2</v>
      </c>
      <c r="G102" s="279">
        <v>1.49E-2</v>
      </c>
      <c r="H102" s="305">
        <f t="shared" si="18"/>
        <v>0.64429530201342278</v>
      </c>
      <c r="I102" s="279">
        <f t="shared" si="19"/>
        <v>8.94E-3</v>
      </c>
      <c r="J102" s="279">
        <v>1.166E-2</v>
      </c>
      <c r="K102" s="279">
        <v>1.6E-2</v>
      </c>
      <c r="L102" s="279">
        <f t="shared" si="20"/>
        <v>-4.3400000000000001E-3</v>
      </c>
      <c r="M102" s="9">
        <v>9.9000000000000008E-3</v>
      </c>
      <c r="N102" s="9">
        <v>1.83E-2</v>
      </c>
      <c r="O102" s="9">
        <v>1.5699999999999999E-2</v>
      </c>
      <c r="P102">
        <v>6200</v>
      </c>
      <c r="Q102"/>
      <c r="R102" s="9">
        <v>2.8E-3</v>
      </c>
      <c r="S102" s="349"/>
      <c r="T102" s="279"/>
      <c r="U102" s="279">
        <v>-1.4E-3</v>
      </c>
      <c r="V102" s="349"/>
      <c r="W102" s="349"/>
      <c r="X102">
        <v>26</v>
      </c>
      <c r="Y102">
        <v>2</v>
      </c>
      <c r="AG102" s="9"/>
      <c r="AH102" s="9"/>
      <c r="AI102" s="9"/>
      <c r="AL102" s="9"/>
    </row>
    <row r="103" spans="1:38" x14ac:dyDescent="0.3">
      <c r="B103">
        <v>20251223</v>
      </c>
      <c r="C103" s="279">
        <f t="shared" si="17"/>
        <v>3.0000000000000001E-3</v>
      </c>
      <c r="D103" s="279">
        <v>-4.0000000000000001E-3</v>
      </c>
      <c r="E103" s="279">
        <v>-4.8599999999999997E-3</v>
      </c>
      <c r="F103" s="279">
        <v>-1E-3</v>
      </c>
      <c r="G103" s="279">
        <v>-5.6699999999999997E-3</v>
      </c>
      <c r="H103" s="305">
        <f t="shared" si="18"/>
        <v>0.8571428571428571</v>
      </c>
      <c r="I103" s="279">
        <f t="shared" si="19"/>
        <v>-3.4019999999999996E-3</v>
      </c>
      <c r="J103" s="279">
        <v>-1.11E-2</v>
      </c>
      <c r="K103" s="279">
        <v>-7.3000000000000001E-3</v>
      </c>
      <c r="L103" s="279">
        <f t="shared" si="20"/>
        <v>-3.8000000000000004E-3</v>
      </c>
      <c r="M103" s="279">
        <v>-1.2699999999999999E-2</v>
      </c>
      <c r="N103" s="279">
        <v>-2.3999999999999998E-3</v>
      </c>
      <c r="O103" s="279">
        <v>3.0000000000000001E-3</v>
      </c>
      <c r="P103">
        <v>-4900</v>
      </c>
      <c r="Q103"/>
      <c r="R103" s="279">
        <v>-1.9E-3</v>
      </c>
      <c r="S103" s="349"/>
      <c r="T103" s="279"/>
      <c r="U103" s="279">
        <v>-6.0000000000000001E-3</v>
      </c>
      <c r="V103" s="349"/>
      <c r="W103" s="349"/>
      <c r="X103">
        <v>15</v>
      </c>
      <c r="Y103">
        <v>13</v>
      </c>
      <c r="AB103" s="279"/>
      <c r="AC103" s="279"/>
      <c r="AG103" s="9"/>
      <c r="AH103" s="9"/>
      <c r="AI103" s="9"/>
      <c r="AL103" s="9"/>
    </row>
    <row r="104" spans="1:38" x14ac:dyDescent="0.3">
      <c r="A104" t="s">
        <v>34</v>
      </c>
      <c r="B104">
        <v>20251224</v>
      </c>
      <c r="C104" s="279">
        <f t="shared" si="17"/>
        <v>-3.4000000000000011E-3</v>
      </c>
      <c r="D104" s="279">
        <v>1.0200000000000001E-2</v>
      </c>
      <c r="E104" s="279">
        <v>5.47E-3</v>
      </c>
      <c r="F104" s="279">
        <v>6.7999999999999996E-3</v>
      </c>
      <c r="G104" s="279">
        <v>7.3800000000000003E-3</v>
      </c>
      <c r="H104" s="305">
        <f t="shared" si="18"/>
        <v>0.74119241192411922</v>
      </c>
      <c r="I104" s="279">
        <f t="shared" si="19"/>
        <v>4.4279999999999996E-3</v>
      </c>
      <c r="J104" s="279">
        <v>0</v>
      </c>
      <c r="K104" s="279">
        <v>1.0200000000000001E-2</v>
      </c>
      <c r="L104" s="279">
        <f t="shared" si="20"/>
        <v>-1.0200000000000001E-2</v>
      </c>
      <c r="M104" s="9">
        <v>5.4000000000000003E-3</v>
      </c>
      <c r="N104" s="9">
        <v>1.4E-2</v>
      </c>
      <c r="O104" s="9">
        <v>7.0000000000000001E-3</v>
      </c>
      <c r="P104">
        <v>3300</v>
      </c>
      <c r="Q104"/>
      <c r="R104" s="9">
        <v>6.0000000000000001E-3</v>
      </c>
      <c r="S104" s="349"/>
      <c r="T104" s="279">
        <v>1.2200000000000001E-2</v>
      </c>
      <c r="U104" s="279">
        <v>1.01E-2</v>
      </c>
      <c r="V104" s="349"/>
      <c r="W104" s="349"/>
      <c r="X104">
        <v>16</v>
      </c>
      <c r="Y104">
        <v>3</v>
      </c>
      <c r="AG104" s="9"/>
      <c r="AH104" s="9"/>
      <c r="AI104" s="9"/>
      <c r="AL104" s="9"/>
    </row>
    <row r="105" spans="1:38" x14ac:dyDescent="0.3">
      <c r="B105">
        <v>20251225</v>
      </c>
      <c r="C105" s="279">
        <f t="shared" si="17"/>
        <v>-1.9000000000000006E-3</v>
      </c>
      <c r="D105" s="279">
        <v>0.01</v>
      </c>
      <c r="E105" s="279">
        <v>8.6999999999999994E-3</v>
      </c>
      <c r="F105" s="279">
        <v>8.0999999999999996E-3</v>
      </c>
      <c r="G105" s="279">
        <v>1.26E-2</v>
      </c>
      <c r="H105" s="305">
        <f t="shared" si="18"/>
        <v>0.69047619047619047</v>
      </c>
      <c r="I105" s="279">
        <f t="shared" si="19"/>
        <v>7.5599999999999999E-3</v>
      </c>
      <c r="J105" s="279">
        <v>0</v>
      </c>
      <c r="K105" s="279">
        <v>1.03E-2</v>
      </c>
      <c r="L105" s="279">
        <f t="shared" si="20"/>
        <v>-1.03E-2</v>
      </c>
      <c r="M105" s="9">
        <v>9.4999999999999998E-3</v>
      </c>
      <c r="N105" s="9">
        <v>1.2500000000000001E-2</v>
      </c>
      <c r="O105" s="9">
        <v>4.7999999999999996E-3</v>
      </c>
      <c r="P105">
        <v>3000</v>
      </c>
      <c r="Q105"/>
      <c r="R105" s="9">
        <v>5.7999999999999996E-3</v>
      </c>
      <c r="S105" s="349"/>
      <c r="T105" s="279">
        <v>1.3899999999999999E-2</v>
      </c>
      <c r="U105" s="279">
        <v>1.1299999999999999E-2</v>
      </c>
      <c r="V105" s="349"/>
      <c r="W105" s="349"/>
      <c r="X105">
        <v>21</v>
      </c>
      <c r="Y105">
        <v>3</v>
      </c>
      <c r="AG105" s="9"/>
      <c r="AH105" s="9"/>
      <c r="AI105" s="9"/>
      <c r="AL105" s="9"/>
    </row>
    <row r="106" spans="1:38" x14ac:dyDescent="0.3">
      <c r="B106">
        <v>20251226</v>
      </c>
      <c r="C106" s="279">
        <f t="shared" si="17"/>
        <v>-2.1999999999999997E-3</v>
      </c>
      <c r="D106" s="279">
        <v>-2.3E-3</v>
      </c>
      <c r="E106" s="279">
        <v>-4.1999999999999997E-3</v>
      </c>
      <c r="F106" s="279">
        <v>-4.4999999999999997E-3</v>
      </c>
      <c r="G106" s="279">
        <v>-4.0000000000000001E-3</v>
      </c>
      <c r="H106" s="305">
        <f t="shared" si="18"/>
        <v>1.0499999999999998</v>
      </c>
      <c r="I106" s="279">
        <f t="shared" si="19"/>
        <v>-2.3999999999999998E-3</v>
      </c>
      <c r="J106" s="279">
        <v>0</v>
      </c>
      <c r="K106" s="279">
        <v>1.5E-3</v>
      </c>
      <c r="L106" s="279">
        <f t="shared" si="20"/>
        <v>-1.5E-3</v>
      </c>
      <c r="M106" s="279">
        <v>-4.7999999999999996E-3</v>
      </c>
      <c r="N106" s="279">
        <v>7.0000000000000001E-3</v>
      </c>
      <c r="O106" s="279">
        <v>5.4999999999999997E-3</v>
      </c>
      <c r="P106">
        <v>400</v>
      </c>
      <c r="Q106"/>
      <c r="R106" s="279">
        <v>-3.8E-3</v>
      </c>
      <c r="S106" s="349"/>
      <c r="T106" s="279">
        <v>-7.3000000000000001E-3</v>
      </c>
      <c r="U106" s="279">
        <v>-7.0000000000000001E-3</v>
      </c>
      <c r="V106" s="349"/>
      <c r="W106" s="349"/>
      <c r="X106">
        <v>11</v>
      </c>
      <c r="Y106">
        <v>2</v>
      </c>
      <c r="AB106" s="279"/>
      <c r="AC106" s="279"/>
      <c r="AG106" s="9"/>
      <c r="AH106" s="9"/>
      <c r="AI106" s="9"/>
      <c r="AL106" s="9"/>
    </row>
    <row r="107" spans="1:38" x14ac:dyDescent="0.3">
      <c r="B107">
        <v>20251229</v>
      </c>
      <c r="C107" s="279">
        <f t="shared" si="17"/>
        <v>-2.2999999999999995E-3</v>
      </c>
      <c r="D107" s="279">
        <v>-3.5000000000000001E-3</v>
      </c>
      <c r="E107" s="279">
        <v>-5.5599999999999998E-3</v>
      </c>
      <c r="F107" s="279">
        <v>-5.7999999999999996E-3</v>
      </c>
      <c r="G107" s="279">
        <v>-4.7999999999999996E-3</v>
      </c>
      <c r="H107" s="305">
        <f t="shared" si="18"/>
        <v>1.1583333333333334</v>
      </c>
      <c r="I107" s="279">
        <f t="shared" si="19"/>
        <v>-2.8799999999999997E-3</v>
      </c>
      <c r="J107" s="279">
        <v>0</v>
      </c>
      <c r="K107" s="279">
        <v>-3.5000000000000001E-3</v>
      </c>
      <c r="L107" s="279">
        <f t="shared" si="20"/>
        <v>3.5000000000000001E-3</v>
      </c>
      <c r="M107" s="279">
        <v>-7.7000000000000002E-3</v>
      </c>
      <c r="N107" s="279">
        <v>-3.7000000000000002E-3</v>
      </c>
      <c r="O107" s="279">
        <v>-9.2999999999999992E-3</v>
      </c>
      <c r="P107">
        <v>200</v>
      </c>
      <c r="Q107"/>
      <c r="R107" s="279">
        <v>-5.7000000000000002E-3</v>
      </c>
      <c r="S107" s="349"/>
      <c r="T107" s="279">
        <v>-5.0000000000000001E-4</v>
      </c>
      <c r="U107" s="279">
        <v>4.0000000000000001E-3</v>
      </c>
      <c r="V107" s="349"/>
      <c r="W107" s="349"/>
      <c r="X107">
        <v>19</v>
      </c>
      <c r="Y107">
        <v>12</v>
      </c>
      <c r="AB107" s="279"/>
      <c r="AC107" s="279"/>
      <c r="AG107" s="9"/>
      <c r="AH107" s="9"/>
      <c r="AI107" s="9"/>
      <c r="AL107" s="9"/>
    </row>
    <row r="108" spans="1:38" x14ac:dyDescent="0.3">
      <c r="B108">
        <v>20251230</v>
      </c>
      <c r="C108" s="279">
        <f t="shared" si="17"/>
        <v>-1.5E-3</v>
      </c>
      <c r="D108" s="279">
        <v>1.8E-3</v>
      </c>
      <c r="E108" s="279">
        <v>2.9999999999999997E-4</v>
      </c>
      <c r="F108" s="279">
        <v>2.9999999999999997E-4</v>
      </c>
      <c r="G108" s="279">
        <v>-8.0000000000000002E-3</v>
      </c>
      <c r="H108" s="305">
        <f t="shared" si="18"/>
        <v>-3.7499999999999999E-2</v>
      </c>
      <c r="I108" s="279">
        <f t="shared" si="19"/>
        <v>-4.7999999999999996E-3</v>
      </c>
      <c r="J108" s="279">
        <v>-5.9999999999999995E-4</v>
      </c>
      <c r="K108" s="279">
        <v>-4.3E-3</v>
      </c>
      <c r="L108" s="279">
        <f t="shared" si="20"/>
        <v>3.7000000000000002E-3</v>
      </c>
      <c r="M108" s="279">
        <v>-3.5000000000000001E-3</v>
      </c>
      <c r="N108" s="279">
        <v>-5.7660000000000003E-3</v>
      </c>
      <c r="O108" s="279">
        <v>-8.0000000000000002E-3</v>
      </c>
      <c r="P108">
        <v>-600</v>
      </c>
      <c r="Q108"/>
      <c r="R108" s="279">
        <v>1E-3</v>
      </c>
      <c r="S108" s="349"/>
      <c r="T108" s="279">
        <v>-6.4999999999999997E-3</v>
      </c>
      <c r="U108" s="279">
        <v>-8.6999999999999994E-3</v>
      </c>
      <c r="V108" s="349"/>
      <c r="W108" s="349"/>
      <c r="X108">
        <v>16</v>
      </c>
      <c r="Y108">
        <v>11</v>
      </c>
      <c r="AB108" s="279"/>
      <c r="AC108" s="279"/>
      <c r="AG108" s="9"/>
      <c r="AH108" s="9"/>
      <c r="AI108" s="9"/>
      <c r="AL108" s="9"/>
    </row>
    <row r="109" spans="1:38" x14ac:dyDescent="0.3">
      <c r="B109">
        <v>20251231</v>
      </c>
      <c r="C109" s="279">
        <f t="shared" si="17"/>
        <v>-1.0999999999999998E-3</v>
      </c>
      <c r="D109" s="279">
        <v>2.0999999999999999E-3</v>
      </c>
      <c r="E109" s="279">
        <v>1E-3</v>
      </c>
      <c r="F109" s="279">
        <v>1E-3</v>
      </c>
      <c r="G109" s="279">
        <v>-9.7300000000000008E-3</v>
      </c>
      <c r="H109" s="305">
        <f t="shared" si="18"/>
        <v>-0.1027749229188078</v>
      </c>
      <c r="I109" s="279">
        <f t="shared" si="19"/>
        <v>-5.8380000000000003E-3</v>
      </c>
      <c r="J109" s="279">
        <v>0.02</v>
      </c>
      <c r="K109" s="279">
        <v>2.9999999999999997E-4</v>
      </c>
      <c r="L109" s="279">
        <f t="shared" si="20"/>
        <v>1.9699999999999999E-2</v>
      </c>
      <c r="M109" s="9">
        <v>-1.5E-3</v>
      </c>
      <c r="N109" s="9">
        <v>8.9999999999999998E-4</v>
      </c>
      <c r="O109" s="9">
        <v>3.5000000000000001E-3</v>
      </c>
      <c r="P109">
        <v>5200</v>
      </c>
      <c r="Q109"/>
      <c r="R109" s="9">
        <v>2.5000000000000001E-3</v>
      </c>
      <c r="S109" s="349"/>
      <c r="T109" s="279">
        <v>3.8E-3</v>
      </c>
      <c r="U109" s="9">
        <v>5.3E-3</v>
      </c>
      <c r="V109" s="391"/>
      <c r="W109" s="391"/>
      <c r="X109">
        <v>7</v>
      </c>
      <c r="Y109">
        <v>9</v>
      </c>
      <c r="AG109" s="9"/>
      <c r="AH109" s="9"/>
      <c r="AI109" s="9"/>
      <c r="AL109" s="9"/>
    </row>
    <row r="110" spans="1:38" x14ac:dyDescent="0.3">
      <c r="B110" s="295" t="s">
        <v>35</v>
      </c>
      <c r="C110" s="296">
        <f>SUM(C111:C130)</f>
        <v>1.0850000000000002E-2</v>
      </c>
      <c r="D110" s="296">
        <f>SUM(D111:D130)</f>
        <v>7.2499999999999995E-2</v>
      </c>
      <c r="E110" s="296">
        <f>SUM(E111:E130)</f>
        <v>7.5200000000000003E-2</v>
      </c>
      <c r="F110" s="296">
        <f>SUM(F111:F130)</f>
        <v>8.334999999999998E-2</v>
      </c>
      <c r="G110" s="296">
        <f>SUM(G111:G130)</f>
        <v>0.13345000000000001</v>
      </c>
      <c r="H110" s="344">
        <f>F110/G110</f>
        <v>0.62457849381790909</v>
      </c>
      <c r="I110" s="296">
        <f t="shared" ref="I110:P110" si="21">SUM(I111:I130)</f>
        <v>8.0069999999999988E-2</v>
      </c>
      <c r="J110" s="296">
        <f t="shared" si="21"/>
        <v>-2.1900000000000003E-2</v>
      </c>
      <c r="K110" s="296">
        <f t="shared" si="21"/>
        <v>4.3600000000000007E-2</v>
      </c>
      <c r="L110" s="296">
        <f t="shared" si="21"/>
        <v>-6.550000000000003E-2</v>
      </c>
      <c r="M110" s="296">
        <f t="shared" si="21"/>
        <v>4.5130000000000003E-2</v>
      </c>
      <c r="N110" s="296">
        <f t="shared" si="21"/>
        <v>2.7700000000000016E-2</v>
      </c>
      <c r="O110" s="296">
        <f t="shared" si="21"/>
        <v>-1.4850000000000002E-2</v>
      </c>
      <c r="P110" s="315">
        <f t="shared" si="21"/>
        <v>85220</v>
      </c>
      <c r="Q110" s="315">
        <v>0</v>
      </c>
      <c r="R110" s="296">
        <f>SUM(R111:R130)</f>
        <v>6.8700000000000011E-2</v>
      </c>
      <c r="S110" s="315">
        <f>SUM(S111:S130)</f>
        <v>0</v>
      </c>
      <c r="T110" s="296">
        <f>SUM(T111:T130)</f>
        <v>6.5300000000000011E-2</v>
      </c>
      <c r="U110" s="296">
        <f>SUM(U111:U130)</f>
        <v>0.10420000000000001</v>
      </c>
      <c r="V110" s="315"/>
      <c r="W110" s="315"/>
      <c r="AG110" s="9"/>
      <c r="AH110" s="9"/>
      <c r="AI110" s="9"/>
      <c r="AL110" s="9"/>
    </row>
    <row r="111" spans="1:38" hidden="1" x14ac:dyDescent="0.3">
      <c r="B111">
        <v>20260105</v>
      </c>
      <c r="C111" s="279">
        <f t="shared" ref="C111:C130" si="22">F111-D111</f>
        <v>-3.2999999999999991E-3</v>
      </c>
      <c r="D111" s="279">
        <v>1.6299999999999999E-2</v>
      </c>
      <c r="E111" s="279">
        <v>1.4E-2</v>
      </c>
      <c r="F111" s="279">
        <v>1.2999999999999999E-2</v>
      </c>
      <c r="G111" s="279">
        <v>2.3099999999999999E-2</v>
      </c>
      <c r="H111" s="305">
        <f t="shared" ref="H111:H130" si="23">E111/G111</f>
        <v>0.60606060606060608</v>
      </c>
      <c r="I111" s="279">
        <f t="shared" ref="I111:I130" si="24">G111*$A$1</f>
        <v>1.3859999999999999E-2</v>
      </c>
      <c r="J111" s="279">
        <v>0</v>
      </c>
      <c r="K111" s="279">
        <v>1.2E-2</v>
      </c>
      <c r="L111" s="279">
        <f t="shared" ref="L111:L130" si="25">J111-K111</f>
        <v>-1.2E-2</v>
      </c>
      <c r="M111" s="9">
        <v>0.01</v>
      </c>
      <c r="N111" s="9">
        <v>1.4800000000000001E-2</v>
      </c>
      <c r="O111" s="279">
        <v>-2.5999999999999999E-3</v>
      </c>
      <c r="P111">
        <v>9100</v>
      </c>
      <c r="Q111">
        <f t="shared" ref="Q111:Q130" si="26">Q110+P111</f>
        <v>9100</v>
      </c>
      <c r="R111" s="9">
        <v>9.7000000000000003E-3</v>
      </c>
      <c r="S111" s="349"/>
      <c r="T111" s="9">
        <v>2.7000000000000001E-3</v>
      </c>
      <c r="U111" s="9">
        <v>1.41E-2</v>
      </c>
      <c r="V111" s="391"/>
      <c r="W111" s="391"/>
      <c r="X111">
        <v>23</v>
      </c>
      <c r="Y111">
        <v>6</v>
      </c>
      <c r="AA111" s="349">
        <v>0</v>
      </c>
      <c r="AB111" t="s">
        <v>36</v>
      </c>
      <c r="AG111" s="9"/>
      <c r="AH111" s="9"/>
      <c r="AI111" s="9"/>
      <c r="AL111" s="9"/>
    </row>
    <row r="112" spans="1:38" hidden="1" x14ac:dyDescent="0.3">
      <c r="B112">
        <v>20260106</v>
      </c>
      <c r="C112" s="279">
        <f t="shared" si="22"/>
        <v>-2.0000000000000052E-4</v>
      </c>
      <c r="D112" s="279">
        <v>1.37E-2</v>
      </c>
      <c r="E112" s="279">
        <v>1.35E-2</v>
      </c>
      <c r="F112" s="279">
        <v>1.35E-2</v>
      </c>
      <c r="G112" s="279">
        <v>1.8700000000000001E-2</v>
      </c>
      <c r="H112" s="305">
        <f t="shared" si="23"/>
        <v>0.72192513368983946</v>
      </c>
      <c r="I112" s="279">
        <f t="shared" si="24"/>
        <v>1.1220000000000001E-2</v>
      </c>
      <c r="J112" s="279">
        <v>0</v>
      </c>
      <c r="K112" s="279">
        <v>1.21E-2</v>
      </c>
      <c r="L112" s="279">
        <f t="shared" si="25"/>
        <v>-1.21E-2</v>
      </c>
      <c r="M112" s="9">
        <v>1.26E-2</v>
      </c>
      <c r="N112" s="9">
        <v>1.52E-2</v>
      </c>
      <c r="O112" s="279">
        <v>8.0000000000000004E-4</v>
      </c>
      <c r="P112">
        <v>25000</v>
      </c>
      <c r="Q112">
        <f t="shared" si="26"/>
        <v>34100</v>
      </c>
      <c r="R112" s="9">
        <v>1.14E-2</v>
      </c>
      <c r="S112" s="349"/>
      <c r="T112" s="9">
        <v>-3.0999999999999999E-3</v>
      </c>
      <c r="U112" s="9">
        <v>2.5000000000000001E-3</v>
      </c>
      <c r="V112" s="391"/>
      <c r="W112" s="391"/>
      <c r="X112">
        <v>29</v>
      </c>
      <c r="Y112">
        <v>1</v>
      </c>
      <c r="AA112" s="349">
        <v>0</v>
      </c>
      <c r="AB112" t="s">
        <v>37</v>
      </c>
      <c r="AG112" s="9"/>
      <c r="AH112" s="9"/>
      <c r="AI112" s="9"/>
      <c r="AL112" s="9"/>
    </row>
    <row r="113" spans="2:38" hidden="1" x14ac:dyDescent="0.3">
      <c r="B113">
        <v>20260107</v>
      </c>
      <c r="C113" s="279">
        <f t="shared" si="22"/>
        <v>-5.3E-3</v>
      </c>
      <c r="D113" s="279">
        <v>5.1000000000000004E-3</v>
      </c>
      <c r="E113" s="279">
        <v>-2.0000000000000001E-4</v>
      </c>
      <c r="F113" s="279">
        <v>-2.0000000000000001E-4</v>
      </c>
      <c r="G113" s="279">
        <v>-4.5500000000000002E-3</v>
      </c>
      <c r="H113" s="305">
        <f t="shared" si="23"/>
        <v>4.3956043956043953E-2</v>
      </c>
      <c r="I113" s="279">
        <f t="shared" si="24"/>
        <v>-2.7300000000000002E-3</v>
      </c>
      <c r="J113" s="279">
        <v>-1.8200000000000001E-2</v>
      </c>
      <c r="K113" s="279">
        <v>1.5E-3</v>
      </c>
      <c r="L113" s="279">
        <f t="shared" si="25"/>
        <v>-1.9700000000000002E-2</v>
      </c>
      <c r="M113" s="9">
        <v>5.0000000000000001E-4</v>
      </c>
      <c r="N113" s="9">
        <v>4.0000000000000001E-3</v>
      </c>
      <c r="O113" s="279">
        <v>6.6E-3</v>
      </c>
      <c r="P113">
        <v>-7550</v>
      </c>
      <c r="Q113">
        <f t="shared" si="26"/>
        <v>26550</v>
      </c>
      <c r="R113" s="9">
        <v>3.3999999999999998E-3</v>
      </c>
      <c r="S113" s="349"/>
      <c r="T113" s="279">
        <v>-8.0000000000000002E-3</v>
      </c>
      <c r="U113" s="279">
        <v>-4.5999999999999999E-3</v>
      </c>
      <c r="V113" s="349"/>
      <c r="W113" s="349"/>
      <c r="X113">
        <v>21</v>
      </c>
      <c r="Y113">
        <v>6</v>
      </c>
      <c r="AA113" s="349">
        <v>0</v>
      </c>
      <c r="AB113" t="s">
        <v>38</v>
      </c>
      <c r="AG113" s="9"/>
      <c r="AH113" s="9"/>
      <c r="AI113" s="9"/>
      <c r="AL113" s="9"/>
    </row>
    <row r="114" spans="2:38" hidden="1" x14ac:dyDescent="0.3">
      <c r="B114">
        <v>20260108</v>
      </c>
      <c r="C114" s="279">
        <f t="shared" si="22"/>
        <v>-2E-3</v>
      </c>
      <c r="D114" s="279">
        <v>7.0000000000000001E-3</v>
      </c>
      <c r="E114" s="279">
        <v>5.0000000000000001E-3</v>
      </c>
      <c r="F114" s="279">
        <v>5.0000000000000001E-3</v>
      </c>
      <c r="G114" s="279">
        <v>8.8999999999999999E-3</v>
      </c>
      <c r="H114" s="305">
        <f t="shared" si="23"/>
        <v>0.5617977528089888</v>
      </c>
      <c r="I114" s="279">
        <f t="shared" si="24"/>
        <v>5.3400000000000001E-3</v>
      </c>
      <c r="J114" s="279">
        <v>0</v>
      </c>
      <c r="K114" s="279">
        <v>0.01</v>
      </c>
      <c r="L114" s="279">
        <f t="shared" si="25"/>
        <v>-0.01</v>
      </c>
      <c r="M114" s="9">
        <v>8.9999999999999993E-3</v>
      </c>
      <c r="N114" s="9">
        <v>1.2200000000000001E-2</v>
      </c>
      <c r="O114" s="279">
        <v>1.2800000000000001E-2</v>
      </c>
      <c r="P114">
        <v>2800</v>
      </c>
      <c r="Q114">
        <f t="shared" si="26"/>
        <v>29350</v>
      </c>
      <c r="R114" s="9">
        <v>2.3E-3</v>
      </c>
      <c r="S114" s="349"/>
      <c r="T114" s="279">
        <v>2.1700000000000001E-2</v>
      </c>
      <c r="U114" s="279">
        <v>2.01E-2</v>
      </c>
      <c r="V114" s="349"/>
      <c r="W114" s="349"/>
      <c r="X114">
        <v>24</v>
      </c>
      <c r="Y114">
        <v>3</v>
      </c>
      <c r="AA114" s="349">
        <v>0</v>
      </c>
      <c r="AB114" t="s">
        <v>39</v>
      </c>
      <c r="AG114" s="9"/>
      <c r="AH114" s="9"/>
      <c r="AI114" s="9"/>
      <c r="AL114" s="9"/>
    </row>
    <row r="115" spans="2:38" hidden="1" x14ac:dyDescent="0.3">
      <c r="B115">
        <v>20260109</v>
      </c>
      <c r="C115" s="279">
        <f t="shared" si="22"/>
        <v>-3.4999999999999996E-3</v>
      </c>
      <c r="D115" s="279">
        <v>1.1299999999999999E-2</v>
      </c>
      <c r="E115" s="279">
        <v>7.7999999999999996E-3</v>
      </c>
      <c r="F115" s="279">
        <v>7.7999999999999996E-3</v>
      </c>
      <c r="G115" s="279">
        <v>7.3000000000000001E-3</v>
      </c>
      <c r="H115" s="305">
        <f t="shared" si="23"/>
        <v>1.0684931506849316</v>
      </c>
      <c r="I115" s="279">
        <f t="shared" si="24"/>
        <v>4.3800000000000002E-3</v>
      </c>
      <c r="J115" s="279">
        <v>-3.7000000000000002E-3</v>
      </c>
      <c r="K115" s="279">
        <v>6.3E-3</v>
      </c>
      <c r="L115" s="279">
        <f t="shared" si="25"/>
        <v>-0.01</v>
      </c>
      <c r="M115" s="9">
        <v>8.2000000000000007E-3</v>
      </c>
      <c r="N115" s="9">
        <v>5.4999999999999997E-3</v>
      </c>
      <c r="O115" s="279">
        <v>1.49E-2</v>
      </c>
      <c r="P115">
        <v>8000</v>
      </c>
      <c r="Q115">
        <f t="shared" si="26"/>
        <v>37350</v>
      </c>
      <c r="R115" s="9">
        <v>6.6E-3</v>
      </c>
      <c r="S115" s="349"/>
      <c r="T115" s="279">
        <v>1.23E-2</v>
      </c>
      <c r="U115" s="279">
        <v>1.21E-2</v>
      </c>
      <c r="V115" s="349"/>
      <c r="W115" s="349"/>
      <c r="X115">
        <v>21</v>
      </c>
      <c r="Y115">
        <v>3</v>
      </c>
      <c r="AA115" s="349">
        <v>0</v>
      </c>
      <c r="AB115" t="s">
        <v>40</v>
      </c>
      <c r="AG115" s="9"/>
      <c r="AH115" s="9"/>
      <c r="AI115" s="9"/>
      <c r="AL115" s="9"/>
    </row>
    <row r="116" spans="2:38" hidden="1" x14ac:dyDescent="0.3">
      <c r="B116">
        <v>20260112</v>
      </c>
      <c r="C116" s="279">
        <f t="shared" si="22"/>
        <v>-3.7000000000000002E-3</v>
      </c>
      <c r="D116" s="279">
        <v>1.7100000000000001E-2</v>
      </c>
      <c r="E116" s="279">
        <v>1.34E-2</v>
      </c>
      <c r="F116" s="279">
        <v>1.34E-2</v>
      </c>
      <c r="G116" s="279">
        <v>2.9100000000000001E-2</v>
      </c>
      <c r="H116" s="305">
        <f t="shared" si="23"/>
        <v>0.46048109965635742</v>
      </c>
      <c r="I116" s="279">
        <f t="shared" si="24"/>
        <v>1.746E-2</v>
      </c>
      <c r="J116" s="279">
        <v>0</v>
      </c>
      <c r="K116" s="279">
        <v>3.8999999999999998E-3</v>
      </c>
      <c r="L116" s="279">
        <f t="shared" si="25"/>
        <v>-3.8999999999999998E-3</v>
      </c>
      <c r="M116" s="9">
        <v>6.4000000000000003E-3</v>
      </c>
      <c r="N116" s="9">
        <v>1.6999999999999999E-3</v>
      </c>
      <c r="O116" s="279">
        <v>1.8499999999999999E-2</v>
      </c>
      <c r="P116">
        <v>14500</v>
      </c>
      <c r="Q116">
        <f t="shared" si="26"/>
        <v>51850</v>
      </c>
      <c r="R116" s="9">
        <v>9.7000000000000003E-3</v>
      </c>
      <c r="S116" s="349"/>
      <c r="T116" s="279">
        <v>0.02</v>
      </c>
      <c r="U116" s="279">
        <v>1.5699999999999999E-2</v>
      </c>
      <c r="V116" s="349"/>
      <c r="W116" s="349"/>
      <c r="X116">
        <v>30</v>
      </c>
      <c r="Y116">
        <v>6</v>
      </c>
      <c r="AA116" s="349">
        <v>0</v>
      </c>
      <c r="AB116" t="s">
        <v>41</v>
      </c>
      <c r="AG116" s="9"/>
      <c r="AH116" s="9"/>
      <c r="AI116" s="9"/>
      <c r="AL116" s="9"/>
    </row>
    <row r="117" spans="2:38" hidden="1" x14ac:dyDescent="0.3">
      <c r="B117">
        <v>20260113</v>
      </c>
      <c r="C117" s="279">
        <f t="shared" si="22"/>
        <v>8.9999999999999993E-3</v>
      </c>
      <c r="D117" s="279">
        <v>-1.2999999999999999E-2</v>
      </c>
      <c r="E117" s="279">
        <v>-1.0200000000000001E-2</v>
      </c>
      <c r="F117" s="279">
        <v>-4.0000000000000001E-3</v>
      </c>
      <c r="G117" s="279">
        <v>-1.17E-2</v>
      </c>
      <c r="H117" s="305">
        <f t="shared" si="23"/>
        <v>0.87179487179487181</v>
      </c>
      <c r="I117" s="279">
        <f t="shared" si="24"/>
        <v>-7.0200000000000002E-3</v>
      </c>
      <c r="J117" s="279">
        <v>0</v>
      </c>
      <c r="K117" s="279">
        <v>-5.5999999999999999E-3</v>
      </c>
      <c r="L117" s="279">
        <f t="shared" si="25"/>
        <v>5.5999999999999999E-3</v>
      </c>
      <c r="M117" s="279">
        <v>-4.1999999999999997E-3</v>
      </c>
      <c r="N117" s="279">
        <v>-5.7000000000000002E-3</v>
      </c>
      <c r="O117" s="279">
        <v>-6.7999999999999996E-3</v>
      </c>
      <c r="P117">
        <v>-11200</v>
      </c>
      <c r="Q117">
        <f t="shared" si="26"/>
        <v>40650</v>
      </c>
      <c r="R117" s="279">
        <v>-1.01E-2</v>
      </c>
      <c r="S117" s="349"/>
      <c r="T117" s="279">
        <v>-1.2500000000000001E-2</v>
      </c>
      <c r="U117" s="279">
        <v>4.0000000000000002E-4</v>
      </c>
      <c r="V117" s="349"/>
      <c r="W117" s="349"/>
      <c r="X117">
        <v>13</v>
      </c>
      <c r="Y117">
        <v>13</v>
      </c>
      <c r="AA117" s="349">
        <v>0</v>
      </c>
      <c r="AB117" t="s">
        <v>42</v>
      </c>
      <c r="AG117" s="9"/>
      <c r="AH117" s="9"/>
      <c r="AI117" s="9"/>
      <c r="AL117" s="9"/>
    </row>
    <row r="118" spans="2:38" hidden="1" x14ac:dyDescent="0.3">
      <c r="B118">
        <v>20260114</v>
      </c>
      <c r="C118" s="279">
        <f t="shared" si="22"/>
        <v>-4.0000000000000001E-3</v>
      </c>
      <c r="D118" s="279">
        <v>3.5000000000000001E-3</v>
      </c>
      <c r="E118" s="279">
        <v>-5.0000000000000001E-4</v>
      </c>
      <c r="F118" s="279">
        <v>-5.0000000000000001E-4</v>
      </c>
      <c r="G118" s="279">
        <v>6.0000000000000001E-3</v>
      </c>
      <c r="H118" s="305">
        <f t="shared" si="23"/>
        <v>-8.3333333333333329E-2</v>
      </c>
      <c r="I118" s="279">
        <f t="shared" si="24"/>
        <v>3.5999999999999999E-3</v>
      </c>
      <c r="J118" s="279">
        <v>0</v>
      </c>
      <c r="K118" s="279">
        <v>1.2999999999999999E-3</v>
      </c>
      <c r="L118" s="279">
        <f t="shared" si="25"/>
        <v>-1.2999999999999999E-3</v>
      </c>
      <c r="M118" s="279">
        <v>-4.0000000000000002E-4</v>
      </c>
      <c r="N118" s="9">
        <v>2.7000000000000001E-3</v>
      </c>
      <c r="O118" s="279">
        <v>-7.0000000000000001E-3</v>
      </c>
      <c r="P118">
        <v>5000</v>
      </c>
      <c r="Q118">
        <f t="shared" si="26"/>
        <v>45650</v>
      </c>
      <c r="R118" s="9">
        <v>1.5E-3</v>
      </c>
      <c r="S118" s="349"/>
      <c r="T118" s="279">
        <v>5.0000000000000001E-3</v>
      </c>
      <c r="U118" s="279">
        <v>4.0000000000000002E-4</v>
      </c>
      <c r="V118" s="349"/>
      <c r="W118" s="349"/>
      <c r="X118">
        <v>13</v>
      </c>
      <c r="Y118">
        <v>5</v>
      </c>
      <c r="AA118" s="349">
        <v>0</v>
      </c>
      <c r="AB118" t="s">
        <v>43</v>
      </c>
      <c r="AG118" s="9"/>
      <c r="AH118" s="9"/>
      <c r="AI118" s="9"/>
      <c r="AL118" s="9"/>
    </row>
    <row r="119" spans="2:38" hidden="1" x14ac:dyDescent="0.3">
      <c r="B119">
        <v>20260115</v>
      </c>
      <c r="C119" s="279">
        <f t="shared" si="22"/>
        <v>1.1000000000000001E-3</v>
      </c>
      <c r="D119" s="279">
        <v>1.1999999999999999E-3</v>
      </c>
      <c r="E119" s="279">
        <v>2.3E-3</v>
      </c>
      <c r="F119" s="279">
        <v>2.3E-3</v>
      </c>
      <c r="G119" s="279">
        <v>-8.0000000000000004E-4</v>
      </c>
      <c r="H119" s="305">
        <f t="shared" si="23"/>
        <v>-2.875</v>
      </c>
      <c r="I119" s="279">
        <f t="shared" si="24"/>
        <v>-4.8000000000000001E-4</v>
      </c>
      <c r="J119" s="279">
        <v>0</v>
      </c>
      <c r="K119" s="279">
        <v>5.9999999999999995E-4</v>
      </c>
      <c r="L119" s="279">
        <f t="shared" si="25"/>
        <v>-5.9999999999999995E-4</v>
      </c>
      <c r="M119" s="279">
        <v>-2.5999999999999999E-3</v>
      </c>
      <c r="N119" s="9">
        <v>3.2000000000000002E-3</v>
      </c>
      <c r="O119" s="279">
        <v>-3.0000000000000001E-3</v>
      </c>
      <c r="P119">
        <v>600</v>
      </c>
      <c r="Q119">
        <f t="shared" si="26"/>
        <v>46250</v>
      </c>
      <c r="R119" s="9">
        <v>7.4000000000000003E-3</v>
      </c>
      <c r="S119" s="349"/>
      <c r="T119" s="279">
        <v>-3.0999999999999999E-3</v>
      </c>
      <c r="U119" s="279">
        <v>5.9999999999999995E-4</v>
      </c>
      <c r="V119" s="349"/>
      <c r="W119" s="349"/>
      <c r="X119">
        <v>11</v>
      </c>
      <c r="Y119">
        <v>11</v>
      </c>
      <c r="AA119" s="349">
        <v>0</v>
      </c>
      <c r="AB119" t="s">
        <v>44</v>
      </c>
      <c r="AG119" s="9"/>
      <c r="AH119" s="9"/>
      <c r="AI119" s="9"/>
      <c r="AL119" s="9"/>
    </row>
    <row r="120" spans="2:38" hidden="1" x14ac:dyDescent="0.3">
      <c r="B120">
        <v>20260116</v>
      </c>
      <c r="C120" s="279">
        <f t="shared" si="22"/>
        <v>-7.0000000000000001E-3</v>
      </c>
      <c r="D120" s="279">
        <v>7.0000000000000001E-3</v>
      </c>
      <c r="E120" s="279">
        <v>1E-3</v>
      </c>
      <c r="F120" s="279">
        <v>0</v>
      </c>
      <c r="G120" s="279">
        <v>-2.8E-3</v>
      </c>
      <c r="H120" s="305">
        <f t="shared" si="23"/>
        <v>-0.35714285714285715</v>
      </c>
      <c r="I120" s="279">
        <f t="shared" si="24"/>
        <v>-1.6799999999999999E-3</v>
      </c>
      <c r="J120" s="279">
        <v>0</v>
      </c>
      <c r="K120" s="279">
        <v>-1.1999999999999999E-3</v>
      </c>
      <c r="L120" s="279">
        <f t="shared" si="25"/>
        <v>1.1999999999999999E-3</v>
      </c>
      <c r="M120" s="279">
        <v>-4.0000000000000001E-3</v>
      </c>
      <c r="N120" s="279">
        <v>-2E-3</v>
      </c>
      <c r="O120" s="279">
        <v>-4.7000000000000002E-3</v>
      </c>
      <c r="P120">
        <v>-4530</v>
      </c>
      <c r="Q120">
        <f t="shared" si="26"/>
        <v>41720</v>
      </c>
      <c r="R120" s="279">
        <v>-8.9999999999999998E-4</v>
      </c>
      <c r="S120" s="349"/>
      <c r="T120" s="279">
        <v>2.0999999999999999E-3</v>
      </c>
      <c r="U120" s="279">
        <v>-1E-3</v>
      </c>
      <c r="V120" s="349"/>
      <c r="W120" s="349"/>
      <c r="X120">
        <v>11</v>
      </c>
      <c r="Y120">
        <v>15</v>
      </c>
      <c r="AA120" s="349">
        <v>0</v>
      </c>
      <c r="AB120" t="s">
        <v>45</v>
      </c>
      <c r="AG120" s="9"/>
      <c r="AH120" s="9"/>
      <c r="AI120" s="9"/>
      <c r="AL120" s="9"/>
    </row>
    <row r="121" spans="2:38" hidden="1" x14ac:dyDescent="0.3">
      <c r="B121">
        <v>20260119</v>
      </c>
      <c r="C121" s="279">
        <f t="shared" si="22"/>
        <v>4.1000000000000003E-3</v>
      </c>
      <c r="D121" s="279">
        <v>5.8999999999999999E-3</v>
      </c>
      <c r="E121" s="279">
        <v>9.7999999999999997E-3</v>
      </c>
      <c r="F121" s="279">
        <v>0.01</v>
      </c>
      <c r="G121" s="279">
        <v>2.46E-2</v>
      </c>
      <c r="H121" s="305">
        <f t="shared" si="23"/>
        <v>0.3983739837398374</v>
      </c>
      <c r="I121" s="279">
        <f t="shared" si="24"/>
        <v>1.4759999999999999E-2</v>
      </c>
      <c r="J121" s="279">
        <v>0</v>
      </c>
      <c r="K121" s="279">
        <v>2.5000000000000001E-3</v>
      </c>
      <c r="L121" s="279">
        <f t="shared" si="25"/>
        <v>-2.5000000000000001E-3</v>
      </c>
      <c r="M121" s="279">
        <v>3.5000000000000001E-3</v>
      </c>
      <c r="N121" s="9">
        <v>6.9999999999999999E-4</v>
      </c>
      <c r="O121" s="279">
        <v>-6.7999999999999996E-3</v>
      </c>
      <c r="P121">
        <v>17200</v>
      </c>
      <c r="Q121">
        <f t="shared" si="26"/>
        <v>58920</v>
      </c>
      <c r="R121" s="9">
        <v>6.7000000000000002E-3</v>
      </c>
      <c r="S121" s="349"/>
      <c r="T121" s="279">
        <v>1.6500000000000001E-2</v>
      </c>
      <c r="U121" s="279">
        <v>1.8800000000000001E-2</v>
      </c>
      <c r="V121" s="349"/>
      <c r="W121" s="349"/>
      <c r="X121">
        <v>18</v>
      </c>
      <c r="Y121">
        <v>13</v>
      </c>
      <c r="AA121" s="349">
        <v>0</v>
      </c>
      <c r="AB121" t="s">
        <v>46</v>
      </c>
      <c r="AG121" s="9"/>
      <c r="AH121" s="9"/>
      <c r="AI121" s="9"/>
      <c r="AL121" s="9"/>
    </row>
    <row r="122" spans="2:38" hidden="1" x14ac:dyDescent="0.3">
      <c r="B122">
        <v>20260120</v>
      </c>
      <c r="C122" s="279">
        <f t="shared" si="22"/>
        <v>6.1000000000000004E-3</v>
      </c>
      <c r="D122" s="279">
        <v>-9.1000000000000004E-3</v>
      </c>
      <c r="E122" s="279">
        <v>-2.0999999999999999E-3</v>
      </c>
      <c r="F122" s="279">
        <v>-3.0000000000000001E-3</v>
      </c>
      <c r="G122" s="279">
        <v>5.7000000000000002E-3</v>
      </c>
      <c r="H122" s="305">
        <f t="shared" si="23"/>
        <v>-0.36842105263157893</v>
      </c>
      <c r="I122" s="279">
        <f t="shared" si="24"/>
        <v>3.4199999999999999E-3</v>
      </c>
      <c r="J122" s="279">
        <v>0</v>
      </c>
      <c r="K122" s="279">
        <v>-1.6999999999999999E-3</v>
      </c>
      <c r="L122" s="279">
        <f t="shared" si="25"/>
        <v>1.6999999999999999E-3</v>
      </c>
      <c r="M122" s="9">
        <v>6.9999999999999999E-4</v>
      </c>
      <c r="N122" s="279">
        <v>-4.5999999999999999E-3</v>
      </c>
      <c r="O122" s="279">
        <v>-2.0500000000000001E-2</v>
      </c>
      <c r="P122">
        <v>-5000</v>
      </c>
      <c r="Q122">
        <f t="shared" si="26"/>
        <v>53920</v>
      </c>
      <c r="R122" s="9">
        <v>2.0000000000000001E-4</v>
      </c>
      <c r="S122" s="349"/>
      <c r="T122" s="279">
        <v>3.0999999999999999E-3</v>
      </c>
      <c r="U122" s="279">
        <v>1.4E-3</v>
      </c>
      <c r="V122" s="349"/>
      <c r="W122" s="349"/>
      <c r="X122">
        <v>12</v>
      </c>
      <c r="Y122">
        <v>12</v>
      </c>
      <c r="AA122" s="349">
        <v>0</v>
      </c>
      <c r="AB122" t="s">
        <v>47</v>
      </c>
      <c r="AG122" s="9"/>
      <c r="AH122" s="9"/>
      <c r="AI122" s="9"/>
      <c r="AL122" s="9"/>
    </row>
    <row r="123" spans="2:38" hidden="1" x14ac:dyDescent="0.3">
      <c r="B123">
        <v>20260121</v>
      </c>
      <c r="C123" s="279">
        <f t="shared" si="22"/>
        <v>-9.4000000000000004E-3</v>
      </c>
      <c r="D123" s="279">
        <v>1.3100000000000001E-2</v>
      </c>
      <c r="E123" s="279">
        <v>2.7000000000000001E-3</v>
      </c>
      <c r="F123" s="279">
        <v>3.7000000000000002E-3</v>
      </c>
      <c r="G123" s="279">
        <v>1E-3</v>
      </c>
      <c r="H123" s="305">
        <f t="shared" si="23"/>
        <v>2.7</v>
      </c>
      <c r="I123" s="279">
        <f t="shared" si="24"/>
        <v>5.9999999999999995E-4</v>
      </c>
      <c r="J123" s="279">
        <v>0</v>
      </c>
      <c r="K123" s="279">
        <v>6.8999999999999999E-3</v>
      </c>
      <c r="L123" s="279">
        <f t="shared" si="25"/>
        <v>-6.8999999999999999E-3</v>
      </c>
      <c r="M123" s="9">
        <v>4.1999999999999997E-3</v>
      </c>
      <c r="N123" s="9">
        <v>7.1999999999999998E-3</v>
      </c>
      <c r="O123" s="279">
        <v>1.5900000000000001E-2</v>
      </c>
      <c r="P123">
        <v>12300</v>
      </c>
      <c r="Q123">
        <f t="shared" si="26"/>
        <v>66220</v>
      </c>
      <c r="R123" s="9">
        <v>8.5000000000000006E-3</v>
      </c>
      <c r="S123" s="349"/>
      <c r="T123" s="279">
        <v>1.2999999999999999E-2</v>
      </c>
      <c r="U123" s="279">
        <v>1.09E-2</v>
      </c>
      <c r="V123" s="349"/>
      <c r="W123" s="349"/>
      <c r="X123">
        <v>14</v>
      </c>
      <c r="Y123">
        <v>9</v>
      </c>
      <c r="AA123" s="349">
        <v>0</v>
      </c>
      <c r="AB123" t="s">
        <v>48</v>
      </c>
      <c r="AG123" s="9"/>
      <c r="AH123" s="9"/>
      <c r="AI123" s="9"/>
      <c r="AL123" s="9"/>
    </row>
    <row r="124" spans="2:38" hidden="1" x14ac:dyDescent="0.3">
      <c r="B124">
        <v>20260122</v>
      </c>
      <c r="C124" s="279">
        <f t="shared" si="22"/>
        <v>4.7999999999999987E-3</v>
      </c>
      <c r="D124" s="279">
        <v>1.09E-2</v>
      </c>
      <c r="E124" s="279">
        <v>1.35E-2</v>
      </c>
      <c r="F124" s="279">
        <v>1.5699999999999999E-2</v>
      </c>
      <c r="G124" s="279">
        <v>1.9300000000000001E-2</v>
      </c>
      <c r="H124" s="305">
        <f t="shared" si="23"/>
        <v>0.69948186528497402</v>
      </c>
      <c r="I124" s="279">
        <f t="shared" si="24"/>
        <v>1.158E-2</v>
      </c>
      <c r="J124" s="279">
        <v>0</v>
      </c>
      <c r="K124" s="279">
        <v>1.47E-2</v>
      </c>
      <c r="L124" s="279">
        <f t="shared" si="25"/>
        <v>-1.47E-2</v>
      </c>
      <c r="M124" s="9">
        <v>1.6299999999999999E-2</v>
      </c>
      <c r="N124" s="9">
        <v>1.43E-2</v>
      </c>
      <c r="O124" s="279">
        <v>9.2999999999999992E-3</v>
      </c>
      <c r="P124">
        <v>23600</v>
      </c>
      <c r="Q124">
        <f t="shared" si="26"/>
        <v>89820</v>
      </c>
      <c r="R124" s="9">
        <v>9.1000000000000004E-3</v>
      </c>
      <c r="S124" s="349"/>
      <c r="T124" s="279">
        <v>4.0000000000000001E-3</v>
      </c>
      <c r="U124" s="279">
        <v>1.21E-2</v>
      </c>
      <c r="V124" s="349"/>
      <c r="W124" s="349"/>
      <c r="X124">
        <v>24</v>
      </c>
      <c r="Y124">
        <v>3</v>
      </c>
      <c r="AA124" s="349">
        <v>1</v>
      </c>
      <c r="AB124" t="s">
        <v>49</v>
      </c>
      <c r="AG124" s="9"/>
      <c r="AH124" s="9"/>
      <c r="AI124" s="9"/>
      <c r="AL124" s="9"/>
    </row>
    <row r="125" spans="2:38" hidden="1" x14ac:dyDescent="0.3">
      <c r="B125">
        <v>20260123</v>
      </c>
      <c r="C125" s="279">
        <f t="shared" si="22"/>
        <v>7.1999999999999998E-3</v>
      </c>
      <c r="D125" s="279">
        <v>1.18E-2</v>
      </c>
      <c r="E125" s="279">
        <v>2.3800000000000002E-2</v>
      </c>
      <c r="F125" s="279">
        <v>1.9E-2</v>
      </c>
      <c r="G125" s="279">
        <v>2.9000000000000001E-2</v>
      </c>
      <c r="H125" s="305">
        <f t="shared" si="23"/>
        <v>0.82068965517241377</v>
      </c>
      <c r="I125" s="279">
        <f t="shared" si="24"/>
        <v>1.7399999999999999E-2</v>
      </c>
      <c r="J125" s="279">
        <v>0</v>
      </c>
      <c r="K125" s="279">
        <v>1.03E-2</v>
      </c>
      <c r="L125" s="279">
        <f t="shared" si="25"/>
        <v>-1.03E-2</v>
      </c>
      <c r="M125" s="9">
        <v>9.2999999999999992E-3</v>
      </c>
      <c r="N125" s="9">
        <v>1.0200000000000001E-2</v>
      </c>
      <c r="O125" s="279">
        <v>6.0000000000000001E-3</v>
      </c>
      <c r="P125">
        <v>28100</v>
      </c>
      <c r="Q125">
        <f t="shared" si="26"/>
        <v>117920</v>
      </c>
      <c r="R125" s="9">
        <v>7.7999999999999996E-3</v>
      </c>
      <c r="S125" s="349"/>
      <c r="T125" s="279">
        <v>4.5999999999999999E-3</v>
      </c>
      <c r="U125" s="279">
        <v>7.4999999999999997E-3</v>
      </c>
      <c r="V125" s="349"/>
      <c r="W125" s="349"/>
      <c r="X125">
        <v>21</v>
      </c>
      <c r="Y125">
        <v>3</v>
      </c>
      <c r="AA125" s="349">
        <v>0</v>
      </c>
      <c r="AB125" t="s">
        <v>50</v>
      </c>
      <c r="AG125" s="9"/>
      <c r="AH125" s="9"/>
      <c r="AI125" s="9"/>
      <c r="AL125" s="9"/>
    </row>
    <row r="126" spans="2:38" hidden="1" x14ac:dyDescent="0.3">
      <c r="B126">
        <v>20260126</v>
      </c>
      <c r="C126" s="279">
        <f t="shared" si="22"/>
        <v>8.5000000000000006E-3</v>
      </c>
      <c r="D126" s="279">
        <v>-1.49E-2</v>
      </c>
      <c r="E126" s="279">
        <v>-1.09E-2</v>
      </c>
      <c r="F126" s="279">
        <v>-6.4000000000000003E-3</v>
      </c>
      <c r="G126" s="279">
        <v>-1.2999999999999999E-3</v>
      </c>
      <c r="H126" s="305">
        <f t="shared" si="23"/>
        <v>8.384615384615385</v>
      </c>
      <c r="I126" s="279">
        <f t="shared" si="24"/>
        <v>-7.7999999999999999E-4</v>
      </c>
      <c r="J126" s="279">
        <v>0</v>
      </c>
      <c r="K126" s="279">
        <v>-5.3E-3</v>
      </c>
      <c r="L126" s="279">
        <f t="shared" si="25"/>
        <v>5.3E-3</v>
      </c>
      <c r="M126" s="279">
        <v>-6.0000000000000001E-3</v>
      </c>
      <c r="N126" s="279">
        <v>-6.3E-3</v>
      </c>
      <c r="O126" s="279">
        <v>-1.6799999999999999E-2</v>
      </c>
      <c r="P126">
        <v>-9200</v>
      </c>
      <c r="Q126">
        <f t="shared" si="26"/>
        <v>108720</v>
      </c>
      <c r="R126" s="279">
        <v>-9.5999999999999992E-3</v>
      </c>
      <c r="S126" s="349"/>
      <c r="T126" s="279">
        <v>-9.4000000000000004E-3</v>
      </c>
      <c r="U126" s="279">
        <v>-7.1000000000000004E-3</v>
      </c>
      <c r="V126" s="349"/>
      <c r="W126" s="349"/>
      <c r="X126">
        <v>12</v>
      </c>
      <c r="Y126">
        <v>14</v>
      </c>
      <c r="AA126" s="349">
        <v>0</v>
      </c>
      <c r="AB126" t="s">
        <v>51</v>
      </c>
      <c r="AG126" s="9"/>
      <c r="AH126" s="9"/>
      <c r="AI126" s="9"/>
      <c r="AL126" s="9"/>
    </row>
    <row r="127" spans="2:38" hidden="1" x14ac:dyDescent="0.3">
      <c r="B127">
        <v>20260127</v>
      </c>
      <c r="C127" s="279">
        <f t="shared" si="22"/>
        <v>-5.7499999999999999E-3</v>
      </c>
      <c r="D127" s="279">
        <v>2.8999999999999998E-3</v>
      </c>
      <c r="E127" s="279">
        <v>-4.3E-3</v>
      </c>
      <c r="F127" s="279">
        <v>-2.8500000000000001E-3</v>
      </c>
      <c r="G127" s="279">
        <v>-8.0999999999999996E-3</v>
      </c>
      <c r="H127" s="305">
        <f t="shared" si="23"/>
        <v>0.53086419753086422</v>
      </c>
      <c r="I127" s="279">
        <f t="shared" si="24"/>
        <v>-4.8599999999999997E-3</v>
      </c>
      <c r="J127" s="279">
        <v>0</v>
      </c>
      <c r="K127" s="279">
        <v>3.7000000000000002E-3</v>
      </c>
      <c r="L127" s="279">
        <f t="shared" si="25"/>
        <v>-3.7000000000000002E-3</v>
      </c>
      <c r="M127" s="9">
        <v>5.9999999999999995E-4</v>
      </c>
      <c r="N127" s="279">
        <v>-8.9999999999999993E-3</v>
      </c>
      <c r="O127" s="279">
        <v>3.0000000000000001E-3</v>
      </c>
      <c r="P127">
        <v>-9800</v>
      </c>
      <c r="Q127">
        <f t="shared" si="26"/>
        <v>98920</v>
      </c>
      <c r="R127" s="279">
        <v>-3.8E-3</v>
      </c>
      <c r="S127" s="349"/>
      <c r="T127" s="9">
        <v>1.14E-2</v>
      </c>
      <c r="U127" s="279">
        <v>-2.3999999999999998E-3</v>
      </c>
      <c r="V127" s="349"/>
      <c r="W127" s="349"/>
      <c r="X127">
        <v>8</v>
      </c>
      <c r="Y127">
        <v>14</v>
      </c>
      <c r="AA127" s="349">
        <v>1</v>
      </c>
      <c r="AB127" t="s">
        <v>52</v>
      </c>
      <c r="AF127" t="s">
        <v>53</v>
      </c>
      <c r="AG127" s="9"/>
      <c r="AH127" s="9"/>
      <c r="AI127" s="9"/>
      <c r="AL127" s="9"/>
    </row>
    <row r="128" spans="2:38" hidden="1" x14ac:dyDescent="0.3">
      <c r="B128">
        <v>20260128</v>
      </c>
      <c r="C128" s="279">
        <f t="shared" si="22"/>
        <v>6.3E-3</v>
      </c>
      <c r="D128" s="279">
        <v>6.3E-3</v>
      </c>
      <c r="E128" s="279">
        <v>1.32E-2</v>
      </c>
      <c r="F128" s="279">
        <v>1.26E-2</v>
      </c>
      <c r="G128" s="279">
        <v>5.4000000000000003E-3</v>
      </c>
      <c r="H128" s="305">
        <f t="shared" si="23"/>
        <v>2.4444444444444442</v>
      </c>
      <c r="I128" s="279">
        <f t="shared" si="24"/>
        <v>3.2400000000000003E-3</v>
      </c>
      <c r="J128" s="279">
        <v>0</v>
      </c>
      <c r="K128" s="279">
        <v>-1.6799999999999999E-2</v>
      </c>
      <c r="L128" s="279">
        <f t="shared" si="25"/>
        <v>1.6799999999999999E-2</v>
      </c>
      <c r="M128" s="279">
        <v>-8.0000000000000002E-3</v>
      </c>
      <c r="N128" s="279">
        <v>-2.4E-2</v>
      </c>
      <c r="O128" s="279">
        <v>-1.9800000000000002E-2</v>
      </c>
      <c r="P128">
        <v>15600</v>
      </c>
      <c r="Q128">
        <f t="shared" si="26"/>
        <v>114520</v>
      </c>
      <c r="R128" s="9">
        <v>1.9400000000000001E-2</v>
      </c>
      <c r="S128" s="349"/>
      <c r="T128" s="279">
        <v>-1.0999999999999999E-2</v>
      </c>
      <c r="U128" s="279">
        <v>-1.18E-2</v>
      </c>
      <c r="V128" s="349"/>
      <c r="W128" s="349"/>
      <c r="X128">
        <v>6</v>
      </c>
      <c r="Y128">
        <v>26</v>
      </c>
      <c r="AA128" s="349">
        <v>3</v>
      </c>
      <c r="AB128" t="s">
        <v>54</v>
      </c>
      <c r="AG128" s="9"/>
      <c r="AH128" s="9"/>
      <c r="AI128" s="9"/>
      <c r="AL128" s="9"/>
    </row>
    <row r="129" spans="1:38" hidden="1" x14ac:dyDescent="0.3">
      <c r="B129">
        <v>20260129</v>
      </c>
      <c r="C129" s="279">
        <f t="shared" si="22"/>
        <v>2.1000000000000003E-3</v>
      </c>
      <c r="D129" s="279">
        <v>-7.0000000000000001E-3</v>
      </c>
      <c r="E129" s="279">
        <v>-5.8999999999999999E-3</v>
      </c>
      <c r="F129" s="279">
        <v>-4.8999999999999998E-3</v>
      </c>
      <c r="G129" s="279">
        <v>-1.12E-2</v>
      </c>
      <c r="H129" s="305">
        <f t="shared" si="23"/>
        <v>0.5267857142857143</v>
      </c>
      <c r="I129" s="279">
        <f t="shared" si="24"/>
        <v>-6.7199999999999994E-3</v>
      </c>
      <c r="J129" s="279">
        <v>0</v>
      </c>
      <c r="K129" s="279">
        <v>-1.4200000000000001E-2</v>
      </c>
      <c r="L129" s="279">
        <f t="shared" si="25"/>
        <v>1.4200000000000001E-2</v>
      </c>
      <c r="M129" s="9">
        <v>-1.2970000000000001E-2</v>
      </c>
      <c r="N129" s="9">
        <v>-1.66E-2</v>
      </c>
      <c r="O129" s="279">
        <v>-1.4449999999999999E-2</v>
      </c>
      <c r="P129">
        <v>-9800</v>
      </c>
      <c r="Q129">
        <f t="shared" si="26"/>
        <v>104720</v>
      </c>
      <c r="R129" s="279">
        <v>-1.6000000000000001E-3</v>
      </c>
      <c r="S129" s="349"/>
      <c r="T129" s="279">
        <v>-4.0000000000000001E-3</v>
      </c>
      <c r="U129" s="279">
        <v>-4.7000000000000002E-3</v>
      </c>
      <c r="V129" s="349"/>
      <c r="W129" s="349"/>
      <c r="X129">
        <v>6</v>
      </c>
      <c r="Y129">
        <v>29</v>
      </c>
      <c r="AA129" s="349">
        <v>2</v>
      </c>
      <c r="AB129" t="s">
        <v>55</v>
      </c>
      <c r="AG129" s="9"/>
      <c r="AH129" s="9"/>
      <c r="AI129" s="9"/>
      <c r="AL129" s="9"/>
    </row>
    <row r="130" spans="1:38" hidden="1" x14ac:dyDescent="0.3">
      <c r="B130">
        <v>20260130</v>
      </c>
      <c r="C130" s="279">
        <f t="shared" si="22"/>
        <v>5.7999999999999996E-3</v>
      </c>
      <c r="D130" s="279">
        <v>-1.66E-2</v>
      </c>
      <c r="E130" s="279">
        <v>-1.0699999999999999E-2</v>
      </c>
      <c r="F130" s="279">
        <v>-1.0800000000000001E-2</v>
      </c>
      <c r="G130" s="279">
        <v>-4.1999999999999997E-3</v>
      </c>
      <c r="H130" s="305">
        <f t="shared" si="23"/>
        <v>2.5476190476190474</v>
      </c>
      <c r="I130" s="279">
        <f t="shared" si="24"/>
        <v>-2.5199999999999997E-3</v>
      </c>
      <c r="J130" s="279">
        <v>0</v>
      </c>
      <c r="K130" s="279">
        <v>2.5999999999999999E-3</v>
      </c>
      <c r="L130" s="279">
        <f t="shared" si="25"/>
        <v>-2.5999999999999999E-3</v>
      </c>
      <c r="M130" s="9">
        <v>2E-3</v>
      </c>
      <c r="N130" s="9">
        <v>4.1999999999999997E-3</v>
      </c>
      <c r="O130" s="279">
        <v>-2.0000000000000001E-4</v>
      </c>
      <c r="P130">
        <v>-19500</v>
      </c>
      <c r="Q130">
        <f t="shared" si="26"/>
        <v>85220</v>
      </c>
      <c r="R130" s="279">
        <v>-8.9999999999999993E-3</v>
      </c>
      <c r="S130" s="349"/>
      <c r="T130" s="9">
        <v>0</v>
      </c>
      <c r="U130" s="9">
        <v>1.9199999999999998E-2</v>
      </c>
      <c r="V130" s="391"/>
      <c r="W130" s="391"/>
      <c r="X130">
        <v>14</v>
      </c>
      <c r="Y130">
        <v>11</v>
      </c>
      <c r="AA130" s="349">
        <v>3</v>
      </c>
      <c r="AB130" t="s">
        <v>56</v>
      </c>
      <c r="AG130" s="9"/>
      <c r="AH130" s="9"/>
      <c r="AI130" s="9"/>
      <c r="AL130" s="9"/>
    </row>
    <row r="131" spans="1:38" x14ac:dyDescent="0.3">
      <c r="B131" s="295" t="s">
        <v>57</v>
      </c>
      <c r="C131" s="296">
        <f>SUM(C132:C145)</f>
        <v>1.2799999999999992E-2</v>
      </c>
      <c r="D131" s="296">
        <f>SUM(D132:D145)</f>
        <v>1.3299999999999999E-2</v>
      </c>
      <c r="E131" s="296">
        <f>SUM(E132:E145)</f>
        <v>1.8750000000000003E-2</v>
      </c>
      <c r="F131" s="296">
        <f>SUM(F132:F145)</f>
        <v>2.6099999999999998E-2</v>
      </c>
      <c r="G131" s="296">
        <f>SUM(G132:G145)</f>
        <v>5.9919999999999987E-2</v>
      </c>
      <c r="H131" s="344">
        <f>F131/G131</f>
        <v>0.43558077436582116</v>
      </c>
      <c r="I131" s="296">
        <f t="shared" ref="I131:P131" si="27">SUM(I132:I145)</f>
        <v>3.5952000000000005E-2</v>
      </c>
      <c r="J131" s="296">
        <f t="shared" si="27"/>
        <v>0</v>
      </c>
      <c r="K131" s="296">
        <f t="shared" si="27"/>
        <v>5.4400000000000004E-2</v>
      </c>
      <c r="L131" s="296">
        <f t="shared" si="27"/>
        <v>-5.4400000000000004E-2</v>
      </c>
      <c r="M131" s="296">
        <f t="shared" si="27"/>
        <v>9.8549999999999999E-2</v>
      </c>
      <c r="N131" s="296">
        <f t="shared" si="27"/>
        <v>8.369999999999999E-3</v>
      </c>
      <c r="O131" s="296">
        <f t="shared" si="27"/>
        <v>6.3829999999999998E-2</v>
      </c>
      <c r="P131" s="315">
        <f t="shared" si="27"/>
        <v>70420</v>
      </c>
      <c r="Q131" s="315">
        <v>85220</v>
      </c>
      <c r="R131" s="296">
        <f>SUM(R132:R145)</f>
        <v>1.32E-2</v>
      </c>
      <c r="S131" s="315">
        <f>SUM(S132:S145)</f>
        <v>0</v>
      </c>
      <c r="T131" s="296">
        <f>SUM(T132:T145)</f>
        <v>-4.0000000000000001E-3</v>
      </c>
      <c r="U131" s="296">
        <f>SUM(U132:U145)</f>
        <v>6.3700000000000007E-2</v>
      </c>
      <c r="V131" s="315"/>
      <c r="W131" s="315"/>
      <c r="AG131" s="9"/>
      <c r="AH131" s="9"/>
      <c r="AI131" s="9"/>
      <c r="AL131" s="9"/>
    </row>
    <row r="132" spans="1:38" hidden="1" x14ac:dyDescent="0.3">
      <c r="A132" t="s">
        <v>58</v>
      </c>
      <c r="B132">
        <v>20260202</v>
      </c>
      <c r="C132" s="279">
        <f t="shared" ref="C132:C145" si="28">F132-D132</f>
        <v>1.0100000000000001E-2</v>
      </c>
      <c r="D132" s="279">
        <v>-2.5600000000000001E-2</v>
      </c>
      <c r="E132" s="279">
        <v>-1.4800000000000001E-2</v>
      </c>
      <c r="F132" s="279">
        <v>-1.55E-2</v>
      </c>
      <c r="G132" s="279">
        <v>-0.03</v>
      </c>
      <c r="H132" s="305">
        <f t="shared" ref="H132:H145" si="29">E132/G132</f>
        <v>0.49333333333333335</v>
      </c>
      <c r="I132" s="279">
        <f t="shared" ref="I132:I145" si="30">G132*$A$1</f>
        <v>-1.7999999999999999E-2</v>
      </c>
      <c r="J132" s="279">
        <v>0</v>
      </c>
      <c r="K132" s="279">
        <v>-1.1299999999999999E-2</v>
      </c>
      <c r="L132" s="279">
        <f t="shared" ref="L132:L145" si="31">J132-K132</f>
        <v>1.1299999999999999E-2</v>
      </c>
      <c r="M132" s="279">
        <v>-6.4000000000000003E-3</v>
      </c>
      <c r="N132" s="279">
        <v>-1.6799999999999999E-2</v>
      </c>
      <c r="O132" s="279">
        <v>-4.0000000000000002E-4</v>
      </c>
      <c r="P132">
        <v>-56000</v>
      </c>
      <c r="Q132">
        <f t="shared" ref="Q132:Q145" si="32">Q131+P132</f>
        <v>29220</v>
      </c>
      <c r="R132" s="279">
        <v>-2.2599999999999999E-2</v>
      </c>
      <c r="S132" s="349"/>
      <c r="T132" s="279">
        <v>-4.0000000000000001E-3</v>
      </c>
      <c r="U132" s="279">
        <v>-1.21E-2</v>
      </c>
      <c r="V132" s="349"/>
      <c r="W132" s="349"/>
      <c r="X132">
        <v>10</v>
      </c>
      <c r="Y132">
        <v>33</v>
      </c>
      <c r="AA132" s="349">
        <v>1</v>
      </c>
      <c r="AB132" t="s">
        <v>59</v>
      </c>
      <c r="AG132" s="9"/>
      <c r="AH132" s="9"/>
      <c r="AI132" s="9"/>
      <c r="AL132" s="9"/>
    </row>
    <row r="133" spans="1:38" hidden="1" x14ac:dyDescent="0.3">
      <c r="A133" t="s">
        <v>60</v>
      </c>
      <c r="B133">
        <v>20260203</v>
      </c>
      <c r="C133" s="279">
        <f t="shared" si="28"/>
        <v>-7.2000000000000015E-3</v>
      </c>
      <c r="D133" s="279">
        <v>2.8400000000000002E-2</v>
      </c>
      <c r="E133" s="279">
        <v>1.9300000000000001E-2</v>
      </c>
      <c r="F133" s="279">
        <v>2.12E-2</v>
      </c>
      <c r="G133" s="279">
        <v>3.8699999999999998E-2</v>
      </c>
      <c r="H133" s="305">
        <f t="shared" si="29"/>
        <v>0.49870801033591738</v>
      </c>
      <c r="I133" s="279">
        <f t="shared" si="30"/>
        <v>2.3219999999999998E-2</v>
      </c>
      <c r="J133" s="279">
        <v>0</v>
      </c>
      <c r="K133" s="279">
        <v>6.1000000000000004E-3</v>
      </c>
      <c r="L133" s="279">
        <f t="shared" si="31"/>
        <v>-6.1000000000000004E-3</v>
      </c>
      <c r="M133" s="9">
        <v>1.115E-2</v>
      </c>
      <c r="N133" s="9">
        <v>6.9999999999999999E-4</v>
      </c>
      <c r="O133" s="9">
        <v>1.35E-2</v>
      </c>
      <c r="P133">
        <v>43200</v>
      </c>
      <c r="Q133">
        <f t="shared" si="32"/>
        <v>72420</v>
      </c>
      <c r="R133" s="9">
        <v>2.3900000000000001E-2</v>
      </c>
      <c r="T133" s="9">
        <v>0</v>
      </c>
      <c r="U133" s="9">
        <v>1.77E-2</v>
      </c>
      <c r="V133" s="391"/>
      <c r="W133" s="391"/>
      <c r="X133">
        <v>16</v>
      </c>
      <c r="Y133">
        <v>15</v>
      </c>
      <c r="AA133" s="349">
        <v>1</v>
      </c>
      <c r="AB133" t="s">
        <v>61</v>
      </c>
      <c r="AG133" s="9"/>
      <c r="AH133" s="9"/>
      <c r="AI133" s="9"/>
      <c r="AL133" s="9"/>
    </row>
    <row r="134" spans="1:38" hidden="1" x14ac:dyDescent="0.3">
      <c r="A134" t="s">
        <v>62</v>
      </c>
      <c r="B134">
        <v>20260204</v>
      </c>
      <c r="C134" s="279">
        <f t="shared" si="28"/>
        <v>1.5799999999999998E-2</v>
      </c>
      <c r="D134" s="279">
        <v>-4.4999999999999997E-3</v>
      </c>
      <c r="E134" s="279">
        <v>1.04E-2</v>
      </c>
      <c r="F134" s="279">
        <v>1.1299999999999999E-2</v>
      </c>
      <c r="G134" s="279">
        <v>4.5999999999999999E-2</v>
      </c>
      <c r="H134" s="305">
        <f t="shared" si="29"/>
        <v>0.22608695652173913</v>
      </c>
      <c r="I134" s="279">
        <f t="shared" si="30"/>
        <v>2.76E-2</v>
      </c>
      <c r="J134" s="279">
        <v>0</v>
      </c>
      <c r="K134" s="279">
        <v>4.1000000000000003E-3</v>
      </c>
      <c r="L134" s="279">
        <f t="shared" si="31"/>
        <v>-4.1000000000000003E-3</v>
      </c>
      <c r="M134" s="9">
        <v>6.1999999999999998E-3</v>
      </c>
      <c r="N134" s="279">
        <v>-1.7700000000000001E-3</v>
      </c>
      <c r="O134" s="279">
        <v>-4.7000000000000002E-3</v>
      </c>
      <c r="P134">
        <v>31000</v>
      </c>
      <c r="Q134">
        <f t="shared" si="32"/>
        <v>103420</v>
      </c>
      <c r="R134" s="9">
        <v>5.5999999999999999E-3</v>
      </c>
      <c r="T134" s="9">
        <v>0</v>
      </c>
      <c r="U134" s="9">
        <v>9.5999999999999992E-3</v>
      </c>
      <c r="V134" s="391"/>
      <c r="W134" s="391"/>
      <c r="X134">
        <v>12</v>
      </c>
      <c r="Y134">
        <v>10</v>
      </c>
      <c r="Z134" s="346">
        <v>33.31</v>
      </c>
      <c r="AA134" s="349">
        <v>0</v>
      </c>
      <c r="AB134" t="s">
        <v>63</v>
      </c>
      <c r="AG134" s="9"/>
      <c r="AH134" s="9"/>
      <c r="AI134" s="9"/>
      <c r="AL134" s="9"/>
    </row>
    <row r="135" spans="1:38" hidden="1" x14ac:dyDescent="0.3">
      <c r="A135" t="s">
        <v>62</v>
      </c>
      <c r="B135">
        <v>20260205</v>
      </c>
      <c r="C135" s="279">
        <f t="shared" si="28"/>
        <v>-1.2999999999999991E-4</v>
      </c>
      <c r="D135" s="279">
        <v>-8.2000000000000007E-3</v>
      </c>
      <c r="E135" s="279">
        <v>-9.1000000000000004E-3</v>
      </c>
      <c r="F135" s="279">
        <v>-8.3300000000000006E-3</v>
      </c>
      <c r="G135" s="279">
        <v>-1.6E-2</v>
      </c>
      <c r="H135" s="305">
        <f t="shared" si="29"/>
        <v>0.56874999999999998</v>
      </c>
      <c r="I135" s="279">
        <f t="shared" si="30"/>
        <v>-9.5999999999999992E-3</v>
      </c>
      <c r="J135" s="279">
        <v>0</v>
      </c>
      <c r="K135" s="279">
        <v>2E-3</v>
      </c>
      <c r="L135" s="279">
        <f t="shared" si="31"/>
        <v>-2E-3</v>
      </c>
      <c r="M135" s="9">
        <v>1.24E-2</v>
      </c>
      <c r="N135" s="279">
        <v>-8.8000000000000005E-3</v>
      </c>
      <c r="O135" s="9">
        <v>6.9999999999999999E-4</v>
      </c>
      <c r="P135">
        <v>-14600</v>
      </c>
      <c r="Q135">
        <f t="shared" si="32"/>
        <v>88820</v>
      </c>
      <c r="R135" s="279">
        <v>-7.7000000000000002E-3</v>
      </c>
      <c r="T135" s="9">
        <v>0</v>
      </c>
      <c r="U135" s="9">
        <v>1.6999999999999999E-3</v>
      </c>
      <c r="V135" s="391"/>
      <c r="W135" s="391"/>
      <c r="X135">
        <v>15</v>
      </c>
      <c r="Y135">
        <v>8</v>
      </c>
      <c r="Z135" s="346">
        <v>25.84</v>
      </c>
      <c r="AA135" s="349">
        <v>0</v>
      </c>
      <c r="AB135" t="s">
        <v>64</v>
      </c>
      <c r="AG135" s="9"/>
      <c r="AH135" s="9"/>
      <c r="AI135" s="9"/>
      <c r="AL135" s="9"/>
    </row>
    <row r="136" spans="1:38" hidden="1" x14ac:dyDescent="0.3">
      <c r="A136" t="s">
        <v>60</v>
      </c>
      <c r="B136">
        <v>20260206</v>
      </c>
      <c r="C136" s="279">
        <f t="shared" si="28"/>
        <v>7.0000000000000097E-4</v>
      </c>
      <c r="D136" s="279">
        <v>9.5999999999999992E-3</v>
      </c>
      <c r="E136" s="279">
        <v>1.03E-2</v>
      </c>
      <c r="F136" s="279">
        <v>1.03E-2</v>
      </c>
      <c r="G136" s="279">
        <v>1.11E-2</v>
      </c>
      <c r="H136" s="305">
        <f t="shared" si="29"/>
        <v>0.92792792792792789</v>
      </c>
      <c r="I136" s="279">
        <f t="shared" si="30"/>
        <v>6.6600000000000001E-3</v>
      </c>
      <c r="J136" s="279">
        <v>0</v>
      </c>
      <c r="K136" s="279">
        <v>2.2000000000000001E-3</v>
      </c>
      <c r="L136" s="279">
        <f t="shared" si="31"/>
        <v>-2.2000000000000001E-3</v>
      </c>
      <c r="M136" s="9">
        <v>7.0000000000000001E-3</v>
      </c>
      <c r="N136" s="279">
        <v>-1.3600000000000001E-3</v>
      </c>
      <c r="O136" s="279">
        <v>-2.3700000000000001E-3</v>
      </c>
      <c r="P136">
        <v>13500</v>
      </c>
      <c r="Q136">
        <f t="shared" si="32"/>
        <v>102320</v>
      </c>
      <c r="R136" s="9">
        <v>9.4999999999999998E-3</v>
      </c>
      <c r="T136" s="9">
        <v>0</v>
      </c>
      <c r="U136" s="9">
        <v>8.3999999999999995E-3</v>
      </c>
      <c r="V136" s="391"/>
      <c r="W136" s="391"/>
      <c r="X136">
        <v>9</v>
      </c>
      <c r="Y136">
        <v>7</v>
      </c>
      <c r="Z136" s="346">
        <v>7.3</v>
      </c>
      <c r="AA136" s="349">
        <v>0</v>
      </c>
      <c r="AB136" t="s">
        <v>65</v>
      </c>
      <c r="AG136" s="9"/>
      <c r="AH136" s="9"/>
      <c r="AI136" s="9"/>
      <c r="AL136" s="9"/>
    </row>
    <row r="137" spans="1:38" hidden="1" x14ac:dyDescent="0.3">
      <c r="A137" t="s">
        <v>60</v>
      </c>
      <c r="B137">
        <v>20260209</v>
      </c>
      <c r="C137" s="279">
        <f t="shared" si="28"/>
        <v>-1.1999999999999997E-3</v>
      </c>
      <c r="D137" s="279">
        <v>1.47E-2</v>
      </c>
      <c r="E137" s="279">
        <v>9.9600000000000001E-3</v>
      </c>
      <c r="F137" s="279">
        <v>1.35E-2</v>
      </c>
      <c r="G137" s="279">
        <v>2.0400000000000001E-2</v>
      </c>
      <c r="H137" s="305">
        <f t="shared" si="29"/>
        <v>0.48823529411764705</v>
      </c>
      <c r="I137" s="279">
        <f t="shared" si="30"/>
        <v>1.2240000000000001E-2</v>
      </c>
      <c r="J137" s="279">
        <v>0</v>
      </c>
      <c r="K137" s="279">
        <v>7.7000000000000002E-3</v>
      </c>
      <c r="L137" s="279">
        <f t="shared" si="31"/>
        <v>-7.7000000000000002E-3</v>
      </c>
      <c r="M137" s="9">
        <v>1.18E-2</v>
      </c>
      <c r="N137" s="9">
        <v>5.0000000000000001E-3</v>
      </c>
      <c r="O137" s="9">
        <v>1.1299999999999999E-2</v>
      </c>
      <c r="P137">
        <v>27900</v>
      </c>
      <c r="Q137">
        <f t="shared" si="32"/>
        <v>130220</v>
      </c>
      <c r="R137" s="9">
        <v>1.04E-2</v>
      </c>
      <c r="T137" s="9">
        <v>0</v>
      </c>
      <c r="U137" s="9">
        <v>1.67E-2</v>
      </c>
      <c r="V137" s="391"/>
      <c r="W137" s="391"/>
      <c r="X137">
        <v>14</v>
      </c>
      <c r="Y137">
        <v>6</v>
      </c>
      <c r="Z137" s="346">
        <v>25.2</v>
      </c>
      <c r="AA137" s="349">
        <v>0</v>
      </c>
      <c r="AB137" t="s">
        <v>66</v>
      </c>
      <c r="AG137" s="9"/>
      <c r="AH137" s="9"/>
      <c r="AI137" s="9"/>
      <c r="AL137" s="9"/>
    </row>
    <row r="138" spans="1:38" hidden="1" x14ac:dyDescent="0.3">
      <c r="B138">
        <v>20260210</v>
      </c>
      <c r="C138" s="279">
        <f t="shared" si="28"/>
        <v>-5.6999999999999998E-4</v>
      </c>
      <c r="D138" s="279">
        <v>-2.9999999999999997E-4</v>
      </c>
      <c r="E138" s="279">
        <v>-2.1099999999999999E-3</v>
      </c>
      <c r="F138" s="279">
        <v>-8.7000000000000001E-4</v>
      </c>
      <c r="G138" s="279">
        <v>-1.17E-2</v>
      </c>
      <c r="H138" s="305">
        <f t="shared" si="29"/>
        <v>0.18034188034188034</v>
      </c>
      <c r="I138" s="279">
        <f t="shared" si="30"/>
        <v>-7.0200000000000002E-3</v>
      </c>
      <c r="J138" s="279">
        <v>0</v>
      </c>
      <c r="K138" s="279">
        <v>1.1000000000000001E-3</v>
      </c>
      <c r="L138" s="279">
        <f t="shared" si="31"/>
        <v>-1.1000000000000001E-3</v>
      </c>
      <c r="M138" s="9">
        <v>2.2000000000000001E-3</v>
      </c>
      <c r="N138" s="9">
        <v>1.4E-3</v>
      </c>
      <c r="O138" s="9">
        <v>4.8999999999999998E-3</v>
      </c>
      <c r="P138">
        <v>2900</v>
      </c>
      <c r="Q138">
        <f t="shared" si="32"/>
        <v>133120</v>
      </c>
      <c r="R138" s="279">
        <v>-4.5999999999999999E-3</v>
      </c>
      <c r="S138" s="349"/>
      <c r="T138" s="9">
        <v>0</v>
      </c>
      <c r="U138" s="9">
        <v>1.5E-3</v>
      </c>
      <c r="V138" s="391"/>
      <c r="W138" s="391"/>
      <c r="X138">
        <v>14</v>
      </c>
      <c r="Y138">
        <v>9</v>
      </c>
      <c r="Z138" s="346">
        <v>11.11</v>
      </c>
      <c r="AA138" s="349">
        <v>0</v>
      </c>
      <c r="AB138" t="s">
        <v>67</v>
      </c>
      <c r="AG138" s="9"/>
      <c r="AH138" s="9"/>
      <c r="AI138" s="9"/>
      <c r="AL138" s="9"/>
    </row>
    <row r="139" spans="1:38" hidden="1" x14ac:dyDescent="0.3">
      <c r="B139">
        <v>20260211</v>
      </c>
      <c r="C139" s="279">
        <f t="shared" si="28"/>
        <v>2.4000000000000002E-3</v>
      </c>
      <c r="D139" s="279">
        <v>5.9999999999999995E-4</v>
      </c>
      <c r="E139" s="279">
        <v>3.65E-3</v>
      </c>
      <c r="F139" s="279">
        <v>3.0000000000000001E-3</v>
      </c>
      <c r="G139" s="279">
        <v>7.1000000000000004E-3</v>
      </c>
      <c r="H139" s="305">
        <f t="shared" si="29"/>
        <v>0.5140845070422535</v>
      </c>
      <c r="I139" s="279">
        <f t="shared" si="30"/>
        <v>4.2599999999999999E-3</v>
      </c>
      <c r="J139" s="279">
        <v>0</v>
      </c>
      <c r="K139" s="279">
        <v>4.0000000000000002E-4</v>
      </c>
      <c r="L139" s="279">
        <f t="shared" si="31"/>
        <v>-4.0000000000000002E-4</v>
      </c>
      <c r="M139" s="279">
        <v>4.3E-3</v>
      </c>
      <c r="N139" s="279">
        <v>-3.3E-3</v>
      </c>
      <c r="O139" s="279">
        <v>7.1000000000000004E-3</v>
      </c>
      <c r="P139">
        <v>11900</v>
      </c>
      <c r="Q139">
        <f t="shared" si="32"/>
        <v>145020</v>
      </c>
      <c r="R139" s="9">
        <v>2.5000000000000001E-3</v>
      </c>
      <c r="T139" s="9">
        <v>0</v>
      </c>
      <c r="U139" s="279">
        <v>-1.1000000000000001E-3</v>
      </c>
      <c r="V139" s="349"/>
      <c r="W139" s="349"/>
      <c r="X139">
        <v>14</v>
      </c>
      <c r="Y139">
        <v>6</v>
      </c>
      <c r="Z139" s="346">
        <v>7.67</v>
      </c>
      <c r="AA139" s="349">
        <v>0</v>
      </c>
      <c r="AB139" t="s">
        <v>68</v>
      </c>
      <c r="AG139" s="9"/>
      <c r="AH139" s="9"/>
      <c r="AI139" s="9"/>
      <c r="AL139" s="9"/>
    </row>
    <row r="140" spans="1:38" hidden="1" x14ac:dyDescent="0.3">
      <c r="B140">
        <v>20260212</v>
      </c>
      <c r="C140" s="279">
        <f t="shared" si="28"/>
        <v>-4.4999999999999997E-3</v>
      </c>
      <c r="D140" s="279">
        <v>4.3E-3</v>
      </c>
      <c r="E140" s="279">
        <v>-1E-3</v>
      </c>
      <c r="F140" s="279">
        <v>-2.0000000000000001E-4</v>
      </c>
      <c r="G140" s="279">
        <v>-1.278E-2</v>
      </c>
      <c r="H140" s="305">
        <f t="shared" si="29"/>
        <v>7.82472613458529E-2</v>
      </c>
      <c r="I140" s="279">
        <f t="shared" si="30"/>
        <v>-7.6679999999999995E-3</v>
      </c>
      <c r="J140" s="279">
        <v>0</v>
      </c>
      <c r="K140" s="279">
        <v>-8.0999999999999996E-3</v>
      </c>
      <c r="L140" s="279">
        <f t="shared" si="31"/>
        <v>8.0999999999999996E-3</v>
      </c>
      <c r="M140" s="279">
        <v>-8.9999999999999993E-3</v>
      </c>
      <c r="N140" s="279">
        <v>-9.4999999999999998E-3</v>
      </c>
      <c r="O140" s="9">
        <v>6.0000000000000001E-3</v>
      </c>
      <c r="P140">
        <v>4</v>
      </c>
      <c r="Q140">
        <f t="shared" si="32"/>
        <v>145024</v>
      </c>
      <c r="R140" s="9">
        <v>2.0000000000000001E-4</v>
      </c>
      <c r="S140" s="349"/>
      <c r="T140" s="9">
        <v>0</v>
      </c>
      <c r="U140" s="279">
        <v>-1.06E-2</v>
      </c>
      <c r="V140" s="349"/>
      <c r="W140" s="349"/>
      <c r="X140">
        <v>10</v>
      </c>
      <c r="Y140">
        <v>11</v>
      </c>
      <c r="Z140" s="346">
        <v>12.39</v>
      </c>
      <c r="AA140" s="349">
        <v>0</v>
      </c>
      <c r="AB140" t="s">
        <v>69</v>
      </c>
      <c r="AG140" s="9"/>
      <c r="AH140" s="9"/>
      <c r="AI140" s="9"/>
      <c r="AL140" s="9"/>
    </row>
    <row r="141" spans="1:38" hidden="1" x14ac:dyDescent="0.3">
      <c r="B141">
        <v>20260213</v>
      </c>
      <c r="C141" s="279">
        <f t="shared" si="28"/>
        <v>-1E-3</v>
      </c>
      <c r="D141" s="279">
        <v>-6.0000000000000001E-3</v>
      </c>
      <c r="E141" s="279">
        <v>-7.6E-3</v>
      </c>
      <c r="F141" s="279">
        <v>-7.0000000000000001E-3</v>
      </c>
      <c r="G141" s="279">
        <v>-2.2499999999999999E-2</v>
      </c>
      <c r="H141" s="305">
        <f t="shared" si="29"/>
        <v>0.33777777777777779</v>
      </c>
      <c r="I141" s="279">
        <f t="shared" si="30"/>
        <v>-1.35E-2</v>
      </c>
      <c r="J141" s="279">
        <v>0</v>
      </c>
      <c r="K141" s="279">
        <v>3.8E-3</v>
      </c>
      <c r="L141" s="279">
        <f t="shared" si="31"/>
        <v>-3.8E-3</v>
      </c>
      <c r="M141" s="9">
        <v>5.1000000000000004E-3</v>
      </c>
      <c r="N141" s="9">
        <v>3.0000000000000001E-3</v>
      </c>
      <c r="O141" s="9">
        <v>8.9999999999999998E-4</v>
      </c>
      <c r="P141">
        <v>-20004</v>
      </c>
      <c r="Q141">
        <f t="shared" si="32"/>
        <v>125020</v>
      </c>
      <c r="R141" s="279">
        <v>-6.8999999999999999E-3</v>
      </c>
      <c r="T141" s="9">
        <v>0</v>
      </c>
      <c r="U141" s="279">
        <v>1.6999999999999999E-3</v>
      </c>
      <c r="V141" s="349"/>
      <c r="W141" s="349"/>
      <c r="X141">
        <v>15</v>
      </c>
      <c r="Y141">
        <v>5</v>
      </c>
      <c r="Z141" s="346">
        <v>15.17</v>
      </c>
      <c r="AA141" s="349">
        <v>0</v>
      </c>
      <c r="AB141" t="s">
        <v>70</v>
      </c>
      <c r="AG141" s="9"/>
      <c r="AH141" s="9"/>
      <c r="AI141" s="9"/>
      <c r="AL141" s="9"/>
    </row>
    <row r="142" spans="1:38" hidden="1" x14ac:dyDescent="0.3">
      <c r="B142">
        <v>20260224</v>
      </c>
      <c r="C142" s="279">
        <f t="shared" si="28"/>
        <v>-3.8999999999999998E-3</v>
      </c>
      <c r="D142" s="279">
        <v>0.01</v>
      </c>
      <c r="E142" s="279">
        <v>7.9000000000000008E-3</v>
      </c>
      <c r="F142" s="279">
        <v>6.1000000000000004E-3</v>
      </c>
      <c r="G142" s="279">
        <v>2.4199999999999999E-2</v>
      </c>
      <c r="H142" s="305">
        <f t="shared" si="29"/>
        <v>0.32644628099173556</v>
      </c>
      <c r="I142" s="279">
        <f t="shared" si="30"/>
        <v>1.4519999999999998E-2</v>
      </c>
      <c r="J142" s="279">
        <v>0</v>
      </c>
      <c r="K142" s="279">
        <v>1.06E-2</v>
      </c>
      <c r="L142" s="279">
        <f t="shared" si="31"/>
        <v>-1.06E-2</v>
      </c>
      <c r="M142" s="9">
        <v>1.18E-2</v>
      </c>
      <c r="N142" s="9">
        <v>1.01E-2</v>
      </c>
      <c r="O142" s="9">
        <v>2.0999999999999999E-3</v>
      </c>
      <c r="P142">
        <v>27000</v>
      </c>
      <c r="Q142">
        <f t="shared" si="32"/>
        <v>152020</v>
      </c>
      <c r="R142" s="9">
        <v>8.0000000000000002E-3</v>
      </c>
      <c r="T142" s="9">
        <v>0</v>
      </c>
      <c r="U142" s="279">
        <v>2.2700000000000001E-2</v>
      </c>
      <c r="V142" s="349"/>
      <c r="W142" s="349"/>
      <c r="X142">
        <v>23</v>
      </c>
      <c r="Y142">
        <v>8</v>
      </c>
      <c r="Z142" s="346">
        <v>30.93</v>
      </c>
      <c r="AA142" s="349">
        <v>1</v>
      </c>
      <c r="AB142" t="s">
        <v>71</v>
      </c>
      <c r="AG142" s="9"/>
      <c r="AH142" s="9"/>
      <c r="AI142" s="9"/>
      <c r="AL142" s="9"/>
    </row>
    <row r="143" spans="1:38" hidden="1" x14ac:dyDescent="0.3">
      <c r="A143" t="s">
        <v>62</v>
      </c>
      <c r="B143">
        <v>20260225</v>
      </c>
      <c r="C143" s="279">
        <f t="shared" si="28"/>
        <v>-2.5999999999999999E-3</v>
      </c>
      <c r="D143" s="279">
        <v>2.3E-3</v>
      </c>
      <c r="E143" s="279">
        <v>1.17E-3</v>
      </c>
      <c r="F143" s="279">
        <v>-2.9999999999999997E-4</v>
      </c>
      <c r="G143" s="279">
        <v>1.1299999999999999E-2</v>
      </c>
      <c r="H143" s="305">
        <f t="shared" si="29"/>
        <v>0.10353982300884956</v>
      </c>
      <c r="I143" s="279">
        <f t="shared" si="30"/>
        <v>6.7799999999999996E-3</v>
      </c>
      <c r="J143" s="279">
        <v>0</v>
      </c>
      <c r="K143" s="279">
        <v>1.9400000000000001E-2</v>
      </c>
      <c r="L143" s="279">
        <f t="shared" si="31"/>
        <v>-1.9400000000000001E-2</v>
      </c>
      <c r="M143" s="9">
        <v>2.2200000000000001E-2</v>
      </c>
      <c r="N143" s="9">
        <v>1.6400000000000001E-2</v>
      </c>
      <c r="O143" s="9">
        <v>9.1999999999999998E-3</v>
      </c>
      <c r="P143">
        <v>10000</v>
      </c>
      <c r="Q143">
        <f t="shared" si="32"/>
        <v>162020</v>
      </c>
      <c r="R143" s="9">
        <v>2.3999999999999998E-3</v>
      </c>
      <c r="T143" s="9">
        <v>0</v>
      </c>
      <c r="U143" s="279">
        <v>4.0000000000000001E-3</v>
      </c>
      <c r="V143" s="349"/>
      <c r="W143" s="349"/>
      <c r="X143">
        <v>28</v>
      </c>
      <c r="Y143">
        <v>1</v>
      </c>
      <c r="Z143" s="346">
        <v>13.13</v>
      </c>
      <c r="AA143" s="349">
        <v>0</v>
      </c>
      <c r="AB143" t="s">
        <v>72</v>
      </c>
      <c r="AG143" s="9"/>
      <c r="AH143" s="9"/>
      <c r="AI143" s="9"/>
      <c r="AL143" s="9"/>
    </row>
    <row r="144" spans="1:38" hidden="1" x14ac:dyDescent="0.3">
      <c r="A144" t="s">
        <v>62</v>
      </c>
      <c r="B144">
        <v>20260226</v>
      </c>
      <c r="C144" s="279">
        <f t="shared" si="28"/>
        <v>2.3E-3</v>
      </c>
      <c r="D144" s="279">
        <v>-1.01E-2</v>
      </c>
      <c r="E144" s="279">
        <v>-9.4999999999999998E-3</v>
      </c>
      <c r="F144" s="279">
        <v>-7.7999999999999996E-3</v>
      </c>
      <c r="G144" s="279">
        <v>-1.4500000000000001E-2</v>
      </c>
      <c r="H144" s="305">
        <f t="shared" si="29"/>
        <v>0.65517241379310343</v>
      </c>
      <c r="I144" s="279">
        <f t="shared" si="30"/>
        <v>-8.6999999999999994E-3</v>
      </c>
      <c r="J144" s="279">
        <v>0</v>
      </c>
      <c r="K144" s="279">
        <v>4.5999999999999999E-3</v>
      </c>
      <c r="L144" s="279">
        <f t="shared" si="31"/>
        <v>-4.5999999999999999E-3</v>
      </c>
      <c r="M144" s="9">
        <v>5.5999999999999999E-3</v>
      </c>
      <c r="N144" s="9">
        <v>4.4999999999999997E-3</v>
      </c>
      <c r="O144" s="9">
        <v>5.7999999999999996E-3</v>
      </c>
      <c r="P144">
        <v>-11180</v>
      </c>
      <c r="Q144">
        <f t="shared" si="32"/>
        <v>150840</v>
      </c>
      <c r="R144" s="279">
        <v>-1.01E-2</v>
      </c>
      <c r="T144" s="9">
        <v>0</v>
      </c>
      <c r="U144" s="279">
        <v>-2.8999999999999998E-3</v>
      </c>
      <c r="V144" s="349"/>
      <c r="W144" s="349"/>
      <c r="X144">
        <v>21</v>
      </c>
      <c r="Y144">
        <v>3</v>
      </c>
      <c r="Z144" s="346">
        <v>8.32</v>
      </c>
      <c r="AA144" s="349">
        <v>1</v>
      </c>
      <c r="AB144" t="s">
        <v>73</v>
      </c>
      <c r="AG144" s="9"/>
      <c r="AH144" s="9"/>
      <c r="AI144" s="9"/>
      <c r="AL144" s="9"/>
    </row>
    <row r="145" spans="1:38" hidden="1" x14ac:dyDescent="0.3">
      <c r="A145" t="s">
        <v>62</v>
      </c>
      <c r="B145">
        <v>20260227</v>
      </c>
      <c r="C145" s="279">
        <f t="shared" si="28"/>
        <v>2.5999999999999999E-3</v>
      </c>
      <c r="D145" s="279">
        <v>-1.9E-3</v>
      </c>
      <c r="E145" s="279">
        <v>1.8000000000000001E-4</v>
      </c>
      <c r="F145" s="279">
        <v>6.9999999999999999E-4</v>
      </c>
      <c r="G145" s="279">
        <v>8.6E-3</v>
      </c>
      <c r="H145" s="305">
        <f t="shared" si="29"/>
        <v>2.0930232558139535E-2</v>
      </c>
      <c r="I145" s="279">
        <f t="shared" si="30"/>
        <v>5.1599999999999997E-3</v>
      </c>
      <c r="J145" s="279">
        <v>0</v>
      </c>
      <c r="K145" s="279">
        <v>1.18E-2</v>
      </c>
      <c r="L145" s="279">
        <f t="shared" si="31"/>
        <v>-1.18E-2</v>
      </c>
      <c r="M145" s="9">
        <v>1.4200000000000001E-2</v>
      </c>
      <c r="N145" s="9">
        <v>8.8000000000000005E-3</v>
      </c>
      <c r="O145" s="9">
        <v>9.7999999999999997E-3</v>
      </c>
      <c r="P145">
        <v>4800</v>
      </c>
      <c r="Q145">
        <f t="shared" si="32"/>
        <v>155640</v>
      </c>
      <c r="R145" s="9">
        <v>2.5999999999999999E-3</v>
      </c>
      <c r="T145" s="9">
        <v>0</v>
      </c>
      <c r="U145" s="279">
        <v>6.4000000000000003E-3</v>
      </c>
      <c r="V145" s="349"/>
      <c r="W145" s="349"/>
      <c r="X145">
        <v>23</v>
      </c>
      <c r="Y145">
        <v>2</v>
      </c>
      <c r="Z145" s="346">
        <v>12.25</v>
      </c>
      <c r="AA145" s="349">
        <v>2</v>
      </c>
      <c r="AB145" t="s">
        <v>74</v>
      </c>
      <c r="AG145" s="9"/>
      <c r="AH145" s="9"/>
      <c r="AI145" s="9"/>
      <c r="AL145" s="9"/>
    </row>
    <row r="146" spans="1:38" x14ac:dyDescent="0.3">
      <c r="B146" s="295" t="s">
        <v>75</v>
      </c>
      <c r="C146" s="296">
        <f>SUM(C147:C168)</f>
        <v>2.0999999999999984E-2</v>
      </c>
      <c r="D146" s="296">
        <f>SUM(D147:D168)</f>
        <v>-8.7599999999999983E-2</v>
      </c>
      <c r="E146" s="296">
        <f>SUM(E147:E168)</f>
        <v>-6.0600000000000001E-2</v>
      </c>
      <c r="F146" s="296">
        <f>SUM(F147:F168)</f>
        <v>-6.6600000000000006E-2</v>
      </c>
      <c r="G146" s="296">
        <f>SUM(G147:G168)</f>
        <v>-5.4260000000000003E-2</v>
      </c>
      <c r="H146" s="344">
        <f t="shared" ref="H146:H177" si="33">F146/G146</f>
        <v>1.2274235164025065</v>
      </c>
      <c r="I146" s="296">
        <f t="shared" ref="I146:P146" si="34">SUM(I147:I168)</f>
        <v>-3.2556000000000009E-2</v>
      </c>
      <c r="J146" s="296">
        <f t="shared" si="34"/>
        <v>0</v>
      </c>
      <c r="K146" s="296">
        <f t="shared" si="34"/>
        <v>-4.2000000000000003E-2</v>
      </c>
      <c r="L146" s="296">
        <f t="shared" si="34"/>
        <v>4.2000000000000003E-2</v>
      </c>
      <c r="M146" s="296">
        <f t="shared" si="34"/>
        <v>-4.929999999999999E-2</v>
      </c>
      <c r="N146" s="296">
        <f t="shared" si="34"/>
        <v>-4.2230000000000004E-2</v>
      </c>
      <c r="O146" s="296">
        <f t="shared" si="34"/>
        <v>1.4500000000000002E-2</v>
      </c>
      <c r="P146" s="315">
        <f t="shared" si="34"/>
        <v>-172555</v>
      </c>
      <c r="Q146" s="315">
        <v>155640</v>
      </c>
      <c r="R146" s="296">
        <f>SUM(R147:R168)</f>
        <v>-4.5999999999999999E-2</v>
      </c>
      <c r="S146" s="315">
        <f>SUM(S147:S168)</f>
        <v>0</v>
      </c>
      <c r="T146" s="296">
        <f>SUM(T147:T168)</f>
        <v>0</v>
      </c>
      <c r="U146" s="296">
        <f>SUM(U147:U168)</f>
        <v>-7.2999999999999982E-2</v>
      </c>
      <c r="V146" s="315"/>
      <c r="W146" s="315"/>
      <c r="AG146" s="9"/>
      <c r="AH146" s="9"/>
      <c r="AI146" s="9"/>
      <c r="AL146" s="9"/>
    </row>
    <row r="147" spans="1:38" hidden="1" x14ac:dyDescent="0.3">
      <c r="B147">
        <v>20260302</v>
      </c>
      <c r="C147" s="279">
        <f t="shared" ref="C147:C168" si="35">F147-D147</f>
        <v>0</v>
      </c>
      <c r="D147" s="279">
        <v>-4.0000000000000001E-3</v>
      </c>
      <c r="E147" s="279">
        <v>-2E-3</v>
      </c>
      <c r="F147" s="279">
        <v>-4.0000000000000001E-3</v>
      </c>
      <c r="G147" s="279">
        <v>-5.4000000000000003E-3</v>
      </c>
      <c r="H147" s="344">
        <f t="shared" si="33"/>
        <v>0.7407407407407407</v>
      </c>
      <c r="I147" s="279">
        <f t="shared" ref="I147:I168" si="36">G147*$A$1</f>
        <v>-3.2400000000000003E-3</v>
      </c>
      <c r="J147" s="279">
        <v>0</v>
      </c>
      <c r="K147" s="279">
        <v>-1.6799999999999999E-2</v>
      </c>
      <c r="L147" s="279">
        <f t="shared" ref="L147:L168" si="37">J147-K147</f>
        <v>1.6799999999999999E-2</v>
      </c>
      <c r="M147" s="279">
        <v>-1.8599999999999998E-2</v>
      </c>
      <c r="N147" s="279">
        <v>-1.6E-2</v>
      </c>
      <c r="O147" s="279">
        <v>-1.5599999999999999E-2</v>
      </c>
      <c r="P147">
        <v>-9000</v>
      </c>
      <c r="Q147">
        <f t="shared" ref="Q147:Q168" si="38">Q146+P147</f>
        <v>146640</v>
      </c>
      <c r="R147" s="279">
        <v>-1E-4</v>
      </c>
      <c r="S147" s="349"/>
      <c r="T147" s="9">
        <v>0</v>
      </c>
      <c r="U147" s="279">
        <v>-3.2099999999999997E-2</v>
      </c>
      <c r="V147" s="349"/>
      <c r="W147" s="349"/>
      <c r="X147">
        <v>8</v>
      </c>
      <c r="Y147">
        <v>20</v>
      </c>
      <c r="Z147" s="346">
        <v>31.7</v>
      </c>
      <c r="AA147" s="349">
        <v>3</v>
      </c>
      <c r="AB147" t="s">
        <v>76</v>
      </c>
      <c r="AG147" s="9"/>
      <c r="AH147" s="9"/>
      <c r="AI147" s="9"/>
      <c r="AL147" s="9"/>
    </row>
    <row r="148" spans="1:38" hidden="1" x14ac:dyDescent="0.3">
      <c r="A148" t="s">
        <v>62</v>
      </c>
      <c r="B148">
        <v>20260303</v>
      </c>
      <c r="C148" s="279">
        <f t="shared" si="35"/>
        <v>1.6299999999999999E-2</v>
      </c>
      <c r="D148" s="279">
        <v>-2.3099999999999999E-2</v>
      </c>
      <c r="E148" s="279">
        <v>-6.0000000000000001E-3</v>
      </c>
      <c r="F148" s="279">
        <v>-6.7999999999999996E-3</v>
      </c>
      <c r="G148" s="279">
        <v>-5.0000000000000001E-3</v>
      </c>
      <c r="H148" s="344">
        <f t="shared" si="33"/>
        <v>1.3599999999999999</v>
      </c>
      <c r="I148" s="279">
        <f t="shared" si="36"/>
        <v>-3.0000000000000001E-3</v>
      </c>
      <c r="J148" s="279">
        <v>0</v>
      </c>
      <c r="K148" s="279">
        <v>-3.3000000000000002E-2</v>
      </c>
      <c r="L148" s="279">
        <f t="shared" si="37"/>
        <v>3.3000000000000002E-2</v>
      </c>
      <c r="M148" s="279">
        <v>-3.4500000000000003E-2</v>
      </c>
      <c r="N148" s="279">
        <v>-3.1099999999999999E-2</v>
      </c>
      <c r="O148" s="279">
        <v>-3.0300000000000001E-2</v>
      </c>
      <c r="P148">
        <v>-34000</v>
      </c>
      <c r="Q148">
        <f t="shared" si="38"/>
        <v>112640</v>
      </c>
      <c r="R148" s="279">
        <v>-7.1000000000000004E-3</v>
      </c>
      <c r="S148" s="349"/>
      <c r="T148" s="9">
        <v>0</v>
      </c>
      <c r="U148" s="279">
        <v>-2.6599999999999999E-2</v>
      </c>
      <c r="V148" s="349"/>
      <c r="W148" s="349"/>
      <c r="X148">
        <v>4</v>
      </c>
      <c r="Y148">
        <v>56</v>
      </c>
      <c r="Z148" s="346">
        <v>63.91</v>
      </c>
      <c r="AA148" s="349">
        <v>7</v>
      </c>
      <c r="AB148" t="s">
        <v>77</v>
      </c>
      <c r="AG148" s="9"/>
      <c r="AH148" s="9"/>
      <c r="AI148" s="9"/>
      <c r="AL148" s="9"/>
    </row>
    <row r="149" spans="1:38" hidden="1" x14ac:dyDescent="0.3">
      <c r="A149" t="s">
        <v>60</v>
      </c>
      <c r="B149">
        <v>20260304</v>
      </c>
      <c r="C149" s="279">
        <f t="shared" si="35"/>
        <v>2.0000000000000009E-4</v>
      </c>
      <c r="D149" s="279">
        <v>-2.2000000000000001E-3</v>
      </c>
      <c r="E149" s="279">
        <v>-2E-3</v>
      </c>
      <c r="F149" s="279">
        <v>-2E-3</v>
      </c>
      <c r="G149" s="279">
        <v>-1.7500000000000002E-2</v>
      </c>
      <c r="H149" s="344">
        <f t="shared" si="33"/>
        <v>0.11428571428571428</v>
      </c>
      <c r="I149" s="279">
        <f t="shared" si="36"/>
        <v>-1.0500000000000001E-2</v>
      </c>
      <c r="J149" s="279">
        <v>0</v>
      </c>
      <c r="K149" s="279">
        <v>-1.8E-3</v>
      </c>
      <c r="L149" s="279">
        <f t="shared" si="37"/>
        <v>1.8E-3</v>
      </c>
      <c r="M149" s="9">
        <v>2E-3</v>
      </c>
      <c r="N149" s="279">
        <v>-6.7000000000000002E-3</v>
      </c>
      <c r="O149" s="279">
        <v>-5.7000000000000002E-3</v>
      </c>
      <c r="P149">
        <v>-23300</v>
      </c>
      <c r="Q149">
        <f t="shared" si="38"/>
        <v>89340</v>
      </c>
      <c r="R149" s="279">
        <v>-8.0000000000000004E-4</v>
      </c>
      <c r="T149" s="9">
        <v>0</v>
      </c>
      <c r="U149" s="279">
        <v>-6.4999999999999997E-3</v>
      </c>
      <c r="V149" s="349"/>
      <c r="W149" s="349"/>
      <c r="X149">
        <v>5</v>
      </c>
      <c r="Y149">
        <v>13</v>
      </c>
      <c r="Z149" s="346">
        <v>14.54</v>
      </c>
      <c r="AA149" s="349">
        <v>10</v>
      </c>
      <c r="AB149" t="s">
        <v>78</v>
      </c>
      <c r="AG149" s="9"/>
      <c r="AH149" s="9"/>
      <c r="AI149" s="9"/>
      <c r="AL149" s="9"/>
    </row>
    <row r="150" spans="1:38" hidden="1" x14ac:dyDescent="0.3">
      <c r="B150">
        <v>20260305</v>
      </c>
      <c r="C150" s="279">
        <f t="shared" si="35"/>
        <v>-1.9E-3</v>
      </c>
      <c r="D150" s="279">
        <v>2.0000000000000001E-4</v>
      </c>
      <c r="E150" s="279">
        <v>-1.9E-3</v>
      </c>
      <c r="F150" s="279">
        <v>-1.6999999999999999E-3</v>
      </c>
      <c r="G150" s="279">
        <v>3.0000000000000001E-3</v>
      </c>
      <c r="H150" s="305">
        <f t="shared" si="33"/>
        <v>-0.56666666666666665</v>
      </c>
      <c r="I150" s="279">
        <f t="shared" si="36"/>
        <v>1.8E-3</v>
      </c>
      <c r="J150" s="279">
        <v>0</v>
      </c>
      <c r="K150" s="279">
        <v>1.4500000000000001E-2</v>
      </c>
      <c r="L150" s="279">
        <f t="shared" si="37"/>
        <v>-1.4500000000000001E-2</v>
      </c>
      <c r="M150" s="9">
        <v>1.77E-2</v>
      </c>
      <c r="N150" s="9">
        <v>1.41E-2</v>
      </c>
      <c r="O150" s="9">
        <v>2.4E-2</v>
      </c>
      <c r="P150">
        <v>7800</v>
      </c>
      <c r="Q150">
        <f t="shared" si="38"/>
        <v>97140</v>
      </c>
      <c r="R150" s="279">
        <v>-8.9999999999999998E-4</v>
      </c>
      <c r="T150" s="9">
        <v>0</v>
      </c>
      <c r="U150" s="279">
        <v>1.3299999999999999E-2</v>
      </c>
      <c r="V150" s="349"/>
      <c r="W150" s="349"/>
      <c r="X150">
        <v>15</v>
      </c>
      <c r="Y150">
        <v>6</v>
      </c>
      <c r="Z150" s="346">
        <v>14.08</v>
      </c>
      <c r="AA150" s="349">
        <v>0</v>
      </c>
      <c r="AB150" t="s">
        <v>79</v>
      </c>
      <c r="AG150" s="9"/>
      <c r="AH150" s="9"/>
      <c r="AI150" s="9"/>
      <c r="AL150" s="9"/>
    </row>
    <row r="151" spans="1:38" hidden="1" x14ac:dyDescent="0.3">
      <c r="A151" t="s">
        <v>62</v>
      </c>
      <c r="B151">
        <v>20260306</v>
      </c>
      <c r="C151" s="279">
        <f t="shared" si="35"/>
        <v>2.1000000000000003E-3</v>
      </c>
      <c r="D151" s="279">
        <v>3.8999999999999998E-3</v>
      </c>
      <c r="E151" s="279">
        <v>5.4999999999999997E-3</v>
      </c>
      <c r="F151" s="279">
        <v>6.0000000000000001E-3</v>
      </c>
      <c r="G151" s="279">
        <v>1.8499999999999999E-2</v>
      </c>
      <c r="H151" s="305">
        <f t="shared" si="33"/>
        <v>0.32432432432432434</v>
      </c>
      <c r="I151" s="279">
        <f t="shared" si="36"/>
        <v>1.1099999999999999E-2</v>
      </c>
      <c r="J151" s="279">
        <v>0</v>
      </c>
      <c r="K151" s="279">
        <v>1.24E-2</v>
      </c>
      <c r="L151" s="279">
        <f t="shared" si="37"/>
        <v>-1.24E-2</v>
      </c>
      <c r="M151" s="9">
        <v>1.6299999999999999E-2</v>
      </c>
      <c r="N151" s="9">
        <v>9.7999999999999997E-3</v>
      </c>
      <c r="O151" s="9">
        <v>1.54E-2</v>
      </c>
      <c r="P151">
        <v>35000</v>
      </c>
      <c r="Q151">
        <f t="shared" si="38"/>
        <v>132140</v>
      </c>
      <c r="R151" s="9">
        <v>5.3E-3</v>
      </c>
      <c r="T151" s="9">
        <v>0</v>
      </c>
      <c r="U151" s="279">
        <v>3.5099999999999999E-2</v>
      </c>
      <c r="V151" s="349"/>
      <c r="W151" s="349"/>
      <c r="X151">
        <v>15</v>
      </c>
      <c r="Y151">
        <v>8</v>
      </c>
      <c r="Z151" s="346">
        <v>21.84</v>
      </c>
      <c r="AA151" s="349">
        <v>0</v>
      </c>
      <c r="AB151" t="s">
        <v>80</v>
      </c>
      <c r="AG151" s="9"/>
      <c r="AH151" s="9"/>
      <c r="AI151" s="9"/>
      <c r="AL151" s="9"/>
    </row>
    <row r="152" spans="1:38" hidden="1" x14ac:dyDescent="0.3">
      <c r="A152" t="s">
        <v>62</v>
      </c>
      <c r="B152">
        <v>20260309</v>
      </c>
      <c r="C152" s="279">
        <f t="shared" si="35"/>
        <v>-2.7000000000000001E-3</v>
      </c>
      <c r="D152" s="279">
        <v>-4.3E-3</v>
      </c>
      <c r="E152" s="279">
        <v>-5.0000000000000001E-4</v>
      </c>
      <c r="F152" s="279">
        <v>-7.0000000000000001E-3</v>
      </c>
      <c r="G152" s="279">
        <v>3.0999999999999999E-3</v>
      </c>
      <c r="H152" s="305">
        <f t="shared" si="33"/>
        <v>-2.2580645161290325</v>
      </c>
      <c r="I152" s="279">
        <f t="shared" si="36"/>
        <v>1.8599999999999999E-3</v>
      </c>
      <c r="J152" s="279">
        <v>0</v>
      </c>
      <c r="K152" s="279">
        <v>-6.1999999999999998E-3</v>
      </c>
      <c r="L152" s="279">
        <f t="shared" si="37"/>
        <v>6.1999999999999998E-3</v>
      </c>
      <c r="M152" s="279">
        <v>5.0000000000000001E-4</v>
      </c>
      <c r="N152" s="279">
        <v>-9.4000000000000004E-3</v>
      </c>
      <c r="O152" s="9">
        <v>6.9999999999999999E-4</v>
      </c>
      <c r="P152">
        <v>-23000</v>
      </c>
      <c r="Q152">
        <f t="shared" si="38"/>
        <v>109140</v>
      </c>
      <c r="R152" s="9">
        <v>1E-4</v>
      </c>
      <c r="T152" s="9">
        <v>0</v>
      </c>
      <c r="U152" s="279">
        <v>-8.6999999999999994E-3</v>
      </c>
      <c r="V152" s="349"/>
      <c r="W152" s="349"/>
      <c r="X152">
        <v>10</v>
      </c>
      <c r="Y152">
        <v>6</v>
      </c>
      <c r="Z152" s="346">
        <v>19.170000000000002</v>
      </c>
      <c r="AA152" s="349">
        <v>3</v>
      </c>
      <c r="AB152" t="s">
        <v>81</v>
      </c>
      <c r="AG152" s="9"/>
      <c r="AH152" s="9"/>
      <c r="AI152" s="9"/>
      <c r="AL152" s="9"/>
    </row>
    <row r="153" spans="1:38" hidden="1" x14ac:dyDescent="0.3">
      <c r="A153" t="s">
        <v>60</v>
      </c>
      <c r="B153">
        <v>20260310</v>
      </c>
      <c r="C153" s="279">
        <f t="shared" si="35"/>
        <v>-7.2000000000000007E-3</v>
      </c>
      <c r="D153" s="279">
        <v>1.2200000000000001E-2</v>
      </c>
      <c r="E153" s="279">
        <v>6.3E-3</v>
      </c>
      <c r="F153" s="279">
        <v>5.0000000000000001E-3</v>
      </c>
      <c r="G153" s="279">
        <v>1.4800000000000001E-2</v>
      </c>
      <c r="H153" s="305">
        <f t="shared" si="33"/>
        <v>0.33783783783783783</v>
      </c>
      <c r="I153" s="279">
        <f t="shared" si="36"/>
        <v>8.8800000000000007E-3</v>
      </c>
      <c r="J153" s="279">
        <v>0</v>
      </c>
      <c r="K153" s="279">
        <v>1.6299999999999999E-2</v>
      </c>
      <c r="L153" s="279">
        <f t="shared" si="37"/>
        <v>-1.6299999999999999E-2</v>
      </c>
      <c r="M153" s="9">
        <v>1.67E-2</v>
      </c>
      <c r="N153" s="9">
        <v>1.6E-2</v>
      </c>
      <c r="O153" s="9">
        <v>1.35E-2</v>
      </c>
      <c r="P153">
        <v>23900</v>
      </c>
      <c r="Q153">
        <f t="shared" si="38"/>
        <v>133040</v>
      </c>
      <c r="R153" s="9">
        <v>8.6E-3</v>
      </c>
      <c r="T153" s="9">
        <v>0</v>
      </c>
      <c r="U153" s="279">
        <v>2.64E-2</v>
      </c>
      <c r="V153" s="349"/>
      <c r="W153" s="349"/>
      <c r="X153">
        <v>20</v>
      </c>
      <c r="Y153">
        <v>4</v>
      </c>
      <c r="Z153" s="346">
        <v>20.67</v>
      </c>
      <c r="AA153" s="349">
        <v>0</v>
      </c>
      <c r="AB153" t="s">
        <v>82</v>
      </c>
      <c r="AG153" s="9"/>
      <c r="AH153" s="9"/>
      <c r="AI153" s="9"/>
      <c r="AL153" s="9"/>
    </row>
    <row r="154" spans="1:38" hidden="1" x14ac:dyDescent="0.3">
      <c r="A154" s="342" t="s">
        <v>30</v>
      </c>
      <c r="B154">
        <v>20260311</v>
      </c>
      <c r="C154" s="279">
        <f t="shared" si="35"/>
        <v>1E-3</v>
      </c>
      <c r="D154" s="279">
        <v>5.0000000000000001E-4</v>
      </c>
      <c r="E154" s="279">
        <v>-8.0000000000000004E-4</v>
      </c>
      <c r="F154" s="279">
        <v>1.5E-3</v>
      </c>
      <c r="G154" s="279">
        <v>-1.66E-3</v>
      </c>
      <c r="H154" s="305">
        <f t="shared" si="33"/>
        <v>-0.90361445783132532</v>
      </c>
      <c r="I154" s="279">
        <f t="shared" si="36"/>
        <v>-9.9599999999999992E-4</v>
      </c>
      <c r="J154" s="279">
        <v>0</v>
      </c>
      <c r="K154" s="279">
        <v>7.7999999999999996E-3</v>
      </c>
      <c r="L154" s="279">
        <f t="shared" si="37"/>
        <v>-7.7999999999999996E-3</v>
      </c>
      <c r="M154" s="9">
        <v>4.8999999999999998E-3</v>
      </c>
      <c r="N154" s="9">
        <v>9.8700000000000003E-3</v>
      </c>
      <c r="O154" s="279">
        <v>-2.5999999999999999E-3</v>
      </c>
      <c r="P154">
        <v>1400</v>
      </c>
      <c r="Q154">
        <f t="shared" si="38"/>
        <v>134440</v>
      </c>
      <c r="R154" s="9">
        <v>1.6999999999999999E-3</v>
      </c>
      <c r="T154" s="9">
        <v>0</v>
      </c>
      <c r="U154" s="279">
        <v>-8.0999999999999996E-3</v>
      </c>
      <c r="V154" s="349"/>
      <c r="W154" s="349"/>
      <c r="X154">
        <v>15</v>
      </c>
      <c r="Y154">
        <v>0</v>
      </c>
      <c r="Z154" s="346">
        <v>17.09</v>
      </c>
      <c r="AA154" s="349">
        <v>0</v>
      </c>
      <c r="AB154" t="s">
        <v>83</v>
      </c>
      <c r="AG154" s="9"/>
      <c r="AH154" s="9"/>
      <c r="AI154" s="9"/>
      <c r="AL154" s="9"/>
    </row>
    <row r="155" spans="1:38" hidden="1" x14ac:dyDescent="0.3">
      <c r="A155" t="s">
        <v>62</v>
      </c>
      <c r="B155">
        <v>20260312</v>
      </c>
      <c r="C155" s="279">
        <f t="shared" si="35"/>
        <v>1.95E-2</v>
      </c>
      <c r="D155" s="279">
        <v>-1.4500000000000001E-2</v>
      </c>
      <c r="E155" s="279">
        <v>-6.7000000000000002E-3</v>
      </c>
      <c r="F155" s="279">
        <v>5.0000000000000001E-3</v>
      </c>
      <c r="G155" s="279">
        <v>6.4999999999999997E-3</v>
      </c>
      <c r="H155" s="305">
        <f t="shared" si="33"/>
        <v>0.76923076923076927</v>
      </c>
      <c r="I155" s="279">
        <f t="shared" si="36"/>
        <v>3.8999999999999998E-3</v>
      </c>
      <c r="J155" s="279">
        <v>0</v>
      </c>
      <c r="K155" s="279">
        <v>-7.3000000000000001E-3</v>
      </c>
      <c r="L155" s="279">
        <f t="shared" si="37"/>
        <v>7.3000000000000001E-3</v>
      </c>
      <c r="M155" s="279">
        <v>-0.01</v>
      </c>
      <c r="N155" s="279">
        <v>-7.1000000000000004E-3</v>
      </c>
      <c r="O155" s="279">
        <v>-2.0999999999999999E-3</v>
      </c>
      <c r="P155">
        <v>-1000</v>
      </c>
      <c r="Q155">
        <f t="shared" si="38"/>
        <v>133440</v>
      </c>
      <c r="R155" s="279">
        <v>-9.5999999999999992E-3</v>
      </c>
      <c r="S155" s="349"/>
      <c r="T155" s="9">
        <v>0</v>
      </c>
      <c r="U155" s="279">
        <v>-1.3599999999999999E-2</v>
      </c>
      <c r="V155" s="349"/>
      <c r="W155" s="349"/>
      <c r="X155">
        <v>13</v>
      </c>
      <c r="Y155">
        <v>8</v>
      </c>
      <c r="Z155" s="346">
        <v>13.8</v>
      </c>
      <c r="AA155" s="349">
        <v>0</v>
      </c>
      <c r="AB155" t="s">
        <v>84</v>
      </c>
      <c r="AG155" s="9"/>
      <c r="AH155" s="9"/>
      <c r="AI155" s="9"/>
      <c r="AL155" s="9"/>
    </row>
    <row r="156" spans="1:38" hidden="1" x14ac:dyDescent="0.3">
      <c r="A156" t="s">
        <v>62</v>
      </c>
      <c r="B156">
        <v>20260313</v>
      </c>
      <c r="C156" s="279">
        <f t="shared" si="35"/>
        <v>9.2999999999999992E-3</v>
      </c>
      <c r="D156" s="279">
        <v>-1.26E-2</v>
      </c>
      <c r="E156" s="279">
        <v>-5.7000000000000002E-3</v>
      </c>
      <c r="F156" s="279">
        <v>-3.3E-3</v>
      </c>
      <c r="G156" s="279">
        <v>-4.0000000000000001E-3</v>
      </c>
      <c r="H156" s="305">
        <f t="shared" si="33"/>
        <v>0.82499999999999996</v>
      </c>
      <c r="I156" s="279">
        <f t="shared" si="36"/>
        <v>-2.3999999999999998E-3</v>
      </c>
      <c r="J156" s="279">
        <v>0</v>
      </c>
      <c r="K156" s="279">
        <v>-5.0000000000000001E-4</v>
      </c>
      <c r="L156" s="279">
        <f t="shared" si="37"/>
        <v>5.0000000000000001E-4</v>
      </c>
      <c r="M156" s="279">
        <v>-3.3E-3</v>
      </c>
      <c r="N156" s="279">
        <v>2.3E-3</v>
      </c>
      <c r="O156" s="279">
        <v>6.1999999999999998E-3</v>
      </c>
      <c r="P156">
        <v>-11300</v>
      </c>
      <c r="Q156">
        <f t="shared" si="38"/>
        <v>122140</v>
      </c>
      <c r="R156" s="279">
        <v>-0.01</v>
      </c>
      <c r="T156" s="9">
        <v>0</v>
      </c>
      <c r="U156" s="279">
        <v>5.9999999999999995E-4</v>
      </c>
      <c r="V156" s="349"/>
      <c r="W156" s="349"/>
      <c r="X156">
        <v>11</v>
      </c>
      <c r="Y156">
        <v>11</v>
      </c>
      <c r="Z156" s="346">
        <v>16.3</v>
      </c>
      <c r="AA156" s="349">
        <v>1</v>
      </c>
      <c r="AB156" t="s">
        <v>85</v>
      </c>
      <c r="AG156" s="9"/>
      <c r="AH156" s="9"/>
      <c r="AI156" s="9"/>
      <c r="AL156" s="9"/>
    </row>
    <row r="157" spans="1:38" hidden="1" x14ac:dyDescent="0.3">
      <c r="B157">
        <v>20260316</v>
      </c>
      <c r="C157" s="279">
        <f t="shared" si="35"/>
        <v>5.0000000000000001E-3</v>
      </c>
      <c r="D157" s="279">
        <v>-1E-3</v>
      </c>
      <c r="E157" s="279">
        <v>-2.8999999999999998E-3</v>
      </c>
      <c r="F157" s="279">
        <v>4.0000000000000001E-3</v>
      </c>
      <c r="G157" s="279">
        <v>8.0000000000000002E-3</v>
      </c>
      <c r="H157" s="305">
        <f t="shared" si="33"/>
        <v>0.5</v>
      </c>
      <c r="I157" s="279">
        <f t="shared" si="36"/>
        <v>4.7999999999999996E-3</v>
      </c>
      <c r="J157" s="279">
        <v>0</v>
      </c>
      <c r="K157" s="279">
        <v>5.0000000000000001E-3</v>
      </c>
      <c r="L157" s="279">
        <f t="shared" si="37"/>
        <v>-5.0000000000000001E-3</v>
      </c>
      <c r="M157" s="9">
        <v>4.0000000000000001E-3</v>
      </c>
      <c r="N157" s="9">
        <v>4.7999999999999996E-3</v>
      </c>
      <c r="O157" s="9">
        <v>7.7999999999999996E-3</v>
      </c>
      <c r="P157">
        <v>0</v>
      </c>
      <c r="Q157">
        <f t="shared" si="38"/>
        <v>122140</v>
      </c>
      <c r="R157" s="279">
        <v>-1.6999999999999999E-3</v>
      </c>
      <c r="T157" s="9">
        <v>0</v>
      </c>
      <c r="U157" s="279">
        <v>2.0999999999999999E-3</v>
      </c>
      <c r="V157" s="349"/>
      <c r="W157" s="349"/>
      <c r="X157">
        <v>20</v>
      </c>
      <c r="Y157">
        <v>6</v>
      </c>
      <c r="Z157" s="346">
        <v>21.18</v>
      </c>
      <c r="AA157" s="349">
        <v>1</v>
      </c>
      <c r="AB157" t="s">
        <v>86</v>
      </c>
      <c r="AG157" s="9"/>
      <c r="AH157" s="9"/>
      <c r="AI157" s="9"/>
      <c r="AL157" s="9"/>
    </row>
    <row r="158" spans="1:38" hidden="1" x14ac:dyDescent="0.3">
      <c r="A158" t="s">
        <v>62</v>
      </c>
      <c r="B158">
        <v>20260317</v>
      </c>
      <c r="C158" s="279">
        <f t="shared" si="35"/>
        <v>1.4699999999999998E-2</v>
      </c>
      <c r="D158" s="279">
        <v>-1.9699999999999999E-2</v>
      </c>
      <c r="E158" s="279">
        <v>-1.0800000000000001E-2</v>
      </c>
      <c r="F158" s="279">
        <v>-5.0000000000000001E-3</v>
      </c>
      <c r="G158" s="279">
        <v>-1.1900000000000001E-2</v>
      </c>
      <c r="H158" s="305">
        <f t="shared" si="33"/>
        <v>0.42016806722689076</v>
      </c>
      <c r="I158" s="279">
        <f t="shared" si="36"/>
        <v>-7.1400000000000005E-3</v>
      </c>
      <c r="J158" s="279">
        <v>0</v>
      </c>
      <c r="K158" s="279">
        <v>-7.4999999999999997E-3</v>
      </c>
      <c r="L158" s="279">
        <f t="shared" si="37"/>
        <v>7.4999999999999997E-3</v>
      </c>
      <c r="M158" s="279">
        <v>-8.3999999999999995E-3</v>
      </c>
      <c r="N158" s="279">
        <v>-5.7000000000000002E-3</v>
      </c>
      <c r="O158" s="279">
        <v>8.9999999999999998E-4</v>
      </c>
      <c r="P158">
        <v>-14000</v>
      </c>
      <c r="Q158">
        <f t="shared" si="38"/>
        <v>108140</v>
      </c>
      <c r="R158" s="279">
        <v>-1.2699999999999999E-2</v>
      </c>
      <c r="T158" s="9">
        <v>0</v>
      </c>
      <c r="U158" s="279">
        <v>-2.2800000000000001E-2</v>
      </c>
      <c r="V158" s="349"/>
      <c r="W158" s="349"/>
      <c r="X158">
        <v>14</v>
      </c>
      <c r="Y158">
        <v>7</v>
      </c>
      <c r="Z158" s="346">
        <v>22.51</v>
      </c>
      <c r="AA158" s="349">
        <v>0</v>
      </c>
      <c r="AB158" t="s">
        <v>87</v>
      </c>
      <c r="AG158" s="9"/>
      <c r="AH158" s="9"/>
      <c r="AI158" s="9"/>
      <c r="AL158" s="9"/>
    </row>
    <row r="159" spans="1:38" hidden="1" x14ac:dyDescent="0.3">
      <c r="A159" t="s">
        <v>60</v>
      </c>
      <c r="B159">
        <v>20260318</v>
      </c>
      <c r="C159" s="279">
        <f t="shared" si="35"/>
        <v>-1.6400000000000001E-2</v>
      </c>
      <c r="D159" s="279">
        <v>1.4200000000000001E-2</v>
      </c>
      <c r="E159" s="279">
        <v>6.7000000000000002E-3</v>
      </c>
      <c r="F159" s="279">
        <v>-2.2000000000000001E-3</v>
      </c>
      <c r="G159" s="279">
        <v>-3.0999999999999999E-3</v>
      </c>
      <c r="H159" s="305">
        <f t="shared" si="33"/>
        <v>0.70967741935483875</v>
      </c>
      <c r="I159" s="279">
        <f t="shared" si="36"/>
        <v>-1.8599999999999999E-3</v>
      </c>
      <c r="J159" s="279">
        <v>0</v>
      </c>
      <c r="K159" s="279">
        <v>5.3E-3</v>
      </c>
      <c r="L159" s="279">
        <f t="shared" si="37"/>
        <v>-5.3E-3</v>
      </c>
      <c r="M159" s="9">
        <v>1.1999999999999999E-3</v>
      </c>
      <c r="N159" s="9">
        <v>8.8999999999999999E-3</v>
      </c>
      <c r="O159" s="9">
        <v>5.1999999999999998E-3</v>
      </c>
      <c r="P159">
        <v>0</v>
      </c>
      <c r="Q159">
        <f t="shared" si="38"/>
        <v>108140</v>
      </c>
      <c r="R159" s="9">
        <v>1.0200000000000001E-2</v>
      </c>
      <c r="T159" s="9">
        <v>0</v>
      </c>
      <c r="U159" s="279">
        <v>1.77E-2</v>
      </c>
      <c r="V159" s="349"/>
      <c r="W159" s="349"/>
      <c r="X159">
        <v>12</v>
      </c>
      <c r="Y159">
        <v>12</v>
      </c>
      <c r="Z159" s="346">
        <v>7.03</v>
      </c>
      <c r="AA159" s="349">
        <v>2</v>
      </c>
      <c r="AB159" t="s">
        <v>88</v>
      </c>
      <c r="AG159" s="9"/>
      <c r="AH159" s="9"/>
      <c r="AI159" s="9"/>
      <c r="AL159" s="9"/>
    </row>
    <row r="160" spans="1:38" hidden="1" x14ac:dyDescent="0.3">
      <c r="B160">
        <v>20260319</v>
      </c>
      <c r="C160" s="279">
        <f t="shared" si="35"/>
        <v>1.2199999999999999E-2</v>
      </c>
      <c r="D160" s="279">
        <v>-2.0199999999999999E-2</v>
      </c>
      <c r="E160" s="279">
        <v>-1.1900000000000001E-2</v>
      </c>
      <c r="F160" s="279">
        <v>-8.0000000000000002E-3</v>
      </c>
      <c r="G160" s="279">
        <v>-1.0800000000000001E-2</v>
      </c>
      <c r="H160" s="305">
        <f t="shared" si="33"/>
        <v>0.7407407407407407</v>
      </c>
      <c r="I160" s="279">
        <f t="shared" si="36"/>
        <v>-6.4800000000000005E-3</v>
      </c>
      <c r="J160" s="279">
        <v>0</v>
      </c>
      <c r="K160" s="279">
        <v>-1.61E-2</v>
      </c>
      <c r="L160" s="279">
        <f t="shared" si="37"/>
        <v>1.61E-2</v>
      </c>
      <c r="M160" s="279">
        <v>-1.9300000000000001E-2</v>
      </c>
      <c r="N160" s="279">
        <v>-1.2999999999999999E-2</v>
      </c>
      <c r="O160" s="279">
        <v>-1.5800000000000002E-2</v>
      </c>
      <c r="P160">
        <v>-41400</v>
      </c>
      <c r="Q160">
        <f t="shared" si="38"/>
        <v>66740</v>
      </c>
      <c r="R160" s="279">
        <v>-1.84E-2</v>
      </c>
      <c r="S160" s="349"/>
      <c r="T160" s="9">
        <v>0</v>
      </c>
      <c r="U160" s="279">
        <v>-2.9899999999999999E-2</v>
      </c>
      <c r="V160" s="349"/>
      <c r="W160" s="349"/>
      <c r="X160">
        <v>8</v>
      </c>
      <c r="Y160">
        <v>11</v>
      </c>
      <c r="Z160" s="346">
        <v>43.03</v>
      </c>
      <c r="AA160" s="349">
        <v>13</v>
      </c>
      <c r="AB160" t="s">
        <v>89</v>
      </c>
      <c r="AG160" s="9"/>
      <c r="AH160" s="9"/>
      <c r="AI160" s="9"/>
      <c r="AL160" s="9"/>
    </row>
    <row r="161" spans="1:38" hidden="1" x14ac:dyDescent="0.3">
      <c r="B161">
        <v>20260320</v>
      </c>
      <c r="C161" s="279">
        <f t="shared" si="35"/>
        <v>3.4000000000000002E-3</v>
      </c>
      <c r="D161" s="279">
        <v>-0.01</v>
      </c>
      <c r="E161" s="279">
        <v>-1.4800000000000001E-2</v>
      </c>
      <c r="F161" s="279">
        <v>-6.6E-3</v>
      </c>
      <c r="G161" s="279">
        <v>-1.5100000000000001E-2</v>
      </c>
      <c r="H161" s="305">
        <f t="shared" si="33"/>
        <v>0.43708609271523174</v>
      </c>
      <c r="I161" s="279">
        <f t="shared" si="36"/>
        <v>-9.0600000000000003E-3</v>
      </c>
      <c r="J161" s="279">
        <v>0</v>
      </c>
      <c r="K161" s="279">
        <v>-1.38E-2</v>
      </c>
      <c r="L161" s="279">
        <f t="shared" si="37"/>
        <v>1.38E-2</v>
      </c>
      <c r="M161" s="279">
        <v>-1.9900000000000001E-2</v>
      </c>
      <c r="N161" s="279">
        <v>-1.01E-2</v>
      </c>
      <c r="O161" s="279">
        <v>-5.4999999999999997E-3</v>
      </c>
      <c r="P161">
        <v>-24800</v>
      </c>
      <c r="Q161">
        <f t="shared" si="38"/>
        <v>41940</v>
      </c>
      <c r="R161" s="279">
        <v>-7.9000000000000008E-3</v>
      </c>
      <c r="S161" s="349"/>
      <c r="T161" s="9">
        <v>0</v>
      </c>
      <c r="U161" s="279">
        <v>-3.73E-2</v>
      </c>
      <c r="V161" s="349"/>
      <c r="W161" s="349"/>
      <c r="X161">
        <v>13</v>
      </c>
      <c r="Y161">
        <v>20</v>
      </c>
      <c r="Z161" s="346">
        <v>23.32</v>
      </c>
      <c r="AA161" s="349">
        <v>15</v>
      </c>
      <c r="AB161" t="s">
        <v>90</v>
      </c>
      <c r="AG161" s="9"/>
      <c r="AH161" s="9"/>
      <c r="AI161" s="9"/>
      <c r="AL161" s="9"/>
    </row>
    <row r="162" spans="1:38" hidden="1" x14ac:dyDescent="0.3">
      <c r="B162">
        <v>20260323</v>
      </c>
      <c r="C162" s="279">
        <f t="shared" si="35"/>
        <v>-1.7600000000000001E-2</v>
      </c>
      <c r="D162" s="279">
        <v>-1.44E-2</v>
      </c>
      <c r="E162" s="279">
        <v>-1.44E-2</v>
      </c>
      <c r="F162" s="279">
        <v>-3.2000000000000001E-2</v>
      </c>
      <c r="G162" s="279">
        <v>-5.7599999999999998E-2</v>
      </c>
      <c r="H162" s="305">
        <f t="shared" si="33"/>
        <v>0.55555555555555558</v>
      </c>
      <c r="I162" s="279">
        <f t="shared" si="36"/>
        <v>-3.456E-2</v>
      </c>
      <c r="J162" s="279">
        <v>0</v>
      </c>
      <c r="K162" s="279">
        <v>-3.9199999999999999E-2</v>
      </c>
      <c r="L162" s="279">
        <f t="shared" si="37"/>
        <v>3.9199999999999999E-2</v>
      </c>
      <c r="M162" s="279">
        <v>-4.3099999999999999E-2</v>
      </c>
      <c r="N162" s="279">
        <v>-3.8600000000000002E-2</v>
      </c>
      <c r="O162" s="279">
        <v>-4.2000000000000003E-2</v>
      </c>
      <c r="P162">
        <v>-100000</v>
      </c>
      <c r="Q162">
        <f t="shared" si="38"/>
        <v>-58060</v>
      </c>
      <c r="R162" s="279">
        <v>-1.2E-2</v>
      </c>
      <c r="S162" s="349"/>
      <c r="T162" s="9">
        <v>0</v>
      </c>
      <c r="U162" s="279">
        <v>-6.4699999999999994E-2</v>
      </c>
      <c r="V162" s="349"/>
      <c r="W162" s="349"/>
      <c r="X162">
        <v>11</v>
      </c>
      <c r="Y162">
        <v>100</v>
      </c>
      <c r="Z162" s="346">
        <v>102.9</v>
      </c>
      <c r="AA162" s="349">
        <v>47</v>
      </c>
      <c r="AB162" t="s">
        <v>91</v>
      </c>
      <c r="AG162" s="9"/>
      <c r="AH162" s="9"/>
      <c r="AI162" s="9"/>
      <c r="AL162" s="9"/>
    </row>
    <row r="163" spans="1:38" hidden="1" x14ac:dyDescent="0.3">
      <c r="A163" t="s">
        <v>60</v>
      </c>
      <c r="B163">
        <v>20260324</v>
      </c>
      <c r="C163" s="279">
        <f t="shared" si="35"/>
        <v>-2.75E-2</v>
      </c>
      <c r="D163" s="279">
        <v>2.75E-2</v>
      </c>
      <c r="E163" s="279">
        <v>2.0799999999999999E-2</v>
      </c>
      <c r="F163" s="279">
        <v>0</v>
      </c>
      <c r="G163" s="279">
        <v>1.5900000000000001E-2</v>
      </c>
      <c r="H163" s="305">
        <f t="shared" si="33"/>
        <v>0</v>
      </c>
      <c r="I163" s="279">
        <f t="shared" si="36"/>
        <v>9.5399999999999999E-3</v>
      </c>
      <c r="J163" s="279">
        <v>0</v>
      </c>
      <c r="K163" s="279">
        <v>2.1999999999999999E-2</v>
      </c>
      <c r="L163" s="279">
        <f t="shared" si="37"/>
        <v>-2.1999999999999999E-2</v>
      </c>
      <c r="M163" s="9">
        <v>2.8400000000000002E-2</v>
      </c>
      <c r="N163" s="9">
        <v>2.2200000000000001E-2</v>
      </c>
      <c r="O163" s="9">
        <v>2.53E-2</v>
      </c>
      <c r="P163">
        <v>40000</v>
      </c>
      <c r="Q163">
        <f t="shared" si="38"/>
        <v>-18060</v>
      </c>
      <c r="R163" s="9">
        <v>2.7300000000000001E-2</v>
      </c>
      <c r="T163" s="9">
        <v>0</v>
      </c>
      <c r="U163" s="279">
        <v>5.6800000000000003E-2</v>
      </c>
      <c r="V163" s="349"/>
      <c r="W163" s="349"/>
      <c r="X163">
        <v>35</v>
      </c>
      <c r="Y163">
        <v>6</v>
      </c>
      <c r="Z163" s="346">
        <v>36.28</v>
      </c>
      <c r="AA163" s="349">
        <v>15</v>
      </c>
      <c r="AB163" t="s">
        <v>92</v>
      </c>
      <c r="AG163" s="9"/>
      <c r="AH163" s="9"/>
      <c r="AI163" s="9"/>
      <c r="AL163" s="9"/>
    </row>
    <row r="164" spans="1:38" hidden="1" x14ac:dyDescent="0.3">
      <c r="B164">
        <v>20260325</v>
      </c>
      <c r="C164" s="279">
        <f t="shared" si="35"/>
        <v>-5.9999999999999984E-4</v>
      </c>
      <c r="D164" s="279">
        <v>1.1599999999999999E-2</v>
      </c>
      <c r="E164" s="279">
        <v>5.1999999999999998E-3</v>
      </c>
      <c r="F164" s="279">
        <v>1.0999999999999999E-2</v>
      </c>
      <c r="G164" s="279">
        <v>1.52E-2</v>
      </c>
      <c r="H164" s="305">
        <f t="shared" si="33"/>
        <v>0.72368421052631571</v>
      </c>
      <c r="I164" s="279">
        <f t="shared" si="36"/>
        <v>9.1199999999999996E-3</v>
      </c>
      <c r="J164" s="279">
        <v>0</v>
      </c>
      <c r="K164" s="279">
        <v>2.0299999999999999E-2</v>
      </c>
      <c r="L164" s="279">
        <f t="shared" si="37"/>
        <v>-2.0299999999999999E-2</v>
      </c>
      <c r="M164" s="9">
        <v>2.3099999999999999E-2</v>
      </c>
      <c r="N164" s="9">
        <v>1.7299999999999999E-2</v>
      </c>
      <c r="O164" s="9">
        <v>2.4299999999999999E-2</v>
      </c>
      <c r="P164">
        <v>34000</v>
      </c>
      <c r="Q164">
        <f t="shared" si="38"/>
        <v>15940</v>
      </c>
      <c r="R164" s="9">
        <v>6.6E-3</v>
      </c>
      <c r="T164" s="9">
        <v>0</v>
      </c>
      <c r="U164" s="279">
        <v>2.4500000000000001E-2</v>
      </c>
      <c r="V164" s="349"/>
      <c r="W164" s="349"/>
      <c r="X164">
        <v>26</v>
      </c>
      <c r="Y164">
        <v>5</v>
      </c>
      <c r="Z164" s="346">
        <v>33.520000000000003</v>
      </c>
      <c r="AA164" s="349">
        <v>0</v>
      </c>
      <c r="AB164" t="s">
        <v>93</v>
      </c>
      <c r="AG164" s="9"/>
      <c r="AH164" s="9"/>
      <c r="AI164" s="9"/>
      <c r="AL164" s="9"/>
    </row>
    <row r="165" spans="1:38" hidden="1" x14ac:dyDescent="0.3">
      <c r="A165" t="s">
        <v>62</v>
      </c>
      <c r="B165">
        <v>20260326</v>
      </c>
      <c r="C165" s="279">
        <f t="shared" si="35"/>
        <v>6.0000000000000001E-3</v>
      </c>
      <c r="D165" s="279">
        <v>-1.6E-2</v>
      </c>
      <c r="E165" s="279">
        <v>-1.3899999999999999E-2</v>
      </c>
      <c r="F165" s="279">
        <v>-0.01</v>
      </c>
      <c r="G165" s="279">
        <v>-1.66E-2</v>
      </c>
      <c r="H165" s="305">
        <f t="shared" si="33"/>
        <v>0.60240963855421692</v>
      </c>
      <c r="I165" s="279">
        <f t="shared" si="36"/>
        <v>-9.9600000000000001E-3</v>
      </c>
      <c r="J165" s="279">
        <v>0</v>
      </c>
      <c r="K165" s="279">
        <v>-4.4000000000000003E-3</v>
      </c>
      <c r="L165" s="279">
        <f t="shared" si="37"/>
        <v>4.4000000000000003E-3</v>
      </c>
      <c r="M165" s="279">
        <v>-6.1999999999999998E-3</v>
      </c>
      <c r="N165" s="279">
        <v>-4.7000000000000002E-3</v>
      </c>
      <c r="O165" s="279">
        <v>-1.0999999999999999E-2</v>
      </c>
      <c r="P165">
        <v>-30355</v>
      </c>
      <c r="Q165">
        <f t="shared" si="38"/>
        <v>-14415</v>
      </c>
      <c r="R165" s="279">
        <v>-1.35E-2</v>
      </c>
      <c r="S165" s="349"/>
      <c r="T165" s="9">
        <v>0</v>
      </c>
      <c r="U165" s="279">
        <v>-1.6500000000000001E-2</v>
      </c>
      <c r="V165" s="349"/>
      <c r="W165" s="349"/>
      <c r="X165">
        <v>13</v>
      </c>
      <c r="Y165">
        <v>10</v>
      </c>
      <c r="Z165" s="346">
        <v>21.32</v>
      </c>
      <c r="AA165" s="349">
        <v>7</v>
      </c>
      <c r="AB165" t="s">
        <v>94</v>
      </c>
      <c r="AG165" s="9"/>
      <c r="AH165" s="9"/>
      <c r="AI165" s="9"/>
      <c r="AL165" s="9"/>
    </row>
    <row r="166" spans="1:38" hidden="1" x14ac:dyDescent="0.3">
      <c r="A166" t="s">
        <v>62</v>
      </c>
      <c r="B166">
        <v>20260327</v>
      </c>
      <c r="C166" s="279">
        <f t="shared" si="35"/>
        <v>3.7999999999999996E-3</v>
      </c>
      <c r="D166" s="279">
        <v>7.1999999999999998E-3</v>
      </c>
      <c r="E166" s="279">
        <v>6.0000000000000001E-3</v>
      </c>
      <c r="F166" s="279">
        <v>1.0999999999999999E-2</v>
      </c>
      <c r="G166" s="279">
        <v>2.7300000000000001E-2</v>
      </c>
      <c r="H166" s="305">
        <f t="shared" si="33"/>
        <v>0.40293040293040289</v>
      </c>
      <c r="I166" s="279">
        <f t="shared" si="36"/>
        <v>1.6379999999999999E-2</v>
      </c>
      <c r="J166" s="279">
        <v>0</v>
      </c>
      <c r="K166" s="279">
        <v>1.2200000000000001E-2</v>
      </c>
      <c r="L166" s="279">
        <f t="shared" si="37"/>
        <v>-1.2200000000000001E-2</v>
      </c>
      <c r="M166" s="9">
        <v>1.26E-2</v>
      </c>
      <c r="N166" s="9">
        <v>8.3000000000000001E-3</v>
      </c>
      <c r="O166" s="9">
        <v>2.7300000000000001E-2</v>
      </c>
      <c r="P166">
        <v>35000</v>
      </c>
      <c r="Q166">
        <f t="shared" si="38"/>
        <v>20585</v>
      </c>
      <c r="R166" s="9">
        <v>7.1999999999999998E-3</v>
      </c>
      <c r="T166" s="9">
        <v>0</v>
      </c>
      <c r="U166" s="279">
        <v>2.0400000000000001E-2</v>
      </c>
      <c r="V166" s="349"/>
      <c r="W166" s="349"/>
      <c r="X166">
        <v>16</v>
      </c>
      <c r="Y166">
        <v>6</v>
      </c>
      <c r="Z166" s="346">
        <v>21.26</v>
      </c>
      <c r="AA166" s="349">
        <v>2</v>
      </c>
      <c r="AB166" t="s">
        <v>95</v>
      </c>
      <c r="AG166" s="9"/>
      <c r="AH166" s="9"/>
      <c r="AI166" s="9"/>
      <c r="AL166" s="9"/>
    </row>
    <row r="167" spans="1:38" hidden="1" x14ac:dyDescent="0.3">
      <c r="B167">
        <v>20260330</v>
      </c>
      <c r="C167" s="279">
        <f t="shared" si="35"/>
        <v>-1.1000000000000003E-3</v>
      </c>
      <c r="D167" s="279">
        <v>-8.3999999999999995E-3</v>
      </c>
      <c r="E167" s="279">
        <v>-1.12E-2</v>
      </c>
      <c r="F167" s="279">
        <v>-9.4999999999999998E-3</v>
      </c>
      <c r="G167" s="279">
        <v>-4.3E-3</v>
      </c>
      <c r="H167" s="305">
        <f t="shared" si="33"/>
        <v>2.2093023255813953</v>
      </c>
      <c r="I167" s="279">
        <f t="shared" si="36"/>
        <v>-2.5799999999999998E-3</v>
      </c>
      <c r="J167" s="279">
        <v>0</v>
      </c>
      <c r="K167" s="279">
        <v>4.1999999999999997E-3</v>
      </c>
      <c r="L167" s="279">
        <f t="shared" si="37"/>
        <v>-4.1999999999999997E-3</v>
      </c>
      <c r="M167" s="279">
        <v>4.0000000000000002E-4</v>
      </c>
      <c r="N167" s="9">
        <v>6.7999999999999996E-3</v>
      </c>
      <c r="O167" s="9">
        <v>1.47E-2</v>
      </c>
      <c r="P167">
        <v>-10500</v>
      </c>
      <c r="Q167">
        <f t="shared" si="38"/>
        <v>10085</v>
      </c>
      <c r="R167" s="279">
        <v>-1.0999999999999999E-2</v>
      </c>
      <c r="S167" s="349"/>
      <c r="T167" s="9">
        <v>0</v>
      </c>
      <c r="U167" s="279">
        <v>1.1900000000000001E-2</v>
      </c>
      <c r="V167" s="349"/>
      <c r="W167" s="349"/>
      <c r="X167">
        <v>18</v>
      </c>
      <c r="Y167">
        <v>9</v>
      </c>
      <c r="Z167" s="346">
        <v>10.36</v>
      </c>
      <c r="AA167" s="349">
        <v>6</v>
      </c>
      <c r="AB167" t="s">
        <v>96</v>
      </c>
      <c r="AG167" s="9"/>
      <c r="AH167" s="9"/>
      <c r="AI167" s="9"/>
      <c r="AL167" s="9"/>
    </row>
    <row r="168" spans="1:38" hidden="1" x14ac:dyDescent="0.3">
      <c r="A168" t="s">
        <v>62</v>
      </c>
      <c r="B168">
        <v>20260331</v>
      </c>
      <c r="C168" s="279">
        <f t="shared" si="35"/>
        <v>2.5000000000000005E-3</v>
      </c>
      <c r="D168" s="279">
        <v>-1.4500000000000001E-2</v>
      </c>
      <c r="E168" s="279">
        <v>-5.5999999999999999E-3</v>
      </c>
      <c r="F168" s="279">
        <v>-1.2E-2</v>
      </c>
      <c r="G168" s="279">
        <v>-1.3599999999999999E-2</v>
      </c>
      <c r="H168" s="305">
        <f t="shared" si="33"/>
        <v>0.88235294117647067</v>
      </c>
      <c r="I168" s="279">
        <f t="shared" si="36"/>
        <v>-8.1599999999999989E-3</v>
      </c>
      <c r="J168" s="279">
        <v>0</v>
      </c>
      <c r="K168" s="279">
        <v>-1.54E-2</v>
      </c>
      <c r="L168" s="279">
        <f t="shared" si="37"/>
        <v>1.54E-2</v>
      </c>
      <c r="M168" s="279">
        <v>-1.38E-2</v>
      </c>
      <c r="N168" s="279">
        <v>-2.0199999999999999E-2</v>
      </c>
      <c r="O168" s="279">
        <v>-2.0199999999999999E-2</v>
      </c>
      <c r="P168">
        <v>-27000</v>
      </c>
      <c r="Q168">
        <f t="shared" si="38"/>
        <v>-16915</v>
      </c>
      <c r="R168" s="279">
        <v>-7.3000000000000001E-3</v>
      </c>
      <c r="S168" s="349"/>
      <c r="T168" s="9">
        <v>0</v>
      </c>
      <c r="U168" s="279">
        <v>-1.4999999999999999E-2</v>
      </c>
      <c r="V168" s="349"/>
      <c r="W168" s="349"/>
      <c r="X168">
        <v>5</v>
      </c>
      <c r="Y168">
        <v>29</v>
      </c>
      <c r="Z168" s="346">
        <v>26.13</v>
      </c>
      <c r="AA168" s="349">
        <v>6</v>
      </c>
      <c r="AB168" t="s">
        <v>97</v>
      </c>
      <c r="AG168" s="9"/>
      <c r="AH168" s="9"/>
      <c r="AI168" s="9"/>
      <c r="AL168" s="9"/>
    </row>
    <row r="169" spans="1:38" x14ac:dyDescent="0.3">
      <c r="B169" s="295" t="s">
        <v>98</v>
      </c>
      <c r="C169" s="296">
        <f>SUM(C170:C190)</f>
        <v>-6.6100000000000006E-2</v>
      </c>
      <c r="D169" s="296">
        <f>SUM(D170:D190)</f>
        <v>6.8400000000000002E-2</v>
      </c>
      <c r="E169" s="296">
        <f>SUM(E170:E190)</f>
        <v>2.0500000000000008E-2</v>
      </c>
      <c r="F169" s="296">
        <f>SUM(F170:F190)</f>
        <v>2.2999999999999956E-3</v>
      </c>
      <c r="G169" s="296">
        <f>SUM(G170:G190)</f>
        <v>2.5210000000000003E-2</v>
      </c>
      <c r="H169" s="344">
        <f t="shared" si="33"/>
        <v>9.1233637445457968E-2</v>
      </c>
      <c r="I169" s="296">
        <f t="shared" ref="I169:P169" si="39">SUM(I170:I190)</f>
        <v>1.5125999999999999E-2</v>
      </c>
      <c r="J169" s="296">
        <f t="shared" si="39"/>
        <v>0</v>
      </c>
      <c r="K169" s="296">
        <f t="shared" si="39"/>
        <v>2.8000000000000021E-3</v>
      </c>
      <c r="L169" s="296">
        <f t="shared" si="39"/>
        <v>-2.8000000000000021E-3</v>
      </c>
      <c r="M169" s="296">
        <f t="shared" si="39"/>
        <v>1.1179999999999997E-2</v>
      </c>
      <c r="N169" s="296">
        <f t="shared" si="39"/>
        <v>5.0000000000000652E-4</v>
      </c>
      <c r="O169" s="296">
        <f t="shared" si="39"/>
        <v>3.8900000000000011E-2</v>
      </c>
      <c r="P169" s="315">
        <f t="shared" si="39"/>
        <v>50783</v>
      </c>
      <c r="Q169">
        <v>-16915</v>
      </c>
      <c r="R169" s="296">
        <f>SUM(R170:R190)</f>
        <v>4.8099999999999997E-2</v>
      </c>
      <c r="S169" s="315">
        <f>SUM(S170:S190)</f>
        <v>0</v>
      </c>
      <c r="T169" s="296">
        <f>SUM(T170:T190)</f>
        <v>0</v>
      </c>
      <c r="U169" s="296">
        <f>SUM(U170:U190)</f>
        <v>7.2498622670441992E-2</v>
      </c>
      <c r="V169" s="315"/>
      <c r="W169" s="315"/>
      <c r="AG169" s="9"/>
      <c r="AH169" s="9"/>
      <c r="AI169" s="9"/>
      <c r="AL169" s="9"/>
    </row>
    <row r="170" spans="1:38" hidden="1" x14ac:dyDescent="0.3">
      <c r="A170" t="s">
        <v>60</v>
      </c>
      <c r="B170">
        <v>20260401</v>
      </c>
      <c r="C170" s="279">
        <f t="shared" ref="C170:C190" si="40">F170-D170</f>
        <v>-8.2000000000000007E-3</v>
      </c>
      <c r="D170" s="279">
        <v>2.23E-2</v>
      </c>
      <c r="E170" s="279">
        <v>2.0400000000000001E-2</v>
      </c>
      <c r="F170" s="279">
        <v>1.41E-2</v>
      </c>
      <c r="G170" s="279">
        <v>2.3599999999999999E-2</v>
      </c>
      <c r="H170" s="305">
        <f t="shared" si="33"/>
        <v>0.59745762711864403</v>
      </c>
      <c r="I170" s="279">
        <f t="shared" ref="I170:I190" si="41">G170*$A$1</f>
        <v>1.4159999999999999E-2</v>
      </c>
      <c r="J170" s="279">
        <v>0</v>
      </c>
      <c r="K170" s="279">
        <v>5.3E-3</v>
      </c>
      <c r="L170" s="279">
        <f t="shared" ref="L170:L190" si="42">J170-K170</f>
        <v>-5.3E-3</v>
      </c>
      <c r="M170" s="9">
        <v>7.5799999999999999E-3</v>
      </c>
      <c r="N170" s="9">
        <v>-6.9999999999999999E-4</v>
      </c>
      <c r="O170" s="9">
        <v>5.0000000000000001E-3</v>
      </c>
      <c r="P170">
        <v>39300</v>
      </c>
      <c r="Q170">
        <f t="shared" ref="Q170:Q190" si="43">Q169+P170</f>
        <v>22385</v>
      </c>
      <c r="R170" s="9">
        <v>1.89E-2</v>
      </c>
      <c r="T170" s="9">
        <v>0</v>
      </c>
      <c r="U170" s="279">
        <v>1.14E-2</v>
      </c>
      <c r="V170" s="349"/>
      <c r="W170" s="349"/>
      <c r="X170">
        <v>9</v>
      </c>
      <c r="Y170">
        <v>12</v>
      </c>
      <c r="Z170" s="346">
        <v>36.67</v>
      </c>
      <c r="AA170" s="349">
        <v>0</v>
      </c>
      <c r="AB170" t="s">
        <v>99</v>
      </c>
      <c r="AG170" s="9"/>
      <c r="AH170" s="9"/>
      <c r="AI170" s="9"/>
      <c r="AL170" s="9"/>
    </row>
    <row r="171" spans="1:38" hidden="1" x14ac:dyDescent="0.3">
      <c r="A171" t="s">
        <v>62</v>
      </c>
      <c r="B171">
        <v>20260402</v>
      </c>
      <c r="C171" s="279">
        <f t="shared" si="40"/>
        <v>1.2999999999999999E-2</v>
      </c>
      <c r="D171" s="279">
        <v>-1.52E-2</v>
      </c>
      <c r="E171" s="279">
        <v>-8.5000000000000006E-3</v>
      </c>
      <c r="F171" s="279">
        <v>-2.2000000000000001E-3</v>
      </c>
      <c r="G171" s="279">
        <v>-3.3E-3</v>
      </c>
      <c r="H171" s="305">
        <f t="shared" si="33"/>
        <v>0.66666666666666674</v>
      </c>
      <c r="I171" s="279">
        <f t="shared" si="41"/>
        <v>-1.98E-3</v>
      </c>
      <c r="J171" s="279">
        <v>0</v>
      </c>
      <c r="K171" s="279">
        <v>-1.6299999999999999E-2</v>
      </c>
      <c r="L171" s="279">
        <f t="shared" si="42"/>
        <v>1.6299999999999999E-2</v>
      </c>
      <c r="M171" s="279">
        <v>-1.6899999999999998E-2</v>
      </c>
      <c r="N171" s="279">
        <v>-1.49E-2</v>
      </c>
      <c r="O171" s="279">
        <v>-1.6400000000000001E-2</v>
      </c>
      <c r="P171">
        <v>-12200</v>
      </c>
      <c r="Q171">
        <f t="shared" si="43"/>
        <v>10185</v>
      </c>
      <c r="R171" s="279">
        <v>-7.9000000000000008E-3</v>
      </c>
      <c r="S171" s="349"/>
      <c r="T171" s="9">
        <v>0</v>
      </c>
      <c r="U171" s="279">
        <v>-2.18E-2</v>
      </c>
      <c r="V171" s="349"/>
      <c r="W171" s="349"/>
      <c r="X171">
        <v>4</v>
      </c>
      <c r="Y171">
        <v>16</v>
      </c>
      <c r="Z171" s="346">
        <v>24.86</v>
      </c>
      <c r="AA171" s="349">
        <v>3</v>
      </c>
      <c r="AB171" t="s">
        <v>100</v>
      </c>
      <c r="AG171" s="9"/>
      <c r="AH171" s="9"/>
      <c r="AI171" s="9"/>
      <c r="AL171" s="9"/>
    </row>
    <row r="172" spans="1:38" hidden="1" x14ac:dyDescent="0.3">
      <c r="A172" t="s">
        <v>60</v>
      </c>
      <c r="B172">
        <v>20260403</v>
      </c>
      <c r="C172" s="279">
        <f t="shared" si="40"/>
        <v>-1.5099999999999999E-2</v>
      </c>
      <c r="D172" s="279">
        <v>2.0999999999999999E-3</v>
      </c>
      <c r="E172" s="279">
        <v>-3.0000000000000001E-3</v>
      </c>
      <c r="F172" s="279">
        <v>-1.2999999999999999E-2</v>
      </c>
      <c r="G172" s="279">
        <v>-2.64E-2</v>
      </c>
      <c r="H172" s="305">
        <f t="shared" si="33"/>
        <v>0.49242424242424243</v>
      </c>
      <c r="I172" s="279">
        <f t="shared" si="41"/>
        <v>-1.584E-2</v>
      </c>
      <c r="J172" s="279">
        <v>0</v>
      </c>
      <c r="K172" s="279">
        <v>-2.01E-2</v>
      </c>
      <c r="L172" s="279">
        <f t="shared" si="42"/>
        <v>2.01E-2</v>
      </c>
      <c r="M172" s="279">
        <v>-2.1499999999999998E-2</v>
      </c>
      <c r="N172" s="279">
        <v>-1.9800000000000002E-2</v>
      </c>
      <c r="O172" s="279">
        <v>-1.9699999999999999E-2</v>
      </c>
      <c r="P172">
        <v>-30000</v>
      </c>
      <c r="Q172">
        <f t="shared" si="43"/>
        <v>-19815</v>
      </c>
      <c r="R172" s="279">
        <v>-1.6999999999999999E-3</v>
      </c>
      <c r="S172" s="349"/>
      <c r="T172" s="9">
        <v>0</v>
      </c>
      <c r="U172" s="279">
        <v>-3.6799999999999999E-2</v>
      </c>
      <c r="V172" s="349"/>
      <c r="W172" s="349"/>
      <c r="X172">
        <v>4</v>
      </c>
      <c r="Y172">
        <v>24</v>
      </c>
      <c r="Z172" s="346">
        <v>28.07</v>
      </c>
      <c r="AA172" s="349">
        <v>9</v>
      </c>
      <c r="AB172" t="s">
        <v>101</v>
      </c>
      <c r="AG172" s="9"/>
      <c r="AH172" s="9"/>
      <c r="AI172" s="9"/>
      <c r="AL172" s="9"/>
    </row>
    <row r="173" spans="1:38" hidden="1" x14ac:dyDescent="0.3">
      <c r="B173">
        <v>20260407</v>
      </c>
      <c r="C173" s="279">
        <f t="shared" si="40"/>
        <v>-3.1999999999999997E-3</v>
      </c>
      <c r="D173" s="279">
        <v>5.8999999999999999E-3</v>
      </c>
      <c r="E173" s="279">
        <v>2E-3</v>
      </c>
      <c r="F173" s="279">
        <v>2.7000000000000001E-3</v>
      </c>
      <c r="G173" s="279">
        <v>6.0000000000000001E-3</v>
      </c>
      <c r="H173" s="305">
        <f t="shared" si="33"/>
        <v>0.45</v>
      </c>
      <c r="I173" s="279">
        <f t="shared" si="41"/>
        <v>3.5999999999999999E-3</v>
      </c>
      <c r="J173" s="279">
        <v>0</v>
      </c>
      <c r="K173" s="279">
        <v>4.0000000000000002E-4</v>
      </c>
      <c r="L173" s="279">
        <f t="shared" si="42"/>
        <v>-4.0000000000000002E-4</v>
      </c>
      <c r="M173" s="9">
        <v>6.6E-3</v>
      </c>
      <c r="N173" s="9">
        <v>-5.0000000000000001E-3</v>
      </c>
      <c r="O173" s="9">
        <v>6.4999999999999997E-3</v>
      </c>
      <c r="P173">
        <v>7800</v>
      </c>
      <c r="Q173">
        <f t="shared" si="43"/>
        <v>-12015</v>
      </c>
      <c r="R173" s="9">
        <v>8.2000000000000007E-3</v>
      </c>
      <c r="T173" s="9">
        <v>0</v>
      </c>
      <c r="U173" s="279">
        <v>3.3399999999999999E-2</v>
      </c>
      <c r="V173" s="349"/>
      <c r="W173" s="349"/>
      <c r="X173">
        <v>9</v>
      </c>
      <c r="Y173">
        <v>17</v>
      </c>
      <c r="Z173" s="346">
        <v>7.75</v>
      </c>
      <c r="AA173" s="349">
        <v>1</v>
      </c>
      <c r="AB173" t="s">
        <v>102</v>
      </c>
      <c r="AG173" s="9"/>
      <c r="AH173" s="9"/>
      <c r="AI173" s="9"/>
      <c r="AL173" s="9"/>
    </row>
    <row r="174" spans="1:38" hidden="1" x14ac:dyDescent="0.3">
      <c r="A174" t="s">
        <v>60</v>
      </c>
      <c r="B174">
        <v>20260408</v>
      </c>
      <c r="C174" s="279">
        <f t="shared" si="40"/>
        <v>-1.5599999999999999E-2</v>
      </c>
      <c r="D174" s="279">
        <v>3.3700000000000001E-2</v>
      </c>
      <c r="E174" s="279">
        <v>2.3599999999999999E-2</v>
      </c>
      <c r="F174" s="279">
        <v>1.8100000000000002E-2</v>
      </c>
      <c r="G174" s="279">
        <v>3.7900000000000003E-2</v>
      </c>
      <c r="H174" s="305">
        <f t="shared" si="33"/>
        <v>0.47757255936675463</v>
      </c>
      <c r="I174" s="279">
        <f t="shared" si="41"/>
        <v>2.274E-2</v>
      </c>
      <c r="J174" s="279">
        <v>0</v>
      </c>
      <c r="K174" s="279">
        <v>1.9099999999999999E-2</v>
      </c>
      <c r="L174" s="279">
        <f t="shared" si="42"/>
        <v>-1.9099999999999999E-2</v>
      </c>
      <c r="M174" s="9">
        <v>2.7199999999999998E-2</v>
      </c>
      <c r="N174" s="9">
        <v>1.4200000000000001E-2</v>
      </c>
      <c r="O174" s="9">
        <v>2.4299999999999999E-2</v>
      </c>
      <c r="P174">
        <v>50000</v>
      </c>
      <c r="Q174">
        <f t="shared" si="43"/>
        <v>37985</v>
      </c>
      <c r="R174" s="9">
        <v>1.9599999999999999E-2</v>
      </c>
      <c r="T174" s="9">
        <v>0</v>
      </c>
      <c r="U174" s="279">
        <v>3.8699999999999998E-2</v>
      </c>
      <c r="V174" s="349"/>
      <c r="W174" s="349"/>
      <c r="X174">
        <v>18</v>
      </c>
      <c r="Y174">
        <v>12</v>
      </c>
      <c r="Z174" s="346">
        <v>95.78</v>
      </c>
      <c r="AA174" s="349">
        <v>0</v>
      </c>
      <c r="AB174" t="s">
        <v>103</v>
      </c>
      <c r="AG174" s="9"/>
      <c r="AH174" s="9"/>
      <c r="AI174" s="9"/>
      <c r="AL174" s="9"/>
    </row>
    <row r="175" spans="1:38" hidden="1" x14ac:dyDescent="0.3">
      <c r="A175" t="s">
        <v>60</v>
      </c>
      <c r="B175">
        <v>20260409</v>
      </c>
      <c r="C175" s="279">
        <f t="shared" si="40"/>
        <v>-5.3000000000000009E-3</v>
      </c>
      <c r="D175" s="279">
        <v>-3.2000000000000002E-3</v>
      </c>
      <c r="E175" s="279">
        <v>-1.04E-2</v>
      </c>
      <c r="F175" s="279">
        <v>-8.5000000000000006E-3</v>
      </c>
      <c r="G175" s="279">
        <v>-2.5100000000000001E-2</v>
      </c>
      <c r="H175" s="305">
        <f t="shared" si="33"/>
        <v>0.33864541832669326</v>
      </c>
      <c r="I175" s="279">
        <f t="shared" si="41"/>
        <v>-1.506E-2</v>
      </c>
      <c r="J175" s="279">
        <v>0</v>
      </c>
      <c r="K175" s="279">
        <v>-5.4000000000000003E-3</v>
      </c>
      <c r="L175" s="279">
        <f t="shared" si="42"/>
        <v>5.4000000000000003E-3</v>
      </c>
      <c r="M175" s="279">
        <v>-6.7999999999999996E-3</v>
      </c>
      <c r="N175" s="279">
        <v>-8.0000000000000002E-3</v>
      </c>
      <c r="O175" s="9">
        <v>5.5999999999999999E-3</v>
      </c>
      <c r="P175">
        <v>-28744</v>
      </c>
      <c r="Q175">
        <f t="shared" si="43"/>
        <v>9241</v>
      </c>
      <c r="R175" s="279">
        <v>-6.4999999999999997E-3</v>
      </c>
      <c r="S175" s="349"/>
      <c r="T175" s="9">
        <v>0</v>
      </c>
      <c r="U175" s="279">
        <v>-2.1499999999999998E-2</v>
      </c>
      <c r="V175" s="349"/>
      <c r="W175" s="349"/>
      <c r="X175">
        <v>11</v>
      </c>
      <c r="Y175">
        <v>17</v>
      </c>
      <c r="Z175" s="346">
        <v>11.61</v>
      </c>
      <c r="AA175" s="349">
        <v>1</v>
      </c>
      <c r="AB175" t="s">
        <v>104</v>
      </c>
      <c r="AG175" s="9"/>
      <c r="AH175" s="9"/>
      <c r="AI175" s="9"/>
      <c r="AL175" s="9"/>
    </row>
    <row r="176" spans="1:38" hidden="1" x14ac:dyDescent="0.3">
      <c r="A176" t="s">
        <v>62</v>
      </c>
      <c r="B176">
        <v>20260410</v>
      </c>
      <c r="C176" s="279">
        <f t="shared" si="40"/>
        <v>1.1999999999999999E-3</v>
      </c>
      <c r="D176" s="279">
        <v>-1.1999999999999999E-3</v>
      </c>
      <c r="E176" s="279">
        <v>-3.0000000000000001E-3</v>
      </c>
      <c r="F176" s="279">
        <v>0</v>
      </c>
      <c r="G176" s="279">
        <v>3.8E-3</v>
      </c>
      <c r="H176" s="305">
        <f t="shared" si="33"/>
        <v>0</v>
      </c>
      <c r="I176" s="279">
        <f t="shared" si="41"/>
        <v>2.2799999999999999E-3</v>
      </c>
      <c r="J176" s="279">
        <v>0</v>
      </c>
      <c r="K176" s="279">
        <v>1.3100000000000001E-2</v>
      </c>
      <c r="L176" s="279">
        <f t="shared" si="42"/>
        <v>-1.3100000000000001E-2</v>
      </c>
      <c r="M176" s="9">
        <v>1.0699999999999999E-2</v>
      </c>
      <c r="N176" s="9">
        <v>1.4E-2</v>
      </c>
      <c r="O176" s="9">
        <v>1.8499999999999999E-2</v>
      </c>
      <c r="P176">
        <v>11400</v>
      </c>
      <c r="Q176">
        <f t="shared" si="43"/>
        <v>20641</v>
      </c>
      <c r="R176" s="279">
        <v>-3.8999999999999998E-3</v>
      </c>
      <c r="S176" s="349"/>
      <c r="T176" s="9">
        <v>0</v>
      </c>
      <c r="U176" s="279">
        <v>1.01E-2</v>
      </c>
      <c r="V176" s="349"/>
      <c r="W176" s="349"/>
      <c r="X176">
        <v>24</v>
      </c>
      <c r="Y176">
        <v>5</v>
      </c>
      <c r="Z176" s="346">
        <v>18.309999999999999</v>
      </c>
      <c r="AA176" s="349">
        <v>0</v>
      </c>
      <c r="AB176" t="s">
        <v>105</v>
      </c>
      <c r="AG176" s="9"/>
      <c r="AH176" s="9"/>
      <c r="AI176" s="9"/>
      <c r="AL176" s="9"/>
    </row>
    <row r="177" spans="1:38" hidden="1" x14ac:dyDescent="0.3">
      <c r="A177" t="s">
        <v>62</v>
      </c>
      <c r="B177">
        <v>20260413</v>
      </c>
      <c r="C177" s="279">
        <f t="shared" si="40"/>
        <v>5.7000000000000002E-3</v>
      </c>
      <c r="D177" s="279">
        <v>-5.7000000000000002E-3</v>
      </c>
      <c r="E177" s="279">
        <v>-4.1999999999999997E-3</v>
      </c>
      <c r="F177" s="279">
        <v>0</v>
      </c>
      <c r="G177" s="279">
        <v>1.1999999999999999E-3</v>
      </c>
      <c r="H177" s="305">
        <f t="shared" si="33"/>
        <v>0</v>
      </c>
      <c r="I177" s="279">
        <f t="shared" si="41"/>
        <v>7.1999999999999994E-4</v>
      </c>
      <c r="J177" s="279">
        <v>0</v>
      </c>
      <c r="K177" s="279">
        <v>1.4500000000000001E-2</v>
      </c>
      <c r="L177" s="279">
        <f t="shared" si="42"/>
        <v>-1.4500000000000001E-2</v>
      </c>
      <c r="M177" s="9">
        <v>1.01E-2</v>
      </c>
      <c r="N177" s="9">
        <v>1.6E-2</v>
      </c>
      <c r="O177" s="9">
        <v>1.77E-2</v>
      </c>
      <c r="P177">
        <v>-8333</v>
      </c>
      <c r="Q177">
        <f t="shared" si="43"/>
        <v>12308</v>
      </c>
      <c r="R177" s="279">
        <v>-2.3999999999999998E-3</v>
      </c>
      <c r="S177" s="349"/>
      <c r="T177" s="9">
        <v>0</v>
      </c>
      <c r="U177" s="279">
        <v>-1.8E-3</v>
      </c>
      <c r="V177" s="349"/>
      <c r="W177" s="349"/>
      <c r="X177">
        <v>33</v>
      </c>
      <c r="Y177">
        <v>10</v>
      </c>
      <c r="Z177" s="346">
        <v>9.4</v>
      </c>
      <c r="AA177" s="349">
        <v>1</v>
      </c>
      <c r="AB177" t="s">
        <v>106</v>
      </c>
      <c r="AG177" s="9"/>
      <c r="AH177" s="9"/>
      <c r="AI177" s="9"/>
      <c r="AL177" s="9"/>
    </row>
    <row r="178" spans="1:38" hidden="1" x14ac:dyDescent="0.3">
      <c r="A178" t="s">
        <v>60</v>
      </c>
      <c r="B178">
        <v>20260414</v>
      </c>
      <c r="C178" s="279">
        <f t="shared" si="40"/>
        <v>-2.700000000000001E-3</v>
      </c>
      <c r="D178" s="279">
        <v>1.0200000000000001E-2</v>
      </c>
      <c r="E178" s="279">
        <v>7.6E-3</v>
      </c>
      <c r="F178" s="279">
        <v>7.4999999999999997E-3</v>
      </c>
      <c r="G178" s="279">
        <v>5.11E-3</v>
      </c>
      <c r="H178" s="305">
        <f t="shared" ref="H178:H209" si="44">F178/G178</f>
        <v>1.4677103718199609</v>
      </c>
      <c r="I178" s="279">
        <f t="shared" si="41"/>
        <v>3.0659999999999997E-3</v>
      </c>
      <c r="J178" s="279">
        <v>0</v>
      </c>
      <c r="K178" s="279">
        <v>6.4999999999999997E-3</v>
      </c>
      <c r="L178" s="279">
        <f t="shared" si="42"/>
        <v>-6.4999999999999997E-3</v>
      </c>
      <c r="M178" s="279">
        <v>2.8E-3</v>
      </c>
      <c r="N178" s="279">
        <v>1.47E-2</v>
      </c>
      <c r="O178" s="9">
        <v>7.1999999999999998E-3</v>
      </c>
      <c r="P178">
        <v>12800</v>
      </c>
      <c r="Q178">
        <f t="shared" si="43"/>
        <v>25108</v>
      </c>
      <c r="R178" s="9">
        <v>8.2000000000000007E-3</v>
      </c>
      <c r="T178" s="9">
        <v>0</v>
      </c>
      <c r="U178" s="279">
        <v>0</v>
      </c>
      <c r="V178" s="349"/>
      <c r="W178" s="349"/>
      <c r="X178">
        <v>20</v>
      </c>
      <c r="Y178">
        <v>11</v>
      </c>
      <c r="Z178" s="346">
        <v>14.58</v>
      </c>
      <c r="AA178" s="349">
        <v>0</v>
      </c>
      <c r="AB178" t="s">
        <v>107</v>
      </c>
      <c r="AG178" s="9"/>
      <c r="AH178" s="9"/>
      <c r="AI178" s="9"/>
      <c r="AL178" s="9"/>
    </row>
    <row r="179" spans="1:38" hidden="1" x14ac:dyDescent="0.3">
      <c r="A179" t="s">
        <v>31</v>
      </c>
      <c r="B179">
        <v>20260415</v>
      </c>
      <c r="C179" s="279">
        <f t="shared" si="40"/>
        <v>-2.3999999999999998E-3</v>
      </c>
      <c r="D179" s="279">
        <v>2.3999999999999998E-3</v>
      </c>
      <c r="E179" s="279">
        <v>-8.0000000000000004E-4</v>
      </c>
      <c r="F179" s="279">
        <v>0</v>
      </c>
      <c r="G179" s="279">
        <v>-5.9999999999999995E-4</v>
      </c>
      <c r="H179" s="305">
        <f t="shared" si="44"/>
        <v>0</v>
      </c>
      <c r="I179" s="279">
        <f t="shared" si="41"/>
        <v>-3.5999999999999997E-4</v>
      </c>
      <c r="J179" s="279">
        <v>0</v>
      </c>
      <c r="K179" s="279">
        <v>-1.6999999999999999E-3</v>
      </c>
      <c r="L179" s="279">
        <f t="shared" si="42"/>
        <v>1.6999999999999999E-3</v>
      </c>
      <c r="M179" s="279">
        <v>-4.0000000000000001E-3</v>
      </c>
      <c r="N179" s="9">
        <v>6.9999999999999999E-4</v>
      </c>
      <c r="O179" s="9">
        <v>2.5000000000000001E-3</v>
      </c>
      <c r="P179">
        <v>5300</v>
      </c>
      <c r="Q179">
        <f t="shared" si="43"/>
        <v>30408</v>
      </c>
      <c r="R179" s="9">
        <v>5.1000000000000004E-3</v>
      </c>
      <c r="T179" s="9">
        <v>0</v>
      </c>
      <c r="U179" s="279">
        <v>-8.0000000000000002E-3</v>
      </c>
      <c r="V179" s="349"/>
      <c r="W179" s="349"/>
      <c r="X179">
        <v>11</v>
      </c>
      <c r="Y179">
        <v>9</v>
      </c>
      <c r="Z179" s="346">
        <v>9.11</v>
      </c>
      <c r="AA179" s="349">
        <v>0</v>
      </c>
      <c r="AB179" t="s">
        <v>108</v>
      </c>
      <c r="AG179" s="9"/>
      <c r="AH179" s="9"/>
      <c r="AI179" s="9"/>
      <c r="AL179" s="9"/>
    </row>
    <row r="180" spans="1:38" hidden="1" x14ac:dyDescent="0.3">
      <c r="A180" t="s">
        <v>60</v>
      </c>
      <c r="B180">
        <v>20260416</v>
      </c>
      <c r="C180" s="279">
        <f t="shared" si="40"/>
        <v>-1.0100000000000001E-2</v>
      </c>
      <c r="D180" s="279">
        <v>1.66E-2</v>
      </c>
      <c r="E180" s="279">
        <v>9.1000000000000004E-3</v>
      </c>
      <c r="F180" s="279">
        <v>6.4999999999999997E-3</v>
      </c>
      <c r="G180" s="279">
        <v>1.23E-2</v>
      </c>
      <c r="H180" s="305">
        <f t="shared" si="44"/>
        <v>0.52845528455284552</v>
      </c>
      <c r="I180" s="279">
        <f t="shared" si="41"/>
        <v>7.3799999999999994E-3</v>
      </c>
      <c r="J180" s="279">
        <v>0</v>
      </c>
      <c r="K180" s="279">
        <v>6.4999999999999997E-3</v>
      </c>
      <c r="L180" s="279">
        <f t="shared" si="42"/>
        <v>-6.4999999999999997E-3</v>
      </c>
      <c r="M180" s="9">
        <v>5.0000000000000001E-3</v>
      </c>
      <c r="N180" s="9">
        <v>8.0000000000000002E-3</v>
      </c>
      <c r="O180" s="9">
        <v>1.46E-2</v>
      </c>
      <c r="P180">
        <v>10900</v>
      </c>
      <c r="Q180">
        <f t="shared" si="43"/>
        <v>41308</v>
      </c>
      <c r="R180" s="9">
        <v>9.5999999999999992E-3</v>
      </c>
      <c r="T180" s="9">
        <v>0</v>
      </c>
      <c r="U180" s="279">
        <v>2.3199999999999998E-2</v>
      </c>
      <c r="V180" s="349"/>
      <c r="W180" s="349"/>
      <c r="X180">
        <v>14</v>
      </c>
      <c r="Y180">
        <v>8</v>
      </c>
      <c r="Z180" s="346">
        <v>14.52</v>
      </c>
      <c r="AA180" s="349">
        <v>0</v>
      </c>
      <c r="AB180" t="s">
        <v>109</v>
      </c>
      <c r="AG180" s="9"/>
      <c r="AH180" s="9"/>
      <c r="AI180" s="9"/>
      <c r="AL180" s="9"/>
    </row>
    <row r="181" spans="1:38" hidden="1" x14ac:dyDescent="0.3">
      <c r="A181" t="s">
        <v>60</v>
      </c>
      <c r="B181">
        <v>20260417</v>
      </c>
      <c r="C181" s="279">
        <f t="shared" si="40"/>
        <v>-4.8000000000000004E-3</v>
      </c>
      <c r="D181" s="279">
        <v>2.8E-3</v>
      </c>
      <c r="E181" s="279">
        <v>-2.0000000000000001E-4</v>
      </c>
      <c r="F181" s="279">
        <v>-2E-3</v>
      </c>
      <c r="G181" s="279">
        <v>-1.18E-2</v>
      </c>
      <c r="H181" s="305">
        <f t="shared" si="44"/>
        <v>0.16949152542372883</v>
      </c>
      <c r="I181" s="279">
        <f t="shared" si="41"/>
        <v>-7.0799999999999995E-3</v>
      </c>
      <c r="J181" s="279">
        <v>0</v>
      </c>
      <c r="K181" s="279">
        <v>-2.0000000000000001E-4</v>
      </c>
      <c r="L181" s="279">
        <f t="shared" si="42"/>
        <v>2.0000000000000001E-4</v>
      </c>
      <c r="M181" s="9">
        <v>-2.0000000000000001E-4</v>
      </c>
      <c r="N181" s="9">
        <v>0</v>
      </c>
      <c r="O181" s="9">
        <v>1E-4</v>
      </c>
      <c r="P181">
        <v>-10300</v>
      </c>
      <c r="Q181">
        <f t="shared" si="43"/>
        <v>31008</v>
      </c>
      <c r="R181" s="9">
        <v>1.6000000000000001E-3</v>
      </c>
      <c r="T181" s="9">
        <v>0</v>
      </c>
      <c r="U181" s="279">
        <v>-7.9000000000000008E-3</v>
      </c>
      <c r="V181" s="349"/>
      <c r="W181" s="349"/>
      <c r="X181">
        <v>10</v>
      </c>
      <c r="Y181">
        <v>5</v>
      </c>
      <c r="Z181" s="346">
        <v>13.69</v>
      </c>
      <c r="AA181" s="349">
        <v>1</v>
      </c>
      <c r="AB181" t="s">
        <v>110</v>
      </c>
      <c r="AG181" s="9"/>
      <c r="AH181" s="9"/>
      <c r="AI181" s="9"/>
      <c r="AL181" s="9"/>
    </row>
    <row r="182" spans="1:38" hidden="1" x14ac:dyDescent="0.3">
      <c r="B182">
        <v>20260420</v>
      </c>
      <c r="C182" s="279">
        <f t="shared" si="40"/>
        <v>-3.2000000000000002E-3</v>
      </c>
      <c r="D182" s="279">
        <v>3.3E-3</v>
      </c>
      <c r="E182" s="279">
        <v>-1E-4</v>
      </c>
      <c r="F182" s="279">
        <v>1E-4</v>
      </c>
      <c r="G182" s="279">
        <v>-1E-4</v>
      </c>
      <c r="H182" s="305">
        <f t="shared" si="44"/>
        <v>-1</v>
      </c>
      <c r="I182" s="279">
        <f t="shared" si="41"/>
        <v>-6.0000000000000002E-5</v>
      </c>
      <c r="J182" s="279">
        <v>0</v>
      </c>
      <c r="K182" s="279">
        <v>1.4E-3</v>
      </c>
      <c r="L182" s="279">
        <f t="shared" si="42"/>
        <v>-1.4E-3</v>
      </c>
      <c r="M182" s="279">
        <v>-2.9999999999999997E-4</v>
      </c>
      <c r="N182" s="279">
        <v>2.8E-3</v>
      </c>
      <c r="O182" s="279">
        <v>-2.2000000000000001E-3</v>
      </c>
      <c r="P182">
        <v>8000</v>
      </c>
      <c r="Q182">
        <f t="shared" si="43"/>
        <v>39008</v>
      </c>
      <c r="R182" s="9">
        <v>1.4E-3</v>
      </c>
      <c r="T182" s="9">
        <v>0</v>
      </c>
      <c r="U182" s="279">
        <v>0.01</v>
      </c>
      <c r="V182" s="349"/>
      <c r="W182" s="349"/>
      <c r="X182">
        <v>20</v>
      </c>
      <c r="Y182">
        <v>13</v>
      </c>
      <c r="Z182" s="346">
        <v>7.81</v>
      </c>
      <c r="AA182" s="349">
        <v>1</v>
      </c>
      <c r="AB182" t="s">
        <v>111</v>
      </c>
      <c r="AG182" s="9"/>
      <c r="AH182" s="9"/>
      <c r="AI182" s="9"/>
      <c r="AL182" s="9"/>
    </row>
    <row r="183" spans="1:38" hidden="1" x14ac:dyDescent="0.3">
      <c r="B183">
        <v>20260421</v>
      </c>
      <c r="C183" s="279">
        <f t="shared" si="40"/>
        <v>-6.3E-3</v>
      </c>
      <c r="D183" s="279">
        <v>-3.7000000000000002E-3</v>
      </c>
      <c r="E183" s="279">
        <v>-2E-3</v>
      </c>
      <c r="F183" s="279">
        <v>-0.01</v>
      </c>
      <c r="G183" s="279">
        <v>2.3E-3</v>
      </c>
      <c r="H183" s="305">
        <f t="shared" si="44"/>
        <v>-4.3478260869565215</v>
      </c>
      <c r="I183" s="279">
        <f t="shared" si="41"/>
        <v>1.3799999999999999E-3</v>
      </c>
      <c r="J183" s="279">
        <v>0</v>
      </c>
      <c r="K183" s="279">
        <v>-5.9999999999999995E-4</v>
      </c>
      <c r="L183" s="279">
        <f t="shared" si="42"/>
        <v>5.9999999999999995E-4</v>
      </c>
      <c r="M183" s="279">
        <v>-3.8999999999999998E-3</v>
      </c>
      <c r="N183" s="279">
        <v>8.2000000000000007E-3</v>
      </c>
      <c r="O183" s="279">
        <v>6.8999999999999999E-3</v>
      </c>
      <c r="P183">
        <v>-9300</v>
      </c>
      <c r="Q183">
        <f t="shared" si="43"/>
        <v>29708</v>
      </c>
      <c r="R183" s="9">
        <v>1E-4</v>
      </c>
      <c r="T183" s="9">
        <v>0</v>
      </c>
      <c r="U183" s="279">
        <v>-1.6000000000000001E-3</v>
      </c>
      <c r="V183" s="349"/>
      <c r="W183" s="349"/>
      <c r="X183">
        <v>17</v>
      </c>
      <c r="Y183">
        <v>10</v>
      </c>
      <c r="Z183" s="346">
        <v>4.3310000000000004</v>
      </c>
      <c r="AA183" s="349">
        <v>0</v>
      </c>
      <c r="AB183" t="s">
        <v>112</v>
      </c>
      <c r="AG183" s="9"/>
      <c r="AH183" s="9"/>
      <c r="AI183" s="9"/>
      <c r="AL183" s="9"/>
    </row>
    <row r="184" spans="1:38" hidden="1" x14ac:dyDescent="0.3">
      <c r="B184">
        <v>20260422</v>
      </c>
      <c r="C184" s="279">
        <f t="shared" si="40"/>
        <v>-2.9000000000000007E-3</v>
      </c>
      <c r="D184" s="279">
        <v>7.9000000000000008E-3</v>
      </c>
      <c r="E184" s="279">
        <v>-1.1999999999999999E-3</v>
      </c>
      <c r="F184" s="279">
        <v>5.0000000000000001E-3</v>
      </c>
      <c r="G184" s="279">
        <v>-6.4000000000000003E-3</v>
      </c>
      <c r="H184" s="305">
        <f t="shared" si="44"/>
        <v>-0.78125</v>
      </c>
      <c r="I184" s="279">
        <f t="shared" si="41"/>
        <v>-3.8400000000000001E-3</v>
      </c>
      <c r="J184" s="279">
        <v>0</v>
      </c>
      <c r="K184" s="279">
        <v>-5.4999999999999997E-3</v>
      </c>
      <c r="L184" s="279">
        <f t="shared" si="42"/>
        <v>5.4999999999999997E-3</v>
      </c>
      <c r="M184" s="279">
        <v>-5.0000000000000001E-4</v>
      </c>
      <c r="N184" s="279">
        <v>-7.0000000000000001E-3</v>
      </c>
      <c r="O184" s="279">
        <v>-3.8E-3</v>
      </c>
      <c r="P184">
        <v>3000</v>
      </c>
      <c r="Q184">
        <f t="shared" si="43"/>
        <v>32708</v>
      </c>
      <c r="R184" s="9">
        <v>1.9E-3</v>
      </c>
      <c r="T184" s="9">
        <v>0</v>
      </c>
      <c r="U184" s="279">
        <v>-2.5999999999999999E-3</v>
      </c>
      <c r="V184" s="349"/>
      <c r="W184" s="349"/>
      <c r="X184">
        <v>15</v>
      </c>
      <c r="Y184">
        <v>15</v>
      </c>
      <c r="Z184" s="346">
        <v>10.73</v>
      </c>
      <c r="AA184" s="349">
        <v>2</v>
      </c>
      <c r="AB184" t="s">
        <v>113</v>
      </c>
      <c r="AG184" s="9"/>
      <c r="AH184" s="9"/>
      <c r="AI184" s="9"/>
      <c r="AL184" s="9"/>
    </row>
    <row r="185" spans="1:38" hidden="1" x14ac:dyDescent="0.3">
      <c r="B185">
        <v>20260423</v>
      </c>
      <c r="C185" s="279">
        <f t="shared" si="40"/>
        <v>2E-3</v>
      </c>
      <c r="D185" s="279">
        <v>-6.8999999999999999E-3</v>
      </c>
      <c r="E185" s="279">
        <v>-5.7000000000000002E-3</v>
      </c>
      <c r="F185" s="279">
        <v>-4.8999999999999998E-3</v>
      </c>
      <c r="G185" s="279">
        <v>-5.1000000000000004E-3</v>
      </c>
      <c r="H185" s="305">
        <f t="shared" si="44"/>
        <v>0.96078431372549011</v>
      </c>
      <c r="I185" s="279">
        <f t="shared" si="41"/>
        <v>-3.0600000000000002E-3</v>
      </c>
      <c r="J185" s="279">
        <v>0</v>
      </c>
      <c r="K185" s="279">
        <v>-1.3299999999999999E-2</v>
      </c>
      <c r="L185" s="279">
        <f t="shared" si="42"/>
        <v>1.3299999999999999E-2</v>
      </c>
      <c r="M185" s="279">
        <v>-1.2200000000000001E-2</v>
      </c>
      <c r="N185" s="279">
        <v>-1.5299999999999999E-2</v>
      </c>
      <c r="O185" s="279">
        <v>-1.84E-2</v>
      </c>
      <c r="P185">
        <v>-4000</v>
      </c>
      <c r="Q185">
        <f t="shared" si="43"/>
        <v>28708</v>
      </c>
      <c r="R185" s="279">
        <v>-4.3E-3</v>
      </c>
      <c r="S185" s="349"/>
      <c r="T185" s="9">
        <v>0</v>
      </c>
      <c r="U185" s="279">
        <v>-1.06E-2</v>
      </c>
      <c r="V185" s="349"/>
      <c r="W185" s="349"/>
      <c r="X185">
        <v>10</v>
      </c>
      <c r="Y185">
        <v>22</v>
      </c>
      <c r="Z185" s="346">
        <v>10.81</v>
      </c>
      <c r="AA185" s="349">
        <v>4</v>
      </c>
      <c r="AB185" t="s">
        <v>114</v>
      </c>
      <c r="AG185" s="9"/>
      <c r="AH185" s="9"/>
      <c r="AI185" s="9"/>
      <c r="AL185" s="9"/>
    </row>
    <row r="186" spans="1:38" hidden="1" x14ac:dyDescent="0.3">
      <c r="B186">
        <v>20260424</v>
      </c>
      <c r="C186" s="279">
        <f t="shared" si="40"/>
        <v>5.9999999999999984E-4</v>
      </c>
      <c r="D186" s="279">
        <v>-4.3E-3</v>
      </c>
      <c r="E186" s="279">
        <v>-3.0999999999999999E-3</v>
      </c>
      <c r="F186" s="279">
        <v>-3.7000000000000002E-3</v>
      </c>
      <c r="G186" s="279">
        <v>-4.0000000000000001E-3</v>
      </c>
      <c r="H186" s="305">
        <f t="shared" si="44"/>
        <v>0.92500000000000004</v>
      </c>
      <c r="I186" s="279">
        <f t="shared" si="41"/>
        <v>-2.3999999999999998E-3</v>
      </c>
      <c r="J186" s="279">
        <v>0</v>
      </c>
      <c r="K186" s="279">
        <v>5.9999999999999995E-4</v>
      </c>
      <c r="L186" s="279">
        <f t="shared" si="42"/>
        <v>-5.9999999999999995E-4</v>
      </c>
      <c r="M186" s="279">
        <v>-2.0000000000000001E-4</v>
      </c>
      <c r="N186" s="279">
        <v>1.6999999999999999E-3</v>
      </c>
      <c r="O186" s="279">
        <v>6.9999999999999999E-4</v>
      </c>
      <c r="P186">
        <v>-7000</v>
      </c>
      <c r="Q186">
        <f t="shared" si="43"/>
        <v>21708</v>
      </c>
      <c r="R186" s="279">
        <v>-2.8999999999999998E-3</v>
      </c>
      <c r="S186" s="349"/>
      <c r="T186" s="9">
        <v>0</v>
      </c>
      <c r="U186" s="279">
        <f>etf!AT61</f>
        <v>1.092012068705314E-2</v>
      </c>
      <c r="V186" s="349"/>
      <c r="W186" s="349"/>
      <c r="X186">
        <v>10</v>
      </c>
      <c r="Y186">
        <v>18</v>
      </c>
      <c r="Z186" s="346">
        <v>12.54</v>
      </c>
      <c r="AA186" s="349">
        <v>2</v>
      </c>
      <c r="AB186" t="s">
        <v>115</v>
      </c>
      <c r="AG186" s="9"/>
      <c r="AH186" s="9"/>
      <c r="AI186" s="9"/>
      <c r="AL186" s="9"/>
    </row>
    <row r="187" spans="1:38" hidden="1" x14ac:dyDescent="0.3">
      <c r="B187">
        <v>20260427</v>
      </c>
      <c r="C187" s="279">
        <f t="shared" si="40"/>
        <v>-1.3299999999999999E-2</v>
      </c>
      <c r="D187" s="279">
        <v>3.3E-3</v>
      </c>
      <c r="E187" s="279">
        <v>-3.8E-3</v>
      </c>
      <c r="F187" s="279">
        <v>-0.01</v>
      </c>
      <c r="G187" s="279">
        <v>-2E-3</v>
      </c>
      <c r="H187" s="305">
        <f t="shared" si="44"/>
        <v>5</v>
      </c>
      <c r="I187" s="279">
        <f t="shared" si="41"/>
        <v>-1.1999999999999999E-3</v>
      </c>
      <c r="J187" s="279">
        <v>0</v>
      </c>
      <c r="K187" s="279">
        <v>4.0000000000000001E-3</v>
      </c>
      <c r="L187" s="279">
        <f t="shared" si="42"/>
        <v>-4.0000000000000001E-3</v>
      </c>
      <c r="M187" s="9">
        <v>5.0000000000000001E-3</v>
      </c>
      <c r="N187" s="279">
        <v>-1.8E-3</v>
      </c>
      <c r="O187" s="279">
        <v>-1.8E-3</v>
      </c>
      <c r="P187">
        <v>12500</v>
      </c>
      <c r="Q187">
        <f t="shared" si="43"/>
        <v>34208</v>
      </c>
      <c r="R187" s="9">
        <v>1.1000000000000001E-3</v>
      </c>
      <c r="T187" s="9">
        <v>0</v>
      </c>
      <c r="U187" s="279">
        <v>2.01E-2</v>
      </c>
      <c r="V187" s="349"/>
      <c r="W187" s="349"/>
      <c r="X187">
        <v>21</v>
      </c>
      <c r="Y187">
        <v>24</v>
      </c>
      <c r="Z187" s="346">
        <v>8.8460000000000001</v>
      </c>
      <c r="AA187" s="349">
        <v>3</v>
      </c>
      <c r="AB187" t="s">
        <v>116</v>
      </c>
      <c r="AG187" s="9"/>
      <c r="AH187" s="9"/>
      <c r="AI187" s="9"/>
      <c r="AL187" s="9"/>
    </row>
    <row r="188" spans="1:38" hidden="1" x14ac:dyDescent="0.3">
      <c r="B188">
        <v>20260428</v>
      </c>
      <c r="C188" s="279">
        <f t="shared" si="40"/>
        <v>3.2000000000000006E-3</v>
      </c>
      <c r="D188" s="279">
        <v>-1.0200000000000001E-2</v>
      </c>
      <c r="E188" s="279">
        <v>-6.3E-3</v>
      </c>
      <c r="F188" s="279">
        <v>-7.0000000000000001E-3</v>
      </c>
      <c r="G188" s="279">
        <v>-4.5999999999999999E-3</v>
      </c>
      <c r="H188" s="305">
        <f t="shared" si="44"/>
        <v>1.5217391304347827</v>
      </c>
      <c r="I188" s="279">
        <f t="shared" si="41"/>
        <v>-2.7599999999999999E-3</v>
      </c>
      <c r="J188" s="279">
        <v>0</v>
      </c>
      <c r="K188" s="279">
        <v>-9.4999999999999998E-3</v>
      </c>
      <c r="L188" s="279">
        <f t="shared" si="42"/>
        <v>9.4999999999999998E-3</v>
      </c>
      <c r="M188" s="279">
        <v>-6.3E-3</v>
      </c>
      <c r="N188" s="279">
        <v>-1.04E-2</v>
      </c>
      <c r="O188" s="279">
        <v>-5.0000000000000001E-3</v>
      </c>
      <c r="P188">
        <v>-22240</v>
      </c>
      <c r="Q188">
        <f t="shared" si="43"/>
        <v>11968</v>
      </c>
      <c r="R188" s="279">
        <v>-4.5999999999999999E-3</v>
      </c>
      <c r="S188" s="349"/>
      <c r="T188" s="279">
        <v>0</v>
      </c>
      <c r="U188" s="279">
        <v>-5.9999999999999995E-4</v>
      </c>
      <c r="V188" s="349"/>
      <c r="W188" s="349"/>
      <c r="X188">
        <v>28</v>
      </c>
      <c r="Y188">
        <v>18</v>
      </c>
      <c r="Z188" s="346">
        <v>20.5</v>
      </c>
      <c r="AA188" s="349">
        <v>6</v>
      </c>
      <c r="AB188" t="s">
        <v>117</v>
      </c>
      <c r="AG188" s="9"/>
      <c r="AH188" s="9"/>
      <c r="AI188" s="9"/>
      <c r="AL188" s="9"/>
    </row>
    <row r="189" spans="1:38" hidden="1" x14ac:dyDescent="0.3">
      <c r="B189">
        <v>20260429</v>
      </c>
      <c r="C189" s="279">
        <f t="shared" si="40"/>
        <v>2.9999999999999992E-4</v>
      </c>
      <c r="D189" s="279">
        <f>etf!AU64</f>
        <v>9.2999999999999992E-3</v>
      </c>
      <c r="E189" s="279">
        <v>8.3000000000000001E-3</v>
      </c>
      <c r="F189" s="279">
        <v>9.5999999999999992E-3</v>
      </c>
      <c r="G189" s="279">
        <v>2.07E-2</v>
      </c>
      <c r="H189" s="305">
        <f t="shared" si="44"/>
        <v>0.46376811594202894</v>
      </c>
      <c r="I189" s="279">
        <f t="shared" si="41"/>
        <v>1.2419999999999999E-2</v>
      </c>
      <c r="J189" s="279">
        <v>0</v>
      </c>
      <c r="K189" s="279">
        <v>2.5000000000000001E-3</v>
      </c>
      <c r="L189" s="279">
        <f t="shared" si="42"/>
        <v>-2.5000000000000001E-3</v>
      </c>
      <c r="M189" s="9">
        <v>8.6E-3</v>
      </c>
      <c r="N189" s="9">
        <v>-1.1000000000000001E-3</v>
      </c>
      <c r="O189" s="9">
        <v>-5.0000000000000001E-4</v>
      </c>
      <c r="P189">
        <v>20700</v>
      </c>
      <c r="Q189">
        <f t="shared" si="43"/>
        <v>32668</v>
      </c>
      <c r="R189" s="9">
        <v>5.5999999999999999E-3</v>
      </c>
      <c r="T189" s="279">
        <v>0</v>
      </c>
      <c r="U189" s="351">
        <f>etf!AT64</f>
        <v>1.6423510670331948E-2</v>
      </c>
      <c r="X189">
        <v>21</v>
      </c>
      <c r="Y189">
        <v>21</v>
      </c>
      <c r="Z189" s="346">
        <v>21.39</v>
      </c>
      <c r="AA189" s="349">
        <v>2</v>
      </c>
      <c r="AB189" t="s">
        <v>118</v>
      </c>
      <c r="AG189" s="9"/>
      <c r="AH189" s="9"/>
      <c r="AI189" s="9"/>
      <c r="AL189" s="9"/>
    </row>
    <row r="190" spans="1:38" hidden="1" x14ac:dyDescent="0.3">
      <c r="B190">
        <v>20260430</v>
      </c>
      <c r="C190" s="279">
        <f t="shared" si="40"/>
        <v>1E-3</v>
      </c>
      <c r="D190" s="279">
        <f>etf!AU65</f>
        <v>-1E-3</v>
      </c>
      <c r="E190" s="279">
        <v>1.8E-3</v>
      </c>
      <c r="F190" s="279">
        <v>0</v>
      </c>
      <c r="G190" s="279">
        <v>1.6999999999999999E-3</v>
      </c>
      <c r="H190" s="305">
        <f t="shared" si="44"/>
        <v>0</v>
      </c>
      <c r="I190" s="279">
        <f t="shared" si="41"/>
        <v>1.0199999999999999E-3</v>
      </c>
      <c r="J190" s="279">
        <v>0</v>
      </c>
      <c r="K190" s="279">
        <v>1.5E-3</v>
      </c>
      <c r="L190" s="279">
        <f t="shared" si="42"/>
        <v>-1.5E-3</v>
      </c>
      <c r="M190" s="9">
        <v>4.0000000000000002E-4</v>
      </c>
      <c r="N190" s="9">
        <v>4.1999999999999997E-3</v>
      </c>
      <c r="O190" s="279">
        <v>-2.8999999999999998E-3</v>
      </c>
      <c r="P190">
        <v>1200</v>
      </c>
      <c r="Q190">
        <f t="shared" si="43"/>
        <v>33868</v>
      </c>
      <c r="R190" s="9">
        <v>1E-3</v>
      </c>
      <c r="S190" s="349"/>
      <c r="T190" s="279">
        <v>0</v>
      </c>
      <c r="U190" s="351">
        <f>etf!AT65</f>
        <v>1.145499131305691E-2</v>
      </c>
      <c r="X190">
        <v>23</v>
      </c>
      <c r="Y190">
        <v>15</v>
      </c>
      <c r="Z190" s="346">
        <v>8.18</v>
      </c>
      <c r="AA190" s="349">
        <v>1</v>
      </c>
      <c r="AB190" t="s">
        <v>119</v>
      </c>
      <c r="AG190" s="9"/>
      <c r="AH190" s="9"/>
      <c r="AI190" s="9"/>
      <c r="AL190" s="9"/>
    </row>
    <row r="191" spans="1:38" x14ac:dyDescent="0.3">
      <c r="B191" s="295" t="s">
        <v>120</v>
      </c>
      <c r="C191" s="296">
        <f>SUM(C192:C209)</f>
        <v>-2.4400000000000005E-2</v>
      </c>
      <c r="D191" s="296">
        <f>SUM(D192:D209)</f>
        <v>-9.0000000000000011E-3</v>
      </c>
      <c r="E191" s="296">
        <f>SUM(E192:E209)</f>
        <v>-3.9544586651536928E-2</v>
      </c>
      <c r="F191" s="296">
        <f>SUM(F192:F209)</f>
        <v>-3.3399999999999992E-2</v>
      </c>
      <c r="G191" s="296">
        <f>SUM(G192:G209)</f>
        <v>-7.5606077197945057E-2</v>
      </c>
      <c r="H191" s="344">
        <f t="shared" si="44"/>
        <v>0.4417634301083378</v>
      </c>
      <c r="I191" s="296">
        <f t="shared" ref="I191:P191" si="45">SUM(I192:I209)</f>
        <v>-4.5363646318767027E-2</v>
      </c>
      <c r="J191" s="296">
        <f t="shared" si="45"/>
        <v>-5.3899999999999997E-2</v>
      </c>
      <c r="K191" s="296">
        <f t="shared" si="45"/>
        <v>-5.7399999999999993E-2</v>
      </c>
      <c r="L191" s="296">
        <f t="shared" si="45"/>
        <v>3.5000000000000014E-3</v>
      </c>
      <c r="M191" s="296">
        <f t="shared" si="45"/>
        <v>-6.3889609968010547E-2</v>
      </c>
      <c r="N191" s="296">
        <f t="shared" si="45"/>
        <v>3.6833311584906561E-2</v>
      </c>
      <c r="O191" s="296">
        <f t="shared" si="45"/>
        <v>2.1612096659236048E-2</v>
      </c>
      <c r="P191" s="315">
        <f t="shared" si="45"/>
        <v>-90258</v>
      </c>
      <c r="Q191">
        <v>33868</v>
      </c>
      <c r="R191" s="296">
        <f>SUM(R192:R209)</f>
        <v>-9.7999999999999997E-3</v>
      </c>
      <c r="S191" s="315">
        <f>SUM(S192:S209)</f>
        <v>0</v>
      </c>
      <c r="T191" s="296">
        <f>SUM(T192:T209)</f>
        <v>0</v>
      </c>
      <c r="U191" s="296">
        <f>SUM(U192:U209)</f>
        <v>-0.10166226842466691</v>
      </c>
      <c r="V191" s="315"/>
      <c r="W191" s="315"/>
      <c r="AG191" s="9"/>
      <c r="AH191" s="9"/>
      <c r="AI191" s="9"/>
      <c r="AL191" s="9"/>
    </row>
    <row r="192" spans="1:38" hidden="1" x14ac:dyDescent="0.3">
      <c r="B192">
        <v>20260506</v>
      </c>
      <c r="C192" s="279">
        <f t="shared" ref="C192:C209" si="46">F192-D192</f>
        <v>-2.1100000000000001E-2</v>
      </c>
      <c r="D192" s="279">
        <f>etf!AU67</f>
        <v>1.61E-2</v>
      </c>
      <c r="E192" s="279">
        <v>2.9999999999999997E-4</v>
      </c>
      <c r="F192" s="279">
        <v>-5.0000000000000001E-3</v>
      </c>
      <c r="G192" s="279">
        <v>3.3999999999999998E-3</v>
      </c>
      <c r="H192" s="305">
        <f t="shared" si="44"/>
        <v>-1.4705882352941178</v>
      </c>
      <c r="I192" s="279">
        <f t="shared" ref="I192:I209" si="47">G192*$A$1</f>
        <v>2.0399999999999997E-3</v>
      </c>
      <c r="J192" s="279">
        <v>0</v>
      </c>
      <c r="K192" s="279">
        <v>-1.43E-2</v>
      </c>
      <c r="L192" s="279">
        <f t="shared" ref="L192:L209" si="48">J192-K192</f>
        <v>1.43E-2</v>
      </c>
      <c r="M192" s="9">
        <v>4.0000000000000002E-4</v>
      </c>
      <c r="N192" s="9">
        <v>6.7999999999999996E-3</v>
      </c>
      <c r="O192" s="9">
        <v>3.8E-3</v>
      </c>
      <c r="P192">
        <v>5500</v>
      </c>
      <c r="Q192">
        <f t="shared" ref="Q192:Q209" si="49">Q191+P192</f>
        <v>39368</v>
      </c>
      <c r="R192" s="9">
        <v>3.5999999999999999E-3</v>
      </c>
      <c r="T192" s="279">
        <v>0</v>
      </c>
      <c r="U192" s="351">
        <f>etf!AT67</f>
        <v>2.0044135193225399E-3</v>
      </c>
      <c r="X192">
        <v>26</v>
      </c>
      <c r="Y192">
        <v>19</v>
      </c>
      <c r="Z192" s="346">
        <v>31.24</v>
      </c>
      <c r="AA192" s="349">
        <v>0</v>
      </c>
      <c r="AB192" t="s">
        <v>121</v>
      </c>
      <c r="AG192" s="9"/>
      <c r="AH192" s="9"/>
      <c r="AI192" s="9"/>
      <c r="AL192" s="9"/>
    </row>
    <row r="193" spans="1:38" hidden="1" x14ac:dyDescent="0.3">
      <c r="B193">
        <v>20260507</v>
      </c>
      <c r="C193" s="279">
        <f t="shared" si="46"/>
        <v>-1.8999999999999998E-3</v>
      </c>
      <c r="D193" s="279">
        <f>etf!AU68</f>
        <v>6.8999999999999999E-3</v>
      </c>
      <c r="E193" s="279">
        <v>2.3E-3</v>
      </c>
      <c r="F193" s="279">
        <v>5.0000000000000001E-3</v>
      </c>
      <c r="G193" s="279">
        <v>-3.8E-3</v>
      </c>
      <c r="H193" s="305">
        <f t="shared" si="44"/>
        <v>-1.3157894736842106</v>
      </c>
      <c r="I193" s="279">
        <f t="shared" si="47"/>
        <v>-2.2799999999999999E-3</v>
      </c>
      <c r="J193" s="279">
        <v>0</v>
      </c>
      <c r="K193" s="279">
        <v>-7.6E-3</v>
      </c>
      <c r="L193" s="279">
        <f t="shared" si="48"/>
        <v>7.6E-3</v>
      </c>
      <c r="M193" s="279">
        <v>2.8E-3</v>
      </c>
      <c r="N193" s="279">
        <v>1.5900000000000001E-2</v>
      </c>
      <c r="O193" s="279">
        <v>2.2700000000000001E-2</v>
      </c>
      <c r="P193">
        <v>-1400</v>
      </c>
      <c r="Q193">
        <f t="shared" si="49"/>
        <v>37968</v>
      </c>
      <c r="R193" s="9">
        <v>-1E-4</v>
      </c>
      <c r="T193" s="279">
        <v>0</v>
      </c>
      <c r="U193" s="351">
        <f>etf!AT68</f>
        <v>3.7627321297569699E-3</v>
      </c>
      <c r="X193">
        <v>24</v>
      </c>
      <c r="Y193">
        <v>20</v>
      </c>
      <c r="Z193" s="346">
        <v>25.31</v>
      </c>
      <c r="AA193" s="349">
        <v>1</v>
      </c>
      <c r="AB193" t="s">
        <v>122</v>
      </c>
      <c r="AG193" s="9"/>
      <c r="AH193" s="9"/>
      <c r="AI193" s="9"/>
      <c r="AL193" s="9"/>
    </row>
    <row r="194" spans="1:38" hidden="1" x14ac:dyDescent="0.3">
      <c r="B194">
        <v>20260508</v>
      </c>
      <c r="C194" s="279">
        <f t="shared" si="46"/>
        <v>4.2000000000000006E-3</v>
      </c>
      <c r="D194" s="279">
        <f>etf!AU69</f>
        <v>3.0999999999999999E-3</v>
      </c>
      <c r="E194" s="279">
        <v>5.8999999999999999E-3</v>
      </c>
      <c r="F194" s="279">
        <v>7.3000000000000001E-3</v>
      </c>
      <c r="G194" s="279">
        <v>3.5999999999999999E-3</v>
      </c>
      <c r="H194" s="305">
        <f t="shared" si="44"/>
        <v>2.0277777777777777</v>
      </c>
      <c r="I194" s="279">
        <f t="shared" si="47"/>
        <v>2.16E-3</v>
      </c>
      <c r="J194" s="279">
        <v>1.2999999999999999E-2</v>
      </c>
      <c r="K194" s="279">
        <v>1.15E-2</v>
      </c>
      <c r="L194" s="279">
        <f t="shared" si="48"/>
        <v>1.4999999999999996E-3</v>
      </c>
      <c r="M194" s="9">
        <v>1.7000000000000001E-2</v>
      </c>
      <c r="N194" s="9">
        <v>2.24E-2</v>
      </c>
      <c r="O194" s="9">
        <v>1.7500000000000002E-2</v>
      </c>
      <c r="P194">
        <v>12300</v>
      </c>
      <c r="Q194">
        <f t="shared" si="49"/>
        <v>50268</v>
      </c>
      <c r="R194" s="9">
        <v>1.9E-3</v>
      </c>
      <c r="T194" s="279">
        <v>0</v>
      </c>
      <c r="U194" s="351">
        <f>etf!AT69</f>
        <v>1.419040966225902E-2</v>
      </c>
      <c r="X194">
        <v>27</v>
      </c>
      <c r="Y194">
        <v>8</v>
      </c>
      <c r="Z194" s="346">
        <v>8.2799999999999994</v>
      </c>
      <c r="AA194" s="349">
        <v>1</v>
      </c>
      <c r="AB194" t="s">
        <v>123</v>
      </c>
      <c r="AG194" s="9"/>
      <c r="AH194" s="9"/>
      <c r="AI194" s="9"/>
      <c r="AL194" s="9"/>
    </row>
    <row r="195" spans="1:38" hidden="1" x14ac:dyDescent="0.3">
      <c r="B195">
        <v>20260511</v>
      </c>
      <c r="C195" s="279">
        <f t="shared" si="46"/>
        <v>-1.1999999999999997E-3</v>
      </c>
      <c r="D195" s="279">
        <f>etf!AU70</f>
        <v>5.3E-3</v>
      </c>
      <c r="E195" s="279">
        <v>2.3999999999999998E-3</v>
      </c>
      <c r="F195" s="279">
        <v>4.1000000000000003E-3</v>
      </c>
      <c r="G195" s="279">
        <v>6.7000000000000002E-3</v>
      </c>
      <c r="H195" s="305">
        <f t="shared" si="44"/>
        <v>0.61194029850746268</v>
      </c>
      <c r="I195" s="279">
        <f t="shared" si="47"/>
        <v>4.0200000000000001E-3</v>
      </c>
      <c r="J195" s="279">
        <v>-1.5E-3</v>
      </c>
      <c r="K195" s="279">
        <f>etf!AV70</f>
        <v>5.7000000000000002E-3</v>
      </c>
      <c r="L195" s="279">
        <f t="shared" si="48"/>
        <v>-7.1999999999999998E-3</v>
      </c>
      <c r="M195" s="9">
        <v>-1E-3</v>
      </c>
      <c r="N195" s="9">
        <v>1.03E-2</v>
      </c>
      <c r="O195" s="9">
        <v>2.0000000000000001E-4</v>
      </c>
      <c r="P195">
        <v>10000</v>
      </c>
      <c r="Q195">
        <f t="shared" si="49"/>
        <v>60268</v>
      </c>
      <c r="R195" s="9">
        <v>6.1999999999999998E-3</v>
      </c>
      <c r="T195" s="279">
        <v>0</v>
      </c>
      <c r="U195" s="351">
        <f>etf!AT70</f>
        <v>6.3073614165220096E-3</v>
      </c>
      <c r="X195">
        <v>50</v>
      </c>
      <c r="Y195">
        <v>27</v>
      </c>
      <c r="Z195" s="346">
        <v>20.59</v>
      </c>
      <c r="AA195" s="349">
        <v>0</v>
      </c>
      <c r="AB195" t="s">
        <v>124</v>
      </c>
      <c r="AG195" s="9"/>
      <c r="AH195" s="9"/>
      <c r="AI195" s="9"/>
      <c r="AL195" s="9"/>
    </row>
    <row r="196" spans="1:38" hidden="1" x14ac:dyDescent="0.3">
      <c r="B196">
        <v>20260512</v>
      </c>
      <c r="C196" s="279">
        <f t="shared" si="46"/>
        <v>2.6999999999999993E-3</v>
      </c>
      <c r="D196" s="279">
        <f>etf!AU71</f>
        <v>-1.41E-2</v>
      </c>
      <c r="E196" s="279">
        <v>-1.2500000000000001E-2</v>
      </c>
      <c r="F196" s="279">
        <v>-1.14E-2</v>
      </c>
      <c r="G196" s="279">
        <v>-1.2200000000000001E-2</v>
      </c>
      <c r="H196" s="305">
        <f t="shared" si="44"/>
        <v>0.93442622950819665</v>
      </c>
      <c r="I196" s="279">
        <f t="shared" si="47"/>
        <v>-7.3200000000000001E-3</v>
      </c>
      <c r="J196" s="279">
        <v>-6.4999999999999997E-3</v>
      </c>
      <c r="K196" s="279">
        <f>etf!AV71</f>
        <v>-2.2000000000000001E-3</v>
      </c>
      <c r="L196" s="279">
        <f t="shared" si="48"/>
        <v>-4.3E-3</v>
      </c>
      <c r="M196" s="279">
        <v>-9.2999999999999992E-3</v>
      </c>
      <c r="N196" s="279">
        <v>5.1999999999999998E-3</v>
      </c>
      <c r="O196" s="279">
        <v>-3.0999999999999999E-3</v>
      </c>
      <c r="P196">
        <v>-22100</v>
      </c>
      <c r="Q196">
        <f t="shared" si="49"/>
        <v>38168</v>
      </c>
      <c r="R196" s="279">
        <v>-1.01E-2</v>
      </c>
      <c r="T196" s="279">
        <v>0</v>
      </c>
      <c r="U196" s="279">
        <f>etf!AT71</f>
        <v>-1.7004788976848199E-2</v>
      </c>
      <c r="V196" s="349"/>
      <c r="W196" s="349"/>
      <c r="X196">
        <v>39</v>
      </c>
      <c r="Y196">
        <v>28</v>
      </c>
      <c r="Z196" s="346">
        <v>9.93</v>
      </c>
      <c r="AA196" s="349">
        <v>1</v>
      </c>
      <c r="AB196" t="s">
        <v>125</v>
      </c>
      <c r="AG196" s="9"/>
      <c r="AH196" s="9"/>
      <c r="AI196" s="9"/>
      <c r="AL196" s="9"/>
    </row>
    <row r="197" spans="1:38" hidden="1" x14ac:dyDescent="0.3">
      <c r="B197">
        <v>20260513</v>
      </c>
      <c r="C197" s="279">
        <f t="shared" si="46"/>
        <v>-3.3E-3</v>
      </c>
      <c r="D197" s="279">
        <f>etf!AU72</f>
        <v>5.5999999999999999E-3</v>
      </c>
      <c r="E197" s="279">
        <v>2.8999999999999998E-3</v>
      </c>
      <c r="F197" s="279">
        <v>2.3E-3</v>
      </c>
      <c r="G197" s="279">
        <v>1E-4</v>
      </c>
      <c r="H197" s="305">
        <f t="shared" si="44"/>
        <v>23</v>
      </c>
      <c r="I197" s="279">
        <f t="shared" si="47"/>
        <v>6.0000000000000002E-5</v>
      </c>
      <c r="J197" s="279">
        <v>4.7999999999999996E-3</v>
      </c>
      <c r="K197" s="279">
        <f>etf!AV72</f>
        <v>4.7999999999999996E-3</v>
      </c>
      <c r="L197" s="279">
        <f t="shared" si="48"/>
        <v>0</v>
      </c>
      <c r="M197" s="9">
        <v>2.2000000000000001E-3</v>
      </c>
      <c r="N197" s="9">
        <v>8.8999999999999999E-3</v>
      </c>
      <c r="O197" s="9">
        <v>1.66E-2</v>
      </c>
      <c r="P197">
        <v>-2200</v>
      </c>
      <c r="Q197">
        <f t="shared" si="49"/>
        <v>35968</v>
      </c>
      <c r="R197" s="279">
        <v>-2.3999999999999998E-3</v>
      </c>
      <c r="T197" s="279">
        <v>0</v>
      </c>
      <c r="U197" s="279">
        <f>etf!AT72</f>
        <v>2.717050134764469E-3</v>
      </c>
      <c r="V197" s="349"/>
      <c r="W197" s="349"/>
      <c r="X197">
        <v>35</v>
      </c>
      <c r="Y197">
        <v>12</v>
      </c>
      <c r="Z197" s="346">
        <v>78.89</v>
      </c>
      <c r="AA197" s="349">
        <v>2</v>
      </c>
      <c r="AB197" t="s">
        <v>126</v>
      </c>
      <c r="AG197" s="9"/>
      <c r="AH197" s="9"/>
      <c r="AI197" s="9"/>
      <c r="AL197" s="9"/>
    </row>
    <row r="198" spans="1:38" hidden="1" x14ac:dyDescent="0.3">
      <c r="A198" t="s">
        <v>62</v>
      </c>
      <c r="B198">
        <v>20260514</v>
      </c>
      <c r="C198" s="279">
        <f t="shared" si="46"/>
        <v>3.9000000000000007E-3</v>
      </c>
      <c r="D198" s="279">
        <f>etf!AU73</f>
        <v>-1.46E-2</v>
      </c>
      <c r="E198" s="279">
        <v>-1.04E-2</v>
      </c>
      <c r="F198" s="279">
        <v>-1.0699999999999999E-2</v>
      </c>
      <c r="G198" s="279">
        <v>-9.4999999999999998E-3</v>
      </c>
      <c r="H198" s="305">
        <f t="shared" si="44"/>
        <v>1.1263157894736842</v>
      </c>
      <c r="I198" s="279">
        <f t="shared" si="47"/>
        <v>-5.6999999999999993E-3</v>
      </c>
      <c r="J198" s="279">
        <v>-1.09E-2</v>
      </c>
      <c r="K198" s="279">
        <f>etf!AV73</f>
        <v>-1.12E-2</v>
      </c>
      <c r="L198" s="279">
        <f t="shared" si="48"/>
        <v>2.9999999999999992E-4</v>
      </c>
      <c r="M198" s="279">
        <v>-1.4999999999999999E-2</v>
      </c>
      <c r="N198" s="279">
        <v>-3.5999999999999999E-3</v>
      </c>
      <c r="O198" s="9">
        <v>1.1999999999999999E-3</v>
      </c>
      <c r="P198">
        <v>-23700</v>
      </c>
      <c r="Q198">
        <f t="shared" si="49"/>
        <v>12268</v>
      </c>
      <c r="R198" s="279">
        <v>-8.8999999999999999E-3</v>
      </c>
      <c r="T198" s="279">
        <v>0</v>
      </c>
      <c r="U198" s="279">
        <f>etf!AT73</f>
        <v>-7.267720494356214E-3</v>
      </c>
      <c r="V198" s="349"/>
      <c r="W198" s="349"/>
      <c r="X198">
        <v>26</v>
      </c>
      <c r="Y198">
        <v>34</v>
      </c>
      <c r="Z198" s="346">
        <v>35.33</v>
      </c>
      <c r="AA198" s="349">
        <v>5</v>
      </c>
      <c r="AB198" t="s">
        <v>127</v>
      </c>
      <c r="AG198" s="9"/>
      <c r="AH198" s="9"/>
      <c r="AI198" s="9"/>
      <c r="AL198" s="9"/>
    </row>
    <row r="199" spans="1:38" hidden="1" x14ac:dyDescent="0.3">
      <c r="B199">
        <v>20260515</v>
      </c>
      <c r="C199" s="279">
        <f t="shared" si="46"/>
        <v>1.6000000000000003E-3</v>
      </c>
      <c r="D199" s="279">
        <f>etf!AU74</f>
        <v>-5.4000000000000003E-3</v>
      </c>
      <c r="E199" s="279">
        <v>-5.1000000000000004E-3</v>
      </c>
      <c r="F199" s="279">
        <v>-3.8E-3</v>
      </c>
      <c r="G199" s="279">
        <v>-9.4999999999999998E-3</v>
      </c>
      <c r="H199" s="305">
        <f t="shared" si="44"/>
        <v>0.4</v>
      </c>
      <c r="I199" s="279">
        <f t="shared" si="47"/>
        <v>-5.6999999999999993E-3</v>
      </c>
      <c r="J199" s="279">
        <v>-1.72E-2</v>
      </c>
      <c r="K199" s="279">
        <f>etf!AX74</f>
        <v>-5.5999999999999999E-3</v>
      </c>
      <c r="L199" s="279">
        <f t="shared" si="48"/>
        <v>-1.1599999999999999E-2</v>
      </c>
      <c r="M199" s="279">
        <v>-1.23E-2</v>
      </c>
      <c r="N199" s="279">
        <v>-3.5999999999999999E-3</v>
      </c>
      <c r="O199" s="9">
        <v>8.8000000000000005E-3</v>
      </c>
      <c r="P199">
        <v>-7500</v>
      </c>
      <c r="Q199">
        <f t="shared" si="49"/>
        <v>4768</v>
      </c>
      <c r="T199" s="279">
        <v>0</v>
      </c>
      <c r="U199" s="279">
        <f>etf!AT74</f>
        <v>-7.575399545913129E-3</v>
      </c>
      <c r="V199" s="349"/>
      <c r="W199" s="349"/>
      <c r="X199">
        <v>18</v>
      </c>
      <c r="Y199">
        <v>33</v>
      </c>
      <c r="Z199" s="346">
        <v>22.09</v>
      </c>
      <c r="AA199" s="349">
        <v>7</v>
      </c>
      <c r="AB199" t="s">
        <v>128</v>
      </c>
      <c r="AG199" s="9"/>
      <c r="AH199" s="9"/>
      <c r="AI199" s="9"/>
      <c r="AL199" s="9"/>
    </row>
    <row r="200" spans="1:38" hidden="1" x14ac:dyDescent="0.3">
      <c r="B200">
        <v>20260518</v>
      </c>
      <c r="C200" s="279">
        <f t="shared" si="46"/>
        <v>-2.8E-3</v>
      </c>
      <c r="D200" s="279">
        <f>etf!AU75</f>
        <v>5.9999999999999995E-4</v>
      </c>
      <c r="E200" s="279">
        <v>-2.2000000000000001E-3</v>
      </c>
      <c r="F200" s="279">
        <v>-2.2000000000000001E-3</v>
      </c>
      <c r="G200" s="279">
        <v>-8.5000000000000006E-3</v>
      </c>
      <c r="H200" s="305">
        <f t="shared" si="44"/>
        <v>0.25882352941176473</v>
      </c>
      <c r="I200" s="279">
        <f t="shared" si="47"/>
        <v>-5.1000000000000004E-3</v>
      </c>
      <c r="J200" s="279">
        <v>-0.01</v>
      </c>
      <c r="K200" s="279">
        <f>etf!AV75</f>
        <v>-1.1900000000000001E-2</v>
      </c>
      <c r="L200" s="279">
        <f t="shared" si="48"/>
        <v>1.9000000000000006E-3</v>
      </c>
      <c r="M200" s="279">
        <v>-7.1999999999999998E-3</v>
      </c>
      <c r="N200" s="279">
        <v>-1.4200000000000001E-2</v>
      </c>
      <c r="O200" s="279">
        <v>-2.8400000000000002E-2</v>
      </c>
      <c r="P200">
        <v>-6200</v>
      </c>
      <c r="Q200">
        <f t="shared" si="49"/>
        <v>-1432</v>
      </c>
      <c r="T200" s="279">
        <v>0</v>
      </c>
      <c r="U200" s="351">
        <f>etf!AT75</f>
        <v>8.6267762498630739E-3</v>
      </c>
      <c r="X200">
        <v>21</v>
      </c>
      <c r="Y200">
        <v>38</v>
      </c>
      <c r="Z200" s="346">
        <v>15</v>
      </c>
      <c r="AA200" s="349">
        <v>13</v>
      </c>
      <c r="AB200" t="s">
        <v>129</v>
      </c>
      <c r="AG200" s="9"/>
      <c r="AH200" s="9"/>
      <c r="AI200" s="9"/>
      <c r="AL200" s="9"/>
    </row>
    <row r="201" spans="1:38" hidden="1" x14ac:dyDescent="0.3">
      <c r="B201">
        <v>20260519</v>
      </c>
      <c r="C201" s="279">
        <f t="shared" si="46"/>
        <v>-7.6000000000000009E-3</v>
      </c>
      <c r="D201" s="279">
        <f>etf!AU76</f>
        <v>1.8200000000000001E-2</v>
      </c>
      <c r="E201" s="279">
        <v>9.2999999999999992E-3</v>
      </c>
      <c r="F201" s="279">
        <v>1.06E-2</v>
      </c>
      <c r="G201" s="279">
        <v>-2.9999999999999997E-4</v>
      </c>
      <c r="H201" s="305">
        <f t="shared" si="44"/>
        <v>-35.333333333333336</v>
      </c>
      <c r="I201" s="279">
        <f t="shared" si="47"/>
        <v>-1.7999999999999998E-4</v>
      </c>
      <c r="J201" s="279">
        <v>1.5699999999999999E-2</v>
      </c>
      <c r="K201" s="279">
        <f>etf!AV76</f>
        <v>1.0999999999999999E-2</v>
      </c>
      <c r="L201" s="279">
        <f t="shared" si="48"/>
        <v>4.6999999999999993E-3</v>
      </c>
      <c r="M201" s="9">
        <v>1.32E-2</v>
      </c>
      <c r="N201" s="9">
        <v>1.04E-2</v>
      </c>
      <c r="O201" s="9">
        <v>2.3E-3</v>
      </c>
      <c r="P201">
        <v>14800</v>
      </c>
      <c r="Q201">
        <f t="shared" si="49"/>
        <v>13368</v>
      </c>
      <c r="T201" s="279">
        <v>0</v>
      </c>
      <c r="U201" s="279">
        <f>etf!AT76</f>
        <v>3.7247834987681298E-3</v>
      </c>
      <c r="V201" s="349"/>
      <c r="W201" s="349"/>
      <c r="X201">
        <v>39</v>
      </c>
      <c r="Y201">
        <v>17</v>
      </c>
      <c r="Z201" s="346">
        <v>13.4</v>
      </c>
      <c r="AA201" s="349">
        <v>3</v>
      </c>
      <c r="AB201" t="s">
        <v>130</v>
      </c>
      <c r="AG201" s="9"/>
      <c r="AH201" s="9"/>
      <c r="AI201" s="9"/>
      <c r="AL201" s="9"/>
    </row>
    <row r="202" spans="1:38" hidden="1" x14ac:dyDescent="0.3">
      <c r="B202">
        <v>20260520</v>
      </c>
      <c r="C202" s="279">
        <f t="shared" si="46"/>
        <v>8.9999999999999976E-4</v>
      </c>
      <c r="D202" s="279">
        <f>etf!AU77</f>
        <v>-3.5999999999999999E-3</v>
      </c>
      <c r="E202" s="279">
        <v>-4.7999999999999996E-3</v>
      </c>
      <c r="F202" s="279">
        <v>-2.7000000000000001E-3</v>
      </c>
      <c r="G202" s="279">
        <v>-7.7000000000000002E-3</v>
      </c>
      <c r="H202" s="305">
        <f t="shared" si="44"/>
        <v>0.35064935064935066</v>
      </c>
      <c r="I202" s="279">
        <f t="shared" si="47"/>
        <v>-4.62E-3</v>
      </c>
      <c r="J202" s="279">
        <v>-2.4199999999999999E-2</v>
      </c>
      <c r="K202" s="279">
        <f>etf!AV77</f>
        <v>-6.4999999999999997E-3</v>
      </c>
      <c r="L202" s="279">
        <f t="shared" si="48"/>
        <v>-1.77E-2</v>
      </c>
      <c r="M202" s="279">
        <v>-8.0000000000000002E-3</v>
      </c>
      <c r="N202" s="279">
        <v>-5.1999999999999998E-3</v>
      </c>
      <c r="O202" s="279">
        <v>1.4800000000000001E-2</v>
      </c>
      <c r="P202">
        <v>-14665</v>
      </c>
      <c r="Q202">
        <f t="shared" si="49"/>
        <v>-1297</v>
      </c>
      <c r="T202" s="279">
        <v>0</v>
      </c>
      <c r="U202" s="279">
        <f>etf!AT77</f>
        <v>-1.206585645638412E-2</v>
      </c>
      <c r="V202" s="349"/>
      <c r="W202" s="349"/>
      <c r="X202">
        <v>14</v>
      </c>
      <c r="Y202">
        <v>17</v>
      </c>
      <c r="Z202" s="346">
        <v>18.73</v>
      </c>
      <c r="AA202" s="349">
        <v>12</v>
      </c>
      <c r="AB202" t="s">
        <v>131</v>
      </c>
      <c r="AG202" s="9"/>
      <c r="AH202" s="9"/>
      <c r="AI202" s="9"/>
      <c r="AL202" s="9"/>
    </row>
    <row r="203" spans="1:38" hidden="1" x14ac:dyDescent="0.3">
      <c r="A203" t="s">
        <v>62</v>
      </c>
      <c r="B203">
        <v>20260521</v>
      </c>
      <c r="C203" s="279">
        <f t="shared" si="46"/>
        <v>3.4000000000000002E-3</v>
      </c>
      <c r="D203" s="279">
        <f>etf!AU78</f>
        <v>-1.4E-2</v>
      </c>
      <c r="E203" s="279">
        <v>-1.04E-2</v>
      </c>
      <c r="F203" s="279">
        <v>-1.06E-2</v>
      </c>
      <c r="G203" s="279">
        <v>-2.3300000000000001E-2</v>
      </c>
      <c r="H203" s="305">
        <f t="shared" si="44"/>
        <v>0.45493562231759654</v>
      </c>
      <c r="I203" s="279">
        <f t="shared" si="47"/>
        <v>-1.3980000000000001E-2</v>
      </c>
      <c r="J203" s="279">
        <v>-3.8600000000000002E-2</v>
      </c>
      <c r="K203" s="279">
        <f>etf!AV78</f>
        <v>-2.58E-2</v>
      </c>
      <c r="L203" s="279">
        <f t="shared" si="48"/>
        <v>-1.2800000000000002E-2</v>
      </c>
      <c r="M203" s="279">
        <v>-2.6800000000000001E-2</v>
      </c>
      <c r="N203" s="279">
        <v>-2.3099999999999999E-2</v>
      </c>
      <c r="O203" s="279">
        <v>-2.58E-2</v>
      </c>
      <c r="P203">
        <v>-27600</v>
      </c>
      <c r="Q203">
        <f t="shared" si="49"/>
        <v>-28897</v>
      </c>
      <c r="T203" s="279">
        <v>0</v>
      </c>
      <c r="U203" s="279">
        <f>etf!AT78</f>
        <v>-3.6445683452282822E-2</v>
      </c>
      <c r="V203" s="349"/>
      <c r="W203" s="349"/>
      <c r="X203">
        <v>2</v>
      </c>
      <c r="Y203">
        <v>54</v>
      </c>
      <c r="Z203" s="346">
        <v>36.979999999999997</v>
      </c>
      <c r="AA203" s="349">
        <v>13</v>
      </c>
      <c r="AB203" t="s">
        <v>132</v>
      </c>
      <c r="AG203" s="9"/>
      <c r="AH203" s="9"/>
      <c r="AI203" s="9"/>
      <c r="AL203" s="9"/>
    </row>
    <row r="204" spans="1:38" hidden="1" x14ac:dyDescent="0.3">
      <c r="B204">
        <v>20260522</v>
      </c>
      <c r="C204" s="279">
        <f t="shared" si="46"/>
        <v>-6.7999999999999996E-3</v>
      </c>
      <c r="D204" s="279">
        <f>etf!AU79</f>
        <v>7.7999999999999996E-3</v>
      </c>
      <c r="E204" s="279">
        <v>2.5999999999999999E-3</v>
      </c>
      <c r="F204" s="279">
        <v>1E-3</v>
      </c>
      <c r="G204" s="279">
        <v>9.2999999999999992E-3</v>
      </c>
      <c r="H204" s="305">
        <f t="shared" si="44"/>
        <v>0.10752688172043012</v>
      </c>
      <c r="I204" s="279">
        <f t="shared" si="47"/>
        <v>5.579999999999999E-3</v>
      </c>
      <c r="J204" s="279">
        <v>1.18E-2</v>
      </c>
      <c r="K204" s="279">
        <f>etf!AV79</f>
        <v>9.7999999999999997E-3</v>
      </c>
      <c r="L204" s="279">
        <f t="shared" si="48"/>
        <v>2E-3</v>
      </c>
      <c r="M204" s="9">
        <v>9.2999999999999992E-3</v>
      </c>
      <c r="N204" s="9">
        <v>9.1000000000000004E-3</v>
      </c>
      <c r="O204" s="9">
        <v>1.6799999999999999E-2</v>
      </c>
      <c r="P204">
        <v>4400</v>
      </c>
      <c r="Q204">
        <f t="shared" si="49"/>
        <v>-24497</v>
      </c>
      <c r="T204" s="279">
        <v>0</v>
      </c>
      <c r="U204" s="279">
        <f>etf!AT79</f>
        <v>2.242593961549464E-2</v>
      </c>
      <c r="V204" s="349"/>
      <c r="W204" s="349"/>
      <c r="X204">
        <v>26</v>
      </c>
      <c r="Y204">
        <v>15</v>
      </c>
      <c r="Z204" s="346">
        <v>18.079999999999998</v>
      </c>
      <c r="AA204" s="349">
        <v>20</v>
      </c>
      <c r="AB204" t="s">
        <v>133</v>
      </c>
      <c r="AG204" s="9"/>
      <c r="AH204" s="9"/>
      <c r="AI204" s="9"/>
      <c r="AL204" s="9"/>
    </row>
    <row r="205" spans="1:38" hidden="1" x14ac:dyDescent="0.3">
      <c r="B205">
        <v>20260525</v>
      </c>
      <c r="C205" s="279">
        <f t="shared" si="46"/>
        <v>1.0000000000000005E-4</v>
      </c>
      <c r="D205" s="279">
        <f>etf!AU80</f>
        <v>1.8E-3</v>
      </c>
      <c r="E205" s="279">
        <v>1.6999999999999999E-3</v>
      </c>
      <c r="F205" s="279">
        <v>1.9E-3</v>
      </c>
      <c r="G205" s="279">
        <v>1.1000000000000001E-3</v>
      </c>
      <c r="H205" s="305">
        <f t="shared" si="44"/>
        <v>1.7272727272727271</v>
      </c>
      <c r="I205" s="279">
        <f t="shared" si="47"/>
        <v>6.6E-4</v>
      </c>
      <c r="J205" s="279">
        <v>-2.0000000000000001E-4</v>
      </c>
      <c r="K205" s="279">
        <f>etf!AV80</f>
        <v>-5.0000000000000001E-3</v>
      </c>
      <c r="L205" s="279">
        <f t="shared" si="48"/>
        <v>4.8000000000000004E-3</v>
      </c>
      <c r="M205" s="279">
        <v>-1.09E-2</v>
      </c>
      <c r="N205" s="279">
        <v>8.0000000000000004E-4</v>
      </c>
      <c r="O205" s="279">
        <v>5.9999999999999995E-4</v>
      </c>
      <c r="P205">
        <v>-500</v>
      </c>
      <c r="Q205">
        <f t="shared" si="49"/>
        <v>-24997</v>
      </c>
      <c r="T205" s="279">
        <v>0</v>
      </c>
      <c r="U205" s="279">
        <f>etf!AT80</f>
        <v>-1.472379890357637E-2</v>
      </c>
      <c r="V205" s="349"/>
      <c r="W205" s="349"/>
      <c r="X205">
        <v>29</v>
      </c>
      <c r="Y205">
        <v>17</v>
      </c>
      <c r="Z205" s="346">
        <v>22</v>
      </c>
      <c r="AA205" s="349">
        <v>17</v>
      </c>
      <c r="AB205" t="s">
        <v>134</v>
      </c>
      <c r="AG205" s="9"/>
      <c r="AH205" s="9"/>
      <c r="AI205" s="9"/>
      <c r="AL205" s="9"/>
    </row>
    <row r="206" spans="1:38" hidden="1" x14ac:dyDescent="0.3">
      <c r="A206" t="s">
        <v>62</v>
      </c>
      <c r="B206">
        <v>20260526</v>
      </c>
      <c r="C206" s="279">
        <f t="shared" si="46"/>
        <v>-7.9000000000000008E-3</v>
      </c>
      <c r="D206" s="279">
        <f>etf!AU81</f>
        <v>-6.7000000000000002E-3</v>
      </c>
      <c r="E206" s="279">
        <v>-1.431246217760223E-2</v>
      </c>
      <c r="F206" s="279">
        <v>-1.46E-2</v>
      </c>
      <c r="G206" s="279">
        <v>-1.080660493892778E-2</v>
      </c>
      <c r="H206" s="305">
        <f t="shared" si="44"/>
        <v>1.3510256072568705</v>
      </c>
      <c r="I206" s="279">
        <f t="shared" si="47"/>
        <v>-6.4839629633566681E-3</v>
      </c>
      <c r="J206" s="279">
        <v>-1.37E-2</v>
      </c>
      <c r="K206" s="279">
        <f>etf!AV81</f>
        <v>-1.04E-2</v>
      </c>
      <c r="L206" s="279">
        <f t="shared" si="48"/>
        <v>-3.3000000000000008E-3</v>
      </c>
      <c r="M206" s="279">
        <v>-1.486662561037788E-2</v>
      </c>
      <c r="N206" s="279">
        <v>-8.0143716022687741E-3</v>
      </c>
      <c r="O206" s="279">
        <v>-1.2212588785370491E-2</v>
      </c>
      <c r="P206">
        <v>-14823</v>
      </c>
      <c r="Q206">
        <f t="shared" si="49"/>
        <v>-39820</v>
      </c>
      <c r="T206" s="279">
        <v>0</v>
      </c>
      <c r="U206" s="279">
        <f>etf!AT81</f>
        <v>-2.3482034516816588E-2</v>
      </c>
      <c r="V206" s="349"/>
      <c r="W206" s="349"/>
      <c r="X206">
        <v>20</v>
      </c>
      <c r="Y206">
        <v>21</v>
      </c>
      <c r="Z206" s="346">
        <v>7.95</v>
      </c>
      <c r="AA206" s="349">
        <v>26</v>
      </c>
      <c r="AB206" t="s">
        <v>135</v>
      </c>
      <c r="AG206" s="9"/>
      <c r="AH206" s="9"/>
      <c r="AI206" s="9"/>
      <c r="AL206" s="9"/>
    </row>
    <row r="207" spans="1:38" hidden="1" x14ac:dyDescent="0.3">
      <c r="A207" t="s">
        <v>62</v>
      </c>
      <c r="B207">
        <v>20260527</v>
      </c>
      <c r="C207" s="279">
        <f t="shared" si="46"/>
        <v>3.9999999999999931E-4</v>
      </c>
      <c r="D207" s="279">
        <f>etf!AU82</f>
        <v>-1.0699999999999999E-2</v>
      </c>
      <c r="E207" s="279">
        <v>-1.039319808089929E-2</v>
      </c>
      <c r="F207" s="279">
        <v>-1.03E-2</v>
      </c>
      <c r="G207" s="279">
        <v>-1.2707480990059481E-2</v>
      </c>
      <c r="H207" s="305">
        <f t="shared" si="44"/>
        <v>0.81054616631394139</v>
      </c>
      <c r="I207" s="279">
        <f t="shared" si="47"/>
        <v>-7.6244885940356883E-3</v>
      </c>
      <c r="J207" s="279">
        <v>-5.1999999999999998E-3</v>
      </c>
      <c r="K207" s="279">
        <f>etf!AV82</f>
        <v>-1.01E-2</v>
      </c>
      <c r="L207" s="279">
        <f t="shared" si="48"/>
        <v>4.8999999999999998E-3</v>
      </c>
      <c r="M207" s="279">
        <v>-1.333876329284883E-2</v>
      </c>
      <c r="N207" s="279">
        <v>-6.4039384482629212E-3</v>
      </c>
      <c r="O207" s="279">
        <v>-9.3030321916374187E-3</v>
      </c>
      <c r="P207">
        <v>-19205</v>
      </c>
      <c r="Q207">
        <f t="shared" si="49"/>
        <v>-59025</v>
      </c>
      <c r="T207" s="279">
        <v>0</v>
      </c>
      <c r="U207" s="279">
        <f>etf!AT82</f>
        <v>-2.621585476371598E-2</v>
      </c>
      <c r="V207" s="349"/>
      <c r="W207" s="349"/>
      <c r="X207">
        <v>19</v>
      </c>
      <c r="Y207">
        <v>22</v>
      </c>
      <c r="Z207" s="353">
        <v>25.51</v>
      </c>
      <c r="AA207" s="349">
        <v>29</v>
      </c>
      <c r="AB207" t="s">
        <v>136</v>
      </c>
      <c r="AG207" s="9"/>
      <c r="AH207" s="9"/>
      <c r="AI207" s="9"/>
      <c r="AL207" s="9"/>
    </row>
    <row r="208" spans="1:38" hidden="1" x14ac:dyDescent="0.3">
      <c r="B208">
        <v>20260528</v>
      </c>
      <c r="C208" s="279">
        <f t="shared" si="46"/>
        <v>3.2999999999999991E-3</v>
      </c>
      <c r="D208" s="279">
        <f>etf!AU83</f>
        <v>1.0800000000000001E-2</v>
      </c>
      <c r="E208" s="351">
        <v>1.31431489277281E-2</v>
      </c>
      <c r="F208" s="279">
        <v>1.41E-2</v>
      </c>
      <c r="G208" s="351">
        <v>1.131212907899716E-2</v>
      </c>
      <c r="H208" s="305">
        <f t="shared" si="44"/>
        <v>1.2464497091161189</v>
      </c>
      <c r="I208" s="279">
        <f t="shared" si="47"/>
        <v>6.7872774473982959E-3</v>
      </c>
      <c r="J208" s="279">
        <v>2.2700000000000001E-2</v>
      </c>
      <c r="K208" s="279">
        <f>etf!AV83</f>
        <v>1.2699999999999999E-2</v>
      </c>
      <c r="L208" s="279">
        <f t="shared" si="48"/>
        <v>1.0000000000000002E-2</v>
      </c>
      <c r="M208" s="351">
        <v>1.3153909547458559E-2</v>
      </c>
      <c r="N208" s="351">
        <v>1.316497012356879E-2</v>
      </c>
      <c r="O208" s="351">
        <v>9.5078077072087049E-3</v>
      </c>
      <c r="P208">
        <v>6585</v>
      </c>
      <c r="Q208">
        <f t="shared" si="49"/>
        <v>-52440</v>
      </c>
      <c r="T208" s="279">
        <v>0</v>
      </c>
      <c r="U208" s="279">
        <f>etf!AT83</f>
        <v>4.5861977903552042E-3</v>
      </c>
      <c r="V208" s="349"/>
      <c r="W208" s="349"/>
      <c r="X208">
        <v>31</v>
      </c>
      <c r="Y208">
        <v>6</v>
      </c>
      <c r="Z208" s="353">
        <v>13.24</v>
      </c>
      <c r="AA208" s="349">
        <v>36</v>
      </c>
      <c r="AB208" t="s">
        <v>137</v>
      </c>
      <c r="AG208" s="9"/>
      <c r="AH208" s="9"/>
      <c r="AI208" s="9"/>
      <c r="AL208" s="9"/>
    </row>
    <row r="209" spans="1:38" hidden="1" x14ac:dyDescent="0.3">
      <c r="A209" t="s">
        <v>62</v>
      </c>
      <c r="B209">
        <v>20260529</v>
      </c>
      <c r="C209" s="279">
        <f t="shared" si="46"/>
        <v>7.7000000000000002E-3</v>
      </c>
      <c r="D209" s="279">
        <f>etf!AU84</f>
        <v>-1.61E-2</v>
      </c>
      <c r="E209" s="279">
        <v>-9.9820753207635077E-3</v>
      </c>
      <c r="F209" s="279">
        <v>-8.3999999999999995E-3</v>
      </c>
      <c r="G209" s="279">
        <v>-1.280412034795495E-2</v>
      </c>
      <c r="H209" s="305">
        <f t="shared" si="44"/>
        <v>0.65603881967117184</v>
      </c>
      <c r="I209" s="279">
        <f t="shared" si="47"/>
        <v>-7.6824722087729695E-3</v>
      </c>
      <c r="J209" s="279">
        <v>6.1000000000000004E-3</v>
      </c>
      <c r="K209" s="279">
        <f>etf!AV84</f>
        <v>-2.3E-3</v>
      </c>
      <c r="L209" s="279">
        <f t="shared" si="48"/>
        <v>8.4000000000000012E-3</v>
      </c>
      <c r="M209" s="279">
        <v>-3.2381306122423971E-3</v>
      </c>
      <c r="N209" s="279">
        <v>-2.0133484881305341E-3</v>
      </c>
      <c r="O209" s="279">
        <v>-1.438009007096475E-2</v>
      </c>
      <c r="P209">
        <v>-3950</v>
      </c>
      <c r="Q209">
        <f t="shared" si="49"/>
        <v>-56390</v>
      </c>
      <c r="T209" s="279">
        <v>0</v>
      </c>
      <c r="U209" s="279">
        <f>etf!AT84</f>
        <v>-2.5226795331879541E-2</v>
      </c>
      <c r="V209" s="349"/>
      <c r="W209" s="349"/>
      <c r="X209">
        <v>19</v>
      </c>
      <c r="Y209">
        <v>15</v>
      </c>
      <c r="Z209" s="353">
        <v>51.27</v>
      </c>
      <c r="AA209" s="349">
        <v>12</v>
      </c>
      <c r="AB209" t="s">
        <v>138</v>
      </c>
      <c r="AG209" s="9"/>
      <c r="AH209" s="9"/>
      <c r="AI209" s="9"/>
      <c r="AL209" s="9"/>
    </row>
    <row r="210" spans="1:38" x14ac:dyDescent="0.3">
      <c r="B210" s="295" t="s">
        <v>139</v>
      </c>
      <c r="C210" s="296">
        <f>SUM(C211:C231)</f>
        <v>3.9399999999999984E-2</v>
      </c>
      <c r="D210" s="296">
        <f>SUM(D211:D231)</f>
        <v>7.7999999999999979E-3</v>
      </c>
      <c r="E210" s="296">
        <f>SUM(E211:E231)</f>
        <v>8.2853858057348635E-3</v>
      </c>
      <c r="F210" s="296">
        <f>SUM(F211:F231)</f>
        <v>4.7200000000000006E-2</v>
      </c>
      <c r="G210" s="296">
        <f>SUM(G211:G231)</f>
        <v>-9.5852381708571535E-2</v>
      </c>
      <c r="H210" s="344">
        <f t="shared" ref="H210:H241" si="50">F210/G210</f>
        <v>-0.49242386217909884</v>
      </c>
      <c r="I210" s="296">
        <f t="shared" ref="I210:P210" si="51">SUM(I211:I231)</f>
        <v>-5.7511429025142904E-2</v>
      </c>
      <c r="J210" s="296">
        <f t="shared" si="51"/>
        <v>-0.13570000000000002</v>
      </c>
      <c r="K210" s="296">
        <f t="shared" si="51"/>
        <v>-0.14259999999999998</v>
      </c>
      <c r="L210" s="296">
        <f t="shared" si="51"/>
        <v>6.8999999999999929E-3</v>
      </c>
      <c r="M210" s="296">
        <f t="shared" si="51"/>
        <v>-0.13559084853369324</v>
      </c>
      <c r="N210" s="296">
        <f t="shared" si="51"/>
        <v>-0.13952983157549539</v>
      </c>
      <c r="O210" s="296">
        <f t="shared" si="51"/>
        <v>-0.14370594106740536</v>
      </c>
      <c r="P210" s="315">
        <f t="shared" si="51"/>
        <v>-135386</v>
      </c>
      <c r="Q210">
        <v>-56390</v>
      </c>
      <c r="R210" s="296">
        <f>SUM(R211:R231)</f>
        <v>0</v>
      </c>
      <c r="S210" s="315">
        <f>SUM(S211:S231)</f>
        <v>0</v>
      </c>
      <c r="T210" s="296">
        <f>SUM(T211:T231)</f>
        <v>0</v>
      </c>
      <c r="U210" s="296">
        <f>SUM(U211:U231)</f>
        <v>-0.13064025973676369</v>
      </c>
      <c r="V210" s="315"/>
      <c r="W210" s="315"/>
      <c r="AG210" s="9"/>
      <c r="AH210" s="9"/>
      <c r="AI210" s="9"/>
      <c r="AL210" s="9"/>
    </row>
    <row r="211" spans="1:38" hidden="1" x14ac:dyDescent="0.3">
      <c r="B211">
        <v>20260601</v>
      </c>
      <c r="C211" s="279">
        <f t="shared" ref="C211:C231" si="52">F211-D211</f>
        <v>3.7999999999999996E-3</v>
      </c>
      <c r="D211" s="279">
        <f>etf!AU86</f>
        <v>8.8999999999999999E-3</v>
      </c>
      <c r="E211" s="351">
        <v>1.348015849773866E-2</v>
      </c>
      <c r="F211" s="279">
        <v>1.2699999999999999E-2</v>
      </c>
      <c r="G211" s="351">
        <v>2.5208063569317169E-2</v>
      </c>
      <c r="H211" s="305">
        <f t="shared" si="50"/>
        <v>0.50380704432442902</v>
      </c>
      <c r="I211" s="279">
        <f t="shared" ref="I211:I231" si="53">G211*$A$1</f>
        <v>1.51248381415903E-2</v>
      </c>
      <c r="J211" s="279">
        <v>3.1199999999999999E-2</v>
      </c>
      <c r="K211" s="279">
        <f>etf!AV86</f>
        <v>2.4500000000000001E-2</v>
      </c>
      <c r="L211" s="279">
        <f t="shared" ref="L211:L231" si="54">J211-K211</f>
        <v>6.6999999999999976E-3</v>
      </c>
      <c r="M211" s="351">
        <v>2.589102139906348E-2</v>
      </c>
      <c r="N211" s="351">
        <v>2.2410606294422059E-2</v>
      </c>
      <c r="O211" s="351">
        <v>2.2916511277748249E-2</v>
      </c>
      <c r="P211">
        <v>23700</v>
      </c>
      <c r="Q211">
        <f t="shared" ref="Q211:Q231" si="55">Q210+P211</f>
        <v>-32690</v>
      </c>
      <c r="T211" s="279">
        <v>0</v>
      </c>
      <c r="U211" s="279">
        <f>etf!AT86</f>
        <v>3.3910042728948868E-2</v>
      </c>
      <c r="V211" s="349"/>
      <c r="W211" s="349"/>
      <c r="X211">
        <v>69</v>
      </c>
      <c r="Y211">
        <v>7</v>
      </c>
      <c r="Z211" s="353">
        <v>25.3</v>
      </c>
      <c r="AA211" s="349">
        <v>6</v>
      </c>
      <c r="AB211" t="s">
        <v>140</v>
      </c>
      <c r="AG211" s="9"/>
      <c r="AH211" s="9"/>
      <c r="AI211" s="9"/>
      <c r="AL211" s="9"/>
    </row>
    <row r="212" spans="1:38" hidden="1" x14ac:dyDescent="0.3">
      <c r="B212">
        <v>20260602</v>
      </c>
      <c r="C212" s="279">
        <f t="shared" si="52"/>
        <v>-2.9999999999999996E-3</v>
      </c>
      <c r="D212" s="279">
        <f>etf!AU87</f>
        <v>5.9999999999999995E-4</v>
      </c>
      <c r="E212" s="279">
        <v>-1.817786381005632E-3</v>
      </c>
      <c r="F212" s="279">
        <v>-2.3999999999999998E-3</v>
      </c>
      <c r="G212" s="279">
        <v>-1.7652377579854418E-2</v>
      </c>
      <c r="H212" s="305">
        <f t="shared" si="50"/>
        <v>0.13595902246839392</v>
      </c>
      <c r="I212" s="279">
        <f t="shared" si="53"/>
        <v>-1.059142654791265E-2</v>
      </c>
      <c r="J212" s="279">
        <v>9.1999999999999998E-3</v>
      </c>
      <c r="K212" s="279">
        <f>etf!AV87</f>
        <v>8.0999999999999996E-3</v>
      </c>
      <c r="L212" s="279">
        <f t="shared" si="54"/>
        <v>1.1000000000000003E-3</v>
      </c>
      <c r="M212" s="351">
        <v>4.5447136800525192E-3</v>
      </c>
      <c r="N212" s="351">
        <v>8.7263249589285153E-3</v>
      </c>
      <c r="O212" s="351">
        <v>3.538666528296919E-3</v>
      </c>
      <c r="P212">
        <v>-11557</v>
      </c>
      <c r="Q212">
        <f t="shared" si="55"/>
        <v>-44247</v>
      </c>
      <c r="T212" s="279">
        <v>0</v>
      </c>
      <c r="U212" s="279">
        <f>etf!AT87</f>
        <v>-2.7566004174128949E-2</v>
      </c>
      <c r="V212" s="349"/>
      <c r="W212" s="349"/>
      <c r="X212">
        <v>35</v>
      </c>
      <c r="Y212">
        <v>4</v>
      </c>
      <c r="Z212" s="353">
        <v>21.62</v>
      </c>
      <c r="AA212" s="349">
        <v>9</v>
      </c>
      <c r="AB212" t="s">
        <v>141</v>
      </c>
      <c r="AG212" s="9"/>
      <c r="AH212" s="9"/>
      <c r="AI212" s="9"/>
      <c r="AL212" s="9"/>
    </row>
    <row r="213" spans="1:38" hidden="1" x14ac:dyDescent="0.3">
      <c r="B213">
        <v>20260603</v>
      </c>
      <c r="C213" s="279">
        <f t="shared" si="52"/>
        <v>-2.4999999999999996E-3</v>
      </c>
      <c r="D213" s="279">
        <f>etf!AU88</f>
        <v>-3.0000000000000001E-3</v>
      </c>
      <c r="E213" s="279">
        <v>-5.2889876794235333E-3</v>
      </c>
      <c r="F213" s="279">
        <v>-5.4999999999999997E-3</v>
      </c>
      <c r="G213" s="279">
        <v>-2.0368130504023509E-2</v>
      </c>
      <c r="H213" s="305">
        <f t="shared" si="50"/>
        <v>0.27002969167511631</v>
      </c>
      <c r="I213" s="279">
        <f t="shared" si="53"/>
        <v>-1.2220878302414105E-2</v>
      </c>
      <c r="J213" s="279">
        <v>-8.9999999999999993E-3</v>
      </c>
      <c r="K213" s="279">
        <f>etf!AV88</f>
        <v>-1.5100000000000001E-2</v>
      </c>
      <c r="L213" s="279">
        <f t="shared" si="54"/>
        <v>6.1000000000000013E-3</v>
      </c>
      <c r="M213" s="279">
        <v>-1.7035273416399248E-2</v>
      </c>
      <c r="N213" s="279">
        <v>-1.362768713969436E-2</v>
      </c>
      <c r="O213" s="279">
        <v>-1.7722856290295481E-2</v>
      </c>
      <c r="P213">
        <v>-14620</v>
      </c>
      <c r="Q213">
        <f t="shared" si="55"/>
        <v>-58867</v>
      </c>
      <c r="T213" s="279">
        <v>0</v>
      </c>
      <c r="U213" s="279">
        <f>etf!AT88</f>
        <v>-1.488789144137188E-2</v>
      </c>
      <c r="V213" s="349"/>
      <c r="W213" s="349"/>
      <c r="X213">
        <v>15</v>
      </c>
      <c r="Y213">
        <v>24</v>
      </c>
      <c r="Z213" s="353">
        <v>15.27</v>
      </c>
      <c r="AA213" s="349">
        <v>32</v>
      </c>
      <c r="AB213" t="s">
        <v>142</v>
      </c>
      <c r="AG213" s="9"/>
      <c r="AH213" s="9"/>
      <c r="AI213" s="9"/>
      <c r="AL213" s="9"/>
    </row>
    <row r="214" spans="1:38" hidden="1" x14ac:dyDescent="0.3">
      <c r="B214">
        <v>20260604</v>
      </c>
      <c r="C214" s="279">
        <f t="shared" si="52"/>
        <v>-6.8000000000000005E-3</v>
      </c>
      <c r="D214" s="279">
        <f>etf!AU89</f>
        <v>-5.7999999999999996E-3</v>
      </c>
      <c r="E214" s="279">
        <v>-1.2272491904061289E-2</v>
      </c>
      <c r="F214" s="279">
        <v>-1.26E-2</v>
      </c>
      <c r="G214" s="279">
        <v>-2.2102744983861319E-2</v>
      </c>
      <c r="H214" s="305">
        <f t="shared" si="50"/>
        <v>0.57006494031397892</v>
      </c>
      <c r="I214" s="279">
        <f t="shared" si="53"/>
        <v>-1.3261646990316791E-2</v>
      </c>
      <c r="J214" s="279">
        <v>-1.5800000000000002E-2</v>
      </c>
      <c r="K214" s="279">
        <f>etf!AV89</f>
        <v>-2.1399999999999999E-2</v>
      </c>
      <c r="L214" s="279">
        <f t="shared" si="54"/>
        <v>5.5999999999999973E-3</v>
      </c>
      <c r="M214" s="279">
        <v>-2.3847113012183209E-2</v>
      </c>
      <c r="N214" s="279">
        <v>-2.1490941115397219E-2</v>
      </c>
      <c r="O214" s="279">
        <v>-1.908196005068984E-2</v>
      </c>
      <c r="P214">
        <v>-25542</v>
      </c>
      <c r="Q214">
        <f t="shared" si="55"/>
        <v>-84409</v>
      </c>
      <c r="T214" s="279">
        <v>0</v>
      </c>
      <c r="U214" s="279">
        <f>etf!AT89</f>
        <v>-1.8770209270221921E-2</v>
      </c>
      <c r="V214" s="349"/>
      <c r="W214" s="349"/>
      <c r="X214">
        <v>12</v>
      </c>
      <c r="Y214">
        <v>39</v>
      </c>
      <c r="Z214" s="353">
        <v>17.5</v>
      </c>
      <c r="AA214" s="349">
        <v>50</v>
      </c>
      <c r="AB214" t="s">
        <v>143</v>
      </c>
      <c r="AG214" s="9"/>
      <c r="AH214" s="9"/>
      <c r="AI214" s="9"/>
      <c r="AL214" s="9"/>
    </row>
    <row r="215" spans="1:38" hidden="1" x14ac:dyDescent="0.3">
      <c r="B215">
        <v>20260605</v>
      </c>
      <c r="C215" s="279">
        <f t="shared" si="52"/>
        <v>-3.7000000000000002E-3</v>
      </c>
      <c r="D215" s="279">
        <f>etf!AU90</f>
        <v>4.7000000000000002E-3</v>
      </c>
      <c r="E215" s="279">
        <v>-9.9371734459634676E-4</v>
      </c>
      <c r="F215" s="279">
        <v>1E-3</v>
      </c>
      <c r="G215" s="279">
        <v>-2.562135454662938E-3</v>
      </c>
      <c r="H215" s="305">
        <f t="shared" si="50"/>
        <v>-0.39029942705802612</v>
      </c>
      <c r="I215" s="279">
        <f t="shared" si="53"/>
        <v>-1.5372812727977628E-3</v>
      </c>
      <c r="J215" s="279">
        <v>9.4999999999999998E-3</v>
      </c>
      <c r="K215" s="279">
        <f>etf!AV90</f>
        <v>-8.9999999999999998E-4</v>
      </c>
      <c r="L215" s="279">
        <f t="shared" si="54"/>
        <v>1.04E-2</v>
      </c>
      <c r="M215" s="279">
        <v>-3.5686108431410182E-3</v>
      </c>
      <c r="N215" s="279">
        <v>5.1569234169750015E-4</v>
      </c>
      <c r="O215" s="279">
        <v>3.1213661376975699E-3</v>
      </c>
      <c r="P215">
        <v>14315</v>
      </c>
      <c r="Q215">
        <f t="shared" si="55"/>
        <v>-70094</v>
      </c>
      <c r="T215" s="279">
        <v>0</v>
      </c>
      <c r="U215" s="279">
        <f>etf!AT90</f>
        <v>1.6774677166061121E-2</v>
      </c>
      <c r="V215" s="349"/>
      <c r="W215" s="349"/>
      <c r="X215">
        <v>14</v>
      </c>
      <c r="Y215">
        <v>8</v>
      </c>
      <c r="Z215" s="353">
        <v>23.28</v>
      </c>
      <c r="AA215" s="349">
        <v>32</v>
      </c>
      <c r="AB215" t="s">
        <v>144</v>
      </c>
      <c r="AG215" s="9"/>
      <c r="AH215" s="9"/>
      <c r="AI215" s="9"/>
      <c r="AL215" s="9"/>
    </row>
    <row r="216" spans="1:38" hidden="1" x14ac:dyDescent="0.3">
      <c r="B216">
        <v>20260608</v>
      </c>
      <c r="C216" s="279">
        <f t="shared" si="52"/>
        <v>1.599999999999999E-3</v>
      </c>
      <c r="D216" s="279">
        <f>etf!AU91</f>
        <v>-1.1599999999999999E-2</v>
      </c>
      <c r="E216" s="279">
        <v>-1.028294632149836E-2</v>
      </c>
      <c r="F216" s="279">
        <v>-0.01</v>
      </c>
      <c r="G216" s="279">
        <v>-3.093171488770944E-2</v>
      </c>
      <c r="H216" s="305">
        <f t="shared" si="50"/>
        <v>0.32329277688943941</v>
      </c>
      <c r="I216" s="279">
        <f t="shared" si="53"/>
        <v>-1.8559028932625662E-2</v>
      </c>
      <c r="J216" s="279">
        <v>-0.02</v>
      </c>
      <c r="K216" s="279">
        <f>etf!AV91</f>
        <v>-1.7999999999999999E-2</v>
      </c>
      <c r="L216" s="279">
        <f t="shared" si="54"/>
        <v>-2.0000000000000018E-3</v>
      </c>
      <c r="M216" s="279">
        <v>-2.1025625817559099E-2</v>
      </c>
      <c r="N216" s="279">
        <v>-1.8093083400285259E-2</v>
      </c>
      <c r="O216" s="279">
        <v>-3.658330876929218E-2</v>
      </c>
      <c r="P216">
        <v>-29542</v>
      </c>
      <c r="Q216">
        <f t="shared" si="55"/>
        <v>-99636</v>
      </c>
      <c r="T216" s="279">
        <v>0</v>
      </c>
      <c r="U216" s="279">
        <f>etf!AT91</f>
        <v>-2.7909076208266031E-2</v>
      </c>
      <c r="V216" s="349"/>
      <c r="W216" s="349"/>
      <c r="X216">
        <v>11</v>
      </c>
      <c r="Y216">
        <v>28</v>
      </c>
      <c r="Z216" s="353">
        <v>51.71</v>
      </c>
      <c r="AA216" s="349">
        <v>68</v>
      </c>
      <c r="AB216" t="s">
        <v>145</v>
      </c>
      <c r="AG216" s="9"/>
      <c r="AH216" s="9"/>
      <c r="AI216" s="9"/>
      <c r="AL216" s="9"/>
    </row>
    <row r="217" spans="1:38" hidden="1" x14ac:dyDescent="0.3">
      <c r="A217" t="s">
        <v>146</v>
      </c>
      <c r="B217">
        <v>20260609</v>
      </c>
      <c r="C217" s="279">
        <f t="shared" si="52"/>
        <v>-1.4000000000000002E-3</v>
      </c>
      <c r="D217" s="279">
        <f>etf!AU92</f>
        <v>1.4999999999999999E-2</v>
      </c>
      <c r="E217" s="351">
        <v>1.0554589971230179E-2</v>
      </c>
      <c r="F217" s="279">
        <v>1.3599999999999999E-2</v>
      </c>
      <c r="G217" s="351">
        <v>1.2111691093688551E-2</v>
      </c>
      <c r="H217" s="305">
        <f t="shared" si="50"/>
        <v>1.122882006715562</v>
      </c>
      <c r="I217" s="279">
        <f t="shared" si="53"/>
        <v>7.2670146562131303E-3</v>
      </c>
      <c r="J217" s="279">
        <v>-4.4999999999999997E-3</v>
      </c>
      <c r="K217" s="279">
        <f>etf!AV92</f>
        <v>-2.8E-3</v>
      </c>
      <c r="L217" s="279">
        <f t="shared" si="54"/>
        <v>-1.6999999999999997E-3</v>
      </c>
      <c r="M217" s="279">
        <v>-1.3712387452170429E-3</v>
      </c>
      <c r="N217" s="279">
        <v>-2.0549335532407298E-3</v>
      </c>
      <c r="O217" s="279">
        <v>-2.7110833278524019E-3</v>
      </c>
      <c r="P217">
        <v>7800</v>
      </c>
      <c r="Q217">
        <f t="shared" si="55"/>
        <v>-91836</v>
      </c>
      <c r="T217" s="279">
        <v>0</v>
      </c>
      <c r="U217" s="279">
        <f>etf!AT92</f>
        <v>5.3595403625769757E-3</v>
      </c>
      <c r="V217" s="349"/>
      <c r="W217" s="349"/>
      <c r="X217">
        <v>15</v>
      </c>
      <c r="Y217">
        <v>14</v>
      </c>
      <c r="Z217" s="353">
        <v>23.59</v>
      </c>
      <c r="AA217" s="349">
        <v>36</v>
      </c>
      <c r="AB217" t="s">
        <v>147</v>
      </c>
      <c r="AG217" s="9"/>
      <c r="AH217" s="9"/>
      <c r="AI217" s="9"/>
      <c r="AL217" s="9"/>
    </row>
    <row r="218" spans="1:38" hidden="1" x14ac:dyDescent="0.3">
      <c r="B218">
        <v>20260610</v>
      </c>
      <c r="C218" s="279">
        <f t="shared" si="52"/>
        <v>1.78E-2</v>
      </c>
      <c r="D218" s="279">
        <f>etf!AU93</f>
        <v>-1.4800000000000001E-2</v>
      </c>
      <c r="E218" s="279">
        <v>-8.6996009312898179E-3</v>
      </c>
      <c r="F218" s="279">
        <v>3.0000000000000001E-3</v>
      </c>
      <c r="G218" s="279">
        <v>4.9426550472074374E-3</v>
      </c>
      <c r="H218" s="305">
        <f t="shared" si="50"/>
        <v>0.60696123264660706</v>
      </c>
      <c r="I218" s="279">
        <f t="shared" si="53"/>
        <v>2.9655930283244624E-3</v>
      </c>
      <c r="J218" s="279">
        <v>-2.6700000000000002E-2</v>
      </c>
      <c r="K218" s="279">
        <f>etf!AV93</f>
        <v>-2.5000000000000001E-2</v>
      </c>
      <c r="L218" s="279">
        <f t="shared" si="54"/>
        <v>-1.7000000000000001E-3</v>
      </c>
      <c r="M218" s="279">
        <v>-2.4369354324242951E-2</v>
      </c>
      <c r="N218" s="279">
        <v>-2.4384209216203219E-2</v>
      </c>
      <c r="O218" s="279">
        <v>-2.1013026387732319E-2</v>
      </c>
      <c r="P218">
        <v>-12200</v>
      </c>
      <c r="Q218">
        <f t="shared" si="55"/>
        <v>-104036</v>
      </c>
      <c r="T218" s="279">
        <v>0</v>
      </c>
      <c r="U218" s="279">
        <f>etf!AT93</f>
        <v>-1.039962616205487E-2</v>
      </c>
      <c r="V218" s="349"/>
      <c r="W218" s="349"/>
      <c r="X218">
        <v>5</v>
      </c>
      <c r="Y218">
        <v>61</v>
      </c>
      <c r="Z218" s="353">
        <v>33.33</v>
      </c>
      <c r="AA218" s="349">
        <v>62</v>
      </c>
      <c r="AB218" t="s">
        <v>148</v>
      </c>
      <c r="AG218" s="9"/>
      <c r="AH218" s="9"/>
      <c r="AI218" s="9"/>
      <c r="AL218" s="9"/>
    </row>
    <row r="219" spans="1:38" hidden="1" x14ac:dyDescent="0.3">
      <c r="A219" t="s">
        <v>60</v>
      </c>
      <c r="B219">
        <v>20260611</v>
      </c>
      <c r="C219" s="279">
        <f t="shared" si="52"/>
        <v>4.5999999999999999E-3</v>
      </c>
      <c r="D219" s="279">
        <f>etf!AU94</f>
        <v>2.2000000000000001E-3</v>
      </c>
      <c r="E219" s="351">
        <v>4.8384020847633538E-3</v>
      </c>
      <c r="F219" s="279">
        <v>6.7999999999999996E-3</v>
      </c>
      <c r="G219" s="351">
        <v>-1.251907993797708E-3</v>
      </c>
      <c r="H219" s="305">
        <f t="shared" si="50"/>
        <v>-5.4317090662325391</v>
      </c>
      <c r="I219" s="279">
        <f t="shared" si="53"/>
        <v>-7.5114479627862477E-4</v>
      </c>
      <c r="J219" s="279">
        <v>-1.43E-2</v>
      </c>
      <c r="K219" s="279">
        <f>etf!AV94</f>
        <v>-1.5900000000000001E-2</v>
      </c>
      <c r="L219" s="279">
        <f t="shared" si="54"/>
        <v>1.6000000000000007E-3</v>
      </c>
      <c r="M219" s="279">
        <v>-1.55782816533458E-2</v>
      </c>
      <c r="N219" s="279">
        <v>-1.263029709134738E-2</v>
      </c>
      <c r="O219" s="279">
        <v>-1.030724699260574E-2</v>
      </c>
      <c r="P219">
        <v>-10400</v>
      </c>
      <c r="Q219">
        <f t="shared" si="55"/>
        <v>-114436</v>
      </c>
      <c r="T219" s="279">
        <v>0</v>
      </c>
      <c r="U219" s="279">
        <f>etf!AT94</f>
        <v>-1.4008871896416209E-2</v>
      </c>
      <c r="V219" s="349"/>
      <c r="W219" s="349"/>
      <c r="X219">
        <v>10</v>
      </c>
      <c r="Y219">
        <v>27</v>
      </c>
      <c r="Z219" s="353">
        <v>17.38</v>
      </c>
      <c r="AA219" s="349">
        <v>50</v>
      </c>
      <c r="AB219" t="s">
        <v>149</v>
      </c>
      <c r="AG219" s="9"/>
      <c r="AH219" s="9"/>
      <c r="AI219" s="9"/>
      <c r="AL219" s="9"/>
    </row>
    <row r="220" spans="1:38" hidden="1" x14ac:dyDescent="0.3">
      <c r="A220" t="s">
        <v>60</v>
      </c>
      <c r="B220">
        <v>20260612</v>
      </c>
      <c r="C220" s="279">
        <f t="shared" si="52"/>
        <v>-2.0000000000000052E-4</v>
      </c>
      <c r="D220" s="279">
        <f>etf!AU95</f>
        <v>9.4999999999999998E-3</v>
      </c>
      <c r="E220" s="351">
        <v>9.3412789163721636E-3</v>
      </c>
      <c r="F220" s="279">
        <v>9.2999999999999992E-3</v>
      </c>
      <c r="G220" s="351">
        <v>2.1527072142338521E-2</v>
      </c>
      <c r="H220" s="305">
        <f t="shared" si="50"/>
        <v>0.43201416051879898</v>
      </c>
      <c r="I220" s="279">
        <f t="shared" si="53"/>
        <v>1.2916243285403112E-2</v>
      </c>
      <c r="J220" s="279">
        <v>1.1299999999999999E-2</v>
      </c>
      <c r="K220" s="279">
        <f>etf!AV95</f>
        <v>8.0000000000000002E-3</v>
      </c>
      <c r="L220" s="279">
        <f t="shared" si="54"/>
        <v>3.2999999999999991E-3</v>
      </c>
      <c r="M220" s="351">
        <v>1.021765943042508E-2</v>
      </c>
      <c r="N220" s="351">
        <v>5.6931145585254967E-3</v>
      </c>
      <c r="O220" s="351">
        <v>1.456298881521002E-2</v>
      </c>
      <c r="P220">
        <v>18000</v>
      </c>
      <c r="Q220">
        <f t="shared" si="55"/>
        <v>-96436</v>
      </c>
      <c r="T220" s="279">
        <v>0</v>
      </c>
      <c r="U220" s="279">
        <f>etf!AT95</f>
        <v>1.3121529686411559E-2</v>
      </c>
      <c r="V220" s="349"/>
      <c r="W220" s="349"/>
      <c r="X220">
        <v>15</v>
      </c>
      <c r="Y220">
        <v>13</v>
      </c>
      <c r="Z220" s="353">
        <v>23.4</v>
      </c>
      <c r="AA220" s="349">
        <v>8</v>
      </c>
      <c r="AB220" t="s">
        <v>150</v>
      </c>
      <c r="AG220" s="9"/>
      <c r="AH220" s="9"/>
      <c r="AI220" s="9"/>
      <c r="AL220" s="9"/>
    </row>
    <row r="221" spans="1:38" hidden="1" x14ac:dyDescent="0.3">
      <c r="B221">
        <v>20260615</v>
      </c>
      <c r="C221" s="279">
        <f t="shared" si="52"/>
        <v>-1.03E-2</v>
      </c>
      <c r="D221" s="279">
        <f>etf!AU96</f>
        <v>1.83E-2</v>
      </c>
      <c r="E221" s="351">
        <v>4.7501502017732308E-3</v>
      </c>
      <c r="F221" s="279">
        <v>8.0000000000000002E-3</v>
      </c>
      <c r="G221" s="351">
        <v>1.6509279129604481E-3</v>
      </c>
      <c r="H221" s="305">
        <f t="shared" si="50"/>
        <v>4.8457597313588208</v>
      </c>
      <c r="I221" s="279">
        <f t="shared" si="53"/>
        <v>9.9055674777626872E-4</v>
      </c>
      <c r="J221" s="279">
        <v>0</v>
      </c>
      <c r="K221" s="279">
        <f>etf!AV96</f>
        <v>6.7999999999999996E-3</v>
      </c>
      <c r="L221" s="279">
        <f t="shared" si="54"/>
        <v>-6.7999999999999996E-3</v>
      </c>
      <c r="M221" s="351">
        <v>1.206875153398802E-2</v>
      </c>
      <c r="N221" s="351">
        <v>3.582685815524277E-3</v>
      </c>
      <c r="O221" s="351">
        <v>1.008874345481524E-2</v>
      </c>
      <c r="P221">
        <v>4700</v>
      </c>
      <c r="Q221">
        <f t="shared" si="55"/>
        <v>-91736</v>
      </c>
      <c r="T221" s="279">
        <v>0</v>
      </c>
      <c r="U221" s="279">
        <f>etf!AT96</f>
        <v>-6.16255223581582E-3</v>
      </c>
      <c r="V221" s="349"/>
      <c r="W221" s="349"/>
      <c r="X221">
        <v>21</v>
      </c>
      <c r="Y221">
        <v>10</v>
      </c>
      <c r="Z221" s="353">
        <v>40</v>
      </c>
      <c r="AA221" s="349">
        <v>6</v>
      </c>
      <c r="AB221" t="s">
        <v>151</v>
      </c>
      <c r="AG221" s="9"/>
      <c r="AH221" s="9"/>
      <c r="AI221" s="9"/>
      <c r="AL221" s="9"/>
    </row>
    <row r="222" spans="1:38" hidden="1" x14ac:dyDescent="0.3">
      <c r="A222" t="s">
        <v>152</v>
      </c>
      <c r="B222">
        <v>20260616</v>
      </c>
      <c r="C222" s="279">
        <f t="shared" si="52"/>
        <v>1.7899999999999999E-2</v>
      </c>
      <c r="D222" s="279">
        <f>etf!AU97</f>
        <v>7.7000000000000002E-3</v>
      </c>
      <c r="E222" s="351">
        <v>6.0830897780433206E-3</v>
      </c>
      <c r="F222" s="279">
        <v>2.5600000000000001E-2</v>
      </c>
      <c r="G222" s="351">
        <v>2.8330479306438879E-3</v>
      </c>
      <c r="H222" s="305">
        <f t="shared" si="50"/>
        <v>9.036204337771899</v>
      </c>
      <c r="I222" s="279">
        <f t="shared" si="53"/>
        <v>1.6998287583863327E-3</v>
      </c>
      <c r="J222" s="279">
        <v>1.8200000000000001E-2</v>
      </c>
      <c r="K222" s="279">
        <f>etf!AV97</f>
        <v>1.01E-2</v>
      </c>
      <c r="L222" s="279">
        <f t="shared" si="54"/>
        <v>8.1000000000000013E-3</v>
      </c>
      <c r="M222" s="351">
        <v>1.034967129114696E-2</v>
      </c>
      <c r="N222" s="351">
        <v>1.4093153922068989E-2</v>
      </c>
      <c r="O222" s="351">
        <v>2.7230919971428218E-3</v>
      </c>
      <c r="P222">
        <v>3900</v>
      </c>
      <c r="Q222">
        <f t="shared" si="55"/>
        <v>-87836</v>
      </c>
      <c r="T222" s="279">
        <v>0</v>
      </c>
      <c r="U222" s="279">
        <f>etf!AT97</f>
        <v>1.4025353319286229E-3</v>
      </c>
      <c r="V222" s="349"/>
      <c r="W222" s="349"/>
      <c r="X222">
        <v>31</v>
      </c>
      <c r="Y222">
        <v>4</v>
      </c>
      <c r="Z222" s="353">
        <v>21.35</v>
      </c>
      <c r="AA222" s="349">
        <v>17</v>
      </c>
      <c r="AB222" t="s">
        <v>153</v>
      </c>
      <c r="AG222" s="9"/>
      <c r="AH222" s="9"/>
      <c r="AI222" s="9"/>
      <c r="AL222" s="9"/>
    </row>
    <row r="223" spans="1:38" hidden="1" x14ac:dyDescent="0.3">
      <c r="B223">
        <v>20260617</v>
      </c>
      <c r="C223" s="279">
        <f t="shared" si="52"/>
        <v>2.4999999999999998E-2</v>
      </c>
      <c r="D223" s="279">
        <f>etf!AU98</f>
        <v>-4.1999999999999997E-3</v>
      </c>
      <c r="E223" s="279">
        <v>3.0599999999999999E-2</v>
      </c>
      <c r="F223" s="279">
        <v>2.0799999999999999E-2</v>
      </c>
      <c r="G223" s="279">
        <v>-9.1105273486046714E-3</v>
      </c>
      <c r="H223" s="305">
        <f t="shared" si="50"/>
        <v>-2.2830731091746994</v>
      </c>
      <c r="I223" s="279">
        <f t="shared" si="53"/>
        <v>-5.4663164091628023E-3</v>
      </c>
      <c r="J223" s="279">
        <v>-1.52E-2</v>
      </c>
      <c r="K223" s="279">
        <f>etf!AV98</f>
        <v>-1.6400000000000001E-2</v>
      </c>
      <c r="L223" s="279">
        <f t="shared" si="54"/>
        <v>1.2000000000000014E-3</v>
      </c>
      <c r="M223" s="279">
        <v>-1.6924313744968219E-2</v>
      </c>
      <c r="N223" s="279">
        <v>-1.5114467208510221E-2</v>
      </c>
      <c r="O223" s="279">
        <v>-1.561424758379574E-2</v>
      </c>
      <c r="P223">
        <v>-19000</v>
      </c>
      <c r="Q223">
        <f t="shared" si="55"/>
        <v>-106836</v>
      </c>
      <c r="T223" s="279">
        <v>0</v>
      </c>
      <c r="U223" s="279">
        <f>etf!AT98</f>
        <v>-2.127443649182785E-2</v>
      </c>
      <c r="V223" s="349"/>
      <c r="W223" s="349"/>
      <c r="X223">
        <v>16</v>
      </c>
      <c r="Y223">
        <v>26</v>
      </c>
      <c r="Z223" s="353">
        <v>16.350000000000001</v>
      </c>
      <c r="AA223" s="349">
        <v>33</v>
      </c>
      <c r="AB223" t="s">
        <v>154</v>
      </c>
      <c r="AG223" s="9"/>
      <c r="AH223" s="9"/>
      <c r="AI223" s="9"/>
      <c r="AL223" s="9"/>
    </row>
    <row r="224" spans="1:38" hidden="1" x14ac:dyDescent="0.3">
      <c r="B224">
        <v>20260618</v>
      </c>
      <c r="C224" s="279">
        <f t="shared" si="52"/>
        <v>-6.3999999999999994E-3</v>
      </c>
      <c r="D224" s="279">
        <f>etf!AU99</f>
        <v>-7.7000000000000002E-3</v>
      </c>
      <c r="E224" s="279">
        <v>-8.9469855681435576E-3</v>
      </c>
      <c r="F224" s="279">
        <v>-1.41E-2</v>
      </c>
      <c r="G224" s="279">
        <v>-2.7732838472275159E-2</v>
      </c>
      <c r="H224" s="305">
        <f t="shared" si="50"/>
        <v>0.50842253360022749</v>
      </c>
      <c r="I224" s="279">
        <f t="shared" si="53"/>
        <v>-1.6639703083365095E-2</v>
      </c>
      <c r="J224" s="279">
        <v>-2.3199999999999998E-2</v>
      </c>
      <c r="K224" s="279">
        <f>etf!AV99</f>
        <v>-1.44E-2</v>
      </c>
      <c r="L224" s="279">
        <f t="shared" si="54"/>
        <v>-8.7999999999999988E-3</v>
      </c>
      <c r="M224" s="279">
        <v>-1.6245677648561649E-2</v>
      </c>
      <c r="N224" s="279">
        <v>-1.072156259389234E-2</v>
      </c>
      <c r="O224" s="279">
        <v>-4.7643271126940846E-3</v>
      </c>
      <c r="P224">
        <v>-8900</v>
      </c>
      <c r="Q224">
        <f t="shared" si="55"/>
        <v>-115736</v>
      </c>
      <c r="T224" s="279">
        <v>0</v>
      </c>
      <c r="U224" s="279">
        <f>etf!AT99</f>
        <v>-2.74746884313692E-3</v>
      </c>
      <c r="V224" s="349"/>
      <c r="W224" s="349"/>
      <c r="X224">
        <v>13</v>
      </c>
      <c r="Y224">
        <v>30</v>
      </c>
      <c r="Z224" s="353">
        <v>28.17</v>
      </c>
      <c r="AA224" s="349">
        <v>51</v>
      </c>
      <c r="AB224" t="s">
        <v>155</v>
      </c>
      <c r="AG224" s="9"/>
      <c r="AH224" s="9"/>
      <c r="AI224" s="9"/>
      <c r="AL224" s="9"/>
    </row>
    <row r="225" spans="1:38" hidden="1" x14ac:dyDescent="0.3">
      <c r="B225">
        <v>20260622</v>
      </c>
      <c r="C225" s="279">
        <f t="shared" si="52"/>
        <v>-1.8799999999999997E-2</v>
      </c>
      <c r="D225" s="279">
        <f>etf!AU100</f>
        <v>-4.0000000000000002E-4</v>
      </c>
      <c r="E225" s="279">
        <v>-8.4819315282413411E-3</v>
      </c>
      <c r="F225" s="279">
        <v>-1.9199999999999998E-2</v>
      </c>
      <c r="G225" s="279">
        <v>-2.3662344202442339E-2</v>
      </c>
      <c r="H225" s="305">
        <f t="shared" si="50"/>
        <v>0.81141580207502206</v>
      </c>
      <c r="I225" s="279">
        <f t="shared" si="53"/>
        <v>-1.4197406521465403E-2</v>
      </c>
      <c r="J225" s="279">
        <v>-2.1000000000000001E-2</v>
      </c>
      <c r="K225" s="279">
        <f>etf!AV100</f>
        <v>-1.4999999999999999E-2</v>
      </c>
      <c r="L225" s="279">
        <f t="shared" si="54"/>
        <v>-6.0000000000000019E-3</v>
      </c>
      <c r="M225" s="279">
        <v>-1.516430977373929E-2</v>
      </c>
      <c r="N225" s="279">
        <v>-1.9699288812540929E-2</v>
      </c>
      <c r="O225" s="279">
        <v>-2.2960281782442891E-2</v>
      </c>
      <c r="P225">
        <v>-450</v>
      </c>
      <c r="Q225">
        <f t="shared" si="55"/>
        <v>-116186</v>
      </c>
      <c r="T225" s="279">
        <v>0</v>
      </c>
      <c r="U225" s="279">
        <f>etf!AT100</f>
        <v>9.0696113566427327E-3</v>
      </c>
      <c r="V225" s="349"/>
      <c r="W225" s="349"/>
      <c r="X225">
        <v>18</v>
      </c>
      <c r="Y225">
        <v>41</v>
      </c>
      <c r="Z225" s="353">
        <v>40.270000000000003</v>
      </c>
      <c r="AA225" s="349">
        <v>87</v>
      </c>
      <c r="AB225" t="s">
        <v>156</v>
      </c>
      <c r="AG225" s="9"/>
      <c r="AH225" s="9"/>
      <c r="AI225" s="9"/>
      <c r="AL225" s="9"/>
    </row>
    <row r="226" spans="1:38" hidden="1" x14ac:dyDescent="0.3">
      <c r="B226">
        <v>20260623</v>
      </c>
      <c r="C226" s="279">
        <f t="shared" si="52"/>
        <v>8.8999999999999999E-3</v>
      </c>
      <c r="D226" s="279">
        <f>etf!AU101</f>
        <v>-7.4000000000000003E-3</v>
      </c>
      <c r="E226" s="351">
        <v>1.168489828414549E-3</v>
      </c>
      <c r="F226" s="279">
        <v>1.5E-3</v>
      </c>
      <c r="G226" s="351">
        <v>1.469137759460337E-2</v>
      </c>
      <c r="H226" s="305">
        <f t="shared" si="50"/>
        <v>0.10210070433088587</v>
      </c>
      <c r="I226" s="279">
        <f t="shared" si="53"/>
        <v>8.8148265567620215E-3</v>
      </c>
      <c r="J226" s="279">
        <v>0.02</v>
      </c>
      <c r="K226" s="279">
        <f>etf!AV101</f>
        <v>1.03E-2</v>
      </c>
      <c r="L226" s="279">
        <f t="shared" si="54"/>
        <v>9.7000000000000003E-3</v>
      </c>
      <c r="M226" s="351">
        <v>1.128620728720273E-2</v>
      </c>
      <c r="N226" s="351">
        <v>9.4528648966088463E-3</v>
      </c>
      <c r="O226" s="351">
        <v>1.2799196020250099E-3</v>
      </c>
      <c r="P226">
        <v>10900</v>
      </c>
      <c r="Q226">
        <f t="shared" si="55"/>
        <v>-105286</v>
      </c>
      <c r="T226" s="279">
        <v>0</v>
      </c>
      <c r="U226" s="279">
        <f>etf!AT101</f>
        <v>1.760372546646757E-2</v>
      </c>
      <c r="V226" s="349"/>
      <c r="W226" s="349"/>
      <c r="X226">
        <v>29</v>
      </c>
      <c r="Y226">
        <v>13</v>
      </c>
      <c r="Z226" s="353">
        <v>46.21</v>
      </c>
      <c r="AA226" s="349">
        <v>3</v>
      </c>
      <c r="AB226" t="s">
        <v>157</v>
      </c>
      <c r="AG226" s="9"/>
      <c r="AH226" s="9"/>
      <c r="AI226" s="9"/>
      <c r="AL226" s="9"/>
    </row>
    <row r="227" spans="1:38" hidden="1" x14ac:dyDescent="0.3">
      <c r="B227">
        <v>20260624</v>
      </c>
      <c r="C227" s="279">
        <f t="shared" si="52"/>
        <v>-3.2399999999999998E-2</v>
      </c>
      <c r="D227" s="279">
        <f>etf!AU102</f>
        <v>1E-3</v>
      </c>
      <c r="E227" s="279">
        <v>-1.9155401280568449E-2</v>
      </c>
      <c r="F227" s="279">
        <v>-3.1399999999999997E-2</v>
      </c>
      <c r="G227" s="279">
        <v>-2.806458511548332E-2</v>
      </c>
      <c r="H227" s="305">
        <f t="shared" si="50"/>
        <v>1.1188478244303892</v>
      </c>
      <c r="I227" s="279">
        <f t="shared" si="53"/>
        <v>-1.6838751069289993E-2</v>
      </c>
      <c r="J227" s="279">
        <v>-4.24E-2</v>
      </c>
      <c r="K227" s="279">
        <f>etf!AV102</f>
        <v>-2.3599999999999999E-2</v>
      </c>
      <c r="L227" s="279">
        <f t="shared" si="54"/>
        <v>-1.8800000000000001E-2</v>
      </c>
      <c r="M227" s="279">
        <v>-1.6172312487847691E-2</v>
      </c>
      <c r="N227" s="279">
        <v>-2.680250472590753E-2</v>
      </c>
      <c r="O227" s="279">
        <v>-2.7994491501425089E-2</v>
      </c>
      <c r="P227">
        <v>-35490</v>
      </c>
      <c r="Q227">
        <f t="shared" si="55"/>
        <v>-140776</v>
      </c>
      <c r="T227" s="279">
        <v>0</v>
      </c>
      <c r="U227" s="279">
        <f>etf!AT102</f>
        <v>-3.6742723548123142E-2</v>
      </c>
      <c r="V227" s="349"/>
      <c r="W227" s="349"/>
      <c r="X227">
        <v>11</v>
      </c>
      <c r="Y227">
        <v>67</v>
      </c>
      <c r="Z227" s="353">
        <v>28.55</v>
      </c>
      <c r="AA227" s="349">
        <v>27</v>
      </c>
      <c r="AB227" t="s">
        <v>158</v>
      </c>
      <c r="AG227" s="9"/>
      <c r="AH227" s="9"/>
      <c r="AI227" s="9"/>
      <c r="AL227" s="9"/>
    </row>
    <row r="228" spans="1:38" hidden="1" x14ac:dyDescent="0.3">
      <c r="B228">
        <v>20260625</v>
      </c>
      <c r="C228" s="279">
        <f t="shared" si="52"/>
        <v>-2.3000000000000003E-2</v>
      </c>
      <c r="D228" s="279">
        <f>etf!AU103</f>
        <v>-1.0999999999999999E-2</v>
      </c>
      <c r="E228" s="279">
        <v>-3.5000000000000003E-2</v>
      </c>
      <c r="F228" s="279">
        <v>-3.4000000000000002E-2</v>
      </c>
      <c r="G228" s="279">
        <v>-2.4E-2</v>
      </c>
      <c r="H228" s="305">
        <f t="shared" si="50"/>
        <v>1.4166666666666667</v>
      </c>
      <c r="I228" s="279">
        <f t="shared" si="53"/>
        <v>-1.44E-2</v>
      </c>
      <c r="J228" s="279">
        <v>-4.8800000000000003E-2</v>
      </c>
      <c r="K228" s="279">
        <f>etf!AV103</f>
        <v>-3.61E-2</v>
      </c>
      <c r="L228" s="279">
        <f t="shared" si="54"/>
        <v>-1.2700000000000003E-2</v>
      </c>
      <c r="M228" s="279">
        <v>-3.683395836150271E-2</v>
      </c>
      <c r="N228" s="279">
        <v>-3.3229984156553788E-2</v>
      </c>
      <c r="O228" s="279">
        <v>-4.2260532305765909E-2</v>
      </c>
      <c r="P228">
        <v>-37000</v>
      </c>
      <c r="Q228">
        <f t="shared" si="55"/>
        <v>-177776</v>
      </c>
      <c r="T228" s="279">
        <v>0</v>
      </c>
      <c r="U228" s="279">
        <f>etf!AT103</f>
        <v>-2.2898968214231111E-2</v>
      </c>
      <c r="V228" s="349"/>
      <c r="W228" s="349"/>
      <c r="X228">
        <v>8</v>
      </c>
      <c r="Y228">
        <v>105</v>
      </c>
      <c r="Z228" s="353">
        <v>18.89</v>
      </c>
      <c r="AA228" s="349">
        <v>75</v>
      </c>
      <c r="AB228" t="s">
        <v>159</v>
      </c>
      <c r="AG228" s="9"/>
      <c r="AH228" s="9"/>
      <c r="AI228" s="9"/>
      <c r="AL228" s="9"/>
    </row>
    <row r="229" spans="1:38" hidden="1" x14ac:dyDescent="0.3">
      <c r="B229">
        <v>20260626</v>
      </c>
      <c r="C229" s="279">
        <f t="shared" si="52"/>
        <v>3.56E-2</v>
      </c>
      <c r="D229" s="279">
        <f>etf!AU104</f>
        <v>-1.06E-2</v>
      </c>
      <c r="E229" s="279">
        <v>2.5000000000000001E-2</v>
      </c>
      <c r="F229" s="279">
        <v>2.5000000000000001E-2</v>
      </c>
      <c r="G229" s="351">
        <v>1.9428610535389829E-2</v>
      </c>
      <c r="H229" s="305">
        <f t="shared" si="50"/>
        <v>1.2867621158220095</v>
      </c>
      <c r="I229" s="279">
        <f t="shared" si="53"/>
        <v>1.1657166321233897E-2</v>
      </c>
      <c r="J229" s="279">
        <v>-2.9999999999999997E-4</v>
      </c>
      <c r="K229" s="279">
        <f>etf!AV104</f>
        <v>-4.5999999999999999E-3</v>
      </c>
      <c r="L229" s="279">
        <f t="shared" si="54"/>
        <v>4.3E-3</v>
      </c>
      <c r="M229" s="351">
        <v>-6.952719808590203E-3</v>
      </c>
      <c r="N229" s="351">
        <v>-3.8314216684674519E-4</v>
      </c>
      <c r="O229" s="351">
        <v>1.2950857488545209E-2</v>
      </c>
      <c r="P229">
        <v>-25000</v>
      </c>
      <c r="Q229">
        <f t="shared" si="55"/>
        <v>-202776</v>
      </c>
      <c r="T229" s="279">
        <v>0</v>
      </c>
      <c r="U229" s="279">
        <f>etf!AT104</f>
        <v>-2.275646320262251E-2</v>
      </c>
      <c r="V229" s="349"/>
      <c r="W229" s="349"/>
      <c r="X229">
        <v>18</v>
      </c>
      <c r="Y229">
        <v>20</v>
      </c>
      <c r="Z229" s="353">
        <v>56.61</v>
      </c>
      <c r="AA229" s="349">
        <v>86</v>
      </c>
      <c r="AB229" t="s">
        <v>160</v>
      </c>
      <c r="AG229" s="9"/>
      <c r="AH229" s="9"/>
      <c r="AI229" s="9"/>
      <c r="AL229" s="9"/>
    </row>
    <row r="230" spans="1:38" hidden="1" x14ac:dyDescent="0.3">
      <c r="B230">
        <v>20260629</v>
      </c>
      <c r="C230" s="279">
        <f t="shared" si="52"/>
        <v>4.7E-2</v>
      </c>
      <c r="D230" s="279">
        <f>etf!AU105</f>
        <v>-1E-3</v>
      </c>
      <c r="E230" s="351">
        <v>2.9191728346855558E-2</v>
      </c>
      <c r="F230" s="279">
        <v>4.5999999999999999E-2</v>
      </c>
      <c r="G230" s="351">
        <v>4.1096560110975969E-2</v>
      </c>
      <c r="H230" s="305">
        <f t="shared" si="50"/>
        <v>1.1193150929368034</v>
      </c>
      <c r="I230" s="279">
        <f t="shared" si="53"/>
        <v>2.4657936066585579E-2</v>
      </c>
      <c r="J230" s="279">
        <v>-1.5100000000000001E-2</v>
      </c>
      <c r="K230" s="279">
        <f>etf!AV105</f>
        <v>-9.7999999999999997E-3</v>
      </c>
      <c r="L230" s="279">
        <f t="shared" si="54"/>
        <v>-5.3000000000000009E-3</v>
      </c>
      <c r="M230" s="279">
        <v>-5.7643439841312946E-3</v>
      </c>
      <c r="N230" s="279">
        <v>-1.1507371437525759E-2</v>
      </c>
      <c r="O230" s="279">
        <v>-1.146780749982413E-2</v>
      </c>
      <c r="P230">
        <v>12600</v>
      </c>
      <c r="Q230">
        <f t="shared" si="55"/>
        <v>-190176</v>
      </c>
      <c r="T230" s="279">
        <v>0</v>
      </c>
      <c r="U230" s="279">
        <f>etf!AT105</f>
        <v>2.351795283863208E-3</v>
      </c>
      <c r="V230" s="349"/>
      <c r="W230" s="349"/>
      <c r="X230">
        <v>21</v>
      </c>
      <c r="Y230">
        <v>45</v>
      </c>
      <c r="Z230" s="353">
        <v>42.67</v>
      </c>
      <c r="AA230" s="349">
        <v>113</v>
      </c>
      <c r="AB230" t="s">
        <v>161</v>
      </c>
      <c r="AG230" s="9"/>
      <c r="AH230" s="9"/>
      <c r="AI230" s="9"/>
      <c r="AL230" s="9"/>
    </row>
    <row r="231" spans="1:38" hidden="1" x14ac:dyDescent="0.3">
      <c r="B231">
        <v>20260630</v>
      </c>
      <c r="C231" s="279">
        <f t="shared" si="52"/>
        <v>-1.4299999999999998E-2</v>
      </c>
      <c r="D231" s="279">
        <f>etf!AU106</f>
        <v>1.7399999999999999E-2</v>
      </c>
      <c r="E231" s="351">
        <v>-1.5782652880627829E-2</v>
      </c>
      <c r="F231" s="279">
        <v>3.0999999999999999E-3</v>
      </c>
      <c r="G231" s="351">
        <v>-3.1903081102981873E-2</v>
      </c>
      <c r="H231" s="305">
        <f t="shared" si="50"/>
        <v>-9.7169298162560647E-2</v>
      </c>
      <c r="I231" s="279">
        <f t="shared" si="53"/>
        <v>-1.9141848661789123E-2</v>
      </c>
      <c r="J231" s="279">
        <v>2.12E-2</v>
      </c>
      <c r="K231" s="279">
        <f>etf!AV106</f>
        <v>8.6E-3</v>
      </c>
      <c r="L231" s="279">
        <f t="shared" si="54"/>
        <v>1.26E-2</v>
      </c>
      <c r="M231" s="351">
        <v>1.090426046585739E-2</v>
      </c>
      <c r="N231" s="351">
        <v>5.7351982546743896E-3</v>
      </c>
      <c r="O231" s="351">
        <v>1.7593083235529421E-2</v>
      </c>
      <c r="P231">
        <v>-1600</v>
      </c>
      <c r="Q231">
        <f t="shared" si="55"/>
        <v>-191776</v>
      </c>
      <c r="T231" s="279">
        <v>0</v>
      </c>
      <c r="U231" s="279">
        <f>etf!AT106</f>
        <v>-4.1094254314471088E-3</v>
      </c>
      <c r="V231" s="349"/>
      <c r="W231" s="349"/>
      <c r="X231">
        <v>37</v>
      </c>
      <c r="Y231">
        <v>19</v>
      </c>
      <c r="Z231" s="353">
        <v>35.11</v>
      </c>
      <c r="AA231" s="349">
        <v>7</v>
      </c>
      <c r="AB231" t="s">
        <v>162</v>
      </c>
      <c r="AG231" s="9"/>
      <c r="AH231" s="9"/>
      <c r="AI231" s="9"/>
      <c r="AL231" s="9"/>
    </row>
    <row r="232" spans="1:38" x14ac:dyDescent="0.3">
      <c r="B232" s="295" t="s">
        <v>163</v>
      </c>
      <c r="C232" s="296">
        <f>SUM(C233:C255)</f>
        <v>0.17610000000000001</v>
      </c>
      <c r="D232" s="296">
        <f>SUM(D233:D255)</f>
        <v>7.1999999999999911E-3</v>
      </c>
      <c r="E232" s="296">
        <f>SUM(E233:E255)</f>
        <v>0.16049498727791942</v>
      </c>
      <c r="F232" s="296">
        <f>SUM(F233:F255)</f>
        <v>0.18330000000000005</v>
      </c>
      <c r="G232" s="296">
        <f>SUM(G233:G255)</f>
        <v>0.14509589636419271</v>
      </c>
      <c r="H232" s="344">
        <f t="shared" si="50"/>
        <v>1.2633024406142714</v>
      </c>
      <c r="I232" s="296">
        <f t="shared" ref="I232:P232" si="56">SUM(I233:I255)</f>
        <v>8.7057537818515635E-2</v>
      </c>
      <c r="J232" s="296">
        <f t="shared" si="56"/>
        <v>2.3099999999999996E-2</v>
      </c>
      <c r="K232" s="296">
        <f t="shared" si="56"/>
        <v>-1.0899999999999993E-2</v>
      </c>
      <c r="L232" s="296">
        <f t="shared" si="56"/>
        <v>3.4000000000000002E-2</v>
      </c>
      <c r="M232" s="296">
        <f t="shared" si="56"/>
        <v>2.3639860481602052E-2</v>
      </c>
      <c r="N232" s="296">
        <f t="shared" si="56"/>
        <v>-1.9708718122410818E-2</v>
      </c>
      <c r="O232" s="296">
        <f t="shared" si="56"/>
        <v>-5.416738332823446E-2</v>
      </c>
      <c r="P232" s="315">
        <f t="shared" si="56"/>
        <v>78413</v>
      </c>
      <c r="Q232">
        <v>-191776</v>
      </c>
      <c r="R232" s="296">
        <f>SUM(R233:R255)</f>
        <v>0</v>
      </c>
      <c r="S232" s="315">
        <f>SUM(S233:S255)</f>
        <v>0</v>
      </c>
      <c r="T232" s="296">
        <f>SUM(T233:T255)</f>
        <v>0</v>
      </c>
      <c r="U232" s="296">
        <f>SUM(U233:U255)</f>
        <v>1.7789418790823172E-2</v>
      </c>
      <c r="V232" s="315"/>
      <c r="W232" s="315"/>
      <c r="AG232" s="9"/>
      <c r="AH232" s="9"/>
      <c r="AI232" s="9"/>
      <c r="AL232" s="9"/>
    </row>
    <row r="233" spans="1:38" hidden="1" x14ac:dyDescent="0.3">
      <c r="A233" t="s">
        <v>164</v>
      </c>
      <c r="B233">
        <v>20260701</v>
      </c>
      <c r="C233" s="279">
        <f t="shared" ref="C233:C255" si="57">F233-D233</f>
        <v>-8.0999999999999996E-3</v>
      </c>
      <c r="D233" s="279">
        <f>etf!AU108</f>
        <v>8.0999999999999996E-3</v>
      </c>
      <c r="E233" s="351">
        <v>8.9467728175605526E-3</v>
      </c>
      <c r="F233" s="279">
        <v>0</v>
      </c>
      <c r="G233" s="351">
        <v>1.973986826618105E-2</v>
      </c>
      <c r="H233" s="305">
        <f t="shared" si="50"/>
        <v>0</v>
      </c>
      <c r="I233" s="279">
        <f t="shared" ref="I233:I255" si="58">G233*$A$1</f>
        <v>1.1843920959708629E-2</v>
      </c>
      <c r="J233" s="279">
        <v>0.04</v>
      </c>
      <c r="K233" s="279">
        <f>etf!AV108</f>
        <v>2.9899999999999999E-2</v>
      </c>
      <c r="L233" s="279">
        <f t="shared" ref="L233:L255" si="59">J233-K233</f>
        <v>1.0100000000000001E-2</v>
      </c>
      <c r="M233" s="351">
        <v>3.6598470602402372E-2</v>
      </c>
      <c r="N233" s="351">
        <v>2.6689809946345702E-2</v>
      </c>
      <c r="O233" s="351">
        <v>2.731591487726244E-2</v>
      </c>
      <c r="P233">
        <v>37000</v>
      </c>
      <c r="Q233">
        <f t="shared" ref="Q233:Q255" si="60">Q232+P233</f>
        <v>-154776</v>
      </c>
      <c r="T233" s="279">
        <v>0</v>
      </c>
      <c r="U233" s="279">
        <f>etf!AT108</f>
        <v>3.2171567879665422E-2</v>
      </c>
      <c r="V233" s="349"/>
      <c r="W233" s="349"/>
      <c r="X233">
        <v>88</v>
      </c>
      <c r="Y233">
        <v>7</v>
      </c>
      <c r="Z233" s="353">
        <v>46.37</v>
      </c>
      <c r="AA233" s="349">
        <v>5</v>
      </c>
      <c r="AB233" t="s">
        <v>165</v>
      </c>
      <c r="AG233" s="9"/>
      <c r="AH233" s="9"/>
      <c r="AI233" s="9"/>
      <c r="AL233" s="9"/>
    </row>
    <row r="234" spans="1:38" hidden="1" x14ac:dyDescent="0.3">
      <c r="B234">
        <v>20260702</v>
      </c>
      <c r="C234" s="279">
        <f t="shared" si="57"/>
        <v>1.4800000000000001E-2</v>
      </c>
      <c r="D234" s="279">
        <f>etf!AU109</f>
        <v>-3.0000000000000001E-3</v>
      </c>
      <c r="E234" s="351">
        <v>1.2938814209037541E-2</v>
      </c>
      <c r="F234" s="279">
        <v>1.18E-2</v>
      </c>
      <c r="G234" s="351">
        <v>1.079768692454227E-2</v>
      </c>
      <c r="H234" s="305">
        <f t="shared" si="50"/>
        <v>1.0928266472682731</v>
      </c>
      <c r="I234" s="279">
        <f t="shared" si="58"/>
        <v>6.4786121547253618E-3</v>
      </c>
      <c r="J234" s="279">
        <v>2.93E-2</v>
      </c>
      <c r="K234" s="279">
        <f>etf!AV109</f>
        <v>2.2599999999999999E-2</v>
      </c>
      <c r="L234" s="279">
        <f t="shared" si="59"/>
        <v>6.7000000000000011E-3</v>
      </c>
      <c r="M234" s="351">
        <v>2.5857869208280159E-2</v>
      </c>
      <c r="N234" s="351">
        <v>2.281515839635723E-2</v>
      </c>
      <c r="O234" s="351">
        <v>2.2759813106845859E-2</v>
      </c>
      <c r="P234">
        <v>9400</v>
      </c>
      <c r="Q234">
        <f t="shared" si="60"/>
        <v>-145376</v>
      </c>
      <c r="T234" s="279">
        <v>0</v>
      </c>
      <c r="U234" s="279">
        <f>etf!AT109</f>
        <v>1.37359700694817E-3</v>
      </c>
      <c r="V234" s="349"/>
      <c r="W234" s="349"/>
      <c r="X234">
        <v>66</v>
      </c>
      <c r="Y234">
        <v>3</v>
      </c>
      <c r="Z234" s="353">
        <v>36.619999999999997</v>
      </c>
      <c r="AA234" s="349">
        <v>0</v>
      </c>
      <c r="AB234" t="s">
        <v>166</v>
      </c>
      <c r="AG234" s="9"/>
      <c r="AH234" s="9"/>
      <c r="AI234" s="9"/>
      <c r="AL234" s="9"/>
    </row>
    <row r="235" spans="1:38" hidden="1" x14ac:dyDescent="0.3">
      <c r="B235">
        <v>20260703</v>
      </c>
      <c r="C235" s="279">
        <f t="shared" si="57"/>
        <v>1.0699999999999999E-2</v>
      </c>
      <c r="D235" s="279">
        <f>etf!AU110</f>
        <v>8.3000000000000001E-3</v>
      </c>
      <c r="E235" s="351">
        <v>2.326576052144038E-2</v>
      </c>
      <c r="F235" s="279">
        <v>1.9E-2</v>
      </c>
      <c r="G235" s="351">
        <v>2.1372843930228851E-2</v>
      </c>
      <c r="H235" s="305">
        <f t="shared" si="50"/>
        <v>0.88897855905489487</v>
      </c>
      <c r="I235" s="279">
        <f t="shared" si="58"/>
        <v>1.282370635813731E-2</v>
      </c>
      <c r="J235" s="279">
        <v>1.77E-2</v>
      </c>
      <c r="K235" s="279">
        <f>etf!AV110</f>
        <v>2.2800000000000001E-2</v>
      </c>
      <c r="L235" s="279">
        <f t="shared" si="59"/>
        <v>-5.1000000000000004E-3</v>
      </c>
      <c r="M235" s="351">
        <v>2.6792977427899552E-2</v>
      </c>
      <c r="N235" s="351">
        <v>2.1626387159252851E-2</v>
      </c>
      <c r="O235" s="351">
        <v>1.143605003928469E-2</v>
      </c>
      <c r="P235">
        <v>24900</v>
      </c>
      <c r="Q235">
        <f t="shared" si="60"/>
        <v>-120476</v>
      </c>
      <c r="T235" s="279">
        <v>0</v>
      </c>
      <c r="U235" s="279">
        <f>etf!AT110</f>
        <v>2.2218039965562059E-2</v>
      </c>
      <c r="V235" s="349"/>
      <c r="W235" s="349"/>
      <c r="X235">
        <v>57</v>
      </c>
      <c r="Y235">
        <v>8</v>
      </c>
      <c r="Z235" s="353">
        <v>32.15</v>
      </c>
      <c r="AA235" s="349">
        <v>0</v>
      </c>
      <c r="AB235" t="s">
        <v>167</v>
      </c>
      <c r="AG235" s="9"/>
      <c r="AH235" s="9"/>
      <c r="AI235" s="9"/>
      <c r="AL235" s="9"/>
    </row>
    <row r="236" spans="1:38" hidden="1" x14ac:dyDescent="0.3">
      <c r="B236">
        <v>20260706</v>
      </c>
      <c r="C236" s="279">
        <f t="shared" si="57"/>
        <v>-1.4000000000000002E-3</v>
      </c>
      <c r="D236" s="279">
        <f>etf!AU111</f>
        <v>-5.9999999999999995E-4</v>
      </c>
      <c r="E236" s="351">
        <v>9.1100377372517732E-3</v>
      </c>
      <c r="F236" s="279">
        <v>-2E-3</v>
      </c>
      <c r="G236" s="351">
        <v>5.0643420506434646E-3</v>
      </c>
      <c r="H236" s="305">
        <f t="shared" si="50"/>
        <v>-0.39491803278688181</v>
      </c>
      <c r="I236" s="279">
        <f t="shared" si="58"/>
        <v>3.0386052303860785E-3</v>
      </c>
      <c r="J236" s="279">
        <v>-1.6799999999999999E-2</v>
      </c>
      <c r="K236" s="279">
        <f>etf!AV111</f>
        <v>-1.0500000000000001E-2</v>
      </c>
      <c r="L236" s="279">
        <f t="shared" si="59"/>
        <v>-6.2999999999999983E-3</v>
      </c>
      <c r="M236" s="279">
        <v>-1.238408161531334E-2</v>
      </c>
      <c r="N236" s="279">
        <v>-1.3476684190135939E-2</v>
      </c>
      <c r="O236" s="351">
        <v>3.5624853978733751E-3</v>
      </c>
      <c r="P236">
        <v>-10800</v>
      </c>
      <c r="Q236">
        <f t="shared" si="60"/>
        <v>-131276</v>
      </c>
      <c r="T236" s="279">
        <v>0</v>
      </c>
      <c r="U236" s="279">
        <f>etf!AT111</f>
        <v>-1.197234385300916E-2</v>
      </c>
      <c r="V236" s="349"/>
      <c r="W236" s="349"/>
      <c r="X236">
        <v>24</v>
      </c>
      <c r="Y236">
        <v>33</v>
      </c>
      <c r="Z236" s="353">
        <v>25.02</v>
      </c>
      <c r="AA236" s="349">
        <v>2</v>
      </c>
      <c r="AB236" t="s">
        <v>168</v>
      </c>
      <c r="AG236" s="9"/>
      <c r="AH236" s="9"/>
      <c r="AI236" s="9"/>
      <c r="AL236" s="9"/>
    </row>
    <row r="237" spans="1:38" hidden="1" x14ac:dyDescent="0.3">
      <c r="B237">
        <v>20260707</v>
      </c>
      <c r="C237" s="279">
        <f t="shared" si="57"/>
        <v>2.06E-2</v>
      </c>
      <c r="D237" s="279">
        <f>etf!AU112</f>
        <v>-1.06E-2</v>
      </c>
      <c r="E237" s="351">
        <v>1.3609689187205259E-2</v>
      </c>
      <c r="F237" s="279">
        <v>0.01</v>
      </c>
      <c r="G237" s="351">
        <v>1.921183077252445E-2</v>
      </c>
      <c r="H237" s="305">
        <f t="shared" si="50"/>
        <v>0.52051260072004024</v>
      </c>
      <c r="I237" s="279">
        <f t="shared" si="58"/>
        <v>1.1527098463514669E-2</v>
      </c>
      <c r="J237" s="279">
        <v>-7.0000000000000007E-2</v>
      </c>
      <c r="K237" s="279">
        <f>etf!AV112</f>
        <v>-4.5199999999999997E-2</v>
      </c>
      <c r="L237" s="279">
        <f t="shared" si="59"/>
        <v>-2.480000000000001E-2</v>
      </c>
      <c r="M237" s="279">
        <v>-3.8491269690180963E-2</v>
      </c>
      <c r="N237" s="279">
        <v>-4.4788486640453519E-2</v>
      </c>
      <c r="O237" s="279">
        <v>-4.2353074219518533E-2</v>
      </c>
      <c r="P237">
        <v>-46100</v>
      </c>
      <c r="Q237">
        <f t="shared" si="60"/>
        <v>-177376</v>
      </c>
      <c r="T237" s="279">
        <v>0</v>
      </c>
      <c r="U237" s="279">
        <f>etf!AT112</f>
        <v>-3.0362983070225901E-2</v>
      </c>
      <c r="V237" s="349"/>
      <c r="W237" s="349"/>
      <c r="X237">
        <v>4</v>
      </c>
      <c r="Y237">
        <v>98</v>
      </c>
      <c r="Z237" s="353">
        <v>47.42</v>
      </c>
      <c r="AA237" s="349">
        <v>14</v>
      </c>
      <c r="AB237" t="s">
        <v>169</v>
      </c>
      <c r="AG237" s="9"/>
      <c r="AH237" s="9"/>
      <c r="AI237" s="9"/>
      <c r="AL237" s="9"/>
    </row>
    <row r="238" spans="1:38" hidden="1" x14ac:dyDescent="0.3">
      <c r="B238">
        <v>20260708</v>
      </c>
      <c r="C238" s="279">
        <f t="shared" si="57"/>
        <v>3.5299999999999998E-2</v>
      </c>
      <c r="D238" s="279">
        <f>etf!AU113</f>
        <v>-5.3E-3</v>
      </c>
      <c r="E238" s="351">
        <v>1.450267568832757E-2</v>
      </c>
      <c r="F238" s="279">
        <v>0.03</v>
      </c>
      <c r="G238" s="351">
        <v>4.8270089285714288E-2</v>
      </c>
      <c r="H238" s="305">
        <f t="shared" si="50"/>
        <v>0.62150289017341032</v>
      </c>
      <c r="I238" s="279">
        <f t="shared" si="58"/>
        <v>2.8962053571428573E-2</v>
      </c>
      <c r="J238" s="279">
        <v>2.3300000000000001E-2</v>
      </c>
      <c r="K238" s="279">
        <f>etf!AV113</f>
        <v>1.37E-2</v>
      </c>
      <c r="L238" s="279">
        <f t="shared" si="59"/>
        <v>9.6000000000000009E-3</v>
      </c>
      <c r="M238" s="351">
        <v>1.326880519782069E-2</v>
      </c>
      <c r="N238" s="351">
        <v>1.0626305042703911E-2</v>
      </c>
      <c r="O238" s="279">
        <v>-2.211630624647215E-3</v>
      </c>
      <c r="P238">
        <v>-1837</v>
      </c>
      <c r="Q238">
        <f t="shared" si="60"/>
        <v>-179213</v>
      </c>
      <c r="T238" s="279">
        <v>0</v>
      </c>
      <c r="U238" s="279">
        <f>etf!AT113</f>
        <v>-1.051826653030246E-2</v>
      </c>
      <c r="V238" s="349"/>
      <c r="W238" s="349"/>
      <c r="X238">
        <v>29</v>
      </c>
      <c r="Y238">
        <v>4</v>
      </c>
      <c r="Z238" s="353">
        <v>36.06</v>
      </c>
      <c r="AA238" s="349">
        <v>4</v>
      </c>
      <c r="AB238" t="s">
        <v>170</v>
      </c>
      <c r="AG238" s="9"/>
      <c r="AH238" s="9"/>
      <c r="AI238" s="9"/>
      <c r="AL238" s="9"/>
    </row>
    <row r="239" spans="1:38" hidden="1" x14ac:dyDescent="0.3">
      <c r="A239" t="s">
        <v>171</v>
      </c>
      <c r="B239">
        <v>20260709</v>
      </c>
      <c r="C239" s="279">
        <f t="shared" si="57"/>
        <v>3.9199999999999999E-2</v>
      </c>
      <c r="D239" s="279">
        <f>etf!AU114</f>
        <v>6.7999999999999996E-3</v>
      </c>
      <c r="E239" s="351">
        <v>1.1167623197136701E-2</v>
      </c>
      <c r="F239" s="279">
        <v>4.5999999999999999E-2</v>
      </c>
      <c r="G239" s="279">
        <v>-1.906000098120993E-2</v>
      </c>
      <c r="H239" s="305">
        <f t="shared" si="50"/>
        <v>-2.413431145431133</v>
      </c>
      <c r="I239" s="279">
        <f t="shared" si="58"/>
        <v>-1.1436000588725957E-2</v>
      </c>
      <c r="J239" s="279">
        <v>-5.0000000000000001E-3</v>
      </c>
      <c r="K239" s="279">
        <f>etf!AV114</f>
        <v>-4.1999999999999997E-3</v>
      </c>
      <c r="L239" s="279">
        <f t="shared" si="59"/>
        <v>-8.0000000000000036E-4</v>
      </c>
      <c r="M239" s="351">
        <v>2.1688071690449898E-3</v>
      </c>
      <c r="N239" s="279">
        <v>-3.8014559209710828E-3</v>
      </c>
      <c r="O239" s="279">
        <v>-1.6155830387535181E-2</v>
      </c>
      <c r="P239">
        <v>-1760</v>
      </c>
      <c r="Q239">
        <f t="shared" si="60"/>
        <v>-180973</v>
      </c>
      <c r="T239" s="279">
        <v>0</v>
      </c>
      <c r="U239" s="279">
        <f>etf!AT114</f>
        <v>-3.5902176411986282E-3</v>
      </c>
      <c r="V239" s="349"/>
      <c r="W239" s="349"/>
      <c r="X239">
        <v>12</v>
      </c>
      <c r="Y239">
        <v>12</v>
      </c>
      <c r="Z239" s="353">
        <v>34.15</v>
      </c>
      <c r="AA239" s="349">
        <v>43</v>
      </c>
      <c r="AB239" t="s">
        <v>172</v>
      </c>
      <c r="AG239" s="9"/>
      <c r="AH239" s="9"/>
      <c r="AI239" s="9"/>
      <c r="AL239" s="9"/>
    </row>
    <row r="240" spans="1:38" hidden="1" x14ac:dyDescent="0.3">
      <c r="B240">
        <v>20260710</v>
      </c>
      <c r="C240" s="279">
        <f t="shared" si="57"/>
        <v>2.1000000000000001E-2</v>
      </c>
      <c r="D240" s="279">
        <f>etf!AU115</f>
        <v>-1E-3</v>
      </c>
      <c r="E240" s="351">
        <v>3.291998358723567E-2</v>
      </c>
      <c r="F240" s="279">
        <v>0.02</v>
      </c>
      <c r="G240" s="351">
        <v>3.8502713619111617E-2</v>
      </c>
      <c r="H240" s="305">
        <f t="shared" si="50"/>
        <v>0.51944390719703937</v>
      </c>
      <c r="I240" s="279">
        <f t="shared" si="58"/>
        <v>2.3101628171466968E-2</v>
      </c>
      <c r="J240" s="279">
        <v>1.52E-2</v>
      </c>
      <c r="K240" s="279">
        <f>etf!AV115</f>
        <v>8.3000000000000001E-3</v>
      </c>
      <c r="L240" s="279">
        <f t="shared" si="59"/>
        <v>6.8999999999999999E-3</v>
      </c>
      <c r="M240" s="351">
        <v>1.0070097268314629E-2</v>
      </c>
      <c r="N240" s="351">
        <v>9.1615218057988328E-3</v>
      </c>
      <c r="O240" s="351">
        <v>8.3247680695829676E-3</v>
      </c>
      <c r="P240">
        <v>24500</v>
      </c>
      <c r="Q240">
        <f t="shared" si="60"/>
        <v>-156473</v>
      </c>
      <c r="T240" s="279">
        <v>0</v>
      </c>
      <c r="U240" s="279">
        <f>etf!AT115</f>
        <v>2.3799669670016149E-2</v>
      </c>
      <c r="V240" s="349"/>
      <c r="W240" s="349"/>
      <c r="X240">
        <v>14</v>
      </c>
      <c r="Y240">
        <v>3</v>
      </c>
      <c r="Z240" s="353">
        <v>44.69</v>
      </c>
      <c r="AA240" s="349">
        <v>9</v>
      </c>
      <c r="AB240" t="s">
        <v>173</v>
      </c>
      <c r="AG240" s="9"/>
      <c r="AH240" s="9"/>
      <c r="AI240" s="9"/>
      <c r="AL240" s="9"/>
    </row>
    <row r="241" spans="2:38" hidden="1" x14ac:dyDescent="0.3">
      <c r="B241">
        <v>20260713</v>
      </c>
      <c r="C241" s="279">
        <f t="shared" si="57"/>
        <v>2.5000000000000022E-3</v>
      </c>
      <c r="D241" s="279">
        <f>etf!AU116</f>
        <v>-1.7500000000000002E-2</v>
      </c>
      <c r="E241" s="279">
        <v>-3.5622707713916439E-3</v>
      </c>
      <c r="F241" s="279">
        <v>-1.4999999999999999E-2</v>
      </c>
      <c r="G241" s="279">
        <v>-1.5314734862940989E-2</v>
      </c>
      <c r="H241" s="305">
        <f t="shared" si="50"/>
        <v>0.97944888594169566</v>
      </c>
      <c r="I241" s="279">
        <f t="shared" si="58"/>
        <v>-9.1888409177645937E-3</v>
      </c>
      <c r="J241" s="279">
        <v>-3.6999999999999998E-2</v>
      </c>
      <c r="K241" s="279">
        <f>etf!AV116</f>
        <v>-2.8899999999999999E-2</v>
      </c>
      <c r="L241" s="279">
        <f t="shared" si="59"/>
        <v>-8.0999999999999996E-3</v>
      </c>
      <c r="M241" s="279">
        <v>-2.7178988538013909E-2</v>
      </c>
      <c r="N241" s="279">
        <v>-2.8671512330681461E-2</v>
      </c>
      <c r="O241" s="279">
        <v>-3.558740271397573E-2</v>
      </c>
      <c r="P241">
        <v>-31824</v>
      </c>
      <c r="Q241">
        <f t="shared" si="60"/>
        <v>-188297</v>
      </c>
      <c r="T241" s="279">
        <v>0</v>
      </c>
      <c r="U241" s="279">
        <f>etf!AT116</f>
        <v>-3.5833472231677703E-2</v>
      </c>
      <c r="V241" s="349"/>
      <c r="W241" s="349"/>
      <c r="X241">
        <v>7</v>
      </c>
      <c r="Y241">
        <v>57</v>
      </c>
      <c r="Z241" s="353">
        <v>79.84</v>
      </c>
      <c r="AA241" s="349">
        <v>25</v>
      </c>
      <c r="AB241" t="s">
        <v>174</v>
      </c>
      <c r="AG241" s="9"/>
      <c r="AH241" s="9"/>
      <c r="AI241" s="9"/>
      <c r="AL241" s="9"/>
    </row>
    <row r="242" spans="2:38" hidden="1" x14ac:dyDescent="0.3">
      <c r="B242">
        <v>20260714</v>
      </c>
      <c r="C242" s="279">
        <f t="shared" si="57"/>
        <v>-1.2699999999999999E-2</v>
      </c>
      <c r="D242" s="279">
        <f>etf!AU117</f>
        <v>1.29E-2</v>
      </c>
      <c r="E242" s="279">
        <v>-7.9761127871374668E-3</v>
      </c>
      <c r="F242" s="279">
        <v>2.0000000000000001E-4</v>
      </c>
      <c r="G242" s="351">
        <v>1E-3</v>
      </c>
      <c r="H242" s="305">
        <f t="shared" ref="H242:H273" si="61">F242/G242</f>
        <v>0.2</v>
      </c>
      <c r="I242" s="279">
        <f t="shared" si="58"/>
        <v>5.9999999999999995E-4</v>
      </c>
      <c r="J242" s="279">
        <v>1.17E-2</v>
      </c>
      <c r="K242" s="279">
        <f>etf!AV117</f>
        <v>7.4999999999999997E-3</v>
      </c>
      <c r="L242" s="279">
        <f t="shared" si="59"/>
        <v>4.2000000000000006E-3</v>
      </c>
      <c r="M242" s="351">
        <v>1.460849526374236E-2</v>
      </c>
      <c r="N242" s="351">
        <v>1.638567335986905E-3</v>
      </c>
      <c r="O242" s="279">
        <v>-7.726811918000764E-3</v>
      </c>
      <c r="P242">
        <v>17761</v>
      </c>
      <c r="Q242">
        <f t="shared" si="60"/>
        <v>-170536</v>
      </c>
      <c r="T242" s="279">
        <v>0</v>
      </c>
      <c r="U242" s="279">
        <f>etf!AT117</f>
        <v>2.5001521766125238E-2</v>
      </c>
      <c r="V242" s="349"/>
      <c r="W242" s="349"/>
      <c r="X242">
        <v>16</v>
      </c>
      <c r="Y242">
        <v>10</v>
      </c>
      <c r="Z242" s="353">
        <v>40.659999999999997</v>
      </c>
      <c r="AA242" s="349">
        <v>46</v>
      </c>
      <c r="AB242" t="s">
        <v>175</v>
      </c>
      <c r="AG242" s="9"/>
      <c r="AH242" s="9"/>
      <c r="AI242" s="9"/>
      <c r="AL242" s="9"/>
    </row>
    <row r="243" spans="2:38" hidden="1" x14ac:dyDescent="0.3">
      <c r="B243">
        <v>20260715</v>
      </c>
      <c r="C243" s="279">
        <f t="shared" si="57"/>
        <v>1.8600000000000002E-2</v>
      </c>
      <c r="D243" s="279">
        <f>etf!AU118</f>
        <v>-2.7000000000000001E-3</v>
      </c>
      <c r="E243" s="351">
        <v>1.8142215412419439E-2</v>
      </c>
      <c r="F243" s="279">
        <v>1.5900000000000001E-2</v>
      </c>
      <c r="G243" s="351">
        <v>8.4680219710840509E-3</v>
      </c>
      <c r="H243" s="305">
        <f t="shared" si="61"/>
        <v>1.8776521901211518</v>
      </c>
      <c r="I243" s="279">
        <f t="shared" si="58"/>
        <v>5.0808131826504304E-3</v>
      </c>
      <c r="J243" s="279">
        <v>1.7000000000000001E-2</v>
      </c>
      <c r="K243" s="279">
        <f>etf!AV118</f>
        <v>1E-4</v>
      </c>
      <c r="L243" s="279">
        <f t="shared" si="59"/>
        <v>1.6900000000000002E-2</v>
      </c>
      <c r="M243" s="351">
        <v>5.1688222455945221E-3</v>
      </c>
      <c r="N243" s="279">
        <v>-3.7022356041400608E-3</v>
      </c>
      <c r="O243" s="351">
        <v>9.5090965338983473E-3</v>
      </c>
      <c r="P243">
        <v>25800</v>
      </c>
      <c r="Q243">
        <f t="shared" si="60"/>
        <v>-144736</v>
      </c>
      <c r="T243" s="279">
        <v>0</v>
      </c>
      <c r="U243" s="279">
        <f>etf!AT118</f>
        <v>1.301131278042016E-2</v>
      </c>
      <c r="V243" s="349"/>
      <c r="W243" s="349"/>
      <c r="X243">
        <v>11</v>
      </c>
      <c r="Y243">
        <v>15</v>
      </c>
      <c r="Z243" s="353">
        <v>48.02</v>
      </c>
      <c r="AA243" s="349">
        <v>4</v>
      </c>
      <c r="AB243" t="s">
        <v>176</v>
      </c>
      <c r="AG243" s="9"/>
      <c r="AH243" s="9"/>
      <c r="AI243" s="9"/>
      <c r="AL243" s="9"/>
    </row>
    <row r="244" spans="2:38" hidden="1" x14ac:dyDescent="0.3">
      <c r="B244">
        <v>20260716</v>
      </c>
      <c r="C244" s="279">
        <f t="shared" si="57"/>
        <v>1.9099999999999999E-2</v>
      </c>
      <c r="D244" s="279">
        <f>etf!AU119</f>
        <v>-4.7000000000000002E-3</v>
      </c>
      <c r="E244" s="351">
        <v>1.7798496037386011E-2</v>
      </c>
      <c r="F244" s="279">
        <v>1.44E-2</v>
      </c>
      <c r="G244" s="279">
        <v>-6.7038954386345814E-3</v>
      </c>
      <c r="H244" s="305">
        <f t="shared" si="61"/>
        <v>-2.1480048625181012</v>
      </c>
      <c r="I244" s="279">
        <f t="shared" si="58"/>
        <v>-4.0223372631807489E-3</v>
      </c>
      <c r="J244" s="279">
        <v>1.23E-2</v>
      </c>
      <c r="K244" s="279">
        <f>etf!AV119</f>
        <v>2E-3</v>
      </c>
      <c r="L244" s="279">
        <f t="shared" si="59"/>
        <v>1.03E-2</v>
      </c>
      <c r="M244" s="351">
        <v>2.3073565275950501E-3</v>
      </c>
      <c r="N244" s="351">
        <v>3.7251266797447609E-6</v>
      </c>
      <c r="O244" s="279">
        <v>-5.6734395322426499E-3</v>
      </c>
      <c r="P244">
        <v>17090</v>
      </c>
      <c r="Q244">
        <f t="shared" si="60"/>
        <v>-127646</v>
      </c>
      <c r="T244" s="279">
        <v>0</v>
      </c>
      <c r="U244" s="279">
        <f>etf!AT119</f>
        <v>9.4396891940628121E-3</v>
      </c>
      <c r="V244" s="349"/>
      <c r="W244" s="349"/>
      <c r="X244">
        <v>16</v>
      </c>
      <c r="Y244">
        <v>16</v>
      </c>
      <c r="Z244" s="353">
        <v>28.75</v>
      </c>
      <c r="AA244" s="349">
        <v>2</v>
      </c>
      <c r="AB244" t="s">
        <v>177</v>
      </c>
      <c r="AG244" s="9"/>
      <c r="AH244" s="9"/>
      <c r="AI244" s="9"/>
      <c r="AL244" s="9"/>
    </row>
    <row r="245" spans="2:38" hidden="1" x14ac:dyDescent="0.3">
      <c r="B245">
        <v>20260717</v>
      </c>
      <c r="C245" s="279">
        <f t="shared" si="57"/>
        <v>1.18E-2</v>
      </c>
      <c r="D245" s="279">
        <f>etf!AU120</f>
        <v>-1.18E-2</v>
      </c>
      <c r="E245" s="279">
        <v>-8.924052178501795E-4</v>
      </c>
      <c r="F245" s="279">
        <v>0</v>
      </c>
      <c r="G245" s="279">
        <v>-3.2556739723117317E-2</v>
      </c>
      <c r="H245" s="305">
        <f t="shared" si="61"/>
        <v>0</v>
      </c>
      <c r="I245" s="279">
        <f t="shared" si="58"/>
        <v>-1.953404383387039E-2</v>
      </c>
      <c r="J245" s="279">
        <v>-4.5600000000000002E-2</v>
      </c>
      <c r="K245" s="279">
        <f>etf!AV120</f>
        <v>-3.7999999999999999E-2</v>
      </c>
      <c r="L245" s="279">
        <f t="shared" si="59"/>
        <v>-7.6000000000000026E-3</v>
      </c>
      <c r="M245" s="279">
        <v>-3.9944788277274761E-2</v>
      </c>
      <c r="N245" s="279">
        <v>-3.438684169994765E-2</v>
      </c>
      <c r="O245" s="279">
        <v>-2.7185664109990852E-2</v>
      </c>
      <c r="P245">
        <v>-45000</v>
      </c>
      <c r="Q245">
        <f t="shared" si="60"/>
        <v>-172646</v>
      </c>
      <c r="T245" s="279">
        <v>0</v>
      </c>
      <c r="U245" s="279">
        <f>etf!AT120</f>
        <v>-4.4129528510386783E-2</v>
      </c>
      <c r="V245" s="349"/>
      <c r="W245" s="349"/>
      <c r="X245">
        <v>3</v>
      </c>
      <c r="Y245">
        <v>69</v>
      </c>
      <c r="Z245" s="353">
        <v>102.18</v>
      </c>
      <c r="AA245" s="349">
        <v>33</v>
      </c>
      <c r="AB245" t="s">
        <v>178</v>
      </c>
      <c r="AG245" s="9"/>
      <c r="AH245" s="9"/>
      <c r="AI245" s="9"/>
      <c r="AL245" s="9"/>
    </row>
    <row r="246" spans="2:38" hidden="1" x14ac:dyDescent="0.3">
      <c r="B246">
        <v>20260720</v>
      </c>
      <c r="C246" s="279">
        <f t="shared" si="57"/>
        <v>2.3400000000000001E-2</v>
      </c>
      <c r="D246" s="279">
        <f>etf!AU121</f>
        <v>-4.4000000000000003E-3</v>
      </c>
      <c r="E246" s="351">
        <v>1.202823362570541E-2</v>
      </c>
      <c r="F246" s="279">
        <v>1.9E-2</v>
      </c>
      <c r="G246" s="279">
        <v>1.7782744370414098E-2</v>
      </c>
      <c r="H246" s="305">
        <f t="shared" si="61"/>
        <v>1.0684515058098176</v>
      </c>
      <c r="I246" s="279">
        <f t="shared" si="58"/>
        <v>1.0669646622248459E-2</v>
      </c>
      <c r="J246" s="279">
        <v>-7.0000000000000007E-2</v>
      </c>
      <c r="K246" s="279">
        <f>etf!AV121</f>
        <v>-0.05</v>
      </c>
      <c r="L246" s="279">
        <f t="shared" si="59"/>
        <v>-2.0000000000000004E-2</v>
      </c>
      <c r="M246" s="279">
        <v>-4.4326896186205889E-2</v>
      </c>
      <c r="N246" s="279">
        <v>-5.5313334980480362E-2</v>
      </c>
      <c r="O246" s="279">
        <v>-4.825332483351704E-2</v>
      </c>
      <c r="P246">
        <v>-27600</v>
      </c>
      <c r="Q246">
        <f t="shared" si="60"/>
        <v>-200246</v>
      </c>
      <c r="T246" s="279">
        <v>0</v>
      </c>
      <c r="U246" s="279">
        <f>etf!AT121</f>
        <v>-3.7865867084150129E-2</v>
      </c>
      <c r="V246" s="349"/>
      <c r="W246" s="349"/>
      <c r="X246">
        <v>4</v>
      </c>
      <c r="Y246">
        <v>101</v>
      </c>
      <c r="Z246" s="353">
        <v>47.84</v>
      </c>
      <c r="AA246" s="349">
        <v>54</v>
      </c>
      <c r="AB246" t="s">
        <v>179</v>
      </c>
      <c r="AG246" s="9"/>
      <c r="AH246" s="9"/>
      <c r="AI246" s="9"/>
      <c r="AL246" s="9"/>
    </row>
    <row r="247" spans="2:38" hidden="1" x14ac:dyDescent="0.3">
      <c r="B247">
        <v>20260721</v>
      </c>
      <c r="C247" s="279">
        <f t="shared" si="57"/>
        <v>-8.9999999999999993E-3</v>
      </c>
      <c r="D247" s="279">
        <f>etf!AU122</f>
        <v>1.7999999999999999E-2</v>
      </c>
      <c r="E247" s="279">
        <v>-6.070633053263658E-3</v>
      </c>
      <c r="F247" s="279">
        <v>8.9999999999999993E-3</v>
      </c>
      <c r="G247" s="279">
        <v>-2.5824864829652749E-2</v>
      </c>
      <c r="H247" s="305">
        <f t="shared" si="61"/>
        <v>-0.34850134005990913</v>
      </c>
      <c r="I247" s="279">
        <f t="shared" si="58"/>
        <v>-1.5494918897791648E-2</v>
      </c>
      <c r="J247" s="279">
        <v>-1.8800000000000001E-2</v>
      </c>
      <c r="K247" s="279">
        <f>etf!AV122</f>
        <v>-1.38E-2</v>
      </c>
      <c r="L247" s="279">
        <f t="shared" si="59"/>
        <v>-5.000000000000001E-3</v>
      </c>
      <c r="M247" s="279">
        <v>-7.7200697816492206E-3</v>
      </c>
      <c r="N247" s="279">
        <v>-1.7102918271195339E-2</v>
      </c>
      <c r="O247" s="279">
        <v>-2.0424690931076E-2</v>
      </c>
      <c r="P247">
        <v>-11600</v>
      </c>
      <c r="Q247">
        <f t="shared" si="60"/>
        <v>-211846</v>
      </c>
      <c r="T247" s="279">
        <v>0</v>
      </c>
      <c r="U247" s="279">
        <f>etf!AT122</f>
        <v>-9.2646075955505284E-3</v>
      </c>
      <c r="V247" s="349"/>
      <c r="W247" s="349"/>
      <c r="X247">
        <v>8</v>
      </c>
      <c r="Y247">
        <v>26</v>
      </c>
      <c r="Z247" s="353">
        <v>54.23</v>
      </c>
      <c r="AA247" s="349">
        <v>72</v>
      </c>
      <c r="AB247" t="s">
        <v>180</v>
      </c>
      <c r="AG247" s="9"/>
      <c r="AH247" s="9"/>
      <c r="AI247" s="9"/>
      <c r="AL247" s="9"/>
    </row>
    <row r="248" spans="2:38" hidden="1" x14ac:dyDescent="0.3">
      <c r="B248">
        <v>20260722</v>
      </c>
      <c r="C248" s="279">
        <f t="shared" si="57"/>
        <v>4.4000000000000003E-3</v>
      </c>
      <c r="D248" s="279">
        <f>etf!AU123</f>
        <v>-5.4000000000000003E-3</v>
      </c>
      <c r="E248" s="279">
        <v>-5.1939706290739119E-3</v>
      </c>
      <c r="F248" s="279">
        <v>-1E-3</v>
      </c>
      <c r="G248" s="279">
        <v>-1.160495945772007E-3</v>
      </c>
      <c r="H248" s="305">
        <f t="shared" si="61"/>
        <v>0.86170055452865979</v>
      </c>
      <c r="I248" s="279">
        <f t="shared" si="58"/>
        <v>-6.9629756746320416E-4</v>
      </c>
      <c r="J248" s="279">
        <v>0</v>
      </c>
      <c r="K248" s="279">
        <f>etf!AV123</f>
        <v>-5.3E-3</v>
      </c>
      <c r="L248" s="279">
        <f t="shared" si="59"/>
        <v>5.3E-3</v>
      </c>
      <c r="M248" s="279">
        <v>-4.0808231217811554E-3</v>
      </c>
      <c r="N248" s="279">
        <v>-7.2133123849514183E-3</v>
      </c>
      <c r="O248" s="351">
        <v>5.3330926433236723E-3</v>
      </c>
      <c r="P248">
        <v>-9450</v>
      </c>
      <c r="Q248">
        <f t="shared" si="60"/>
        <v>-221296</v>
      </c>
      <c r="T248" s="279">
        <v>0</v>
      </c>
      <c r="U248" s="279">
        <f>etf!AT123</f>
        <v>-1.9636215672137251E-2</v>
      </c>
      <c r="V248" s="349"/>
      <c r="W248" s="349"/>
      <c r="X248">
        <v>9</v>
      </c>
      <c r="Y248">
        <v>6</v>
      </c>
      <c r="Z248" s="353">
        <v>19.510000000000002</v>
      </c>
      <c r="AA248" s="349">
        <v>15</v>
      </c>
      <c r="AB248" t="s">
        <v>181</v>
      </c>
      <c r="AG248" s="9"/>
      <c r="AH248" s="9"/>
      <c r="AI248" s="9"/>
      <c r="AL248" s="9"/>
    </row>
    <row r="249" spans="2:38" hidden="1" x14ac:dyDescent="0.3">
      <c r="B249">
        <v>20260723</v>
      </c>
      <c r="C249" s="279">
        <f t="shared" si="57"/>
        <v>2.4000000000000002E-3</v>
      </c>
      <c r="D249" s="279">
        <f>etf!AU124</f>
        <v>5.5999999999999999E-3</v>
      </c>
      <c r="E249" s="351">
        <v>1.250750435070765E-2</v>
      </c>
      <c r="F249" s="279">
        <v>8.0000000000000002E-3</v>
      </c>
      <c r="G249" s="351">
        <v>8.8877467262077191E-3</v>
      </c>
      <c r="H249" s="305">
        <f t="shared" si="61"/>
        <v>0.90011565883285372</v>
      </c>
      <c r="I249" s="279">
        <f t="shared" si="58"/>
        <v>5.3326480357246313E-3</v>
      </c>
      <c r="J249" s="279">
        <v>0.05</v>
      </c>
      <c r="K249" s="279">
        <f>etf!AV124</f>
        <v>3.04E-2</v>
      </c>
      <c r="L249" s="279">
        <f t="shared" si="59"/>
        <v>1.9600000000000003E-2</v>
      </c>
      <c r="M249" s="351">
        <v>2.444945055330024E-2</v>
      </c>
      <c r="N249" s="351">
        <v>3.9434953827311763E-2</v>
      </c>
      <c r="O249" s="351">
        <v>2.427642443483969E-2</v>
      </c>
      <c r="P249">
        <v>34619</v>
      </c>
      <c r="Q249">
        <f t="shared" si="60"/>
        <v>-186677</v>
      </c>
      <c r="T249" s="279">
        <v>0</v>
      </c>
      <c r="U249" s="279">
        <f>etf!AT124</f>
        <v>3.6563403049537847E-2</v>
      </c>
      <c r="V249" s="349"/>
      <c r="W249" s="349"/>
      <c r="X249">
        <v>45</v>
      </c>
      <c r="Y249">
        <v>2</v>
      </c>
      <c r="Z249" s="353">
        <v>23.63</v>
      </c>
      <c r="AA249" s="349">
        <v>11</v>
      </c>
      <c r="AB249" t="s">
        <v>182</v>
      </c>
      <c r="AG249" s="9"/>
      <c r="AH249" s="9"/>
      <c r="AI249" s="9"/>
      <c r="AL249" s="9"/>
    </row>
    <row r="250" spans="2:38" hidden="1" x14ac:dyDescent="0.3">
      <c r="B250">
        <v>20260724</v>
      </c>
      <c r="C250" s="279">
        <f t="shared" si="57"/>
        <v>-6.4000000000000003E-3</v>
      </c>
      <c r="D250" s="279">
        <f>etf!AU125</f>
        <v>-7.3000000000000001E-3</v>
      </c>
      <c r="E250" s="279">
        <v>-1.6288771886036332E-2</v>
      </c>
      <c r="F250" s="279">
        <v>-1.37E-2</v>
      </c>
      <c r="G250" s="279">
        <v>-1.7489428534837179E-2</v>
      </c>
      <c r="H250" s="305">
        <f t="shared" si="61"/>
        <v>0.78333033996571022</v>
      </c>
      <c r="I250" s="279">
        <f t="shared" si="58"/>
        <v>-1.0493657120902307E-2</v>
      </c>
      <c r="J250" s="279">
        <v>-1.3599999999999999E-2</v>
      </c>
      <c r="K250" s="279">
        <f>etf!AV125</f>
        <v>-1.41E-2</v>
      </c>
      <c r="L250" s="279">
        <f t="shared" si="59"/>
        <v>5.0000000000000044E-4</v>
      </c>
      <c r="M250" s="279">
        <v>-1.470847694286221E-2</v>
      </c>
      <c r="N250" s="279">
        <v>-1.0744877553120711E-2</v>
      </c>
      <c r="O250" s="279">
        <v>-5.8439322072398872E-3</v>
      </c>
      <c r="P250">
        <v>-30000</v>
      </c>
      <c r="Q250">
        <f t="shared" si="60"/>
        <v>-216677</v>
      </c>
      <c r="T250" s="279">
        <v>0</v>
      </c>
      <c r="U250" s="279">
        <f>etf!AT125</f>
        <v>-2.3264846953086182E-2</v>
      </c>
      <c r="V250" s="349"/>
      <c r="W250" s="349"/>
      <c r="X250">
        <v>7</v>
      </c>
      <c r="Y250">
        <v>12</v>
      </c>
      <c r="Z250" s="353">
        <v>73.48</v>
      </c>
      <c r="AA250" s="349">
        <v>18</v>
      </c>
      <c r="AB250" t="s">
        <v>183</v>
      </c>
    </row>
    <row r="251" spans="2:38" hidden="1" x14ac:dyDescent="0.3">
      <c r="B251">
        <v>20260727</v>
      </c>
      <c r="C251" s="279">
        <f t="shared" si="57"/>
        <v>-9.7999999999999997E-3</v>
      </c>
      <c r="D251" s="279">
        <f>etf!AU126</f>
        <v>1.6799999999999999E-2</v>
      </c>
      <c r="E251" s="351">
        <v>2.7344443463924312E-3</v>
      </c>
      <c r="F251" s="279">
        <v>7.0000000000000001E-3</v>
      </c>
      <c r="G251" s="351">
        <v>2.3163267220878171E-2</v>
      </c>
      <c r="H251" s="305">
        <f t="shared" si="61"/>
        <v>0.30220261819069127</v>
      </c>
      <c r="I251" s="279">
        <f t="shared" si="58"/>
        <v>1.3897960332526903E-2</v>
      </c>
      <c r="J251" s="279">
        <v>2.8400000000000002E-2</v>
      </c>
      <c r="K251" s="279">
        <f>etf!AV126</f>
        <v>2.7300000000000001E-2</v>
      </c>
      <c r="L251" s="279">
        <f t="shared" si="59"/>
        <v>1.1000000000000003E-3</v>
      </c>
      <c r="M251" s="351">
        <v>2.4064931444624949E-2</v>
      </c>
      <c r="N251" s="351">
        <v>2.5064141782680099E-2</v>
      </c>
      <c r="O251" s="351">
        <v>1.1253399948248199E-2</v>
      </c>
      <c r="P251">
        <v>39400</v>
      </c>
      <c r="Q251">
        <f t="shared" si="60"/>
        <v>-177277</v>
      </c>
      <c r="T251" s="279">
        <v>0</v>
      </c>
      <c r="U251" s="279">
        <f>etf!AT126</f>
        <v>3.3804585980062508E-2</v>
      </c>
      <c r="V251" s="349"/>
      <c r="W251" s="349"/>
      <c r="X251">
        <v>25</v>
      </c>
      <c r="Y251">
        <v>1</v>
      </c>
      <c r="Z251" s="353">
        <v>37.56</v>
      </c>
      <c r="AA251" s="349">
        <v>27</v>
      </c>
      <c r="AB251" t="s">
        <v>184</v>
      </c>
    </row>
    <row r="252" spans="2:38" hidden="1" x14ac:dyDescent="0.3">
      <c r="B252">
        <v>20260728</v>
      </c>
      <c r="C252" s="279">
        <f t="shared" si="57"/>
        <v>7.4000000000000003E-3</v>
      </c>
      <c r="D252" s="279">
        <f>etf!AU127</f>
        <v>-1.34E-2</v>
      </c>
      <c r="E252" s="279">
        <v>-2.841975151228394E-3</v>
      </c>
      <c r="F252" s="279">
        <v>-6.0000000000000001E-3</v>
      </c>
      <c r="G252" s="351">
        <v>7.101820875251936E-3</v>
      </c>
      <c r="H252" s="305">
        <f t="shared" si="61"/>
        <v>-0.84485375024150422</v>
      </c>
      <c r="I252" s="279">
        <f t="shared" si="58"/>
        <v>4.2610925251511615E-3</v>
      </c>
      <c r="J252" s="279">
        <v>1.9E-2</v>
      </c>
      <c r="K252" s="279">
        <f>etf!AV127</f>
        <v>9.4999999999999998E-3</v>
      </c>
      <c r="L252" s="279">
        <f t="shared" si="59"/>
        <v>9.4999999999999998E-3</v>
      </c>
      <c r="M252" s="351">
        <v>5.079331770648488E-3</v>
      </c>
      <c r="N252" s="351">
        <v>9.2162820300273462E-3</v>
      </c>
      <c r="O252" s="351">
        <v>1.564099410966449E-3</v>
      </c>
      <c r="P252">
        <v>9400</v>
      </c>
      <c r="Q252">
        <f t="shared" si="60"/>
        <v>-167877</v>
      </c>
      <c r="T252" s="279">
        <v>0</v>
      </c>
      <c r="U252" s="279">
        <f>etf!AT127</f>
        <v>7.3456473872596604E-3</v>
      </c>
      <c r="V252" s="349"/>
      <c r="W252" s="349"/>
      <c r="X252">
        <v>14</v>
      </c>
      <c r="Y252">
        <v>7</v>
      </c>
      <c r="Z252" s="353">
        <v>40.590000000000003</v>
      </c>
      <c r="AA252" s="349">
        <v>1</v>
      </c>
      <c r="AB252" t="s">
        <v>185</v>
      </c>
    </row>
    <row r="253" spans="2:38" hidden="1" x14ac:dyDescent="0.3">
      <c r="B253">
        <v>20260729</v>
      </c>
      <c r="C253" s="279">
        <f t="shared" si="57"/>
        <v>-5.3999999999999994E-3</v>
      </c>
      <c r="D253" s="279">
        <f>etf!AU128</f>
        <v>1.01E-2</v>
      </c>
      <c r="E253" s="351">
        <v>4.6837818414674518E-3</v>
      </c>
      <c r="F253" s="279">
        <v>4.7000000000000002E-3</v>
      </c>
      <c r="G253" s="351">
        <v>1.0568891865144E-2</v>
      </c>
      <c r="H253" s="305">
        <f t="shared" si="61"/>
        <v>0.44470130454267481</v>
      </c>
      <c r="I253" s="279">
        <f t="shared" si="58"/>
        <v>6.3413351190863996E-3</v>
      </c>
      <c r="J253" s="279">
        <v>1.5900000000000001E-2</v>
      </c>
      <c r="K253" s="279">
        <f>etf!AV128</f>
        <v>1.41E-2</v>
      </c>
      <c r="L253" s="279">
        <f t="shared" si="59"/>
        <v>1.8000000000000013E-3</v>
      </c>
      <c r="M253" s="351">
        <v>1.260268707727602E-2</v>
      </c>
      <c r="N253" s="351">
        <v>1.5198232282895571E-2</v>
      </c>
      <c r="O253" s="351">
        <v>1.010356667662184E-2</v>
      </c>
      <c r="P253">
        <v>24514</v>
      </c>
      <c r="Q253">
        <f t="shared" si="60"/>
        <v>-143363</v>
      </c>
      <c r="T253" s="279">
        <v>0</v>
      </c>
      <c r="U253" s="279">
        <f>etf!AT128</f>
        <v>2.1015691325497451E-2</v>
      </c>
      <c r="V253" s="349"/>
      <c r="W253" s="349"/>
      <c r="X253">
        <v>17</v>
      </c>
      <c r="Y253">
        <v>8</v>
      </c>
      <c r="Z253" s="353">
        <v>23.44</v>
      </c>
      <c r="AA253" s="349">
        <v>1</v>
      </c>
      <c r="AB253" t="s">
        <v>186</v>
      </c>
    </row>
    <row r="254" spans="2:38" hidden="1" x14ac:dyDescent="0.3">
      <c r="B254">
        <v>20260730</v>
      </c>
      <c r="C254" s="279">
        <f t="shared" si="57"/>
        <v>-5.9999999999999984E-4</v>
      </c>
      <c r="D254" s="279">
        <f>etf!AU129</f>
        <v>-5.4000000000000003E-3</v>
      </c>
      <c r="E254" s="351">
        <v>-5.4178987993633541E-3</v>
      </c>
      <c r="F254" s="279">
        <v>-6.0000000000000001E-3</v>
      </c>
      <c r="G254" s="351">
        <v>-2.397280081058438E-2</v>
      </c>
      <c r="H254" s="305">
        <f t="shared" si="61"/>
        <v>0.2502836463460249</v>
      </c>
      <c r="I254" s="279">
        <f t="shared" si="58"/>
        <v>-1.4383680486350628E-2</v>
      </c>
      <c r="J254" s="279">
        <v>-5.0000000000000001E-3</v>
      </c>
      <c r="K254" s="279">
        <f>etf!AV129</f>
        <v>-1.6E-2</v>
      </c>
      <c r="L254" s="279">
        <f t="shared" si="59"/>
        <v>1.0999999999999999E-2</v>
      </c>
      <c r="M254" s="351">
        <v>-1.453843843605955E-2</v>
      </c>
      <c r="N254" s="351">
        <v>-1.385100653745037E-2</v>
      </c>
      <c r="O254" s="351">
        <v>-1.2507505275954111E-2</v>
      </c>
      <c r="P254">
        <v>0</v>
      </c>
      <c r="Q254">
        <f t="shared" si="60"/>
        <v>-143363</v>
      </c>
      <c r="T254" s="279">
        <v>0</v>
      </c>
      <c r="U254" s="279">
        <f>etf!AT129</f>
        <v>-1.1088703930334501E-2</v>
      </c>
      <c r="V254" s="349"/>
      <c r="W254" s="349"/>
      <c r="X254">
        <v>7</v>
      </c>
      <c r="Y254">
        <v>17</v>
      </c>
      <c r="Z254" s="353">
        <v>31.35</v>
      </c>
      <c r="AA254" s="349">
        <v>5</v>
      </c>
      <c r="AB254" t="s">
        <v>187</v>
      </c>
    </row>
    <row r="255" spans="2:38" hidden="1" x14ac:dyDescent="0.3">
      <c r="B255">
        <v>20260731</v>
      </c>
      <c r="C255" s="279">
        <f t="shared" si="57"/>
        <v>-1.7000000000000001E-3</v>
      </c>
      <c r="D255" s="279">
        <f>etf!AU130</f>
        <v>1.37E-2</v>
      </c>
      <c r="E255" s="351">
        <v>1.438299301399051E-2</v>
      </c>
      <c r="F255" s="279">
        <v>1.2E-2</v>
      </c>
      <c r="G255" s="351">
        <v>4.7246989613015912E-2</v>
      </c>
      <c r="H255" s="305">
        <f t="shared" si="61"/>
        <v>0.25398443579766533</v>
      </c>
      <c r="I255" s="279">
        <f t="shared" si="58"/>
        <v>2.8348193767809546E-2</v>
      </c>
      <c r="J255" s="279">
        <v>2.5100000000000001E-2</v>
      </c>
      <c r="K255" s="279">
        <f>etf!AV130</f>
        <v>2.69E-2</v>
      </c>
      <c r="L255" s="279">
        <f t="shared" si="59"/>
        <v>-1.7999999999999995E-3</v>
      </c>
      <c r="M255" s="351">
        <v>2.3975591314399022E-2</v>
      </c>
      <c r="N255" s="351">
        <v>3.186886325507713E-2</v>
      </c>
      <c r="O255" s="351">
        <v>3.4317212286715977E-2</v>
      </c>
      <c r="P255">
        <v>30000</v>
      </c>
      <c r="Q255">
        <f t="shared" si="60"/>
        <v>-113363</v>
      </c>
      <c r="T255" s="279">
        <v>0</v>
      </c>
      <c r="U255" s="279">
        <f>etf!AT130</f>
        <v>2.9571745857724919E-2</v>
      </c>
      <c r="V255" s="349"/>
      <c r="W255" s="349"/>
      <c r="X255">
        <v>25</v>
      </c>
      <c r="Y255">
        <v>1</v>
      </c>
      <c r="Z255" s="353">
        <v>38.020000000000003</v>
      </c>
      <c r="AA255" s="349">
        <v>0</v>
      </c>
      <c r="AB255" t="s">
        <v>188</v>
      </c>
    </row>
    <row r="256" spans="2:38" x14ac:dyDescent="0.3">
      <c r="B256" s="295" t="s">
        <v>189</v>
      </c>
      <c r="C256" s="296">
        <f>SUM(C257:C277)</f>
        <v>7.1000000000000021E-3</v>
      </c>
      <c r="D256" s="296">
        <f>SUM(D257:D277)</f>
        <v>1.0999999999999977E-3</v>
      </c>
      <c r="E256" s="296">
        <f>SUM(E257:E277)</f>
        <v>9.7429102297100986E-3</v>
      </c>
      <c r="F256" s="296">
        <f>SUM(F257:F277)</f>
        <v>8.2000000000000024E-3</v>
      </c>
      <c r="G256" s="296">
        <f>SUM(G257:G277)</f>
        <v>9.8411498256083613E-2</v>
      </c>
      <c r="H256" s="344">
        <f t="shared" si="61"/>
        <v>8.3323596788072413E-2</v>
      </c>
      <c r="I256" s="296">
        <f t="shared" ref="I256:P256" si="62">SUM(I257:I277)</f>
        <v>5.9046898953650138E-2</v>
      </c>
      <c r="J256" s="296">
        <f t="shared" si="62"/>
        <v>0.15429999999999999</v>
      </c>
      <c r="K256" s="296">
        <f t="shared" si="62"/>
        <v>9.3399999999999983E-2</v>
      </c>
      <c r="L256" s="296">
        <f t="shared" si="62"/>
        <v>6.0899999999999982E-2</v>
      </c>
      <c r="M256" s="296">
        <f t="shared" si="62"/>
        <v>9.9698386547173876E-2</v>
      </c>
      <c r="N256" s="296">
        <f t="shared" si="62"/>
        <v>8.8592348281277988E-2</v>
      </c>
      <c r="O256" s="296">
        <f t="shared" si="62"/>
        <v>7.9288771598015825E-2</v>
      </c>
      <c r="P256" s="315">
        <f t="shared" si="62"/>
        <v>126726</v>
      </c>
      <c r="Q256">
        <v>-113363</v>
      </c>
      <c r="R256" s="296">
        <f>SUM(R257:R277)</f>
        <v>0</v>
      </c>
      <c r="S256" s="315">
        <f>SUM(S257:S277)</f>
        <v>0</v>
      </c>
      <c r="T256" s="296">
        <f>SUM(T257:T277)</f>
        <v>0</v>
      </c>
      <c r="U256" s="296">
        <f>SUM(U257:U277)</f>
        <v>0.16429001257297188</v>
      </c>
      <c r="V256" s="315"/>
      <c r="W256" s="315"/>
      <c r="AG256" s="9"/>
      <c r="AH256" s="9"/>
      <c r="AI256" s="9"/>
      <c r="AL256" s="9"/>
    </row>
    <row r="257" spans="2:28" hidden="1" x14ac:dyDescent="0.3">
      <c r="B257">
        <v>20260803</v>
      </c>
      <c r="C257" s="279">
        <f t="shared" ref="C257:C277" si="63">F257-D257</f>
        <v>5.9999999999999984E-4</v>
      </c>
      <c r="D257" s="279">
        <f>etf!AU132</f>
        <v>-2.0999999999999999E-3</v>
      </c>
      <c r="E257" s="351">
        <v>-9.439804811426096E-3</v>
      </c>
      <c r="F257" s="279">
        <v>-1.5E-3</v>
      </c>
      <c r="G257" s="351">
        <v>1.9963116315660531E-3</v>
      </c>
      <c r="H257" s="305">
        <f t="shared" si="61"/>
        <v>-0.75138569363706509</v>
      </c>
      <c r="I257" s="279">
        <f t="shared" ref="I257:I277" si="64">G257*$A$1</f>
        <v>1.1977869789396318E-3</v>
      </c>
      <c r="J257" s="279">
        <v>2.7099999999999999E-2</v>
      </c>
      <c r="K257" s="279">
        <f>etf!AV132</f>
        <v>2.52E-2</v>
      </c>
      <c r="L257" s="279">
        <f t="shared" ref="L257:L277" si="65">J257-K257</f>
        <v>1.8999999999999989E-3</v>
      </c>
      <c r="M257" s="351">
        <v>2.3293160804360519E-2</v>
      </c>
      <c r="N257" s="351">
        <v>2.5133413874721591E-2</v>
      </c>
      <c r="O257" s="351">
        <v>1.6885374370826649E-2</v>
      </c>
      <c r="P257">
        <v>30000</v>
      </c>
      <c r="Q257">
        <f t="shared" ref="Q257:Q277" si="66">Q256+P257</f>
        <v>-83363</v>
      </c>
      <c r="T257" s="279">
        <v>0</v>
      </c>
      <c r="U257" s="279">
        <f>etf!AT132</f>
        <v>3.6182598998742571E-2</v>
      </c>
      <c r="V257" s="349"/>
      <c r="W257" s="349"/>
      <c r="X257">
        <v>32</v>
      </c>
      <c r="Y257">
        <v>0</v>
      </c>
      <c r="Z257" s="353">
        <v>12.37</v>
      </c>
      <c r="AA257" s="349">
        <v>0</v>
      </c>
      <c r="AB257" t="s">
        <v>190</v>
      </c>
    </row>
    <row r="258" spans="2:28" hidden="1" x14ac:dyDescent="0.3">
      <c r="B258">
        <v>20260804</v>
      </c>
      <c r="C258" s="279">
        <f t="shared" si="63"/>
        <v>-1.0699999999999999E-2</v>
      </c>
      <c r="D258" s="279">
        <f>etf!AU133</f>
        <v>1.2699999999999999E-2</v>
      </c>
      <c r="E258" s="351">
        <v>1.575307985790491E-2</v>
      </c>
      <c r="F258" s="279">
        <v>2E-3</v>
      </c>
      <c r="G258" s="351">
        <v>2.4308946425011919E-2</v>
      </c>
      <c r="H258" s="305">
        <f t="shared" si="61"/>
        <v>8.2274236202279971E-2</v>
      </c>
      <c r="I258" s="279">
        <f t="shared" si="64"/>
        <v>1.458536785500715E-2</v>
      </c>
      <c r="J258" s="279">
        <v>-2.0000000000000001E-4</v>
      </c>
      <c r="K258" s="279">
        <f>etf!AV133</f>
        <v>8.2000000000000007E-3</v>
      </c>
      <c r="L258" s="279">
        <f t="shared" si="65"/>
        <v>-8.4000000000000012E-3</v>
      </c>
      <c r="M258" s="351">
        <v>8.1225242312380971E-3</v>
      </c>
      <c r="N258" s="351">
        <v>1.1277062202566119E-2</v>
      </c>
      <c r="O258" s="351">
        <v>1.0230131246565081E-2</v>
      </c>
      <c r="P258">
        <v>2500</v>
      </c>
      <c r="Q258">
        <f t="shared" si="66"/>
        <v>-80863</v>
      </c>
      <c r="T258" s="279">
        <v>0</v>
      </c>
      <c r="U258" s="279">
        <f>etf!AT133</f>
        <v>1.552954548889242E-2</v>
      </c>
      <c r="V258" s="349"/>
      <c r="W258" s="349"/>
      <c r="X258">
        <v>14</v>
      </c>
      <c r="Y258">
        <v>3</v>
      </c>
      <c r="Z258" s="353">
        <v>36.28</v>
      </c>
      <c r="AA258" s="349">
        <v>0</v>
      </c>
      <c r="AB258" t="s">
        <v>191</v>
      </c>
    </row>
    <row r="259" spans="2:28" hidden="1" x14ac:dyDescent="0.3">
      <c r="B259">
        <v>20260805</v>
      </c>
      <c r="C259" s="279">
        <f t="shared" si="63"/>
        <v>3.7000000000000002E-3</v>
      </c>
      <c r="D259" s="279">
        <f>etf!AU134</f>
        <v>1.1299999999999999E-2</v>
      </c>
      <c r="E259" s="351">
        <v>1.131547883587942E-2</v>
      </c>
      <c r="F259" s="279">
        <v>1.4999999999999999E-2</v>
      </c>
      <c r="G259" s="351">
        <v>3.0621121730630699E-2</v>
      </c>
      <c r="H259" s="305">
        <f t="shared" si="61"/>
        <v>0.4898579526887582</v>
      </c>
      <c r="I259" s="279">
        <f t="shared" si="64"/>
        <v>1.8372673038378418E-2</v>
      </c>
      <c r="J259" s="279">
        <v>0</v>
      </c>
      <c r="K259" s="279">
        <f>etf!AV134</f>
        <v>7.7999999999999996E-3</v>
      </c>
      <c r="L259" s="279">
        <f t="shared" si="65"/>
        <v>-7.7999999999999996E-3</v>
      </c>
      <c r="M259" s="351">
        <v>8.0196369492230701E-3</v>
      </c>
      <c r="N259" s="351">
        <v>8.5208906808287334E-3</v>
      </c>
      <c r="O259" s="351">
        <v>1.247959238034459E-2</v>
      </c>
      <c r="P259">
        <v>2400</v>
      </c>
      <c r="Q259">
        <f t="shared" si="66"/>
        <v>-78463</v>
      </c>
      <c r="T259" s="279">
        <v>0</v>
      </c>
      <c r="U259" s="279">
        <f>etf!AT134</f>
        <v>3.6314621496462631E-3</v>
      </c>
      <c r="V259" s="349"/>
      <c r="W259" s="349"/>
      <c r="X259">
        <v>7</v>
      </c>
      <c r="Y259">
        <v>2</v>
      </c>
      <c r="Z259" s="353">
        <v>24.68</v>
      </c>
      <c r="AA259" s="349">
        <v>0</v>
      </c>
      <c r="AB259" t="s">
        <v>192</v>
      </c>
    </row>
    <row r="260" spans="2:28" hidden="1" x14ac:dyDescent="0.3">
      <c r="B260">
        <v>20260806</v>
      </c>
      <c r="C260" s="279">
        <f t="shared" si="63"/>
        <v>-4.0000000000000001E-3</v>
      </c>
      <c r="D260" s="279">
        <f>etf!AU135</f>
        <v>-1.8E-3</v>
      </c>
      <c r="E260" s="351">
        <v>-1.648986694215038E-3</v>
      </c>
      <c r="F260" s="279">
        <v>-5.7999999999999996E-3</v>
      </c>
      <c r="G260" s="351">
        <v>1.253276250361348E-3</v>
      </c>
      <c r="H260" s="305">
        <f t="shared" si="61"/>
        <v>-4.6278703504735912</v>
      </c>
      <c r="I260" s="279">
        <f t="shared" si="64"/>
        <v>7.5196575021680876E-4</v>
      </c>
      <c r="J260" s="279">
        <v>6.3E-3</v>
      </c>
      <c r="K260" s="279">
        <f>etf!AV135</f>
        <v>9.1000000000000004E-3</v>
      </c>
      <c r="L260" s="279">
        <f t="shared" si="65"/>
        <v>-2.8000000000000004E-3</v>
      </c>
      <c r="M260" s="351">
        <v>1.4739597291555811E-2</v>
      </c>
      <c r="N260" s="351">
        <v>6.3792822608466941E-3</v>
      </c>
      <c r="O260" s="351">
        <v>2.1427692939143062E-3</v>
      </c>
      <c r="P260">
        <v>5000</v>
      </c>
      <c r="Q260">
        <f t="shared" si="66"/>
        <v>-73463</v>
      </c>
      <c r="T260" s="279">
        <v>0</v>
      </c>
      <c r="U260" s="279">
        <f>etf!AT135</f>
        <v>1.2096989434578719E-2</v>
      </c>
      <c r="V260" s="349"/>
      <c r="W260" s="349"/>
      <c r="X260">
        <v>18</v>
      </c>
      <c r="Y260">
        <v>2</v>
      </c>
      <c r="Z260" s="353">
        <v>12.52</v>
      </c>
      <c r="AA260" s="349">
        <v>0</v>
      </c>
      <c r="AB260" t="s">
        <v>193</v>
      </c>
    </row>
    <row r="261" spans="2:28" hidden="1" x14ac:dyDescent="0.3">
      <c r="B261">
        <v>20260807</v>
      </c>
      <c r="C261" s="279">
        <f t="shared" si="63"/>
        <v>-1.1000000000000001E-3</v>
      </c>
      <c r="D261" s="279">
        <f>etf!AU136</f>
        <v>1E-4</v>
      </c>
      <c r="E261" s="351">
        <v>1.3741977797902161E-3</v>
      </c>
      <c r="F261" s="279">
        <v>-1E-3</v>
      </c>
      <c r="G261" s="351">
        <v>5.9079344443840904E-3</v>
      </c>
      <c r="H261" s="305">
        <f t="shared" si="61"/>
        <v>-0.16926389576826986</v>
      </c>
      <c r="I261" s="279">
        <f t="shared" si="64"/>
        <v>3.5447606666304541E-3</v>
      </c>
      <c r="J261" s="279">
        <v>-6.0000000000000001E-3</v>
      </c>
      <c r="K261" s="279">
        <f>etf!AV136</f>
        <v>-3.8E-3</v>
      </c>
      <c r="L261" s="279">
        <f t="shared" si="65"/>
        <v>-2.2000000000000001E-3</v>
      </c>
      <c r="M261" s="279">
        <v>-2.1546889313324461E-3</v>
      </c>
      <c r="N261" s="279">
        <v>-3.272309798714043E-3</v>
      </c>
      <c r="O261" s="351">
        <v>7.5644239990729474E-4</v>
      </c>
      <c r="P261">
        <v>2000</v>
      </c>
      <c r="Q261">
        <f t="shared" si="66"/>
        <v>-71463</v>
      </c>
      <c r="T261" s="279">
        <v>0</v>
      </c>
      <c r="U261" s="279">
        <f>etf!AT136</f>
        <v>2.2667409549896301E-3</v>
      </c>
      <c r="V261" s="349"/>
      <c r="W261" s="349"/>
      <c r="X261">
        <v>6</v>
      </c>
      <c r="Y261">
        <v>1</v>
      </c>
      <c r="Z261" s="353">
        <v>30.69</v>
      </c>
      <c r="AA261" s="349">
        <v>0</v>
      </c>
      <c r="AB261" t="s">
        <v>194</v>
      </c>
    </row>
    <row r="262" spans="2:28" hidden="1" x14ac:dyDescent="0.3">
      <c r="B262">
        <v>20260810</v>
      </c>
      <c r="C262" s="279">
        <f t="shared" si="63"/>
        <v>1E-3</v>
      </c>
      <c r="D262" s="279">
        <f>etf!AU137</f>
        <v>-2E-3</v>
      </c>
      <c r="E262" s="279">
        <v>-6.2033965858190421E-4</v>
      </c>
      <c r="F262" s="279">
        <v>-1E-3</v>
      </c>
      <c r="G262" s="351">
        <v>1.26279403672878E-2</v>
      </c>
      <c r="H262" s="305">
        <f t="shared" si="61"/>
        <v>-7.9189477532730673E-2</v>
      </c>
      <c r="I262" s="279">
        <f t="shared" si="64"/>
        <v>7.5767642203726799E-3</v>
      </c>
      <c r="J262" s="279">
        <v>2.5999999999999999E-2</v>
      </c>
      <c r="K262" s="279">
        <f>etf!AV137</f>
        <v>1.0200000000000001E-2</v>
      </c>
      <c r="L262" s="279">
        <f t="shared" si="65"/>
        <v>1.5799999999999998E-2</v>
      </c>
      <c r="M262" s="351">
        <v>1.2494521943436259E-2</v>
      </c>
      <c r="N262" s="351">
        <v>7.2993926635299324E-3</v>
      </c>
      <c r="O262" s="351">
        <v>1.0238590956244119E-2</v>
      </c>
      <c r="P262">
        <v>36000</v>
      </c>
      <c r="Q262">
        <f t="shared" si="66"/>
        <v>-35463</v>
      </c>
      <c r="T262" s="279">
        <v>0</v>
      </c>
      <c r="U262" s="279">
        <f>etf!AT137</f>
        <v>3.2730729348230098E-2</v>
      </c>
      <c r="V262" s="349"/>
      <c r="W262" s="349"/>
      <c r="X262">
        <v>16</v>
      </c>
      <c r="Y262">
        <v>5</v>
      </c>
      <c r="Z262" s="353">
        <v>17.38</v>
      </c>
      <c r="AA262" s="349">
        <v>0</v>
      </c>
      <c r="AB262" t="s">
        <v>195</v>
      </c>
    </row>
    <row r="263" spans="2:28" hidden="1" x14ac:dyDescent="0.3">
      <c r="B263">
        <v>20260811</v>
      </c>
      <c r="C263" s="279">
        <f t="shared" si="63"/>
        <v>2.5000000000000005E-3</v>
      </c>
      <c r="D263" s="279">
        <f>etf!AU138</f>
        <v>-6.7000000000000002E-3</v>
      </c>
      <c r="E263" s="279">
        <v>-5.4745477228826424E-3</v>
      </c>
      <c r="F263" s="279">
        <v>-4.1999999999999997E-3</v>
      </c>
      <c r="G263" s="351">
        <v>8.6951642111823672E-4</v>
      </c>
      <c r="H263" s="305">
        <f t="shared" si="61"/>
        <v>-4.8302710541091489</v>
      </c>
      <c r="I263" s="279">
        <f t="shared" si="64"/>
        <v>5.2170985267094197E-4</v>
      </c>
      <c r="J263" s="279">
        <v>0.01</v>
      </c>
      <c r="K263" s="279">
        <f>etf!AV138</f>
        <v>4.0000000000000001E-3</v>
      </c>
      <c r="L263" s="279">
        <f t="shared" si="65"/>
        <v>6.0000000000000001E-3</v>
      </c>
      <c r="M263" s="351">
        <v>1.861299627505965E-3</v>
      </c>
      <c r="N263" s="351">
        <v>6.3433727686748919E-3</v>
      </c>
      <c r="O263" s="351">
        <v>3.0007327319729522E-3</v>
      </c>
      <c r="P263">
        <v>-2200</v>
      </c>
      <c r="Q263">
        <f t="shared" si="66"/>
        <v>-37663</v>
      </c>
      <c r="T263" s="279">
        <v>0</v>
      </c>
      <c r="U263" s="279">
        <f>etf!AT138</f>
        <v>-2.6186325962347231E-3</v>
      </c>
      <c r="V263" s="349"/>
      <c r="W263" s="349"/>
      <c r="X263">
        <v>7</v>
      </c>
      <c r="Y263">
        <v>6</v>
      </c>
      <c r="Z263" s="353">
        <v>13.09</v>
      </c>
      <c r="AA263" s="349">
        <v>0</v>
      </c>
      <c r="AB263" t="s">
        <v>196</v>
      </c>
    </row>
    <row r="264" spans="2:28" hidden="1" x14ac:dyDescent="0.3">
      <c r="B264">
        <v>20260812</v>
      </c>
      <c r="C264" s="279">
        <f t="shared" si="63"/>
        <v>3.8999999999999998E-3</v>
      </c>
      <c r="D264" s="279">
        <f>etf!AU139</f>
        <v>-3.3999999999999998E-3</v>
      </c>
      <c r="E264" s="279">
        <v>-6.4158063858162865E-4</v>
      </c>
      <c r="F264" s="279">
        <v>5.0000000000000001E-4</v>
      </c>
      <c r="G264" s="279">
        <v>8.0610626672336459E-3</v>
      </c>
      <c r="H264" s="305">
        <f t="shared" si="61"/>
        <v>6.2026561588757308E-2</v>
      </c>
      <c r="I264" s="279">
        <f t="shared" si="64"/>
        <v>4.8366376003401877E-3</v>
      </c>
      <c r="J264" s="279">
        <v>1.3299999999999999E-2</v>
      </c>
      <c r="K264" s="279">
        <f>etf!AV139</f>
        <v>1.1599999999999999E-2</v>
      </c>
      <c r="L264" s="279">
        <f t="shared" si="65"/>
        <v>1.7000000000000001E-3</v>
      </c>
      <c r="M264" s="351">
        <v>1.048082589131415E-2</v>
      </c>
      <c r="N264" s="351">
        <v>3.0971755665885471E-3</v>
      </c>
      <c r="O264" s="351">
        <v>3.0902163668878259E-3</v>
      </c>
      <c r="P264">
        <v>12000</v>
      </c>
      <c r="Q264">
        <f t="shared" si="66"/>
        <v>-25663</v>
      </c>
      <c r="T264" s="279">
        <v>0</v>
      </c>
      <c r="U264" s="279">
        <f>etf!AT139</f>
        <v>1.139981912625867E-2</v>
      </c>
      <c r="V264" s="349"/>
      <c r="W264" s="349"/>
      <c r="X264">
        <v>10</v>
      </c>
      <c r="Y264">
        <v>1</v>
      </c>
      <c r="Z264" s="353">
        <v>3.51</v>
      </c>
      <c r="AA264" s="349">
        <v>0</v>
      </c>
      <c r="AB264" t="s">
        <v>197</v>
      </c>
    </row>
    <row r="265" spans="2:28" hidden="1" x14ac:dyDescent="0.3">
      <c r="B265">
        <v>20260813</v>
      </c>
      <c r="C265" s="279">
        <f t="shared" si="63"/>
        <v>2.0999999999999994E-3</v>
      </c>
      <c r="D265" s="279">
        <f>etf!AU140</f>
        <v>-1.21E-2</v>
      </c>
      <c r="E265" s="279">
        <v>-1.018084068185557E-2</v>
      </c>
      <c r="F265" s="279">
        <v>-0.01</v>
      </c>
      <c r="G265" s="279">
        <v>-1.381228223847872E-2</v>
      </c>
      <c r="H265" s="305">
        <f t="shared" si="61"/>
        <v>0.72399331459805127</v>
      </c>
      <c r="I265" s="279">
        <f t="shared" si="64"/>
        <v>-8.2873693430872315E-3</v>
      </c>
      <c r="J265" s="279">
        <v>-2.1000000000000001E-2</v>
      </c>
      <c r="K265" s="279">
        <f>etf!AV140</f>
        <v>-8.6E-3</v>
      </c>
      <c r="L265" s="279">
        <f t="shared" si="65"/>
        <v>-1.2400000000000001E-2</v>
      </c>
      <c r="M265" s="279">
        <v>-1.0545780323506469E-2</v>
      </c>
      <c r="N265" s="279">
        <v>-1.2671913060933661E-2</v>
      </c>
      <c r="O265" s="351">
        <v>4.8386313780481357E-3</v>
      </c>
      <c r="P265">
        <v>-18000</v>
      </c>
      <c r="Q265">
        <f t="shared" si="66"/>
        <v>-43663</v>
      </c>
      <c r="T265" s="279">
        <v>0</v>
      </c>
      <c r="U265" s="279">
        <f>etf!AT140</f>
        <v>-1.261229276224032E-2</v>
      </c>
      <c r="V265" s="349"/>
      <c r="W265" s="349"/>
      <c r="X265">
        <v>7</v>
      </c>
      <c r="Y265">
        <v>7</v>
      </c>
      <c r="Z265" s="353">
        <v>12.99</v>
      </c>
      <c r="AA265" s="349">
        <v>0</v>
      </c>
      <c r="AB265" t="s">
        <v>198</v>
      </c>
    </row>
    <row r="266" spans="2:28" hidden="1" x14ac:dyDescent="0.3">
      <c r="B266">
        <v>20260814</v>
      </c>
      <c r="C266" s="279">
        <f t="shared" si="63"/>
        <v>-6.3E-3</v>
      </c>
      <c r="D266" s="279">
        <f>etf!AU141</f>
        <v>-6.9999999999999999E-4</v>
      </c>
      <c r="E266" s="279">
        <v>-3.8106646648561832E-3</v>
      </c>
      <c r="F266" s="279">
        <v>-7.0000000000000001E-3</v>
      </c>
      <c r="G266" s="279">
        <v>2.0600676265853002E-3</v>
      </c>
      <c r="H266" s="305">
        <f t="shared" si="61"/>
        <v>-3.3979467031395316</v>
      </c>
      <c r="I266" s="279">
        <f t="shared" si="64"/>
        <v>1.2360405759511801E-3</v>
      </c>
      <c r="J266" s="279">
        <v>0</v>
      </c>
      <c r="K266" s="279">
        <f>etf!AV141</f>
        <v>8.0000000000000004E-4</v>
      </c>
      <c r="L266" s="279">
        <f t="shared" si="65"/>
        <v>-8.0000000000000004E-4</v>
      </c>
      <c r="M266" s="279">
        <v>2.7874837340920839E-3</v>
      </c>
      <c r="N266" s="279">
        <v>1.86496133150188E-3</v>
      </c>
      <c r="O266" s="279">
        <v>1.212431710467445E-3</v>
      </c>
      <c r="P266">
        <v>-2800</v>
      </c>
      <c r="Q266">
        <f t="shared" si="66"/>
        <v>-46463</v>
      </c>
      <c r="T266" s="279">
        <v>0</v>
      </c>
      <c r="U266" s="279">
        <f>etf!AT141</f>
        <v>3.380895477397782E-3</v>
      </c>
      <c r="V266" s="349"/>
      <c r="W266" s="349"/>
      <c r="X266">
        <v>5</v>
      </c>
      <c r="Y266">
        <v>3</v>
      </c>
      <c r="Z266" s="353">
        <v>9.19</v>
      </c>
      <c r="AA266" s="349">
        <v>1</v>
      </c>
      <c r="AB266" t="s">
        <v>199</v>
      </c>
    </row>
    <row r="267" spans="2:28" hidden="1" x14ac:dyDescent="0.3">
      <c r="B267">
        <v>20260817</v>
      </c>
      <c r="C267" s="279">
        <f t="shared" si="63"/>
        <v>-3.1999999999999997E-3</v>
      </c>
      <c r="D267" s="279">
        <f>etf!AU142</f>
        <v>1.0999999999999999E-2</v>
      </c>
      <c r="E267" s="279">
        <v>6.1947233020356414E-3</v>
      </c>
      <c r="F267" s="279">
        <v>7.7999999999999996E-3</v>
      </c>
      <c r="G267" s="279">
        <v>9.8423022716492576E-3</v>
      </c>
      <c r="H267" s="305">
        <f t="shared" si="61"/>
        <v>0.79249750563624655</v>
      </c>
      <c r="I267" s="279">
        <f t="shared" si="64"/>
        <v>5.9053813629895546E-3</v>
      </c>
      <c r="J267" s="279">
        <v>8.8999999999999999E-3</v>
      </c>
      <c r="K267" s="279">
        <f>etf!AV142</f>
        <v>5.3E-3</v>
      </c>
      <c r="L267" s="279">
        <f t="shared" si="65"/>
        <v>3.5999999999999999E-3</v>
      </c>
      <c r="M267" s="279">
        <v>6.8505409178943452E-3</v>
      </c>
      <c r="N267" s="279">
        <v>4.3802129612274714E-3</v>
      </c>
      <c r="O267" s="279">
        <v>-1.392874530396842E-3</v>
      </c>
      <c r="P267">
        <v>18600</v>
      </c>
      <c r="Q267">
        <f t="shared" si="66"/>
        <v>-27863</v>
      </c>
      <c r="T267" s="279">
        <v>0</v>
      </c>
      <c r="U267" s="279">
        <f>etf!AT142</f>
        <v>2.150354752377168E-2</v>
      </c>
      <c r="V267" s="349"/>
      <c r="W267" s="349"/>
      <c r="X267">
        <v>9</v>
      </c>
      <c r="Y267">
        <v>2</v>
      </c>
      <c r="Z267" s="353">
        <v>25.82</v>
      </c>
      <c r="AA267" s="349">
        <v>3</v>
      </c>
      <c r="AB267" t="s">
        <v>200</v>
      </c>
    </row>
    <row r="268" spans="2:28" hidden="1" x14ac:dyDescent="0.3">
      <c r="B268">
        <v>20260818</v>
      </c>
      <c r="C268" s="279">
        <f t="shared" si="63"/>
        <v>6.8000000000000005E-3</v>
      </c>
      <c r="D268" s="279">
        <f>etf!AU143</f>
        <v>-4.5999999999999999E-3</v>
      </c>
      <c r="E268" s="279">
        <v>1.9738678338161249E-3</v>
      </c>
      <c r="F268" s="279">
        <v>2.2000000000000001E-3</v>
      </c>
      <c r="G268" s="279">
        <v>2.5725447403519559E-3</v>
      </c>
      <c r="H268" s="305">
        <f t="shared" si="61"/>
        <v>0.85518434936879384</v>
      </c>
      <c r="I268" s="279">
        <f t="shared" si="64"/>
        <v>1.5435268442111735E-3</v>
      </c>
      <c r="J268" s="279">
        <v>-7.1999999999999998E-3</v>
      </c>
      <c r="K268" s="279">
        <f>etf!AV143</f>
        <v>-6.8999999999999999E-3</v>
      </c>
      <c r="L268" s="279">
        <f t="shared" si="65"/>
        <v>-2.9999999999999992E-4</v>
      </c>
      <c r="M268" s="279">
        <v>-7.4345347157594374E-3</v>
      </c>
      <c r="N268" s="279">
        <v>-9.0897035095750239E-3</v>
      </c>
      <c r="O268" s="279">
        <v>-1.129471782044002E-3</v>
      </c>
      <c r="P268">
        <v>500</v>
      </c>
      <c r="Q268">
        <f t="shared" si="66"/>
        <v>-27363</v>
      </c>
      <c r="T268" s="279">
        <v>0</v>
      </c>
      <c r="U268" s="279">
        <f>etf!AT143</f>
        <v>-2.3624253785743611E-4</v>
      </c>
      <c r="V268" s="349"/>
      <c r="W268" s="349"/>
      <c r="X268">
        <v>5</v>
      </c>
      <c r="Y268">
        <v>1</v>
      </c>
      <c r="Z268" s="353">
        <v>12.27</v>
      </c>
      <c r="AA268" s="349">
        <v>1</v>
      </c>
      <c r="AB268" t="s">
        <v>201</v>
      </c>
    </row>
    <row r="269" spans="2:28" hidden="1" x14ac:dyDescent="0.3">
      <c r="B269">
        <v>20260819</v>
      </c>
      <c r="C269" s="279">
        <f t="shared" si="63"/>
        <v>1.5299999999999999E-2</v>
      </c>
      <c r="D269" s="279">
        <f>etf!AU144</f>
        <v>-1.5299999999999999E-2</v>
      </c>
      <c r="E269" s="279">
        <v>-1.392301756299918E-3</v>
      </c>
      <c r="F269" s="279">
        <v>0</v>
      </c>
      <c r="G269" s="279">
        <v>-1.5874324294089349E-2</v>
      </c>
      <c r="H269" s="305">
        <f t="shared" si="61"/>
        <v>0</v>
      </c>
      <c r="I269" s="279">
        <f t="shared" si="64"/>
        <v>-9.5245945764536096E-3</v>
      </c>
      <c r="J269" s="279">
        <v>-0.03</v>
      </c>
      <c r="K269" s="279">
        <f>etf!AV144</f>
        <v>-2.4799999999999999E-2</v>
      </c>
      <c r="L269" s="279">
        <f t="shared" si="65"/>
        <v>-5.1999999999999998E-3</v>
      </c>
      <c r="M269" s="279">
        <v>-2.317450198347825E-2</v>
      </c>
      <c r="N269" s="279">
        <v>-2.6600409589969579E-2</v>
      </c>
      <c r="O269" s="279">
        <v>-2.753479174568044E-2</v>
      </c>
      <c r="P269">
        <v>-36300</v>
      </c>
      <c r="Q269">
        <f t="shared" si="66"/>
        <v>-63663</v>
      </c>
      <c r="T269" s="279">
        <v>0</v>
      </c>
      <c r="U269" s="279">
        <f>etf!AT144</f>
        <v>-3.1293833172453232E-2</v>
      </c>
      <c r="V269" s="349"/>
      <c r="W269" s="349"/>
      <c r="X269">
        <v>5</v>
      </c>
      <c r="Y269">
        <v>30</v>
      </c>
      <c r="Z269" s="353">
        <v>79.58</v>
      </c>
      <c r="AA269" s="349">
        <v>4</v>
      </c>
      <c r="AB269" t="s">
        <v>202</v>
      </c>
    </row>
    <row r="270" spans="2:28" hidden="1" x14ac:dyDescent="0.3">
      <c r="B270">
        <v>20260820</v>
      </c>
      <c r="C270" s="279">
        <f t="shared" si="63"/>
        <v>9.6000000000000009E-3</v>
      </c>
      <c r="D270" s="279">
        <f>etf!AU145</f>
        <v>4.0000000000000002E-4</v>
      </c>
      <c r="E270" s="279">
        <v>6.8039410520114429E-3</v>
      </c>
      <c r="F270" s="279">
        <v>0.01</v>
      </c>
      <c r="G270" s="279">
        <v>2.0668591417510099E-2</v>
      </c>
      <c r="H270" s="305">
        <f t="shared" si="61"/>
        <v>0.48382590753272914</v>
      </c>
      <c r="I270" s="279">
        <f t="shared" si="64"/>
        <v>1.2401154850506059E-2</v>
      </c>
      <c r="J270" s="279">
        <v>2.6100000000000002E-2</v>
      </c>
      <c r="K270" s="279">
        <f>etf!AV145</f>
        <v>1.7000000000000001E-2</v>
      </c>
      <c r="L270" s="279">
        <f t="shared" si="65"/>
        <v>9.1000000000000004E-3</v>
      </c>
      <c r="M270" s="279">
        <v>1.7194175875919749E-2</v>
      </c>
      <c r="N270" s="279">
        <v>2.0631791709147269E-2</v>
      </c>
      <c r="O270" s="279">
        <v>1.156182078612712E-2</v>
      </c>
      <c r="P270">
        <v>35500</v>
      </c>
      <c r="Q270">
        <f t="shared" si="66"/>
        <v>-28163</v>
      </c>
      <c r="T270" s="279">
        <v>0</v>
      </c>
      <c r="U270" s="279">
        <f>etf!AT145</f>
        <v>2.3690628644011232E-2</v>
      </c>
      <c r="V270" s="349"/>
      <c r="W270" s="349"/>
      <c r="X270">
        <v>20</v>
      </c>
      <c r="Y270">
        <v>1</v>
      </c>
      <c r="Z270" s="353">
        <v>15.94</v>
      </c>
      <c r="AA270" s="349">
        <v>3</v>
      </c>
      <c r="AB270" t="s">
        <v>203</v>
      </c>
    </row>
    <row r="271" spans="2:28" hidden="1" x14ac:dyDescent="0.3">
      <c r="B271">
        <v>20260821</v>
      </c>
      <c r="C271" s="279">
        <f t="shared" si="63"/>
        <v>2.5000000000000001E-3</v>
      </c>
      <c r="D271" s="279">
        <f>etf!AU146</f>
        <v>-5.0000000000000001E-4</v>
      </c>
      <c r="E271" s="279">
        <v>-7.4162774557604283E-3</v>
      </c>
      <c r="F271" s="279">
        <v>2E-3</v>
      </c>
      <c r="G271" s="279">
        <v>-2.27008034153489E-2</v>
      </c>
      <c r="H271" s="305">
        <f t="shared" si="61"/>
        <v>-8.8102608678938737E-2</v>
      </c>
      <c r="I271" s="279">
        <f t="shared" si="64"/>
        <v>-1.3620482049209339E-2</v>
      </c>
      <c r="J271" s="279">
        <v>4.5999999999999999E-3</v>
      </c>
      <c r="K271" s="279">
        <f>etf!AV146</f>
        <v>1.37E-2</v>
      </c>
      <c r="L271" s="279">
        <f t="shared" si="65"/>
        <v>-9.1000000000000004E-3</v>
      </c>
      <c r="M271" s="279">
        <v>1.3896527435097981E-2</v>
      </c>
      <c r="N271" s="279">
        <v>1.673692673419264E-2</v>
      </c>
      <c r="O271" s="279">
        <v>1.6282530398042599E-2</v>
      </c>
      <c r="P271">
        <v>-12830</v>
      </c>
      <c r="Q271">
        <f t="shared" si="66"/>
        <v>-40993</v>
      </c>
      <c r="T271" s="279">
        <v>0</v>
      </c>
      <c r="U271" s="279">
        <f>etf!AT146</f>
        <v>8.3292298121581437E-4</v>
      </c>
      <c r="V271" s="349"/>
      <c r="W271" s="349"/>
      <c r="X271">
        <v>23</v>
      </c>
      <c r="Y271">
        <v>4</v>
      </c>
      <c r="Z271" s="353">
        <v>24.96</v>
      </c>
      <c r="AA271" s="349">
        <v>2</v>
      </c>
      <c r="AB271" t="s">
        <v>204</v>
      </c>
    </row>
    <row r="272" spans="2:28" hidden="1" x14ac:dyDescent="0.3">
      <c r="B272">
        <v>20260824</v>
      </c>
      <c r="C272" s="279">
        <f t="shared" si="63"/>
        <v>-1.5900000000000001E-2</v>
      </c>
      <c r="D272" s="279">
        <f>etf!AU147</f>
        <v>-4.1000000000000003E-3</v>
      </c>
      <c r="E272" s="279">
        <v>-1.005900806268583E-2</v>
      </c>
      <c r="F272" s="279">
        <v>-0.02</v>
      </c>
      <c r="G272" s="279">
        <v>-1.573407551224152E-2</v>
      </c>
      <c r="H272" s="305">
        <f t="shared" si="61"/>
        <v>1.2711264786062251</v>
      </c>
      <c r="I272" s="279">
        <f t="shared" si="64"/>
        <v>-9.4404453073449121E-3</v>
      </c>
      <c r="J272" s="279">
        <v>3.0000000000000001E-3</v>
      </c>
      <c r="K272" s="279">
        <f>etf!AV147</f>
        <v>-9.7999999999999997E-3</v>
      </c>
      <c r="L272" s="279">
        <f t="shared" si="65"/>
        <v>1.2799999999999999E-2</v>
      </c>
      <c r="M272" s="279">
        <v>-1.063244591254838E-2</v>
      </c>
      <c r="N272" s="279">
        <v>-1.2999478872963981E-2</v>
      </c>
      <c r="O272" s="279">
        <v>-6.3137906569263032E-4</v>
      </c>
      <c r="P272">
        <v>-10500</v>
      </c>
      <c r="Q272">
        <f t="shared" si="66"/>
        <v>-51493</v>
      </c>
      <c r="T272" s="279">
        <v>0</v>
      </c>
      <c r="U272" s="279">
        <f>etf!AT147</f>
        <v>-9.7083152674652777E-3</v>
      </c>
      <c r="V272" s="349"/>
      <c r="W272" s="349"/>
      <c r="X272">
        <v>5</v>
      </c>
      <c r="Y272">
        <v>16</v>
      </c>
      <c r="Z272" s="353">
        <v>31.36</v>
      </c>
      <c r="AA272" s="349">
        <v>4</v>
      </c>
      <c r="AB272" t="s">
        <v>77</v>
      </c>
    </row>
    <row r="273" spans="2:38" hidden="1" x14ac:dyDescent="0.3">
      <c r="B273">
        <v>20260825</v>
      </c>
      <c r="C273" s="279">
        <f t="shared" si="63"/>
        <v>2.2000000000000006E-3</v>
      </c>
      <c r="D273" s="279">
        <f>etf!AU148</f>
        <v>1.03E-2</v>
      </c>
      <c r="E273" s="351">
        <v>1.3915697870624671E-2</v>
      </c>
      <c r="F273" s="279">
        <v>1.2500000000000001E-2</v>
      </c>
      <c r="G273" s="351">
        <v>3.2312085772943769E-2</v>
      </c>
      <c r="H273" s="305">
        <f t="shared" si="61"/>
        <v>0.38685215457266342</v>
      </c>
      <c r="I273" s="279">
        <f t="shared" si="64"/>
        <v>1.9387251463766259E-2</v>
      </c>
      <c r="J273" s="279">
        <v>2.93E-2</v>
      </c>
      <c r="K273" s="279">
        <f>etf!AV148</f>
        <v>1.37E-2</v>
      </c>
      <c r="L273" s="279">
        <f t="shared" si="65"/>
        <v>1.5599999999999999E-2</v>
      </c>
      <c r="M273" s="279">
        <v>1.2750779125918691E-2</v>
      </c>
      <c r="N273" s="279">
        <v>1.8408997766315469E-2</v>
      </c>
      <c r="O273" s="279">
        <v>5.1803618449442453E-3</v>
      </c>
      <c r="P273">
        <v>31900</v>
      </c>
      <c r="Q273">
        <f t="shared" si="66"/>
        <v>-19593</v>
      </c>
      <c r="T273" s="279">
        <v>0</v>
      </c>
      <c r="U273" s="279">
        <f>etf!AT148</f>
        <v>2.984889687018975E-2</v>
      </c>
      <c r="V273" s="349"/>
      <c r="W273" s="349"/>
      <c r="X273">
        <v>16</v>
      </c>
      <c r="Y273">
        <v>3</v>
      </c>
      <c r="Z273" s="353">
        <v>14.84</v>
      </c>
      <c r="AA273" s="349">
        <v>3</v>
      </c>
      <c r="AB273" t="s">
        <v>205</v>
      </c>
    </row>
    <row r="274" spans="2:38" hidden="1" x14ac:dyDescent="0.3">
      <c r="B274">
        <v>20260826</v>
      </c>
      <c r="C274" s="279">
        <f t="shared" si="63"/>
        <v>-2.7000000000000001E-3</v>
      </c>
      <c r="D274" s="279">
        <f>etf!AU149</f>
        <v>2.7000000000000001E-3</v>
      </c>
      <c r="E274" s="351">
        <v>5.7190264852664489E-3</v>
      </c>
      <c r="F274" s="279">
        <v>0</v>
      </c>
      <c r="G274" s="351">
        <v>9.9326604421483781E-3</v>
      </c>
      <c r="H274" s="305">
        <f t="shared" ref="H274:H279" si="67">F274/G274</f>
        <v>0</v>
      </c>
      <c r="I274" s="279">
        <f t="shared" si="64"/>
        <v>5.959596265289027E-3</v>
      </c>
      <c r="J274" s="279">
        <v>2.6599999999999999E-2</v>
      </c>
      <c r="K274" s="279">
        <f>etf!AV149</f>
        <v>8.6E-3</v>
      </c>
      <c r="L274" s="279">
        <f t="shared" si="65"/>
        <v>1.7999999999999999E-2</v>
      </c>
      <c r="M274" s="351">
        <v>9.658420664227136E-3</v>
      </c>
      <c r="N274" s="351">
        <v>1.0123102122108211E-2</v>
      </c>
      <c r="O274" s="351">
        <v>8.8676430355173769E-3</v>
      </c>
      <c r="P274">
        <v>8656</v>
      </c>
      <c r="Q274">
        <f t="shared" si="66"/>
        <v>-10937</v>
      </c>
      <c r="T274" s="279">
        <v>0</v>
      </c>
      <c r="U274" s="279">
        <f>etf!AT149</f>
        <v>3.5447816189510028E-4</v>
      </c>
      <c r="V274" s="349"/>
      <c r="W274" s="349"/>
      <c r="X274">
        <v>14</v>
      </c>
      <c r="Y274">
        <v>7</v>
      </c>
      <c r="Z274" s="353">
        <v>7.28</v>
      </c>
      <c r="AA274" s="349">
        <v>0</v>
      </c>
      <c r="AB274" t="s">
        <v>206</v>
      </c>
    </row>
    <row r="275" spans="2:38" hidden="1" x14ac:dyDescent="0.3">
      <c r="B275">
        <v>20260827</v>
      </c>
      <c r="C275" s="279">
        <f t="shared" si="63"/>
        <v>-4.5000000000000005E-3</v>
      </c>
      <c r="D275" s="279">
        <f>etf!AU150</f>
        <v>8.5000000000000006E-3</v>
      </c>
      <c r="E275" s="351">
        <v>4.9332262242465317E-3</v>
      </c>
      <c r="F275" s="279">
        <v>4.0000000000000001E-3</v>
      </c>
      <c r="G275" s="351">
        <v>3.4589038426849502E-3</v>
      </c>
      <c r="H275" s="305">
        <f t="shared" si="67"/>
        <v>1.1564357327999693</v>
      </c>
      <c r="I275" s="279">
        <f t="shared" si="64"/>
        <v>2.0753423056109701E-3</v>
      </c>
      <c r="J275" s="279">
        <v>6.9999999999999999E-4</v>
      </c>
      <c r="K275" s="279">
        <f>etf!AV150</f>
        <v>2.9999999999999997E-4</v>
      </c>
      <c r="L275" s="279">
        <f t="shared" si="65"/>
        <v>4.0000000000000002E-4</v>
      </c>
      <c r="M275" s="351">
        <v>2.174904134492916E-5</v>
      </c>
      <c r="N275" s="351">
        <v>9.1282841764923168E-4</v>
      </c>
      <c r="O275" s="351">
        <v>-2.25519368492974E-3</v>
      </c>
      <c r="P275">
        <v>1200</v>
      </c>
      <c r="Q275">
        <f t="shared" si="66"/>
        <v>-9737</v>
      </c>
      <c r="T275" s="279">
        <v>0</v>
      </c>
      <c r="U275" s="279">
        <f>etf!AT150</f>
        <v>-8.5130931555359201E-4</v>
      </c>
      <c r="V275" s="349"/>
      <c r="W275" s="349"/>
      <c r="X275">
        <v>9</v>
      </c>
      <c r="Y275">
        <v>2</v>
      </c>
      <c r="Z275" s="353">
        <v>18.64</v>
      </c>
      <c r="AA275" s="349">
        <v>0</v>
      </c>
      <c r="AB275" t="s">
        <v>207</v>
      </c>
    </row>
    <row r="276" spans="2:38" hidden="1" x14ac:dyDescent="0.3">
      <c r="B276">
        <v>20260828</v>
      </c>
      <c r="C276" s="279">
        <f t="shared" si="63"/>
        <v>1.5600000000000001E-2</v>
      </c>
      <c r="D276" s="279">
        <f>etf!AU151</f>
        <v>-1.9E-3</v>
      </c>
      <c r="E276" s="351">
        <v>2.2444763147093879E-3</v>
      </c>
      <c r="F276" s="279">
        <v>1.37E-2</v>
      </c>
      <c r="G276" s="351">
        <v>1.366288522595456E-2</v>
      </c>
      <c r="H276" s="305">
        <f t="shared" si="67"/>
        <v>1.0027164667953834</v>
      </c>
      <c r="I276" s="279">
        <f t="shared" si="64"/>
        <v>8.1977311355727351E-3</v>
      </c>
      <c r="J276" s="279">
        <v>2.58E-2</v>
      </c>
      <c r="K276" s="279">
        <f>etf!AV151</f>
        <v>7.4999999999999997E-3</v>
      </c>
      <c r="L276" s="279">
        <f t="shared" si="65"/>
        <v>1.83E-2</v>
      </c>
      <c r="M276" s="351">
        <v>6.9585358969205448E-3</v>
      </c>
      <c r="N276" s="351">
        <v>7.3301331567345611E-3</v>
      </c>
      <c r="O276" s="351">
        <v>7.4986122265187458E-4</v>
      </c>
      <c r="P276">
        <v>18000</v>
      </c>
      <c r="Q276">
        <f t="shared" si="66"/>
        <v>8263</v>
      </c>
      <c r="T276" s="279">
        <v>0</v>
      </c>
      <c r="U276" s="279">
        <f>etf!AT151</f>
        <v>1.217829588097423E-2</v>
      </c>
      <c r="V276" s="349"/>
      <c r="W276" s="349"/>
      <c r="X276">
        <v>9</v>
      </c>
      <c r="Y276">
        <v>0</v>
      </c>
      <c r="Z276" s="353">
        <v>5.74</v>
      </c>
      <c r="AA276" s="349">
        <v>0</v>
      </c>
      <c r="AB276" t="s">
        <v>208</v>
      </c>
    </row>
    <row r="277" spans="2:38" hidden="1" x14ac:dyDescent="0.3">
      <c r="B277">
        <v>20260831</v>
      </c>
      <c r="C277" s="279">
        <f t="shared" si="63"/>
        <v>-1.03E-2</v>
      </c>
      <c r="D277" s="279">
        <f>etf!AU152</f>
        <v>-6.9999999999999999E-4</v>
      </c>
      <c r="E277" s="351">
        <v>-9.8004531794294546E-3</v>
      </c>
      <c r="F277" s="279">
        <v>-1.0999999999999999E-2</v>
      </c>
      <c r="G277" s="351">
        <v>-1.3623167561179979E-2</v>
      </c>
      <c r="H277" s="305">
        <f t="shared" si="67"/>
        <v>0.807448043973646</v>
      </c>
      <c r="I277" s="279">
        <f t="shared" si="64"/>
        <v>-8.1739005367079866E-3</v>
      </c>
      <c r="J277" s="279">
        <v>1.0999999999999999E-2</v>
      </c>
      <c r="K277" s="279">
        <f>etf!AV152</f>
        <v>4.3E-3</v>
      </c>
      <c r="L277" s="279">
        <f t="shared" si="65"/>
        <v>6.6999999999999994E-3</v>
      </c>
      <c r="M277" s="351">
        <v>4.5105589837495207E-3</v>
      </c>
      <c r="N277" s="351">
        <v>4.7866188968010408E-3</v>
      </c>
      <c r="O277" s="351">
        <v>4.7153522842978517E-3</v>
      </c>
      <c r="P277">
        <v>5100</v>
      </c>
      <c r="Q277">
        <f t="shared" si="66"/>
        <v>13363</v>
      </c>
      <c r="T277" s="279">
        <v>0</v>
      </c>
      <c r="U277" s="279">
        <f>etf!AT152</f>
        <v>1.5983087183982489E-2</v>
      </c>
      <c r="V277" s="349"/>
      <c r="W277" s="349"/>
      <c r="X277">
        <v>17</v>
      </c>
      <c r="Y277">
        <v>6</v>
      </c>
      <c r="Z277" s="353">
        <v>16.100000000000001</v>
      </c>
      <c r="AA277" s="349">
        <v>3</v>
      </c>
      <c r="AB277" t="s">
        <v>209</v>
      </c>
    </row>
    <row r="278" spans="2:38" x14ac:dyDescent="0.3">
      <c r="B278" s="295" t="s">
        <v>210</v>
      </c>
      <c r="C278" s="296">
        <f>SUM(C279:C299)</f>
        <v>3.6048683179088992E-2</v>
      </c>
      <c r="D278" s="296">
        <f>SUM(D279:D299)</f>
        <v>-4.9499999999999988E-2</v>
      </c>
      <c r="E278" s="296">
        <f>SUM(E279:E299)</f>
        <v>-2.6300688515388811E-2</v>
      </c>
      <c r="F278" s="296">
        <f>SUM(F279:F299)</f>
        <v>-1.245131682091102E-2</v>
      </c>
      <c r="G278" s="296">
        <f>SUM(G279:G299)</f>
        <v>-0.11176730062820248</v>
      </c>
      <c r="H278" s="344">
        <f t="shared" si="67"/>
        <v>0.11140393255385783</v>
      </c>
      <c r="I278" s="296">
        <f t="shared" ref="I278:P278" si="68">SUM(I279:I299)</f>
        <v>-6.7060380376921497E-2</v>
      </c>
      <c r="J278" s="296">
        <f t="shared" si="68"/>
        <v>-8.6E-3</v>
      </c>
      <c r="K278" s="296">
        <f t="shared" si="68"/>
        <v>-1.6300000000000002E-2</v>
      </c>
      <c r="L278" s="296">
        <f t="shared" si="68"/>
        <v>7.7000000000000002E-3</v>
      </c>
      <c r="M278" s="296">
        <f t="shared" si="68"/>
        <v>7.6099099198268091E-3</v>
      </c>
      <c r="N278" s="296">
        <f t="shared" si="68"/>
        <v>-2.9276421337661562E-2</v>
      </c>
      <c r="O278" s="296">
        <f t="shared" si="68"/>
        <v>-6.235684035274687E-2</v>
      </c>
      <c r="P278" s="315">
        <f t="shared" si="68"/>
        <v>17616</v>
      </c>
      <c r="Q278">
        <v>12363</v>
      </c>
      <c r="R278" s="296">
        <f>SUM(R279:R299)</f>
        <v>0</v>
      </c>
      <c r="S278" s="315">
        <f>SUM(S279:S299)</f>
        <v>20</v>
      </c>
      <c r="T278" s="296">
        <f>SUM(T279:T299)</f>
        <v>2.0300000000000002E-2</v>
      </c>
      <c r="U278" s="296">
        <f>SUM(U279:U299)</f>
        <v>1.7398714008283418E-2</v>
      </c>
      <c r="V278" s="315"/>
      <c r="W278" s="315"/>
      <c r="AG278" s="9"/>
      <c r="AH278" s="9"/>
      <c r="AI278" s="9"/>
      <c r="AL278" s="9"/>
    </row>
    <row r="279" spans="2:38" x14ac:dyDescent="0.3">
      <c r="B279">
        <v>20260901</v>
      </c>
      <c r="C279" s="279">
        <f>F279-D279</f>
        <v>5.9999999999999984E-4</v>
      </c>
      <c r="D279" s="279">
        <f>etf!AU154</f>
        <v>-4.5999999999999999E-3</v>
      </c>
      <c r="E279" s="279">
        <v>-2.307158503153653E-3</v>
      </c>
      <c r="F279" s="279">
        <v>-4.0000000000000001E-3</v>
      </c>
      <c r="G279" s="351">
        <v>2.342562592377037E-3</v>
      </c>
      <c r="H279" s="305">
        <f t="shared" si="67"/>
        <v>-1.707531748785049</v>
      </c>
      <c r="I279" s="279">
        <f t="shared" ref="I279:I317" si="69">G279*$A$1</f>
        <v>1.4055375554262223E-3</v>
      </c>
      <c r="J279" s="279">
        <v>2.1999999999999999E-2</v>
      </c>
      <c r="K279" s="279">
        <f>etf!AV154</f>
        <v>7.7000000000000002E-3</v>
      </c>
      <c r="L279" s="279">
        <f t="shared" ref="L279:L317" si="70">J279-K279</f>
        <v>1.4299999999999998E-2</v>
      </c>
      <c r="M279" s="351">
        <v>1.076695455478815E-2</v>
      </c>
      <c r="N279" s="351">
        <v>4.4375107925846086E-3</v>
      </c>
      <c r="O279" s="279">
        <v>-2.394360451962538E-3</v>
      </c>
      <c r="P279">
        <v>19600</v>
      </c>
      <c r="Q279">
        <f t="shared" ref="Q279:Q317" si="71">Q278+P279</f>
        <v>31963</v>
      </c>
      <c r="T279" s="279">
        <v>0</v>
      </c>
      <c r="U279" s="279">
        <f>etf!AT154</f>
        <v>1.1344447864383E-2</v>
      </c>
      <c r="V279" s="349"/>
      <c r="W279" s="349"/>
      <c r="X279">
        <v>10</v>
      </c>
      <c r="Y279">
        <v>2</v>
      </c>
      <c r="Z279" s="353">
        <v>16.25</v>
      </c>
      <c r="AA279" s="349">
        <v>0</v>
      </c>
      <c r="AB279" t="s">
        <v>211</v>
      </c>
    </row>
    <row r="280" spans="2:38" x14ac:dyDescent="0.3">
      <c r="B280">
        <v>20260902</v>
      </c>
      <c r="C280" s="279">
        <f>J280-D280</f>
        <v>4.3000000000000009E-3</v>
      </c>
      <c r="D280" s="279">
        <f>etf!AU155</f>
        <v>-8.8000000000000005E-3</v>
      </c>
      <c r="E280" s="279">
        <v>-3.861175108668246E-3</v>
      </c>
      <c r="F280" s="279">
        <v>-3.5000000000000001E-3</v>
      </c>
      <c r="G280" s="279">
        <v>-9.0629762193861936E-3</v>
      </c>
      <c r="H280" s="305">
        <f>J280/G280</f>
        <v>0.49652563253716342</v>
      </c>
      <c r="I280" s="279">
        <f t="shared" si="69"/>
        <v>-5.4377857316317158E-3</v>
      </c>
      <c r="J280" s="279">
        <v>-4.4999999999999997E-3</v>
      </c>
      <c r="K280" s="279">
        <f>etf!AV155</f>
        <v>6.9999999999999999E-4</v>
      </c>
      <c r="L280" s="279">
        <f t="shared" si="70"/>
        <v>-5.1999999999999998E-3</v>
      </c>
      <c r="M280" s="351">
        <v>1.5906634585364959E-4</v>
      </c>
      <c r="N280" s="351">
        <v>2.8099757785438732E-3</v>
      </c>
      <c r="O280" s="351">
        <v>5.8952343327792634E-3</v>
      </c>
      <c r="P280">
        <v>-9437</v>
      </c>
      <c r="Q280">
        <f t="shared" si="71"/>
        <v>22526</v>
      </c>
      <c r="T280" s="279">
        <v>0</v>
      </c>
      <c r="U280" s="279">
        <f>etf!AT155</f>
        <v>-4.8869242016915037E-3</v>
      </c>
      <c r="V280" s="349"/>
      <c r="W280" s="349"/>
      <c r="X280">
        <v>11</v>
      </c>
      <c r="Y280">
        <v>3</v>
      </c>
      <c r="Z280" s="353">
        <v>23.84</v>
      </c>
      <c r="AA280" s="349">
        <v>3</v>
      </c>
      <c r="AB280" t="s">
        <v>212</v>
      </c>
    </row>
    <row r="281" spans="2:38" x14ac:dyDescent="0.3">
      <c r="B281">
        <v>20260903</v>
      </c>
      <c r="C281" s="279">
        <f t="shared" ref="C281:C317" si="72">F281-D281</f>
        <v>5.6336409133418966E-3</v>
      </c>
      <c r="D281" s="279">
        <f>etf!AU156</f>
        <v>-7.1999999999999998E-3</v>
      </c>
      <c r="E281" s="279">
        <v>-1.566359086658103E-3</v>
      </c>
      <c r="F281" s="279">
        <v>-1.566359086658103E-3</v>
      </c>
      <c r="G281" s="279">
        <v>-1.8492322876949269E-2</v>
      </c>
      <c r="H281" s="305">
        <f t="shared" ref="H281:H300" si="73">F281/G281</f>
        <v>8.4703208844064362E-2</v>
      </c>
      <c r="I281" s="279">
        <f t="shared" si="69"/>
        <v>-1.1095393726169561E-2</v>
      </c>
      <c r="J281" s="279">
        <v>-7.1999999999999998E-3</v>
      </c>
      <c r="K281" s="279">
        <f>etf!AV156</f>
        <v>-6.0000000000000001E-3</v>
      </c>
      <c r="L281" s="279">
        <f t="shared" si="70"/>
        <v>-1.1999999999999997E-3</v>
      </c>
      <c r="M281" s="279">
        <v>-6.3557711617654011E-3</v>
      </c>
      <c r="N281" s="279">
        <v>-5.174855437530935E-3</v>
      </c>
      <c r="O281" s="279">
        <v>-5.1004747171178692E-3</v>
      </c>
      <c r="P281">
        <v>-9233</v>
      </c>
      <c r="Q281">
        <f t="shared" si="71"/>
        <v>13293</v>
      </c>
      <c r="T281" s="279">
        <v>0</v>
      </c>
      <c r="U281" s="279">
        <f>etf!AT156</f>
        <v>-1.7193873475984781E-2</v>
      </c>
      <c r="V281" s="349"/>
      <c r="W281" s="349"/>
      <c r="X281">
        <v>4</v>
      </c>
      <c r="Y281">
        <v>3</v>
      </c>
      <c r="Z281" s="353">
        <v>2.58</v>
      </c>
      <c r="AA281" s="349">
        <v>4</v>
      </c>
      <c r="AB281" t="s">
        <v>213</v>
      </c>
    </row>
    <row r="282" spans="2:38" x14ac:dyDescent="0.3">
      <c r="B282">
        <v>20260904</v>
      </c>
      <c r="C282" s="279">
        <f t="shared" si="72"/>
        <v>1.0700000000000001E-2</v>
      </c>
      <c r="D282" s="279">
        <f>etf!AU157</f>
        <v>-4.7000000000000002E-3</v>
      </c>
      <c r="E282" s="351">
        <v>5.9036652031070171E-3</v>
      </c>
      <c r="F282" s="279">
        <v>6.0000000000000001E-3</v>
      </c>
      <c r="G282" s="279">
        <v>-2.2904420282172881E-3</v>
      </c>
      <c r="H282" s="305">
        <f t="shared" si="73"/>
        <v>-2.6195816903822533</v>
      </c>
      <c r="I282" s="279">
        <f t="shared" si="69"/>
        <v>-1.3742652169303727E-3</v>
      </c>
      <c r="J282" s="279">
        <v>7.7000000000000002E-3</v>
      </c>
      <c r="K282" s="279">
        <f>etf!AV157</f>
        <v>8.0000000000000002E-3</v>
      </c>
      <c r="L282" s="279">
        <f t="shared" si="70"/>
        <v>-2.9999999999999992E-4</v>
      </c>
      <c r="M282" s="351">
        <v>7.0205518199937022E-3</v>
      </c>
      <c r="N282" s="351">
        <v>9.9282770175915178E-3</v>
      </c>
      <c r="O282" s="351">
        <v>1.139855426052468E-2</v>
      </c>
      <c r="P282">
        <v>6500</v>
      </c>
      <c r="Q282">
        <f t="shared" si="71"/>
        <v>19793</v>
      </c>
      <c r="T282" s="279">
        <v>0</v>
      </c>
      <c r="U282" s="279">
        <f>etf!AT157</f>
        <v>4.5798403063190534E-3</v>
      </c>
      <c r="V282" s="349"/>
      <c r="W282" s="349"/>
      <c r="X282">
        <v>10</v>
      </c>
      <c r="Y282">
        <v>3</v>
      </c>
      <c r="Z282" s="353">
        <v>20.39</v>
      </c>
      <c r="AA282" s="349">
        <v>2</v>
      </c>
      <c r="AB282" t="s">
        <v>214</v>
      </c>
    </row>
    <row r="283" spans="2:38" x14ac:dyDescent="0.3">
      <c r="B283">
        <v>20260907</v>
      </c>
      <c r="C283" s="279">
        <f t="shared" si="72"/>
        <v>-5.7000000000000002E-3</v>
      </c>
      <c r="D283" s="279">
        <f>etf!AU158</f>
        <v>7.7000000000000002E-3</v>
      </c>
      <c r="E283" s="351">
        <v>1.0353180981083161E-3</v>
      </c>
      <c r="F283" s="279">
        <v>2E-3</v>
      </c>
      <c r="G283" s="351">
        <v>-7.389719425501466E-3</v>
      </c>
      <c r="H283" s="305">
        <f t="shared" si="73"/>
        <v>-0.2706462701544694</v>
      </c>
      <c r="I283" s="279">
        <f t="shared" si="69"/>
        <v>-4.4338316553008796E-3</v>
      </c>
      <c r="J283" s="279">
        <v>8.2000000000000007E-3</v>
      </c>
      <c r="K283" s="279">
        <f>etf!AV158</f>
        <v>7.7000000000000002E-3</v>
      </c>
      <c r="L283" s="279">
        <f t="shared" si="70"/>
        <v>5.0000000000000044E-4</v>
      </c>
      <c r="M283" s="351">
        <v>9.1330199417893609E-3</v>
      </c>
      <c r="N283" s="351">
        <v>4.9479902867775264E-3</v>
      </c>
      <c r="O283" s="279">
        <v>-1.9797072915065579E-4</v>
      </c>
      <c r="P283">
        <v>5400</v>
      </c>
      <c r="Q283">
        <f t="shared" si="71"/>
        <v>25193</v>
      </c>
      <c r="S283" s="391">
        <v>1</v>
      </c>
      <c r="T283" s="279">
        <v>0</v>
      </c>
      <c r="U283" s="279">
        <f>etf!AT158</f>
        <v>7.4700506483386967E-3</v>
      </c>
      <c r="V283" s="349"/>
      <c r="W283" s="349"/>
      <c r="X283">
        <v>8</v>
      </c>
      <c r="Y283">
        <v>3</v>
      </c>
      <c r="Z283" s="353">
        <v>14.34</v>
      </c>
      <c r="AA283" s="349">
        <v>3</v>
      </c>
      <c r="AB283" t="s">
        <v>215</v>
      </c>
    </row>
    <row r="284" spans="2:38" x14ac:dyDescent="0.3">
      <c r="B284">
        <v>20260908</v>
      </c>
      <c r="C284" s="279">
        <f t="shared" si="72"/>
        <v>3.0000000000000001E-3</v>
      </c>
      <c r="D284" s="279">
        <f>etf!AU159</f>
        <v>-2.2000000000000001E-3</v>
      </c>
      <c r="E284" s="351">
        <v>2.3532347969331098E-3</v>
      </c>
      <c r="F284" s="279">
        <v>8.0000000000000004E-4</v>
      </c>
      <c r="G284" s="351">
        <v>1.345475472240994E-3</v>
      </c>
      <c r="H284" s="305">
        <f t="shared" si="73"/>
        <v>0.59458534659687101</v>
      </c>
      <c r="I284" s="279">
        <f t="shared" si="69"/>
        <v>8.0728528334459641E-4</v>
      </c>
      <c r="J284" s="279">
        <v>1.52E-2</v>
      </c>
      <c r="K284" s="279">
        <f>etf!AV159</f>
        <v>6.1999999999999998E-3</v>
      </c>
      <c r="L284" s="279">
        <f t="shared" si="70"/>
        <v>9.0000000000000011E-3</v>
      </c>
      <c r="M284" s="351">
        <v>8.2092072261182574E-3</v>
      </c>
      <c r="N284" s="351">
        <v>4.5609981147280701E-3</v>
      </c>
      <c r="O284" s="351">
        <v>1.536120276869436E-3</v>
      </c>
      <c r="P284">
        <v>15420</v>
      </c>
      <c r="Q284">
        <f t="shared" si="71"/>
        <v>40613</v>
      </c>
      <c r="T284" s="279">
        <v>0</v>
      </c>
      <c r="U284" s="279">
        <f>etf!AT159</f>
        <v>1.3733522335459389E-2</v>
      </c>
      <c r="V284" s="349"/>
      <c r="W284" s="349"/>
      <c r="X284">
        <v>11</v>
      </c>
      <c r="Y284">
        <v>5</v>
      </c>
      <c r="Z284" s="353">
        <v>11.19</v>
      </c>
      <c r="AA284" s="349">
        <v>2</v>
      </c>
      <c r="AB284" t="s">
        <v>216</v>
      </c>
    </row>
    <row r="285" spans="2:38" x14ac:dyDescent="0.3">
      <c r="B285">
        <v>20260909</v>
      </c>
      <c r="C285" s="279">
        <f t="shared" si="72"/>
        <v>4.4999999999999997E-3</v>
      </c>
      <c r="D285" s="279">
        <f>etf!AU160</f>
        <v>-7.4999999999999997E-3</v>
      </c>
      <c r="E285" s="279">
        <v>-7.8378821213293051E-3</v>
      </c>
      <c r="F285" s="279">
        <v>-3.0000000000000001E-3</v>
      </c>
      <c r="G285" s="279">
        <v>-1.457340404461801E-3</v>
      </c>
      <c r="H285" s="305">
        <f t="shared" si="73"/>
        <v>2.0585444490629534</v>
      </c>
      <c r="I285" s="279">
        <f t="shared" si="69"/>
        <v>-8.7440424267708054E-4</v>
      </c>
      <c r="J285" s="279">
        <v>0</v>
      </c>
      <c r="K285" s="279">
        <f>etf!AV160</f>
        <v>-7.4000000000000003E-3</v>
      </c>
      <c r="L285" s="279">
        <f t="shared" si="70"/>
        <v>7.4000000000000003E-3</v>
      </c>
      <c r="M285" s="279">
        <v>-5.9058851959776304E-3</v>
      </c>
      <c r="N285" s="279">
        <v>-6.5283424036253106E-3</v>
      </c>
      <c r="O285" s="351">
        <v>3.620490355245773E-3</v>
      </c>
      <c r="P285">
        <v>-8133</v>
      </c>
      <c r="Q285">
        <f t="shared" si="71"/>
        <v>32480</v>
      </c>
      <c r="S285" s="391">
        <v>1</v>
      </c>
      <c r="T285" s="279">
        <v>0</v>
      </c>
      <c r="U285" s="279">
        <f>etf!AT160</f>
        <v>-6.7783326447250214E-3</v>
      </c>
      <c r="V285" s="349"/>
      <c r="W285" s="349"/>
      <c r="X285">
        <v>9</v>
      </c>
      <c r="Y285">
        <v>6</v>
      </c>
      <c r="Z285" s="353">
        <v>11.69</v>
      </c>
      <c r="AA285" s="349">
        <v>4</v>
      </c>
      <c r="AB285" t="s">
        <v>217</v>
      </c>
    </row>
    <row r="286" spans="2:38" x14ac:dyDescent="0.3">
      <c r="B286">
        <v>20260910</v>
      </c>
      <c r="C286" s="279">
        <f t="shared" si="72"/>
        <v>6.0999999999999995E-3</v>
      </c>
      <c r="D286" s="279">
        <f>etf!AU161</f>
        <v>-7.6E-3</v>
      </c>
      <c r="E286" s="279">
        <v>-6.0411344615447123E-3</v>
      </c>
      <c r="F286" s="279">
        <v>-1.5E-3</v>
      </c>
      <c r="G286" s="279">
        <v>-1.1248961483196601E-2</v>
      </c>
      <c r="H286" s="305">
        <f t="shared" si="73"/>
        <v>0.13334564281695338</v>
      </c>
      <c r="I286" s="279">
        <f t="shared" si="69"/>
        <v>-6.7493768899179601E-3</v>
      </c>
      <c r="J286" s="279">
        <v>-6.0000000000000001E-3</v>
      </c>
      <c r="K286" s="279">
        <f>etf!AV161</f>
        <v>1.6999999999999999E-3</v>
      </c>
      <c r="L286" s="279">
        <f t="shared" si="70"/>
        <v>-7.7000000000000002E-3</v>
      </c>
      <c r="M286" s="351">
        <v>2.4278274326720089E-3</v>
      </c>
      <c r="N286" s="351">
        <v>4.024958584255181E-3</v>
      </c>
      <c r="O286" s="279">
        <v>-4.7921429862975422E-4</v>
      </c>
      <c r="P286">
        <v>-17937</v>
      </c>
      <c r="Q286">
        <f t="shared" si="71"/>
        <v>14543</v>
      </c>
      <c r="S286" s="391">
        <v>0</v>
      </c>
      <c r="T286" s="279">
        <v>0</v>
      </c>
      <c r="U286" s="279">
        <f>etf!AT161</f>
        <v>-1.7908535497949012E-2</v>
      </c>
      <c r="V286" s="349"/>
      <c r="W286" s="349"/>
      <c r="X286">
        <v>17</v>
      </c>
      <c r="Y286">
        <v>2</v>
      </c>
      <c r="Z286" s="353">
        <v>18.21</v>
      </c>
      <c r="AA286" s="349">
        <v>10</v>
      </c>
      <c r="AB286" t="s">
        <v>202</v>
      </c>
    </row>
    <row r="287" spans="2:38" x14ac:dyDescent="0.3">
      <c r="B287">
        <v>20260911</v>
      </c>
      <c r="C287" s="279">
        <f t="shared" si="72"/>
        <v>-3.0000000000000001E-3</v>
      </c>
      <c r="D287" s="279">
        <f>etf!AU162</f>
        <v>-3.7000000000000002E-3</v>
      </c>
      <c r="E287" s="279">
        <v>-6.7000000000000002E-3</v>
      </c>
      <c r="F287" s="279">
        <v>-6.7000000000000002E-3</v>
      </c>
      <c r="G287" s="279">
        <v>-8.659435567311911E-3</v>
      </c>
      <c r="H287" s="305">
        <f t="shared" si="73"/>
        <v>0.77372248432582713</v>
      </c>
      <c r="I287" s="279">
        <f t="shared" si="69"/>
        <v>-5.1956613403871463E-3</v>
      </c>
      <c r="J287" s="279">
        <v>-9.4000000000000004E-3</v>
      </c>
      <c r="K287" s="279">
        <f>etf!AV162</f>
        <v>-6.7000000000000002E-3</v>
      </c>
      <c r="L287" s="279">
        <f t="shared" si="70"/>
        <v>-2.7000000000000001E-3</v>
      </c>
      <c r="M287" s="279">
        <v>-6.365988237718034E-3</v>
      </c>
      <c r="N287" s="279">
        <v>-6.7245531695726106E-3</v>
      </c>
      <c r="O287" s="279">
        <v>-1.0052436095136671E-2</v>
      </c>
      <c r="P287">
        <v>-26364</v>
      </c>
      <c r="Q287">
        <f t="shared" si="71"/>
        <v>-11821</v>
      </c>
      <c r="S287" s="391">
        <v>1</v>
      </c>
      <c r="T287" s="279">
        <v>0</v>
      </c>
      <c r="U287" s="279">
        <f>etf!AT162</f>
        <v>-2.6543806858570919E-2</v>
      </c>
      <c r="V287" s="349"/>
      <c r="W287" s="349"/>
      <c r="X287">
        <v>7</v>
      </c>
      <c r="Y287">
        <v>1</v>
      </c>
      <c r="Z287" s="353">
        <v>29.87</v>
      </c>
      <c r="AA287" s="349">
        <v>17</v>
      </c>
      <c r="AB287" t="s">
        <v>183</v>
      </c>
    </row>
    <row r="288" spans="2:38" x14ac:dyDescent="0.3">
      <c r="B288">
        <v>20260914</v>
      </c>
      <c r="C288" s="279">
        <f t="shared" si="72"/>
        <v>-7.3000000000000001E-3</v>
      </c>
      <c r="D288" s="279">
        <f>etf!AU163</f>
        <v>7.1000000000000004E-3</v>
      </c>
      <c r="E288" s="279">
        <v>-6.0861404867427766E-4</v>
      </c>
      <c r="F288" s="279">
        <v>-2.0000000000000001E-4</v>
      </c>
      <c r="G288" s="279">
        <v>-1.3524555568332659E-2</v>
      </c>
      <c r="H288" s="305">
        <f t="shared" si="73"/>
        <v>1.4787916615041606E-2</v>
      </c>
      <c r="I288" s="279">
        <f t="shared" si="69"/>
        <v>-8.1147333409995956E-3</v>
      </c>
      <c r="J288" s="279">
        <v>-5.0000000000000001E-3</v>
      </c>
      <c r="K288" s="279">
        <f>etf!AV163</f>
        <v>1.2999999999999999E-3</v>
      </c>
      <c r="L288" s="279">
        <f t="shared" si="70"/>
        <v>-6.3E-3</v>
      </c>
      <c r="M288" s="351">
        <v>4.382316150811417E-3</v>
      </c>
      <c r="N288" s="351">
        <v>9.9686268759241933E-6</v>
      </c>
      <c r="O288" s="351">
        <v>4.8219321279317822E-4</v>
      </c>
      <c r="P288">
        <v>6000</v>
      </c>
      <c r="Q288">
        <f t="shared" si="71"/>
        <v>-5821</v>
      </c>
      <c r="S288" s="391">
        <v>3</v>
      </c>
      <c r="T288" s="279">
        <v>0</v>
      </c>
      <c r="U288" s="279">
        <f>etf!AT163</f>
        <v>8.836997757330543E-3</v>
      </c>
      <c r="V288" s="349"/>
      <c r="W288" s="349"/>
      <c r="X288">
        <v>19</v>
      </c>
      <c r="Y288">
        <v>9</v>
      </c>
      <c r="Z288" s="353">
        <v>14.11</v>
      </c>
      <c r="AA288" s="349">
        <v>6</v>
      </c>
      <c r="AB288" t="s">
        <v>218</v>
      </c>
    </row>
    <row r="289" spans="2:38" x14ac:dyDescent="0.3">
      <c r="B289">
        <v>20260915</v>
      </c>
      <c r="C289" s="279">
        <f t="shared" si="72"/>
        <v>1.23E-2</v>
      </c>
      <c r="D289" s="279">
        <f>etf!AU164</f>
        <v>-5.5999999999999999E-3</v>
      </c>
      <c r="E289" s="351">
        <v>4.739857346659842E-4</v>
      </c>
      <c r="F289" s="279">
        <v>6.7000000000000002E-3</v>
      </c>
      <c r="G289" s="279">
        <v>-5.8456167320597387E-4</v>
      </c>
      <c r="H289" s="305">
        <f t="shared" si="73"/>
        <v>-11.461579345861791</v>
      </c>
      <c r="I289" s="279">
        <f t="shared" si="69"/>
        <v>-3.5073700392358433E-4</v>
      </c>
      <c r="J289" s="279">
        <v>-2.5499999999999998E-2</v>
      </c>
      <c r="K289" s="279">
        <f>etf!AV164</f>
        <v>-2.4899999999999999E-2</v>
      </c>
      <c r="L289" s="279">
        <f t="shared" si="70"/>
        <v>-5.9999999999999984E-4</v>
      </c>
      <c r="M289" s="279">
        <v>-2.4333137616605369E-2</v>
      </c>
      <c r="N289" s="279">
        <v>-2.5522706873600771E-2</v>
      </c>
      <c r="O289" s="279">
        <v>-4.0591065168185871E-2</v>
      </c>
      <c r="P289">
        <v>-26000</v>
      </c>
      <c r="Q289">
        <f t="shared" si="71"/>
        <v>-31821</v>
      </c>
      <c r="S289" s="391">
        <v>0</v>
      </c>
      <c r="T289" s="279">
        <v>0</v>
      </c>
      <c r="U289" s="279">
        <f>etf!AT164</f>
        <v>-3.2639569589189142E-2</v>
      </c>
      <c r="V289" s="349"/>
      <c r="W289" s="349"/>
      <c r="X289">
        <v>4</v>
      </c>
      <c r="Y289">
        <v>34</v>
      </c>
      <c r="Z289" s="353">
        <v>6.82</v>
      </c>
      <c r="AA289" s="349">
        <v>3</v>
      </c>
      <c r="AB289" t="s">
        <v>219</v>
      </c>
    </row>
    <row r="290" spans="2:38" x14ac:dyDescent="0.3">
      <c r="B290">
        <v>20260916</v>
      </c>
      <c r="C290" s="279">
        <f t="shared" si="72"/>
        <v>-1.18E-2</v>
      </c>
      <c r="D290" s="279">
        <f>etf!AU165</f>
        <v>8.6999999999999994E-3</v>
      </c>
      <c r="E290" s="279">
        <v>-8.4234119625880329E-4</v>
      </c>
      <c r="F290" s="279">
        <v>-3.0999999999999999E-3</v>
      </c>
      <c r="G290" s="279">
        <v>-3.5432446993944569E-4</v>
      </c>
      <c r="H290" s="305">
        <f t="shared" si="73"/>
        <v>8.7490429338108999</v>
      </c>
      <c r="I290" s="279">
        <f t="shared" si="69"/>
        <v>-2.125946819636674E-4</v>
      </c>
      <c r="J290" s="279">
        <v>6.0000000000000001E-3</v>
      </c>
      <c r="K290" s="279">
        <f>etf!AV165</f>
        <v>5.1999999999999998E-3</v>
      </c>
      <c r="L290" s="279">
        <f t="shared" si="70"/>
        <v>8.0000000000000036E-4</v>
      </c>
      <c r="M290" s="351">
        <v>4.7677286098856556E-3</v>
      </c>
      <c r="N290" s="351">
        <v>5.0316247559085044E-3</v>
      </c>
      <c r="O290" s="351">
        <v>9.7649874056878593E-3</v>
      </c>
      <c r="P290">
        <v>8500</v>
      </c>
      <c r="Q290">
        <f t="shared" si="71"/>
        <v>-23321</v>
      </c>
      <c r="S290" s="391">
        <v>0</v>
      </c>
      <c r="T290" s="279">
        <v>0</v>
      </c>
      <c r="U290" s="279">
        <f>etf!AT165</f>
        <v>1.7220069757053019E-2</v>
      </c>
      <c r="V290" s="349"/>
      <c r="W290" s="349"/>
      <c r="X290">
        <v>6</v>
      </c>
      <c r="Y290">
        <v>2</v>
      </c>
      <c r="Z290" s="353">
        <v>13.85</v>
      </c>
      <c r="AA290" s="349">
        <v>14</v>
      </c>
      <c r="AB290" t="s">
        <v>220</v>
      </c>
    </row>
    <row r="291" spans="2:38" x14ac:dyDescent="0.3">
      <c r="B291">
        <v>20260917</v>
      </c>
      <c r="C291" s="279">
        <f t="shared" si="72"/>
        <v>-6.3E-3</v>
      </c>
      <c r="D291" s="279">
        <f>etf!AU166</f>
        <v>-5.0000000000000001E-4</v>
      </c>
      <c r="E291" s="279">
        <v>-9.2308045296104566E-3</v>
      </c>
      <c r="F291" s="279">
        <v>-6.7999999999999996E-3</v>
      </c>
      <c r="G291" s="279">
        <v>-1.485885217809582E-2</v>
      </c>
      <c r="H291" s="305">
        <f t="shared" si="73"/>
        <v>0.45763965604451068</v>
      </c>
      <c r="I291" s="279">
        <f t="shared" si="69"/>
        <v>-8.9153113068574912E-3</v>
      </c>
      <c r="J291" s="279">
        <v>-1E-3</v>
      </c>
      <c r="K291" s="279">
        <f>etf!AV166</f>
        <v>2.3E-3</v>
      </c>
      <c r="L291" s="279">
        <f t="shared" si="70"/>
        <v>-3.3E-3</v>
      </c>
      <c r="M291" s="351">
        <v>2.2275602208460502E-3</v>
      </c>
      <c r="N291" s="351">
        <v>2.4205018609647338E-3</v>
      </c>
      <c r="O291" s="351">
        <v>4.9137553856666103E-3</v>
      </c>
      <c r="P291">
        <v>1500</v>
      </c>
      <c r="Q291">
        <f t="shared" si="71"/>
        <v>-21821</v>
      </c>
      <c r="S291" s="391">
        <v>1</v>
      </c>
      <c r="T291" s="279">
        <v>0</v>
      </c>
      <c r="U291" s="279">
        <f>etf!AT166</f>
        <v>1.129260146019922E-2</v>
      </c>
      <c r="V291" s="349"/>
      <c r="W291" s="349"/>
      <c r="X291">
        <v>9</v>
      </c>
      <c r="Y291">
        <v>6</v>
      </c>
      <c r="Z291" s="353">
        <v>5.4</v>
      </c>
      <c r="AA291" s="349">
        <v>3</v>
      </c>
      <c r="AB291" t="s">
        <v>221</v>
      </c>
    </row>
    <row r="292" spans="2:38" x14ac:dyDescent="0.3">
      <c r="B292">
        <v>20260918</v>
      </c>
      <c r="C292" s="279">
        <f t="shared" si="72"/>
        <v>-7.6849577342529155E-3</v>
      </c>
      <c r="D292" s="279">
        <f>etf!AU167</f>
        <v>8.6E-3</v>
      </c>
      <c r="E292" s="351">
        <v>9.1504226574708419E-4</v>
      </c>
      <c r="F292" s="351">
        <v>9.1504226574708419E-4</v>
      </c>
      <c r="G292" s="351">
        <v>3.760353846643371E-3</v>
      </c>
      <c r="H292" s="305">
        <f t="shared" si="73"/>
        <v>0.24333940449883043</v>
      </c>
      <c r="I292" s="279">
        <f t="shared" si="69"/>
        <v>2.2562123079860226E-3</v>
      </c>
      <c r="J292" s="279">
        <v>7.0000000000000001E-3</v>
      </c>
      <c r="K292" s="279">
        <f>etf!AV167</f>
        <v>6.3E-3</v>
      </c>
      <c r="L292" s="279">
        <f t="shared" si="70"/>
        <v>7.000000000000001E-4</v>
      </c>
      <c r="M292" s="351">
        <v>6.8054174618072429E-3</v>
      </c>
      <c r="N292" s="351">
        <v>5.9634461674154867E-3</v>
      </c>
      <c r="O292" s="351">
        <v>-5.8385270083727622E-3</v>
      </c>
      <c r="P292">
        <v>12600</v>
      </c>
      <c r="Q292">
        <f t="shared" si="71"/>
        <v>-9221</v>
      </c>
      <c r="S292" s="391">
        <v>0</v>
      </c>
      <c r="T292" s="279">
        <v>0</v>
      </c>
      <c r="U292" s="279">
        <f>etf!AT167</f>
        <v>6.3111269595178968E-3</v>
      </c>
      <c r="V292" s="349"/>
      <c r="W292" s="349"/>
      <c r="X292">
        <v>7</v>
      </c>
      <c r="Y292">
        <v>5</v>
      </c>
      <c r="Z292" s="353">
        <v>18.89</v>
      </c>
      <c r="AA292" s="349">
        <v>0</v>
      </c>
      <c r="AB292" t="s">
        <v>222</v>
      </c>
    </row>
    <row r="293" spans="2:38" x14ac:dyDescent="0.3">
      <c r="B293">
        <v>20260921</v>
      </c>
      <c r="C293" s="279">
        <f t="shared" si="72"/>
        <v>6.0999999999999995E-3</v>
      </c>
      <c r="D293" s="279">
        <f>etf!AU168</f>
        <v>3.2000000000000002E-3</v>
      </c>
      <c r="E293" s="351">
        <v>2.6083954936399552E-3</v>
      </c>
      <c r="F293" s="279">
        <v>9.2999999999999992E-3</v>
      </c>
      <c r="G293" s="279">
        <v>1.7424860617862289E-2</v>
      </c>
      <c r="H293" s="305">
        <f t="shared" si="73"/>
        <v>0.53372019460899067</v>
      </c>
      <c r="I293" s="279">
        <f t="shared" si="69"/>
        <v>1.0454916370717373E-2</v>
      </c>
      <c r="J293" s="279">
        <v>1.4999999999999999E-2</v>
      </c>
      <c r="K293" s="279">
        <f>etf!AV168</f>
        <v>1.21E-2</v>
      </c>
      <c r="L293" s="279">
        <f t="shared" si="70"/>
        <v>2.8999999999999998E-3</v>
      </c>
      <c r="M293" s="351">
        <v>1.471060626159577E-2</v>
      </c>
      <c r="N293" s="351">
        <v>7.1414417759625842E-3</v>
      </c>
      <c r="O293" s="351">
        <v>1.532081754137115E-3</v>
      </c>
      <c r="P293">
        <v>30000</v>
      </c>
      <c r="Q293">
        <f t="shared" si="71"/>
        <v>20779</v>
      </c>
      <c r="S293" s="391">
        <v>5</v>
      </c>
      <c r="T293" s="279">
        <v>0.03</v>
      </c>
      <c r="U293" s="279">
        <f>etf!AT168</f>
        <v>3.1282707088880403E-2</v>
      </c>
      <c r="V293" s="349"/>
      <c r="W293" s="349"/>
      <c r="X293">
        <v>12</v>
      </c>
      <c r="Y293">
        <v>4</v>
      </c>
      <c r="Z293" s="353">
        <v>19.46</v>
      </c>
      <c r="AA293" s="349">
        <v>0</v>
      </c>
      <c r="AB293" t="s">
        <v>223</v>
      </c>
    </row>
    <row r="294" spans="2:38" x14ac:dyDescent="0.3">
      <c r="B294">
        <v>20260922</v>
      </c>
      <c r="C294" s="279">
        <f t="shared" si="72"/>
        <v>-7.000000000000001E-4</v>
      </c>
      <c r="D294" s="279">
        <f>etf!AU169</f>
        <v>-4.4999999999999997E-3</v>
      </c>
      <c r="E294" s="351">
        <v>1.66685012199318E-3</v>
      </c>
      <c r="F294" s="279">
        <v>-5.1999999999999998E-3</v>
      </c>
      <c r="G294" s="351">
        <v>1.263633226729528E-2</v>
      </c>
      <c r="H294" s="305">
        <f t="shared" si="73"/>
        <v>-0.4115118129220437</v>
      </c>
      <c r="I294" s="279">
        <f t="shared" si="69"/>
        <v>7.5817993603771675E-3</v>
      </c>
      <c r="J294" s="279">
        <v>-1E-3</v>
      </c>
      <c r="K294" s="279">
        <f>etf!AV169</f>
        <v>-3.0000000000000001E-3</v>
      </c>
      <c r="L294" s="279">
        <f t="shared" si="70"/>
        <v>2E-3</v>
      </c>
      <c r="M294" s="279">
        <v>-2.6075308594361701E-3</v>
      </c>
      <c r="N294" s="279">
        <v>-2.0989382265475609E-3</v>
      </c>
      <c r="O294" s="279">
        <v>-1.235594281481954E-2</v>
      </c>
      <c r="P294">
        <v>3400</v>
      </c>
      <c r="Q294">
        <f t="shared" si="71"/>
        <v>24179</v>
      </c>
      <c r="S294" s="391">
        <v>2</v>
      </c>
      <c r="T294" s="279">
        <v>8.8000000000000005E-3</v>
      </c>
      <c r="U294" s="279">
        <f>etf!AT169</f>
        <v>9.2888123536465014E-3</v>
      </c>
      <c r="V294" s="349"/>
      <c r="W294" s="349"/>
      <c r="X294">
        <v>9</v>
      </c>
      <c r="Y294">
        <v>7</v>
      </c>
      <c r="Z294" s="353">
        <v>1.36</v>
      </c>
      <c r="AA294" s="349">
        <v>1</v>
      </c>
      <c r="AB294" t="s">
        <v>224</v>
      </c>
    </row>
    <row r="295" spans="2:38" x14ac:dyDescent="0.3">
      <c r="B295">
        <v>20260923</v>
      </c>
      <c r="C295" s="279">
        <f t="shared" si="72"/>
        <v>-2E-3</v>
      </c>
      <c r="D295" s="279">
        <f>etf!AU170</f>
        <v>-4.7000000000000002E-3</v>
      </c>
      <c r="E295" s="279">
        <v>-3.2898957276976731E-3</v>
      </c>
      <c r="F295" s="279">
        <v>-6.7000000000000002E-3</v>
      </c>
      <c r="G295" s="279">
        <v>-2.068548103216878E-2</v>
      </c>
      <c r="H295" s="305">
        <f t="shared" si="73"/>
        <v>0.32389867992823446</v>
      </c>
      <c r="I295" s="279">
        <f t="shared" si="69"/>
        <v>-1.2411288619301268E-2</v>
      </c>
      <c r="J295" s="279">
        <v>-8.0000000000000002E-3</v>
      </c>
      <c r="K295" s="279">
        <f>etf!AV170</f>
        <v>-9.7999999999999997E-3</v>
      </c>
      <c r="L295" s="279">
        <f t="shared" si="70"/>
        <v>1.7999999999999995E-3</v>
      </c>
      <c r="M295" s="279">
        <v>-6.0241758805054781E-3</v>
      </c>
      <c r="N295" s="279">
        <v>-1.222906541064555E-2</v>
      </c>
      <c r="O295" s="279">
        <v>-1.497955960540821E-2</v>
      </c>
      <c r="P295">
        <v>-7300</v>
      </c>
      <c r="Q295">
        <f t="shared" si="71"/>
        <v>16879</v>
      </c>
      <c r="S295" s="391">
        <v>0</v>
      </c>
      <c r="T295" s="279">
        <v>-5.0000000000000001E-3</v>
      </c>
      <c r="U295" s="279">
        <f>etf!AT170</f>
        <v>-3.9561380534317734E-3</v>
      </c>
      <c r="V295" s="349"/>
      <c r="W295" s="349"/>
      <c r="X295">
        <v>5</v>
      </c>
      <c r="Y295">
        <v>7</v>
      </c>
      <c r="Z295" s="353">
        <v>6.97</v>
      </c>
      <c r="AA295" s="349">
        <v>1</v>
      </c>
      <c r="AB295" t="s">
        <v>225</v>
      </c>
    </row>
    <row r="296" spans="2:38" x14ac:dyDescent="0.3">
      <c r="B296">
        <v>20260924</v>
      </c>
      <c r="C296" s="279">
        <f t="shared" si="72"/>
        <v>2.3800000000000002E-2</v>
      </c>
      <c r="D296" s="279">
        <f>etf!AU171</f>
        <v>-1.4800000000000001E-2</v>
      </c>
      <c r="E296" s="279">
        <v>3.3815898550619739E-3</v>
      </c>
      <c r="F296" s="279">
        <v>8.9999999999999993E-3</v>
      </c>
      <c r="G296" s="279">
        <v>-5.6438635739236706E-3</v>
      </c>
      <c r="H296" s="305">
        <f t="shared" si="73"/>
        <v>-1.5946522948539503</v>
      </c>
      <c r="I296" s="279">
        <f t="shared" si="69"/>
        <v>-3.3863181443542023E-3</v>
      </c>
      <c r="J296" s="279">
        <v>-5.0000000000000001E-3</v>
      </c>
      <c r="K296" s="279">
        <f>etf!AV171</f>
        <v>-6.1999999999999998E-3</v>
      </c>
      <c r="L296" s="279">
        <f t="shared" si="70"/>
        <v>1.1999999999999997E-3</v>
      </c>
      <c r="M296" s="279">
        <v>-4.5307098230572031E-3</v>
      </c>
      <c r="N296" s="279">
        <v>-8.6120389125021232E-3</v>
      </c>
      <c r="O296" s="279">
        <v>-6.1657265218850229E-3</v>
      </c>
      <c r="P296">
        <v>-9000</v>
      </c>
      <c r="Q296">
        <f t="shared" si="71"/>
        <v>7879</v>
      </c>
      <c r="S296" s="391">
        <v>1</v>
      </c>
      <c r="T296" s="279">
        <v>0</v>
      </c>
      <c r="U296" s="279">
        <f>etf!AT171</f>
        <v>-9.9960657700790705E-4</v>
      </c>
      <c r="V296" s="349"/>
      <c r="W296" s="349"/>
      <c r="X296">
        <v>4</v>
      </c>
      <c r="Y296">
        <v>4</v>
      </c>
      <c r="Z296" s="353">
        <v>28.41</v>
      </c>
      <c r="AA296" s="349">
        <v>2</v>
      </c>
    </row>
    <row r="297" spans="2:38" x14ac:dyDescent="0.3">
      <c r="B297">
        <v>20260928</v>
      </c>
      <c r="C297" s="279">
        <f t="shared" si="72"/>
        <v>1.52E-2</v>
      </c>
      <c r="D297" s="279">
        <f>etf!AU172</f>
        <v>-5.7000000000000002E-3</v>
      </c>
      <c r="E297" s="279">
        <v>1.1833509544150319E-3</v>
      </c>
      <c r="F297" s="279">
        <v>9.4999999999999998E-3</v>
      </c>
      <c r="G297" s="279">
        <v>-2.2788468212427609E-2</v>
      </c>
      <c r="H297" s="305">
        <f t="shared" si="73"/>
        <v>-0.4168775150415423</v>
      </c>
      <c r="I297" s="279">
        <f t="shared" si="69"/>
        <v>-1.3673080927456565E-2</v>
      </c>
      <c r="J297" s="279">
        <v>-1.43E-2</v>
      </c>
      <c r="K297" s="279">
        <f>etf!AV172</f>
        <v>-1.9199999999999998E-2</v>
      </c>
      <c r="L297" s="279">
        <f t="shared" si="70"/>
        <v>4.8999999999999981E-3</v>
      </c>
      <c r="M297" s="279">
        <v>-1.6332961987875049E-2</v>
      </c>
      <c r="N297" s="279">
        <v>-2.2010776579073538E-2</v>
      </c>
      <c r="O297" s="279">
        <v>-2.5518125271133521E-2</v>
      </c>
      <c r="P297">
        <v>-10000</v>
      </c>
      <c r="Q297">
        <f t="shared" si="71"/>
        <v>-2121</v>
      </c>
      <c r="S297" s="391">
        <v>1</v>
      </c>
      <c r="T297" s="279">
        <v>-9.4999999999999998E-3</v>
      </c>
      <c r="U297" s="279">
        <f>etf!AT172</f>
        <v>-6.3280697572398268E-3</v>
      </c>
      <c r="V297" s="349"/>
      <c r="W297" s="349"/>
      <c r="X297">
        <v>5</v>
      </c>
      <c r="Y297">
        <v>22</v>
      </c>
      <c r="Z297" s="353">
        <v>40.840000000000003</v>
      </c>
      <c r="AA297" s="349">
        <v>11</v>
      </c>
    </row>
    <row r="298" spans="2:38" x14ac:dyDescent="0.3">
      <c r="B298">
        <v>20260929</v>
      </c>
      <c r="C298" s="279">
        <f t="shared" si="72"/>
        <v>1.3000000000000001E-2</v>
      </c>
      <c r="D298" s="279">
        <f>etf!AU173</f>
        <v>1.2999999999999999E-3</v>
      </c>
      <c r="E298" s="279">
        <v>3.688112512246195E-3</v>
      </c>
      <c r="F298" s="279">
        <v>1.43E-2</v>
      </c>
      <c r="G298" s="279">
        <v>4.3339804869046124E-3</v>
      </c>
      <c r="H298" s="305">
        <f t="shared" si="73"/>
        <v>3.2995072412550832</v>
      </c>
      <c r="I298" s="279">
        <f t="shared" si="69"/>
        <v>2.6003882921427674E-3</v>
      </c>
      <c r="J298" s="279">
        <v>3.5000000000000001E-3</v>
      </c>
      <c r="K298" s="279">
        <f>etf!AV173</f>
        <v>5.1999999999999998E-3</v>
      </c>
      <c r="L298" s="279">
        <f t="shared" si="70"/>
        <v>-1.6999999999999997E-3</v>
      </c>
      <c r="M298" s="351">
        <v>5.5625219833052974E-3</v>
      </c>
      <c r="N298" s="351">
        <v>6.2474179923085998E-3</v>
      </c>
      <c r="O298" s="351">
        <v>1.474477157732771E-2</v>
      </c>
      <c r="P298">
        <v>6400</v>
      </c>
      <c r="Q298">
        <f t="shared" si="71"/>
        <v>4279</v>
      </c>
      <c r="S298" s="391">
        <v>0</v>
      </c>
      <c r="T298" s="279">
        <v>0</v>
      </c>
      <c r="U298" s="279">
        <f>etf!AT173</f>
        <v>1.6676598301005079E-2</v>
      </c>
      <c r="V298" s="349">
        <v>15</v>
      </c>
      <c r="W298" s="349">
        <v>11</v>
      </c>
      <c r="X298">
        <v>6</v>
      </c>
      <c r="Y298">
        <v>5</v>
      </c>
      <c r="Z298" s="353">
        <v>5.91</v>
      </c>
      <c r="AA298" s="349">
        <v>6</v>
      </c>
      <c r="AB298" t="s">
        <v>226</v>
      </c>
    </row>
    <row r="299" spans="2:38" x14ac:dyDescent="0.3">
      <c r="B299">
        <v>20260930</v>
      </c>
      <c r="C299" s="279">
        <f t="shared" si="72"/>
        <v>-2.47E-2</v>
      </c>
      <c r="D299" s="279">
        <f>etf!AU174</f>
        <v>-4.0000000000000001E-3</v>
      </c>
      <c r="E299" s="279">
        <v>-7.2248687677114254E-3</v>
      </c>
      <c r="F299" s="279">
        <v>-2.87E-2</v>
      </c>
      <c r="G299" s="279">
        <v>-1.6569561198407589E-2</v>
      </c>
      <c r="H299" s="305">
        <f t="shared" si="73"/>
        <v>1.7320917347381657</v>
      </c>
      <c r="I299" s="279">
        <f t="shared" si="69"/>
        <v>-9.9417367190445527E-3</v>
      </c>
      <c r="J299" s="279">
        <v>-6.3E-3</v>
      </c>
      <c r="K299" s="279">
        <f>etf!AV174</f>
        <v>2.5000000000000001E-3</v>
      </c>
      <c r="L299" s="279">
        <f t="shared" si="70"/>
        <v>-8.8000000000000005E-3</v>
      </c>
      <c r="M299" s="351">
        <v>3.8932926733005789E-3</v>
      </c>
      <c r="N299" s="351">
        <v>2.1007439215202229E-3</v>
      </c>
      <c r="O299" s="351">
        <v>7.4283737680239234E-3</v>
      </c>
      <c r="P299">
        <v>25700</v>
      </c>
      <c r="Q299">
        <f t="shared" si="71"/>
        <v>29979</v>
      </c>
      <c r="S299" s="391">
        <v>4</v>
      </c>
      <c r="T299" s="279">
        <v>-4.0000000000000001E-3</v>
      </c>
      <c r="U299" s="279">
        <f>etf!AT174</f>
        <v>-3.4032041680594951E-3</v>
      </c>
      <c r="V299" s="393">
        <v>0</v>
      </c>
      <c r="W299" s="393">
        <v>4</v>
      </c>
      <c r="X299" s="349">
        <v>6</v>
      </c>
      <c r="Y299" s="349">
        <v>9</v>
      </c>
      <c r="Z299" s="353">
        <v>17.309999999999999</v>
      </c>
      <c r="AA299" s="349">
        <v>3</v>
      </c>
      <c r="AB299" t="s">
        <v>227</v>
      </c>
    </row>
    <row r="300" spans="2:38" x14ac:dyDescent="0.3">
      <c r="B300" s="295" t="s">
        <v>14154</v>
      </c>
      <c r="C300" s="296">
        <f>SUM(C301:C317)</f>
        <v>0</v>
      </c>
      <c r="D300" s="296">
        <f t="shared" ref="D300:I300" si="74">SUM(D301:D317)</f>
        <v>0</v>
      </c>
      <c r="E300" s="296">
        <f t="shared" si="74"/>
        <v>0</v>
      </c>
      <c r="F300" s="296">
        <f t="shared" si="74"/>
        <v>0</v>
      </c>
      <c r="G300" s="296">
        <f t="shared" si="74"/>
        <v>0</v>
      </c>
      <c r="H300" s="344" t="e">
        <f t="shared" si="73"/>
        <v>#DIV/0!</v>
      </c>
      <c r="I300" s="296">
        <f t="shared" si="74"/>
        <v>0</v>
      </c>
      <c r="J300" s="296">
        <f t="shared" ref="J300" si="75">SUM(J301:J317)</f>
        <v>0</v>
      </c>
      <c r="K300" s="296">
        <f t="shared" ref="K300" si="76">SUM(K301:K317)</f>
        <v>0</v>
      </c>
      <c r="L300" s="296">
        <f t="shared" ref="L300" si="77">SUM(L301:L317)</f>
        <v>0</v>
      </c>
      <c r="M300" s="296">
        <f t="shared" ref="M300" si="78">SUM(M301:M317)</f>
        <v>0</v>
      </c>
      <c r="N300" s="296">
        <f t="shared" ref="N300" si="79">SUM(N301:N317)</f>
        <v>0</v>
      </c>
      <c r="O300" s="296">
        <f t="shared" ref="O300" si="80">SUM(O301:O317)</f>
        <v>0</v>
      </c>
      <c r="P300" s="315">
        <f>SUM(P301:P317)</f>
        <v>0</v>
      </c>
      <c r="Q300">
        <v>29979</v>
      </c>
      <c r="R300" s="296">
        <f>SUM(R301:R321)</f>
        <v>0</v>
      </c>
      <c r="S300" s="315">
        <f>SUM(S301:S317)</f>
        <v>0</v>
      </c>
      <c r="T300" s="296">
        <f t="shared" ref="T300:U300" si="81">SUM(T301:T317)</f>
        <v>0</v>
      </c>
      <c r="U300" s="296">
        <f t="shared" si="81"/>
        <v>0</v>
      </c>
      <c r="V300" s="315"/>
      <c r="W300" s="315"/>
      <c r="AG300" s="9"/>
      <c r="AH300" s="9"/>
      <c r="AI300" s="9"/>
      <c r="AL300" s="9"/>
    </row>
    <row r="301" spans="2:38" x14ac:dyDescent="0.3">
      <c r="B301" s="350">
        <v>20261008</v>
      </c>
      <c r="C301" s="279">
        <f t="shared" si="72"/>
        <v>0</v>
      </c>
      <c r="D301" s="279">
        <f>etf!AU176</f>
        <v>0</v>
      </c>
      <c r="I301" s="279">
        <f t="shared" si="69"/>
        <v>0</v>
      </c>
      <c r="K301" s="279">
        <f>etf!AV176</f>
        <v>0</v>
      </c>
      <c r="L301" s="279">
        <f t="shared" si="70"/>
        <v>0</v>
      </c>
      <c r="P301" s="461">
        <v>0</v>
      </c>
      <c r="Q301">
        <f t="shared" si="71"/>
        <v>29979</v>
      </c>
      <c r="S301" s="391">
        <v>0</v>
      </c>
      <c r="U301" s="279">
        <f>etf!AT176</f>
        <v>0</v>
      </c>
      <c r="V301" s="393">
        <v>0</v>
      </c>
      <c r="W301" s="393">
        <v>0</v>
      </c>
      <c r="X301" s="350">
        <v>0</v>
      </c>
      <c r="Y301" s="350">
        <v>0</v>
      </c>
      <c r="AA301" s="349">
        <v>0</v>
      </c>
    </row>
    <row r="302" spans="2:38" x14ac:dyDescent="0.3">
      <c r="B302" s="350">
        <v>20261009</v>
      </c>
      <c r="C302" s="279">
        <f t="shared" si="72"/>
        <v>0</v>
      </c>
      <c r="D302" s="279">
        <f>etf!AU177</f>
        <v>0</v>
      </c>
      <c r="I302" s="279">
        <f t="shared" si="69"/>
        <v>0</v>
      </c>
      <c r="K302" s="279">
        <f>etf!AV177</f>
        <v>0</v>
      </c>
      <c r="L302" s="279">
        <f t="shared" si="70"/>
        <v>0</v>
      </c>
      <c r="P302" s="461">
        <v>0</v>
      </c>
      <c r="Q302">
        <f t="shared" si="71"/>
        <v>29979</v>
      </c>
      <c r="S302" s="391">
        <v>0</v>
      </c>
      <c r="U302" s="279">
        <f>etf!AT177</f>
        <v>0</v>
      </c>
      <c r="V302" s="393">
        <v>0</v>
      </c>
      <c r="W302" s="393">
        <v>0</v>
      </c>
      <c r="X302" s="350">
        <v>0</v>
      </c>
      <c r="Y302" s="350">
        <v>0</v>
      </c>
      <c r="AA302" s="349">
        <v>0</v>
      </c>
    </row>
    <row r="303" spans="2:38" x14ac:dyDescent="0.3">
      <c r="B303" s="350">
        <v>20261012</v>
      </c>
      <c r="C303" s="279">
        <f t="shared" si="72"/>
        <v>0</v>
      </c>
      <c r="D303" s="279">
        <f>etf!AU178</f>
        <v>0</v>
      </c>
      <c r="I303" s="279">
        <f t="shared" si="69"/>
        <v>0</v>
      </c>
      <c r="K303" s="279">
        <f>etf!AV178</f>
        <v>0</v>
      </c>
      <c r="L303" s="279">
        <f t="shared" si="70"/>
        <v>0</v>
      </c>
      <c r="P303" s="461">
        <v>0</v>
      </c>
      <c r="Q303">
        <f t="shared" si="71"/>
        <v>29979</v>
      </c>
      <c r="S303" s="391">
        <v>0</v>
      </c>
      <c r="U303" s="279">
        <f>etf!AT178</f>
        <v>0</v>
      </c>
      <c r="V303" s="393">
        <v>0</v>
      </c>
      <c r="W303" s="393">
        <v>0</v>
      </c>
      <c r="X303" s="350">
        <v>0</v>
      </c>
      <c r="Y303" s="350">
        <v>0</v>
      </c>
      <c r="AA303" s="349">
        <v>0</v>
      </c>
    </row>
    <row r="304" spans="2:38" x14ac:dyDescent="0.3">
      <c r="B304" s="350">
        <v>20261013</v>
      </c>
      <c r="C304" s="279">
        <f t="shared" si="72"/>
        <v>0</v>
      </c>
      <c r="D304" s="279">
        <f>etf!AU179</f>
        <v>0</v>
      </c>
      <c r="I304" s="279">
        <f t="shared" si="69"/>
        <v>0</v>
      </c>
      <c r="K304" s="279">
        <f>etf!AV179</f>
        <v>0</v>
      </c>
      <c r="L304" s="279">
        <f t="shared" si="70"/>
        <v>0</v>
      </c>
      <c r="P304" s="461">
        <v>0</v>
      </c>
      <c r="Q304">
        <f t="shared" si="71"/>
        <v>29979</v>
      </c>
      <c r="S304" s="391">
        <v>0</v>
      </c>
      <c r="U304" s="279">
        <f>etf!AT179</f>
        <v>0</v>
      </c>
      <c r="V304" s="393">
        <v>0</v>
      </c>
      <c r="W304" s="393">
        <v>0</v>
      </c>
      <c r="X304" s="350">
        <v>0</v>
      </c>
      <c r="Y304" s="350">
        <v>0</v>
      </c>
      <c r="AA304" s="349">
        <v>0</v>
      </c>
    </row>
    <row r="305" spans="2:27" x14ac:dyDescent="0.3">
      <c r="B305" s="350">
        <v>20261014</v>
      </c>
      <c r="C305" s="279">
        <f t="shared" si="72"/>
        <v>0</v>
      </c>
      <c r="D305" s="279">
        <f>etf!AU180</f>
        <v>0</v>
      </c>
      <c r="I305" s="279">
        <f t="shared" si="69"/>
        <v>0</v>
      </c>
      <c r="K305" s="279">
        <f>etf!AV180</f>
        <v>0</v>
      </c>
      <c r="L305" s="279">
        <f t="shared" si="70"/>
        <v>0</v>
      </c>
      <c r="P305" s="461">
        <v>0</v>
      </c>
      <c r="Q305">
        <f t="shared" si="71"/>
        <v>29979</v>
      </c>
      <c r="S305" s="391">
        <v>0</v>
      </c>
      <c r="U305" s="279">
        <f>etf!AT180</f>
        <v>0</v>
      </c>
      <c r="V305" s="393">
        <v>0</v>
      </c>
      <c r="W305" s="393">
        <v>0</v>
      </c>
      <c r="X305" s="350">
        <v>0</v>
      </c>
      <c r="Y305" s="350">
        <v>0</v>
      </c>
      <c r="AA305" s="349">
        <v>0</v>
      </c>
    </row>
    <row r="306" spans="2:27" x14ac:dyDescent="0.3">
      <c r="B306" s="350">
        <v>20261015</v>
      </c>
      <c r="C306" s="279">
        <f t="shared" si="72"/>
        <v>0</v>
      </c>
      <c r="D306" s="279">
        <f>etf!AU181</f>
        <v>0</v>
      </c>
      <c r="I306" s="279">
        <f t="shared" si="69"/>
        <v>0</v>
      </c>
      <c r="K306" s="279">
        <f>etf!AV181</f>
        <v>0</v>
      </c>
      <c r="L306" s="279">
        <f t="shared" si="70"/>
        <v>0</v>
      </c>
      <c r="P306" s="461">
        <v>0</v>
      </c>
      <c r="Q306">
        <f t="shared" si="71"/>
        <v>29979</v>
      </c>
      <c r="S306" s="391">
        <v>0</v>
      </c>
      <c r="U306" s="279">
        <f>etf!AT181</f>
        <v>0</v>
      </c>
      <c r="V306" s="393">
        <v>0</v>
      </c>
      <c r="W306" s="393">
        <v>0</v>
      </c>
      <c r="X306" s="350">
        <v>0</v>
      </c>
      <c r="Y306" s="350">
        <v>0</v>
      </c>
      <c r="AA306" s="349">
        <v>0</v>
      </c>
    </row>
    <row r="307" spans="2:27" x14ac:dyDescent="0.3">
      <c r="B307" s="350">
        <v>20261016</v>
      </c>
      <c r="C307" s="279">
        <f t="shared" si="72"/>
        <v>0</v>
      </c>
      <c r="D307" s="279">
        <f>etf!AU182</f>
        <v>0</v>
      </c>
      <c r="I307" s="279">
        <f t="shared" si="69"/>
        <v>0</v>
      </c>
      <c r="K307" s="279">
        <f>etf!AV182</f>
        <v>0</v>
      </c>
      <c r="L307" s="279">
        <f t="shared" si="70"/>
        <v>0</v>
      </c>
      <c r="P307" s="461">
        <v>0</v>
      </c>
      <c r="Q307">
        <f t="shared" si="71"/>
        <v>29979</v>
      </c>
      <c r="S307" s="391">
        <v>0</v>
      </c>
      <c r="U307" s="279">
        <f>etf!AT182</f>
        <v>0</v>
      </c>
      <c r="V307" s="393">
        <v>0</v>
      </c>
      <c r="W307" s="393">
        <v>0</v>
      </c>
      <c r="X307" s="350">
        <v>0</v>
      </c>
      <c r="Y307" s="350">
        <v>0</v>
      </c>
      <c r="AA307" s="349">
        <v>0</v>
      </c>
    </row>
    <row r="308" spans="2:27" x14ac:dyDescent="0.3">
      <c r="B308" s="350">
        <v>20261019</v>
      </c>
      <c r="C308" s="279">
        <f t="shared" si="72"/>
        <v>0</v>
      </c>
      <c r="D308" s="279">
        <f>etf!AU183</f>
        <v>0</v>
      </c>
      <c r="I308" s="279">
        <f t="shared" si="69"/>
        <v>0</v>
      </c>
      <c r="K308" s="279">
        <f>etf!AV183</f>
        <v>0</v>
      </c>
      <c r="L308" s="279">
        <f t="shared" si="70"/>
        <v>0</v>
      </c>
      <c r="P308" s="461">
        <v>0</v>
      </c>
      <c r="Q308">
        <f t="shared" si="71"/>
        <v>29979</v>
      </c>
      <c r="S308" s="391">
        <v>0</v>
      </c>
      <c r="U308" s="279">
        <f>etf!AT183</f>
        <v>0</v>
      </c>
      <c r="V308" s="393">
        <v>0</v>
      </c>
      <c r="W308" s="393">
        <v>0</v>
      </c>
      <c r="X308" s="350">
        <v>0</v>
      </c>
      <c r="Y308" s="350">
        <v>0</v>
      </c>
      <c r="AA308" s="349">
        <v>0</v>
      </c>
    </row>
    <row r="309" spans="2:27" x14ac:dyDescent="0.3">
      <c r="B309" s="350">
        <v>20261020</v>
      </c>
      <c r="C309" s="279">
        <f t="shared" si="72"/>
        <v>0</v>
      </c>
      <c r="D309" s="279">
        <f>etf!AU184</f>
        <v>0</v>
      </c>
      <c r="I309" s="279">
        <f t="shared" si="69"/>
        <v>0</v>
      </c>
      <c r="K309" s="279">
        <f>etf!AV184</f>
        <v>0</v>
      </c>
      <c r="L309" s="279">
        <f t="shared" si="70"/>
        <v>0</v>
      </c>
      <c r="P309" s="461">
        <v>0</v>
      </c>
      <c r="Q309">
        <f t="shared" si="71"/>
        <v>29979</v>
      </c>
      <c r="S309" s="391">
        <v>0</v>
      </c>
      <c r="U309" s="279">
        <f>etf!AT184</f>
        <v>0</v>
      </c>
      <c r="V309" s="393">
        <v>0</v>
      </c>
      <c r="W309" s="393">
        <v>0</v>
      </c>
      <c r="X309" s="350">
        <v>0</v>
      </c>
      <c r="Y309" s="350">
        <v>0</v>
      </c>
      <c r="AA309" s="349">
        <v>0</v>
      </c>
    </row>
    <row r="310" spans="2:27" x14ac:dyDescent="0.3">
      <c r="B310" s="350">
        <v>20261021</v>
      </c>
      <c r="C310" s="279">
        <f t="shared" si="72"/>
        <v>0</v>
      </c>
      <c r="D310" s="279">
        <f>etf!AU185</f>
        <v>0</v>
      </c>
      <c r="I310" s="279">
        <f t="shared" si="69"/>
        <v>0</v>
      </c>
      <c r="K310" s="279">
        <f>etf!AV185</f>
        <v>0</v>
      </c>
      <c r="L310" s="279">
        <f t="shared" si="70"/>
        <v>0</v>
      </c>
      <c r="P310" s="461">
        <v>0</v>
      </c>
      <c r="Q310">
        <f t="shared" si="71"/>
        <v>29979</v>
      </c>
      <c r="S310" s="391">
        <v>0</v>
      </c>
      <c r="U310" s="279">
        <f>etf!AT185</f>
        <v>0</v>
      </c>
      <c r="V310" s="393">
        <v>0</v>
      </c>
      <c r="W310" s="393">
        <v>0</v>
      </c>
      <c r="X310" s="350">
        <v>0</v>
      </c>
      <c r="Y310" s="350">
        <v>0</v>
      </c>
      <c r="AA310" s="349">
        <v>0</v>
      </c>
    </row>
    <row r="311" spans="2:27" x14ac:dyDescent="0.3">
      <c r="B311" s="350">
        <v>20261022</v>
      </c>
      <c r="C311" s="279">
        <f t="shared" si="72"/>
        <v>0</v>
      </c>
      <c r="D311" s="279">
        <f>etf!AU186</f>
        <v>0</v>
      </c>
      <c r="I311" s="279">
        <f t="shared" si="69"/>
        <v>0</v>
      </c>
      <c r="K311" s="279">
        <f>etf!AV186</f>
        <v>0</v>
      </c>
      <c r="L311" s="279">
        <f t="shared" si="70"/>
        <v>0</v>
      </c>
      <c r="P311" s="461">
        <v>0</v>
      </c>
      <c r="Q311">
        <f t="shared" si="71"/>
        <v>29979</v>
      </c>
      <c r="S311" s="391">
        <v>0</v>
      </c>
      <c r="U311" s="279">
        <f>etf!AT186</f>
        <v>0</v>
      </c>
      <c r="V311" s="393">
        <v>0</v>
      </c>
      <c r="W311" s="393">
        <v>0</v>
      </c>
      <c r="X311" s="350">
        <v>0</v>
      </c>
      <c r="Y311" s="350">
        <v>0</v>
      </c>
      <c r="AA311" s="349">
        <v>0</v>
      </c>
    </row>
    <row r="312" spans="2:27" x14ac:dyDescent="0.3">
      <c r="B312" s="350">
        <v>20261023</v>
      </c>
      <c r="C312" s="279">
        <f t="shared" si="72"/>
        <v>0</v>
      </c>
      <c r="D312" s="279">
        <f>etf!AU187</f>
        <v>0</v>
      </c>
      <c r="I312" s="279">
        <f t="shared" si="69"/>
        <v>0</v>
      </c>
      <c r="K312" s="279">
        <f>etf!AV187</f>
        <v>0</v>
      </c>
      <c r="L312" s="279">
        <f t="shared" si="70"/>
        <v>0</v>
      </c>
      <c r="P312" s="461">
        <v>0</v>
      </c>
      <c r="Q312">
        <f t="shared" si="71"/>
        <v>29979</v>
      </c>
      <c r="S312" s="391">
        <v>0</v>
      </c>
      <c r="U312" s="279">
        <f>etf!AT187</f>
        <v>0</v>
      </c>
      <c r="V312" s="393">
        <v>0</v>
      </c>
      <c r="W312" s="393">
        <v>0</v>
      </c>
      <c r="X312" s="350">
        <v>0</v>
      </c>
      <c r="Y312" s="350">
        <v>0</v>
      </c>
      <c r="AA312" s="349">
        <v>0</v>
      </c>
    </row>
    <row r="313" spans="2:27" x14ac:dyDescent="0.3">
      <c r="B313" s="350">
        <v>20261026</v>
      </c>
      <c r="C313" s="279">
        <f t="shared" si="72"/>
        <v>0</v>
      </c>
      <c r="D313" s="279">
        <f>etf!AU188</f>
        <v>0</v>
      </c>
      <c r="I313" s="279">
        <f t="shared" si="69"/>
        <v>0</v>
      </c>
      <c r="K313" s="279">
        <f>etf!AV188</f>
        <v>0</v>
      </c>
      <c r="L313" s="279">
        <f t="shared" si="70"/>
        <v>0</v>
      </c>
      <c r="P313" s="461">
        <v>0</v>
      </c>
      <c r="Q313">
        <f t="shared" si="71"/>
        <v>29979</v>
      </c>
      <c r="S313" s="391">
        <v>0</v>
      </c>
      <c r="U313" s="279">
        <f>etf!AT188</f>
        <v>0</v>
      </c>
      <c r="V313" s="393">
        <v>0</v>
      </c>
      <c r="W313" s="393">
        <v>0</v>
      </c>
      <c r="X313" s="350">
        <v>0</v>
      </c>
      <c r="Y313" s="350">
        <v>0</v>
      </c>
      <c r="AA313" s="349">
        <v>0</v>
      </c>
    </row>
    <row r="314" spans="2:27" x14ac:dyDescent="0.3">
      <c r="B314" s="350">
        <v>20261027</v>
      </c>
      <c r="C314" s="279">
        <f t="shared" si="72"/>
        <v>0</v>
      </c>
      <c r="D314" s="279">
        <f>etf!AU189</f>
        <v>0</v>
      </c>
      <c r="I314" s="279">
        <f t="shared" si="69"/>
        <v>0</v>
      </c>
      <c r="K314" s="279">
        <f>etf!AV189</f>
        <v>0</v>
      </c>
      <c r="L314" s="279">
        <f t="shared" si="70"/>
        <v>0</v>
      </c>
      <c r="P314" s="461">
        <v>0</v>
      </c>
      <c r="Q314">
        <f t="shared" si="71"/>
        <v>29979</v>
      </c>
      <c r="S314" s="391">
        <v>0</v>
      </c>
      <c r="U314" s="279">
        <f>etf!AT189</f>
        <v>0</v>
      </c>
      <c r="V314" s="393">
        <v>0</v>
      </c>
      <c r="W314" s="393">
        <v>0</v>
      </c>
      <c r="X314" s="350">
        <v>0</v>
      </c>
      <c r="Y314" s="350">
        <v>0</v>
      </c>
      <c r="AA314" s="349">
        <v>0</v>
      </c>
    </row>
    <row r="315" spans="2:27" x14ac:dyDescent="0.3">
      <c r="B315" s="350">
        <v>20261028</v>
      </c>
      <c r="C315" s="279">
        <f t="shared" si="72"/>
        <v>0</v>
      </c>
      <c r="D315" s="279">
        <f>etf!AU190</f>
        <v>0</v>
      </c>
      <c r="I315" s="279">
        <f t="shared" si="69"/>
        <v>0</v>
      </c>
      <c r="K315" s="279">
        <f>etf!AV190</f>
        <v>0</v>
      </c>
      <c r="L315" s="279">
        <f t="shared" si="70"/>
        <v>0</v>
      </c>
      <c r="P315" s="461">
        <v>0</v>
      </c>
      <c r="Q315">
        <f t="shared" si="71"/>
        <v>29979</v>
      </c>
      <c r="S315" s="391">
        <v>0</v>
      </c>
      <c r="U315" s="279">
        <f>etf!AT190</f>
        <v>0</v>
      </c>
      <c r="V315" s="393">
        <v>0</v>
      </c>
      <c r="W315" s="393">
        <v>0</v>
      </c>
      <c r="X315" s="350">
        <v>0</v>
      </c>
      <c r="Y315" s="350">
        <v>0</v>
      </c>
      <c r="AA315" s="349">
        <v>0</v>
      </c>
    </row>
    <row r="316" spans="2:27" x14ac:dyDescent="0.3">
      <c r="B316" s="350">
        <v>20261029</v>
      </c>
      <c r="C316" s="279">
        <f t="shared" si="72"/>
        <v>0</v>
      </c>
      <c r="D316" s="279">
        <f>etf!AU191</f>
        <v>0</v>
      </c>
      <c r="I316" s="279">
        <f t="shared" si="69"/>
        <v>0</v>
      </c>
      <c r="K316" s="279">
        <f>etf!AV191</f>
        <v>0</v>
      </c>
      <c r="L316" s="279">
        <f t="shared" si="70"/>
        <v>0</v>
      </c>
      <c r="P316" s="461">
        <v>0</v>
      </c>
      <c r="Q316">
        <f t="shared" si="71"/>
        <v>29979</v>
      </c>
      <c r="S316" s="391">
        <v>0</v>
      </c>
      <c r="U316" s="279">
        <f>etf!AT191</f>
        <v>0</v>
      </c>
      <c r="V316" s="393">
        <v>0</v>
      </c>
      <c r="W316" s="393">
        <v>0</v>
      </c>
      <c r="X316" s="350">
        <v>0</v>
      </c>
      <c r="Y316" s="350">
        <v>0</v>
      </c>
      <c r="AA316" s="349">
        <v>0</v>
      </c>
    </row>
    <row r="317" spans="2:27" x14ac:dyDescent="0.3">
      <c r="B317" s="350">
        <v>20261030</v>
      </c>
      <c r="C317" s="279">
        <f t="shared" si="72"/>
        <v>0</v>
      </c>
      <c r="D317" s="279">
        <f>etf!AU192</f>
        <v>0</v>
      </c>
      <c r="I317" s="279">
        <f t="shared" si="69"/>
        <v>0</v>
      </c>
      <c r="K317" s="279">
        <f>etf!AV192</f>
        <v>0</v>
      </c>
      <c r="L317" s="279">
        <f t="shared" si="70"/>
        <v>0</v>
      </c>
      <c r="P317" s="461">
        <v>0</v>
      </c>
      <c r="Q317">
        <f t="shared" si="71"/>
        <v>29979</v>
      </c>
      <c r="S317" s="391">
        <v>0</v>
      </c>
      <c r="U317" s="279">
        <f>etf!AT192</f>
        <v>0</v>
      </c>
      <c r="V317" s="393">
        <v>0</v>
      </c>
      <c r="W317" s="393">
        <v>0</v>
      </c>
      <c r="X317" s="350">
        <v>0</v>
      </c>
      <c r="Y317" s="350">
        <v>0</v>
      </c>
      <c r="AA317" s="349">
        <v>0</v>
      </c>
    </row>
  </sheetData>
  <autoFilter ref="B1:J48" xr:uid="{00000000-0009-0000-0000-00000C000000}"/>
  <phoneticPr fontId="16" type="noConversion"/>
  <conditionalFormatting sqref="C92:C93 R95:W95 I211:I231 P211:Q231 T211:W231 C216:D231 K226:L226 K229:L229 J230:O230 K231:L231 P233:Q255 P257:Q277 T279:W298 C279:D299 I279:I299 P279:Q299 K296:L298 T299:U299 X299:Y299 P301:Q1048576">
    <cfRule type="cellIs" dxfId="363" priority="431" operator="lessThan">
      <formula>0</formula>
    </cfRule>
  </conditionalFormatting>
  <conditionalFormatting sqref="C95:C97">
    <cfRule type="cellIs" dxfId="362" priority="415" operator="lessThan">
      <formula>0</formula>
    </cfRule>
  </conditionalFormatting>
  <conditionalFormatting sqref="C99:C109">
    <cfRule type="cellIs" dxfId="361" priority="406" operator="lessThan">
      <formula>0</formula>
    </cfRule>
  </conditionalFormatting>
  <conditionalFormatting sqref="C111:C130">
    <cfRule type="cellIs" dxfId="360" priority="382" operator="lessThan">
      <formula>0</formula>
    </cfRule>
  </conditionalFormatting>
  <conditionalFormatting sqref="C133:C145">
    <cfRule type="cellIs" dxfId="359" priority="336" operator="lessThan">
      <formula>0</formula>
    </cfRule>
  </conditionalFormatting>
  <conditionalFormatting sqref="C151:C154 C156:C168">
    <cfRule type="cellIs" dxfId="358" priority="295" operator="lessThan">
      <formula>0</formula>
    </cfRule>
  </conditionalFormatting>
  <conditionalFormatting sqref="C170:C190">
    <cfRule type="cellIs" dxfId="357" priority="232" operator="lessThan">
      <formula>0</formula>
    </cfRule>
  </conditionalFormatting>
  <conditionalFormatting sqref="C192:D192 C193:G193 C194:D209">
    <cfRule type="cellIs" dxfId="356" priority="176" operator="lessThan">
      <formula>0</formula>
    </cfRule>
  </conditionalFormatting>
  <conditionalFormatting sqref="C211:D214 C215:G215">
    <cfRule type="cellIs" dxfId="355" priority="136" operator="lessThan">
      <formula>0</formula>
    </cfRule>
  </conditionalFormatting>
  <conditionalFormatting sqref="C233:D255">
    <cfRule type="cellIs" dxfId="354" priority="105" operator="lessThan">
      <formula>0</formula>
    </cfRule>
  </conditionalFormatting>
  <conditionalFormatting sqref="C257:D277">
    <cfRule type="cellIs" dxfId="353" priority="69" operator="lessThan">
      <formula>0</formula>
    </cfRule>
  </conditionalFormatting>
  <conditionalFormatting sqref="C66:E85">
    <cfRule type="cellIs" dxfId="352" priority="439" operator="lessThan">
      <formula>0</formula>
    </cfRule>
  </conditionalFormatting>
  <conditionalFormatting sqref="C94:G94">
    <cfRule type="cellIs" dxfId="351" priority="426" operator="lessThan">
      <formula>0</formula>
    </cfRule>
  </conditionalFormatting>
  <conditionalFormatting sqref="C98:G98">
    <cfRule type="cellIs" dxfId="350" priority="408" operator="lessThan">
      <formula>0</formula>
    </cfRule>
  </conditionalFormatting>
  <conditionalFormatting sqref="C132:G132">
    <cfRule type="cellIs" dxfId="349" priority="340" operator="lessThan">
      <formula>0</formula>
    </cfRule>
  </conditionalFormatting>
  <conditionalFormatting sqref="C147:G150">
    <cfRule type="cellIs" dxfId="348" priority="303" operator="lessThan">
      <formula>0</formula>
    </cfRule>
  </conditionalFormatting>
  <conditionalFormatting sqref="C155:G155">
    <cfRule type="cellIs" dxfId="347" priority="275" operator="lessThan">
      <formula>0</formula>
    </cfRule>
  </conditionalFormatting>
  <conditionalFormatting sqref="C25:L46">
    <cfRule type="cellIs" dxfId="346" priority="51" operator="lessThan">
      <formula>0</formula>
    </cfRule>
  </conditionalFormatting>
  <conditionalFormatting sqref="C48:L64">
    <cfRule type="cellIs" dxfId="345" priority="52" operator="lessThan">
      <formula>0</formula>
    </cfRule>
  </conditionalFormatting>
  <conditionalFormatting sqref="C87:O91">
    <cfRule type="cellIs" dxfId="344" priority="432" operator="lessThan">
      <formula>0</formula>
    </cfRule>
  </conditionalFormatting>
  <conditionalFormatting sqref="D145">
    <cfRule type="cellIs" dxfId="343" priority="312" operator="lessThan">
      <formula>0</formula>
    </cfRule>
  </conditionalFormatting>
  <conditionalFormatting sqref="D190">
    <cfRule type="cellIs" dxfId="342" priority="181" operator="lessThan">
      <formula>0</formula>
    </cfRule>
  </conditionalFormatting>
  <conditionalFormatting sqref="D176:E177">
    <cfRule type="cellIs" dxfId="341" priority="211" operator="lessThan">
      <formula>0</formula>
    </cfRule>
  </conditionalFormatting>
  <conditionalFormatting sqref="D122:F122">
    <cfRule type="cellIs" dxfId="340" priority="364" operator="lessThan">
      <formula>0</formula>
    </cfRule>
  </conditionalFormatting>
  <conditionalFormatting sqref="D93:G93">
    <cfRule type="cellIs" dxfId="339" priority="430" operator="lessThan">
      <formula>0</formula>
    </cfRule>
  </conditionalFormatting>
  <conditionalFormatting sqref="D95:G95">
    <cfRule type="cellIs" dxfId="338" priority="417" operator="lessThan">
      <formula>0</formula>
    </cfRule>
  </conditionalFormatting>
  <conditionalFormatting sqref="D97:G97">
    <cfRule type="cellIs" dxfId="337" priority="411" operator="lessThan">
      <formula>0</formula>
    </cfRule>
  </conditionalFormatting>
  <conditionalFormatting sqref="D103:G103">
    <cfRule type="cellIs" dxfId="336" priority="401" operator="lessThan">
      <formula>0</formula>
    </cfRule>
  </conditionalFormatting>
  <conditionalFormatting sqref="D106:G108">
    <cfRule type="cellIs" dxfId="335" priority="388" operator="lessThan">
      <formula>0</formula>
    </cfRule>
  </conditionalFormatting>
  <conditionalFormatting sqref="D117:G118">
    <cfRule type="cellIs" dxfId="334" priority="373" operator="lessThan">
      <formula>0</formula>
    </cfRule>
  </conditionalFormatting>
  <conditionalFormatting sqref="D126:G126">
    <cfRule type="cellIs" dxfId="333" priority="358" operator="lessThan">
      <formula>0</formula>
    </cfRule>
  </conditionalFormatting>
  <conditionalFormatting sqref="D129:G130">
    <cfRule type="cellIs" dxfId="332" priority="345" operator="lessThan">
      <formula>0</formula>
    </cfRule>
  </conditionalFormatting>
  <conditionalFormatting sqref="D134:G135">
    <cfRule type="cellIs" dxfId="331" priority="333" operator="lessThan">
      <formula>0</formula>
    </cfRule>
  </conditionalFormatting>
  <conditionalFormatting sqref="D138:G138">
    <cfRule type="cellIs" dxfId="330" priority="328" operator="lessThan">
      <formula>0</formula>
    </cfRule>
  </conditionalFormatting>
  <conditionalFormatting sqref="D140:G141">
    <cfRule type="cellIs" dxfId="329" priority="317" operator="lessThan">
      <formula>0</formula>
    </cfRule>
  </conditionalFormatting>
  <conditionalFormatting sqref="D156:G158">
    <cfRule type="cellIs" dxfId="328" priority="267" operator="lessThan">
      <formula>0</formula>
    </cfRule>
  </conditionalFormatting>
  <conditionalFormatting sqref="D160:G162">
    <cfRule type="cellIs" dxfId="327" priority="252" operator="lessThan">
      <formula>0</formula>
    </cfRule>
  </conditionalFormatting>
  <conditionalFormatting sqref="D165:G165">
    <cfRule type="cellIs" dxfId="326" priority="248" operator="lessThan">
      <formula>0</formula>
    </cfRule>
  </conditionalFormatting>
  <conditionalFormatting sqref="D167:G168">
    <cfRule type="cellIs" dxfId="325" priority="238" operator="lessThan">
      <formula>0</formula>
    </cfRule>
  </conditionalFormatting>
  <conditionalFormatting sqref="D171:G171">
    <cfRule type="cellIs" dxfId="324" priority="231" operator="lessThan">
      <formula>0</formula>
    </cfRule>
  </conditionalFormatting>
  <conditionalFormatting sqref="D175:G175">
    <cfRule type="cellIs" dxfId="323" priority="218" operator="lessThan">
      <formula>0</formula>
    </cfRule>
  </conditionalFormatting>
  <conditionalFormatting sqref="D183:G186">
    <cfRule type="cellIs" dxfId="322" priority="197" operator="lessThan">
      <formula>0</formula>
    </cfRule>
  </conditionalFormatting>
  <conditionalFormatting sqref="D188:G188">
    <cfRule type="cellIs" dxfId="321" priority="186" operator="lessThan">
      <formula>0</formula>
    </cfRule>
  </conditionalFormatting>
  <conditionalFormatting sqref="D152:H152">
    <cfRule type="cellIs" dxfId="320" priority="289" operator="lessThan">
      <formula>0</formula>
    </cfRule>
  </conditionalFormatting>
  <conditionalFormatting sqref="E179">
    <cfRule type="cellIs" dxfId="319" priority="209" operator="lessThan">
      <formula>0</formula>
    </cfRule>
  </conditionalFormatting>
  <conditionalFormatting sqref="E205">
    <cfRule type="cellIs" dxfId="318" priority="152" operator="lessThan">
      <formula>0</formula>
    </cfRule>
  </conditionalFormatting>
  <conditionalFormatting sqref="E242">
    <cfRule type="cellIs" dxfId="317" priority="91" operator="lessThan">
      <formula>0</formula>
    </cfRule>
  </conditionalFormatting>
  <conditionalFormatting sqref="E245">
    <cfRule type="cellIs" dxfId="316" priority="84" operator="lessThan">
      <formula>0</formula>
    </cfRule>
  </conditionalFormatting>
  <conditionalFormatting sqref="E252:F252">
    <cfRule type="cellIs" dxfId="315" priority="76" operator="lessThan">
      <formula>0</formula>
    </cfRule>
  </conditionalFormatting>
  <conditionalFormatting sqref="E262:F263">
    <cfRule type="cellIs" dxfId="314" priority="62" operator="lessThan">
      <formula>0</formula>
    </cfRule>
  </conditionalFormatting>
  <conditionalFormatting sqref="E279:F279">
    <cfRule type="cellIs" dxfId="313" priority="41" operator="lessThan">
      <formula>0</formula>
    </cfRule>
  </conditionalFormatting>
  <conditionalFormatting sqref="E113:G113">
    <cfRule type="cellIs" dxfId="312" priority="360" operator="lessThan">
      <formula>0</formula>
    </cfRule>
  </conditionalFormatting>
  <conditionalFormatting sqref="E127:G127">
    <cfRule type="cellIs" dxfId="311" priority="353" operator="lessThan">
      <formula>0</formula>
    </cfRule>
  </conditionalFormatting>
  <conditionalFormatting sqref="E172:G172">
    <cfRule type="cellIs" dxfId="310" priority="227" operator="lessThan">
      <formula>0</formula>
    </cfRule>
  </conditionalFormatting>
  <conditionalFormatting sqref="E182:G182">
    <cfRule type="cellIs" dxfId="309" priority="205" operator="lessThan">
      <formula>0</formula>
    </cfRule>
  </conditionalFormatting>
  <conditionalFormatting sqref="E187:G187">
    <cfRule type="cellIs" dxfId="308" priority="191" operator="lessThan">
      <formula>0</formula>
    </cfRule>
  </conditionalFormatting>
  <conditionalFormatting sqref="E196:G196">
    <cfRule type="cellIs" dxfId="307" priority="172" operator="lessThan">
      <formula>0</formula>
    </cfRule>
  </conditionalFormatting>
  <conditionalFormatting sqref="E198:G200">
    <cfRule type="cellIs" dxfId="306" priority="161" operator="lessThan">
      <formula>0</formula>
    </cfRule>
  </conditionalFormatting>
  <conditionalFormatting sqref="E202:G203">
    <cfRule type="cellIs" dxfId="305" priority="154" operator="lessThan">
      <formula>0</formula>
    </cfRule>
  </conditionalFormatting>
  <conditionalFormatting sqref="E206:G207">
    <cfRule type="cellIs" dxfId="304" priority="146" operator="lessThan">
      <formula>0</formula>
    </cfRule>
  </conditionalFormatting>
  <conditionalFormatting sqref="E209:G209">
    <cfRule type="cellIs" dxfId="303" priority="144" operator="lessThan">
      <formula>0</formula>
    </cfRule>
  </conditionalFormatting>
  <conditionalFormatting sqref="E212:G214">
    <cfRule type="cellIs" dxfId="302" priority="132" operator="lessThan">
      <formula>0</formula>
    </cfRule>
  </conditionalFormatting>
  <conditionalFormatting sqref="E216:G216">
    <cfRule type="cellIs" dxfId="301" priority="126" operator="lessThan">
      <formula>0</formula>
    </cfRule>
  </conditionalFormatting>
  <conditionalFormatting sqref="E218:G218">
    <cfRule type="cellIs" dxfId="300" priority="121" operator="lessThan">
      <formula>0</formula>
    </cfRule>
  </conditionalFormatting>
  <conditionalFormatting sqref="E223:G225">
    <cfRule type="cellIs" dxfId="299" priority="115" operator="lessThan">
      <formula>0</formula>
    </cfRule>
  </conditionalFormatting>
  <conditionalFormatting sqref="E227:G228">
    <cfRule type="cellIs" dxfId="298" priority="111" operator="lessThan">
      <formula>0</formula>
    </cfRule>
  </conditionalFormatting>
  <conditionalFormatting sqref="E241:G241">
    <cfRule type="cellIs" dxfId="297" priority="93" operator="lessThan">
      <formula>0</formula>
    </cfRule>
  </conditionalFormatting>
  <conditionalFormatting sqref="E247:G248">
    <cfRule type="cellIs" dxfId="296" priority="80" operator="lessThan">
      <formula>0</formula>
    </cfRule>
  </conditionalFormatting>
  <conditionalFormatting sqref="E250:G250">
    <cfRule type="cellIs" dxfId="295" priority="78" operator="lessThan">
      <formula>0</formula>
    </cfRule>
  </conditionalFormatting>
  <conditionalFormatting sqref="E280:G281">
    <cfRule type="cellIs" dxfId="294" priority="37" operator="lessThan">
      <formula>0</formula>
    </cfRule>
  </conditionalFormatting>
  <conditionalFormatting sqref="E285:G288">
    <cfRule type="cellIs" dxfId="293" priority="26" operator="lessThan">
      <formula>0</formula>
    </cfRule>
  </conditionalFormatting>
  <conditionalFormatting sqref="E290:G291">
    <cfRule type="cellIs" dxfId="292" priority="20" operator="lessThan">
      <formula>0</formula>
    </cfRule>
  </conditionalFormatting>
  <conditionalFormatting sqref="E295:G299">
    <cfRule type="cellIs" dxfId="291" priority="9" operator="lessThan">
      <formula>0</formula>
    </cfRule>
  </conditionalFormatting>
  <conditionalFormatting sqref="E154:J154">
    <cfRule type="cellIs" dxfId="290" priority="280" operator="lessThan">
      <formula>0</formula>
    </cfRule>
  </conditionalFormatting>
  <conditionalFormatting sqref="F143 D144:G144">
    <cfRule type="cellIs" dxfId="289" priority="315" operator="lessThan">
      <formula>0</formula>
    </cfRule>
  </conditionalFormatting>
  <conditionalFormatting sqref="F236">
    <cfRule type="cellIs" dxfId="288" priority="100" operator="lessThan">
      <formula>0</formula>
    </cfRule>
  </conditionalFormatting>
  <conditionalFormatting sqref="F257:F277 E264:G272">
    <cfRule type="cellIs" dxfId="287" priority="54" operator="lessThan">
      <formula>0</formula>
    </cfRule>
  </conditionalFormatting>
  <conditionalFormatting sqref="F294">
    <cfRule type="cellIs" dxfId="286" priority="18" operator="lessThan">
      <formula>0</formula>
    </cfRule>
  </conditionalFormatting>
  <conditionalFormatting sqref="F159:G159">
    <cfRule type="cellIs" dxfId="285" priority="264" operator="lessThan">
      <formula>0</formula>
    </cfRule>
  </conditionalFormatting>
  <conditionalFormatting sqref="F66:O84">
    <cfRule type="cellIs" dxfId="284" priority="443" operator="lessThan">
      <formula>0</formula>
    </cfRule>
  </conditionalFormatting>
  <conditionalFormatting sqref="G119">
    <cfRule type="cellIs" dxfId="283" priority="372" operator="lessThan">
      <formula>0</formula>
    </cfRule>
  </conditionalFormatting>
  <conditionalFormatting sqref="G179">
    <cfRule type="cellIs" dxfId="282" priority="208" operator="lessThan">
      <formula>0</formula>
    </cfRule>
  </conditionalFormatting>
  <conditionalFormatting sqref="G239">
    <cfRule type="cellIs" dxfId="281" priority="96" operator="lessThan">
      <formula>0</formula>
    </cfRule>
  </conditionalFormatting>
  <conditionalFormatting sqref="G244:G246">
    <cfRule type="cellIs" dxfId="280" priority="83" operator="lessThan">
      <formula>0</formula>
    </cfRule>
  </conditionalFormatting>
  <conditionalFormatting sqref="G282">
    <cfRule type="cellIs" dxfId="279" priority="35" operator="lessThan">
      <formula>0</formula>
    </cfRule>
  </conditionalFormatting>
  <conditionalFormatting sqref="G289">
    <cfRule type="cellIs" dxfId="278" priority="24" operator="lessThan">
      <formula>0</formula>
    </cfRule>
  </conditionalFormatting>
  <conditionalFormatting sqref="H111:H122">
    <cfRule type="cellIs" dxfId="277" priority="363" operator="lessThan">
      <formula>0</formula>
    </cfRule>
  </conditionalFormatting>
  <conditionalFormatting sqref="H162:I165">
    <cfRule type="cellIs" dxfId="276" priority="255" operator="lessThan">
      <formula>0</formula>
    </cfRule>
  </conditionalFormatting>
  <conditionalFormatting sqref="H150:J150">
    <cfRule type="cellIs" dxfId="275" priority="296" operator="lessThan">
      <formula>0</formula>
    </cfRule>
  </conditionalFormatting>
  <conditionalFormatting sqref="H153:J153">
    <cfRule type="cellIs" dxfId="274" priority="285" operator="lessThan">
      <formula>0</formula>
    </cfRule>
  </conditionalFormatting>
  <conditionalFormatting sqref="H155:J161">
    <cfRule type="cellIs" dxfId="273" priority="276" operator="lessThan">
      <formula>0</formula>
    </cfRule>
  </conditionalFormatting>
  <conditionalFormatting sqref="I99:I102 I104:I105">
    <cfRule type="cellIs" dxfId="272" priority="405" operator="lessThan">
      <formula>0</formula>
    </cfRule>
  </conditionalFormatting>
  <conditionalFormatting sqref="I109">
    <cfRule type="cellIs" dxfId="271" priority="384" operator="lessThan">
      <formula>0</formula>
    </cfRule>
  </conditionalFormatting>
  <conditionalFormatting sqref="I111:I117 I119">
    <cfRule type="cellIs" dxfId="270" priority="381" operator="lessThan">
      <formula>0</formula>
    </cfRule>
  </conditionalFormatting>
  <conditionalFormatting sqref="I121:I130">
    <cfRule type="cellIs" dxfId="269" priority="366" operator="lessThan">
      <formula>0</formula>
    </cfRule>
  </conditionalFormatting>
  <conditionalFormatting sqref="I132:I137">
    <cfRule type="cellIs" dxfId="268" priority="343" operator="lessThan">
      <formula>0</formula>
    </cfRule>
  </conditionalFormatting>
  <conditionalFormatting sqref="I141:I144">
    <cfRule type="cellIs" dxfId="267" priority="313" operator="lessThan">
      <formula>0</formula>
    </cfRule>
  </conditionalFormatting>
  <conditionalFormatting sqref="I179">
    <cfRule type="cellIs" dxfId="266" priority="207" operator="lessThan">
      <formula>0</formula>
    </cfRule>
  </conditionalFormatting>
  <conditionalFormatting sqref="I233:I255">
    <cfRule type="cellIs" dxfId="265" priority="107" operator="lessThan">
      <formula>0</formula>
    </cfRule>
  </conditionalFormatting>
  <conditionalFormatting sqref="I257:I277">
    <cfRule type="cellIs" dxfId="264" priority="71" operator="lessThan">
      <formula>0</formula>
    </cfRule>
  </conditionalFormatting>
  <conditionalFormatting sqref="I151:J152">
    <cfRule type="cellIs" dxfId="263" priority="291" operator="lessThan">
      <formula>0</formula>
    </cfRule>
  </conditionalFormatting>
  <conditionalFormatting sqref="I170:J174">
    <cfRule type="cellIs" dxfId="262" priority="220" operator="lessThan">
      <formula>0</formula>
    </cfRule>
  </conditionalFormatting>
  <conditionalFormatting sqref="I118:K118">
    <cfRule type="cellIs" dxfId="261" priority="375" operator="lessThan">
      <formula>0</formula>
    </cfRule>
  </conditionalFormatting>
  <conditionalFormatting sqref="I120:K120">
    <cfRule type="cellIs" dxfId="260" priority="369" operator="lessThan">
      <formula>0</formula>
    </cfRule>
  </conditionalFormatting>
  <conditionalFormatting sqref="I182:K182">
    <cfRule type="cellIs" dxfId="259" priority="204" operator="lessThan">
      <formula>0</formula>
    </cfRule>
  </conditionalFormatting>
  <conditionalFormatting sqref="I196:K196">
    <cfRule type="cellIs" dxfId="258" priority="171" operator="lessThan">
      <formula>0</formula>
    </cfRule>
  </conditionalFormatting>
  <conditionalFormatting sqref="I198:K198">
    <cfRule type="cellIs" dxfId="257" priority="167" operator="lessThan">
      <formula>0</formula>
    </cfRule>
  </conditionalFormatting>
  <conditionalFormatting sqref="I138:L138">
    <cfRule type="cellIs" dxfId="256" priority="327" operator="lessThan">
      <formula>0</formula>
    </cfRule>
  </conditionalFormatting>
  <conditionalFormatting sqref="I149:L149">
    <cfRule type="cellIs" dxfId="255" priority="302" operator="lessThan">
      <formula>0</formula>
    </cfRule>
  </conditionalFormatting>
  <conditionalFormatting sqref="I167:L167">
    <cfRule type="cellIs" dxfId="254" priority="242" operator="lessThan">
      <formula>0</formula>
    </cfRule>
  </conditionalFormatting>
  <conditionalFormatting sqref="I187:L187">
    <cfRule type="cellIs" dxfId="253" priority="190" operator="lessThan">
      <formula>0</formula>
    </cfRule>
  </conditionalFormatting>
  <conditionalFormatting sqref="I200:L202">
    <cfRule type="cellIs" dxfId="252" priority="157" operator="lessThan">
      <formula>0</formula>
    </cfRule>
  </conditionalFormatting>
  <conditionalFormatting sqref="I140:N140">
    <cfRule type="cellIs" dxfId="251" priority="321" operator="lessThan">
      <formula>0</formula>
    </cfRule>
  </conditionalFormatting>
  <conditionalFormatting sqref="I175:N175">
    <cfRule type="cellIs" dxfId="250" priority="217" operator="lessThan">
      <formula>0</formula>
    </cfRule>
  </conditionalFormatting>
  <conditionalFormatting sqref="I199:N199">
    <cfRule type="cellIs" dxfId="249" priority="163" operator="lessThan">
      <formula>0</formula>
    </cfRule>
  </conditionalFormatting>
  <conditionalFormatting sqref="I93:O98">
    <cfRule type="cellIs" dxfId="248" priority="409" operator="lessThan">
      <formula>0</formula>
    </cfRule>
  </conditionalFormatting>
  <conditionalFormatting sqref="I103:O103">
    <cfRule type="cellIs" dxfId="247" priority="402" operator="lessThan">
      <formula>0</formula>
    </cfRule>
  </conditionalFormatting>
  <conditionalFormatting sqref="I106:O108">
    <cfRule type="cellIs" dxfId="246" priority="389" operator="lessThan">
      <formula>0</formula>
    </cfRule>
  </conditionalFormatting>
  <conditionalFormatting sqref="I147:O148">
    <cfRule type="cellIs" dxfId="245" priority="308" operator="lessThan">
      <formula>0</formula>
    </cfRule>
  </conditionalFormatting>
  <conditionalFormatting sqref="I168:O168">
    <cfRule type="cellIs" dxfId="244" priority="237" operator="lessThan">
      <formula>0</formula>
    </cfRule>
  </conditionalFormatting>
  <conditionalFormatting sqref="I183:O186 L189:L190">
    <cfRule type="cellIs" dxfId="243" priority="194" operator="lessThan">
      <formula>0</formula>
    </cfRule>
  </conditionalFormatting>
  <conditionalFormatting sqref="I188:O188">
    <cfRule type="cellIs" dxfId="242" priority="185" operator="lessThan">
      <formula>0</formula>
    </cfRule>
  </conditionalFormatting>
  <conditionalFormatting sqref="I193:O193">
    <cfRule type="cellIs" dxfId="241" priority="173" operator="lessThan">
      <formula>0</formula>
    </cfRule>
  </conditionalFormatting>
  <conditionalFormatting sqref="I203:O203">
    <cfRule type="cellIs" dxfId="240" priority="153" operator="lessThan">
      <formula>0</formula>
    </cfRule>
  </conditionalFormatting>
  <conditionalFormatting sqref="I206:O207">
    <cfRule type="cellIs" dxfId="239" priority="145" operator="lessThan">
      <formula>0</formula>
    </cfRule>
  </conditionalFormatting>
  <conditionalFormatting sqref="I209:O209">
    <cfRule type="cellIs" dxfId="238" priority="143" operator="lessThan">
      <formula>0</formula>
    </cfRule>
  </conditionalFormatting>
  <conditionalFormatting sqref="J162:J166">
    <cfRule type="cellIs" dxfId="237" priority="254" operator="lessThan">
      <formula>0</formula>
    </cfRule>
  </conditionalFormatting>
  <conditionalFormatting sqref="J176:J181">
    <cfRule type="cellIs" dxfId="236" priority="214" operator="lessThan">
      <formula>0</formula>
    </cfRule>
  </conditionalFormatting>
  <conditionalFormatting sqref="J189:J190">
    <cfRule type="cellIs" dxfId="235" priority="182" operator="lessThan">
      <formula>0</formula>
    </cfRule>
  </conditionalFormatting>
  <conditionalFormatting sqref="J192 J194:J195 J197">
    <cfRule type="cellIs" dxfId="234" priority="177" operator="lessThan">
      <formula>0</formula>
    </cfRule>
  </conditionalFormatting>
  <conditionalFormatting sqref="J204:J206 J208">
    <cfRule type="cellIs" dxfId="233" priority="148" operator="lessThan">
      <formula>0</formula>
    </cfRule>
  </conditionalFormatting>
  <conditionalFormatting sqref="J239">
    <cfRule type="cellIs" dxfId="232" priority="95" operator="lessThan">
      <formula>0</formula>
    </cfRule>
  </conditionalFormatting>
  <conditionalFormatting sqref="J245:J246">
    <cfRule type="cellIs" dxfId="231" priority="86" operator="lessThan">
      <formula>0</formula>
    </cfRule>
  </conditionalFormatting>
  <conditionalFormatting sqref="J265">
    <cfRule type="cellIs" dxfId="230" priority="59" operator="lessThan">
      <formula>0</formula>
    </cfRule>
  </conditionalFormatting>
  <conditionalFormatting sqref="J268:J269">
    <cfRule type="cellIs" dxfId="229" priority="58" operator="lessThan">
      <formula>0</formula>
    </cfRule>
  </conditionalFormatting>
  <conditionalFormatting sqref="J288:J289">
    <cfRule type="cellIs" dxfId="228" priority="23" operator="lessThan">
      <formula>0</formula>
    </cfRule>
  </conditionalFormatting>
  <conditionalFormatting sqref="J294">
    <cfRule type="cellIs" dxfId="227" priority="17" operator="lessThan">
      <formula>0</formula>
    </cfRule>
  </conditionalFormatting>
  <conditionalFormatting sqref="J296:J297">
    <cfRule type="cellIs" dxfId="226" priority="11" operator="lessThan">
      <formula>0</formula>
    </cfRule>
  </conditionalFormatting>
  <conditionalFormatting sqref="J113:L113">
    <cfRule type="cellIs" dxfId="225" priority="359" operator="lessThan">
      <formula>0</formula>
    </cfRule>
  </conditionalFormatting>
  <conditionalFormatting sqref="J280:L280">
    <cfRule type="cellIs" dxfId="224" priority="38" operator="lessThan">
      <formula>0</formula>
    </cfRule>
  </conditionalFormatting>
  <conditionalFormatting sqref="J286:L286">
    <cfRule type="cellIs" dxfId="223" priority="30" operator="lessThan">
      <formula>0</formula>
    </cfRule>
  </conditionalFormatting>
  <conditionalFormatting sqref="J291:L291">
    <cfRule type="cellIs" dxfId="222" priority="19" operator="lessThan">
      <formula>0</formula>
    </cfRule>
  </conditionalFormatting>
  <conditionalFormatting sqref="J299:L299 J301:K301 J302:J303 K302:K317">
    <cfRule type="cellIs" dxfId="221" priority="8" operator="lessThan">
      <formula>0</formula>
    </cfRule>
  </conditionalFormatting>
  <conditionalFormatting sqref="J236:N236">
    <cfRule type="cellIs" dxfId="220" priority="99" operator="lessThan">
      <formula>0</formula>
    </cfRule>
  </conditionalFormatting>
  <conditionalFormatting sqref="J261:N261">
    <cfRule type="cellIs" dxfId="219" priority="64" operator="lessThan">
      <formula>0</formula>
    </cfRule>
  </conditionalFormatting>
  <conditionalFormatting sqref="J213:O214">
    <cfRule type="cellIs" dxfId="218" priority="131" operator="lessThan">
      <formula>0</formula>
    </cfRule>
  </conditionalFormatting>
  <conditionalFormatting sqref="J216:O219">
    <cfRule type="cellIs" dxfId="217" priority="120" operator="lessThan">
      <formula>0</formula>
    </cfRule>
  </conditionalFormatting>
  <conditionalFormatting sqref="J223:O225">
    <cfRule type="cellIs" dxfId="216" priority="114" operator="lessThan">
      <formula>0</formula>
    </cfRule>
  </conditionalFormatting>
  <conditionalFormatting sqref="J227:O228">
    <cfRule type="cellIs" dxfId="215" priority="110" operator="lessThan">
      <formula>0</formula>
    </cfRule>
  </conditionalFormatting>
  <conditionalFormatting sqref="J237:O237">
    <cfRule type="cellIs" dxfId="214" priority="98" operator="lessThan">
      <formula>0</formula>
    </cfRule>
  </conditionalFormatting>
  <conditionalFormatting sqref="J241:O241">
    <cfRule type="cellIs" dxfId="213" priority="92" operator="lessThan">
      <formula>0</formula>
    </cfRule>
  </conditionalFormatting>
  <conditionalFormatting sqref="J247:O247">
    <cfRule type="cellIs" dxfId="212" priority="81" operator="lessThan">
      <formula>0</formula>
    </cfRule>
  </conditionalFormatting>
  <conditionalFormatting sqref="J250:O250">
    <cfRule type="cellIs" dxfId="211" priority="77" operator="lessThan">
      <formula>0</formula>
    </cfRule>
  </conditionalFormatting>
  <conditionalFormatting sqref="J281:O281">
    <cfRule type="cellIs" dxfId="210" priority="36" operator="lessThan">
      <formula>0</formula>
    </cfRule>
  </conditionalFormatting>
  <conditionalFormatting sqref="J287:O287">
    <cfRule type="cellIs" dxfId="209" priority="27" operator="lessThan">
      <formula>0</formula>
    </cfRule>
  </conditionalFormatting>
  <conditionalFormatting sqref="J295:O295">
    <cfRule type="cellIs" dxfId="208" priority="14" operator="lessThan">
      <formula>0</formula>
    </cfRule>
  </conditionalFormatting>
  <conditionalFormatting sqref="K122">
    <cfRule type="cellIs" dxfId="207" priority="361" operator="lessThan">
      <formula>0</formula>
    </cfRule>
  </conditionalFormatting>
  <conditionalFormatting sqref="K126">
    <cfRule type="cellIs" dxfId="206" priority="357" operator="lessThan">
      <formula>0</formula>
    </cfRule>
  </conditionalFormatting>
  <conditionalFormatting sqref="K129">
    <cfRule type="cellIs" dxfId="205" priority="348" operator="lessThan">
      <formula>0</formula>
    </cfRule>
  </conditionalFormatting>
  <conditionalFormatting sqref="K211:L212 K220:L222">
    <cfRule type="cellIs" dxfId="204" priority="139" operator="lessThan">
      <formula>0</formula>
    </cfRule>
  </conditionalFormatting>
  <conditionalFormatting sqref="K233:L235 K238:L240 K242:L246 K248:L249 K251:L255">
    <cfRule type="cellIs" dxfId="203" priority="103" operator="lessThan">
      <formula>0</formula>
    </cfRule>
  </conditionalFormatting>
  <conditionalFormatting sqref="K257:L260 K262:L277">
    <cfRule type="cellIs" dxfId="202" priority="66" operator="lessThan">
      <formula>0</formula>
    </cfRule>
  </conditionalFormatting>
  <conditionalFormatting sqref="K279:L279 K282:L285 K288:L290 K292:L294">
    <cfRule type="cellIs" dxfId="201" priority="44" operator="lessThan">
      <formula>0</formula>
    </cfRule>
  </conditionalFormatting>
  <conditionalFormatting sqref="K179:M179">
    <cfRule type="cellIs" dxfId="200" priority="206" operator="lessThan">
      <formula>0</formula>
    </cfRule>
  </conditionalFormatting>
  <conditionalFormatting sqref="K117:N117">
    <cfRule type="cellIs" dxfId="199" priority="377" operator="lessThan">
      <formula>0</formula>
    </cfRule>
  </conditionalFormatting>
  <conditionalFormatting sqref="K128:N128">
    <cfRule type="cellIs" dxfId="198" priority="350" operator="lessThan">
      <formula>0</formula>
    </cfRule>
  </conditionalFormatting>
  <conditionalFormatting sqref="K152:N152">
    <cfRule type="cellIs" dxfId="197" priority="288" operator="lessThan">
      <formula>0</formula>
    </cfRule>
  </conditionalFormatting>
  <conditionalFormatting sqref="K132:O132">
    <cfRule type="cellIs" dxfId="196" priority="339" operator="lessThan">
      <formula>0</formula>
    </cfRule>
  </conditionalFormatting>
  <conditionalFormatting sqref="K155:O156">
    <cfRule type="cellIs" dxfId="195" priority="270" operator="lessThan">
      <formula>0</formula>
    </cfRule>
  </conditionalFormatting>
  <conditionalFormatting sqref="K158:O158">
    <cfRule type="cellIs" dxfId="194" priority="266" operator="lessThan">
      <formula>0</formula>
    </cfRule>
  </conditionalFormatting>
  <conditionalFormatting sqref="K160:O162">
    <cfRule type="cellIs" dxfId="193" priority="251" operator="lessThan">
      <formula>0</formula>
    </cfRule>
  </conditionalFormatting>
  <conditionalFormatting sqref="K165:O165">
    <cfRule type="cellIs" dxfId="192" priority="247" operator="lessThan">
      <formula>0</formula>
    </cfRule>
  </conditionalFormatting>
  <conditionalFormatting sqref="K171:O172">
    <cfRule type="cellIs" dxfId="191" priority="226" operator="lessThan">
      <formula>0</formula>
    </cfRule>
  </conditionalFormatting>
  <conditionalFormatting sqref="K205:O205">
    <cfRule type="cellIs" dxfId="190" priority="151" operator="lessThan">
      <formula>0</formula>
    </cfRule>
  </conditionalFormatting>
  <conditionalFormatting sqref="K215:O215">
    <cfRule type="cellIs" dxfId="189" priority="127" operator="lessThan">
      <formula>0</formula>
    </cfRule>
  </conditionalFormatting>
  <conditionalFormatting sqref="L92">
    <cfRule type="cellIs" dxfId="188" priority="444" operator="lessThan">
      <formula>0</formula>
    </cfRule>
  </conditionalFormatting>
  <conditionalFormatting sqref="L99:L102 L104:L105">
    <cfRule type="cellIs" dxfId="187" priority="413" operator="lessThan">
      <formula>0</formula>
    </cfRule>
  </conditionalFormatting>
  <conditionalFormatting sqref="L109">
    <cfRule type="cellIs" dxfId="186" priority="385" operator="lessThan">
      <formula>0</formula>
    </cfRule>
  </conditionalFormatting>
  <conditionalFormatting sqref="L111:L112 L114:L116">
    <cfRule type="cellIs" dxfId="185" priority="383" operator="lessThan">
      <formula>0</formula>
    </cfRule>
  </conditionalFormatting>
  <conditionalFormatting sqref="L118:L127 L129:L130">
    <cfRule type="cellIs" dxfId="184" priority="374" operator="lessThan">
      <formula>0</formula>
    </cfRule>
  </conditionalFormatting>
  <conditionalFormatting sqref="L133:L137">
    <cfRule type="cellIs" dxfId="183" priority="337" operator="lessThan">
      <formula>0</formula>
    </cfRule>
  </conditionalFormatting>
  <conditionalFormatting sqref="L141:L145">
    <cfRule type="cellIs" dxfId="182" priority="319" operator="lessThan">
      <formula>0</formula>
    </cfRule>
  </conditionalFormatting>
  <conditionalFormatting sqref="L150:L151">
    <cfRule type="cellIs" dxfId="181" priority="297" operator="lessThan">
      <formula>0</formula>
    </cfRule>
  </conditionalFormatting>
  <conditionalFormatting sqref="L153:L154">
    <cfRule type="cellIs" dxfId="180" priority="284" operator="lessThan">
      <formula>0</formula>
    </cfRule>
  </conditionalFormatting>
  <conditionalFormatting sqref="L157">
    <cfRule type="cellIs" dxfId="179" priority="268" operator="lessThan">
      <formula>0</formula>
    </cfRule>
  </conditionalFormatting>
  <conditionalFormatting sqref="L159">
    <cfRule type="cellIs" dxfId="178" priority="265" operator="lessThan">
      <formula>0</formula>
    </cfRule>
  </conditionalFormatting>
  <conditionalFormatting sqref="L163:L164">
    <cfRule type="cellIs" dxfId="177" priority="249" operator="lessThan">
      <formula>0</formula>
    </cfRule>
  </conditionalFormatting>
  <conditionalFormatting sqref="L166">
    <cfRule type="cellIs" dxfId="176" priority="244" operator="lessThan">
      <formula>0</formula>
    </cfRule>
  </conditionalFormatting>
  <conditionalFormatting sqref="L170">
    <cfRule type="cellIs" dxfId="175" priority="235" operator="lessThan">
      <formula>0</formula>
    </cfRule>
  </conditionalFormatting>
  <conditionalFormatting sqref="L173:L174">
    <cfRule type="cellIs" dxfId="174" priority="224" operator="lessThan">
      <formula>0</formula>
    </cfRule>
  </conditionalFormatting>
  <conditionalFormatting sqref="L176:L178 L180:L182">
    <cfRule type="cellIs" dxfId="173" priority="215" operator="lessThan">
      <formula>0</formula>
    </cfRule>
  </conditionalFormatting>
  <conditionalFormatting sqref="L192 L194:L198 L204 L206 L208">
    <cfRule type="cellIs" dxfId="172" priority="174" operator="lessThan">
      <formula>0</formula>
    </cfRule>
  </conditionalFormatting>
  <conditionalFormatting sqref="L139:O139">
    <cfRule type="cellIs" dxfId="171" priority="324" operator="lessThan">
      <formula>0</formula>
    </cfRule>
  </conditionalFormatting>
  <conditionalFormatting sqref="M118:M119">
    <cfRule type="cellIs" dxfId="170" priority="371" operator="lessThan">
      <formula>0</formula>
    </cfRule>
  </conditionalFormatting>
  <conditionalFormatting sqref="M121">
    <cfRule type="cellIs" dxfId="169" priority="365" operator="lessThan">
      <formula>0</formula>
    </cfRule>
  </conditionalFormatting>
  <conditionalFormatting sqref="M120:N120">
    <cfRule type="cellIs" dxfId="168" priority="368" operator="lessThan">
      <formula>0</formula>
    </cfRule>
  </conditionalFormatting>
  <conditionalFormatting sqref="M126:N126">
    <cfRule type="cellIs" dxfId="167" priority="356" operator="lessThan">
      <formula>0</formula>
    </cfRule>
  </conditionalFormatting>
  <conditionalFormatting sqref="M198:N198">
    <cfRule type="cellIs" dxfId="166" priority="166" operator="lessThan">
      <formula>0</formula>
    </cfRule>
  </conditionalFormatting>
  <conditionalFormatting sqref="M248:N248">
    <cfRule type="cellIs" dxfId="165" priority="79" operator="lessThan">
      <formula>0</formula>
    </cfRule>
  </conditionalFormatting>
  <conditionalFormatting sqref="M265:N265">
    <cfRule type="cellIs" dxfId="164" priority="60" operator="lessThan">
      <formula>0</formula>
    </cfRule>
  </conditionalFormatting>
  <conditionalFormatting sqref="M285:N285">
    <cfRule type="cellIs" dxfId="163" priority="32" operator="lessThan">
      <formula>0</formula>
    </cfRule>
  </conditionalFormatting>
  <conditionalFormatting sqref="M182:O182">
    <cfRule type="cellIs" dxfId="162" priority="203" operator="lessThan">
      <formula>0</formula>
    </cfRule>
  </conditionalFormatting>
  <conditionalFormatting sqref="M196:O196">
    <cfRule type="cellIs" dxfId="161" priority="170" operator="lessThan">
      <formula>0</formula>
    </cfRule>
  </conditionalFormatting>
  <conditionalFormatting sqref="M200:O200">
    <cfRule type="cellIs" dxfId="160" priority="159" operator="lessThan">
      <formula>0</formula>
    </cfRule>
  </conditionalFormatting>
  <conditionalFormatting sqref="M202:O202">
    <cfRule type="cellIs" dxfId="159" priority="156" operator="lessThan">
      <formula>0</formula>
    </cfRule>
  </conditionalFormatting>
  <conditionalFormatting sqref="M245:O246">
    <cfRule type="cellIs" dxfId="158" priority="85" operator="lessThan">
      <formula>0</formula>
    </cfRule>
  </conditionalFormatting>
  <conditionalFormatting sqref="M266:O273">
    <cfRule type="cellIs" dxfId="157" priority="53" operator="lessThan">
      <formula>0</formula>
    </cfRule>
  </conditionalFormatting>
  <conditionalFormatting sqref="M289:O289">
    <cfRule type="cellIs" dxfId="156" priority="22" operator="lessThan">
      <formula>0</formula>
    </cfRule>
  </conditionalFormatting>
  <conditionalFormatting sqref="M294:O294">
    <cfRule type="cellIs" dxfId="155" priority="16" operator="lessThan">
      <formula>0</formula>
    </cfRule>
  </conditionalFormatting>
  <conditionalFormatting sqref="M296:O297">
    <cfRule type="cellIs" dxfId="154" priority="10" operator="lessThan">
      <formula>0</formula>
    </cfRule>
  </conditionalFormatting>
  <conditionalFormatting sqref="N122">
    <cfRule type="cellIs" dxfId="153" priority="362" operator="lessThan">
      <formula>0</formula>
    </cfRule>
  </conditionalFormatting>
  <conditionalFormatting sqref="N127">
    <cfRule type="cellIs" dxfId="152" priority="352" operator="lessThan">
      <formula>0</formula>
    </cfRule>
  </conditionalFormatting>
  <conditionalFormatting sqref="N135">
    <cfRule type="cellIs" dxfId="151" priority="332" operator="lessThan">
      <formula>0</formula>
    </cfRule>
  </conditionalFormatting>
  <conditionalFormatting sqref="N243">
    <cfRule type="cellIs" dxfId="150" priority="89" operator="lessThan">
      <formula>0</formula>
    </cfRule>
  </conditionalFormatting>
  <conditionalFormatting sqref="N134:O134">
    <cfRule type="cellIs" dxfId="149" priority="334" operator="lessThan">
      <formula>0</formula>
    </cfRule>
  </conditionalFormatting>
  <conditionalFormatting sqref="N136:O136">
    <cfRule type="cellIs" dxfId="148" priority="330" operator="lessThan">
      <formula>0</formula>
    </cfRule>
  </conditionalFormatting>
  <conditionalFormatting sqref="N149:O149">
    <cfRule type="cellIs" dxfId="147" priority="301" operator="lessThan">
      <formula>0</formula>
    </cfRule>
  </conditionalFormatting>
  <conditionalFormatting sqref="N187:O187">
    <cfRule type="cellIs" dxfId="146" priority="189" operator="lessThan">
      <formula>0</formula>
    </cfRule>
  </conditionalFormatting>
  <conditionalFormatting sqref="N239:O239">
    <cfRule type="cellIs" dxfId="145" priority="94" operator="lessThan">
      <formula>0</formula>
    </cfRule>
  </conditionalFormatting>
  <conditionalFormatting sqref="O154">
    <cfRule type="cellIs" dxfId="144" priority="279" operator="lessThan">
      <formula>0</formula>
    </cfRule>
  </conditionalFormatting>
  <conditionalFormatting sqref="O190">
    <cfRule type="cellIs" dxfId="143" priority="180" operator="lessThan">
      <formula>0</formula>
    </cfRule>
  </conditionalFormatting>
  <conditionalFormatting sqref="O238">
    <cfRule type="cellIs" dxfId="142" priority="97" operator="lessThan">
      <formula>0</formula>
    </cfRule>
  </conditionalFormatting>
  <conditionalFormatting sqref="O242">
    <cfRule type="cellIs" dxfId="141" priority="90" operator="lessThan">
      <formula>0</formula>
    </cfRule>
  </conditionalFormatting>
  <conditionalFormatting sqref="O244">
    <cfRule type="cellIs" dxfId="140" priority="87" operator="lessThan">
      <formula>0</formula>
    </cfRule>
  </conditionalFormatting>
  <conditionalFormatting sqref="O279">
    <cfRule type="cellIs" dxfId="139" priority="40" operator="lessThan">
      <formula>0</formula>
    </cfRule>
  </conditionalFormatting>
  <conditionalFormatting sqref="O283">
    <cfRule type="cellIs" dxfId="138" priority="34" operator="lessThan">
      <formula>0</formula>
    </cfRule>
  </conditionalFormatting>
  <conditionalFormatting sqref="O286">
    <cfRule type="cellIs" dxfId="137" priority="29" operator="lessThan">
      <formula>0</formula>
    </cfRule>
  </conditionalFormatting>
  <conditionalFormatting sqref="O111:Q130">
    <cfRule type="cellIs" dxfId="136" priority="379" operator="lessThan">
      <formula>0</formula>
    </cfRule>
  </conditionalFormatting>
  <conditionalFormatting sqref="P2:Q85 P87:Q109">
    <cfRule type="cellIs" dxfId="135" priority="445" operator="lessThan">
      <formula>0</formula>
    </cfRule>
  </conditionalFormatting>
  <conditionalFormatting sqref="P132:Q145 P147:Q168 P170:Q190 P192:Q209">
    <cfRule type="cellIs" dxfId="134" priority="341" operator="lessThan">
      <formula>0</formula>
    </cfRule>
  </conditionalFormatting>
  <conditionalFormatting sqref="Q169">
    <cfRule type="cellIs" dxfId="133" priority="130" operator="lessThan">
      <formula>0</formula>
    </cfRule>
  </conditionalFormatting>
  <conditionalFormatting sqref="Q191">
    <cfRule type="cellIs" dxfId="132" priority="129" operator="lessThan">
      <formula>0</formula>
    </cfRule>
  </conditionalFormatting>
  <conditionalFormatting sqref="Q210">
    <cfRule type="cellIs" dxfId="131" priority="128" operator="lessThan">
      <formula>0</formula>
    </cfRule>
  </conditionalFormatting>
  <conditionalFormatting sqref="Q232">
    <cfRule type="cellIs" dxfId="130" priority="108" operator="lessThan">
      <formula>0</formula>
    </cfRule>
  </conditionalFormatting>
  <conditionalFormatting sqref="Q256">
    <cfRule type="cellIs" dxfId="129" priority="73" operator="lessThan">
      <formula>0</formula>
    </cfRule>
  </conditionalFormatting>
  <conditionalFormatting sqref="Q278">
    <cfRule type="cellIs" dxfId="128" priority="49" operator="lessThan">
      <formula>0</formula>
    </cfRule>
  </conditionalFormatting>
  <conditionalFormatting sqref="R126:R127">
    <cfRule type="cellIs" dxfId="127" priority="354" operator="lessThan">
      <formula>0</formula>
    </cfRule>
  </conditionalFormatting>
  <conditionalFormatting sqref="R129:R130">
    <cfRule type="cellIs" dxfId="126" priority="347" operator="lessThan">
      <formula>0</formula>
    </cfRule>
  </conditionalFormatting>
  <conditionalFormatting sqref="R135">
    <cfRule type="cellIs" dxfId="125" priority="331" operator="lessThan">
      <formula>0</formula>
    </cfRule>
  </conditionalFormatting>
  <conditionalFormatting sqref="R141">
    <cfRule type="cellIs" dxfId="124" priority="316" operator="lessThan">
      <formula>0</formula>
    </cfRule>
  </conditionalFormatting>
  <conditionalFormatting sqref="R144">
    <cfRule type="cellIs" dxfId="123" priority="314" operator="lessThan">
      <formula>0</formula>
    </cfRule>
  </conditionalFormatting>
  <conditionalFormatting sqref="R149:R150">
    <cfRule type="cellIs" dxfId="122" priority="300" operator="lessThan">
      <formula>0</formula>
    </cfRule>
  </conditionalFormatting>
  <conditionalFormatting sqref="R155:R158">
    <cfRule type="cellIs" dxfId="121" priority="269" operator="lessThan">
      <formula>0</formula>
    </cfRule>
  </conditionalFormatting>
  <conditionalFormatting sqref="R196:R198">
    <cfRule type="cellIs" dxfId="120" priority="169" operator="lessThan">
      <formula>0</formula>
    </cfRule>
  </conditionalFormatting>
  <conditionalFormatting sqref="R120:S120">
    <cfRule type="cellIs" dxfId="119" priority="367" operator="lessThan">
      <formula>0</formula>
    </cfRule>
  </conditionalFormatting>
  <conditionalFormatting sqref="R138:S138">
    <cfRule type="cellIs" dxfId="118" priority="325" operator="lessThan">
      <formula>0</formula>
    </cfRule>
  </conditionalFormatting>
  <conditionalFormatting sqref="R147:S148">
    <cfRule type="cellIs" dxfId="117" priority="307" operator="lessThan">
      <formula>0</formula>
    </cfRule>
  </conditionalFormatting>
  <conditionalFormatting sqref="R160:S162">
    <cfRule type="cellIs" dxfId="116" priority="250" operator="lessThan">
      <formula>0</formula>
    </cfRule>
  </conditionalFormatting>
  <conditionalFormatting sqref="R165:S165">
    <cfRule type="cellIs" dxfId="115" priority="245" operator="lessThan">
      <formula>0</formula>
    </cfRule>
  </conditionalFormatting>
  <conditionalFormatting sqref="R167:S168">
    <cfRule type="cellIs" dxfId="114" priority="236" operator="lessThan">
      <formula>0</formula>
    </cfRule>
  </conditionalFormatting>
  <conditionalFormatting sqref="R171:S172">
    <cfRule type="cellIs" dxfId="113" priority="225" operator="lessThan">
      <formula>0</formula>
    </cfRule>
  </conditionalFormatting>
  <conditionalFormatting sqref="R175:S177">
    <cfRule type="cellIs" dxfId="112" priority="210" operator="lessThan">
      <formula>0</formula>
    </cfRule>
  </conditionalFormatting>
  <conditionalFormatting sqref="R185:S186">
    <cfRule type="cellIs" dxfId="111" priority="193" operator="lessThan">
      <formula>0</formula>
    </cfRule>
  </conditionalFormatting>
  <conditionalFormatting sqref="R188:T188">
    <cfRule type="cellIs" dxfId="110" priority="184" operator="lessThan">
      <formula>0</formula>
    </cfRule>
  </conditionalFormatting>
  <conditionalFormatting sqref="R66:W85">
    <cfRule type="cellIs" dxfId="109" priority="442" operator="lessThan">
      <formula>0</formula>
    </cfRule>
  </conditionalFormatting>
  <conditionalFormatting sqref="R87:W90">
    <cfRule type="cellIs" dxfId="108" priority="423" operator="lessThan">
      <formula>0</formula>
    </cfRule>
  </conditionalFormatting>
  <conditionalFormatting sqref="R93:W93">
    <cfRule type="cellIs" dxfId="107" priority="422" operator="lessThan">
      <formula>0</formula>
    </cfRule>
  </conditionalFormatting>
  <conditionalFormatting sqref="R98:W98 AB98:AC98">
    <cfRule type="cellIs" dxfId="106" priority="407" operator="lessThan">
      <formula>0</formula>
    </cfRule>
  </conditionalFormatting>
  <conditionalFormatting sqref="R103:W103 AB103:AC103">
    <cfRule type="cellIs" dxfId="105" priority="400" operator="lessThan">
      <formula>0</formula>
    </cfRule>
  </conditionalFormatting>
  <conditionalFormatting sqref="R106:W108 AB106:AC108">
    <cfRule type="cellIs" dxfId="104" priority="387" operator="lessThan">
      <formula>0</formula>
    </cfRule>
  </conditionalFormatting>
  <conditionalFormatting sqref="R117:W117">
    <cfRule type="cellIs" dxfId="103" priority="376" operator="lessThan">
      <formula>0</formula>
    </cfRule>
  </conditionalFormatting>
  <conditionalFormatting sqref="R132:W132">
    <cfRule type="cellIs" dxfId="102" priority="338" operator="lessThan">
      <formula>0</formula>
    </cfRule>
  </conditionalFormatting>
  <conditionalFormatting sqref="S111:S116 S118:S119 S121:S130">
    <cfRule type="cellIs" dxfId="101" priority="380" operator="lessThan">
      <formula>0</formula>
    </cfRule>
  </conditionalFormatting>
  <conditionalFormatting sqref="S140">
    <cfRule type="cellIs" dxfId="100" priority="320" operator="lessThan">
      <formula>0</formula>
    </cfRule>
  </conditionalFormatting>
  <conditionalFormatting sqref="S155">
    <cfRule type="cellIs" dxfId="99" priority="273" operator="lessThan">
      <formula>0</formula>
    </cfRule>
  </conditionalFormatting>
  <conditionalFormatting sqref="S190">
    <cfRule type="cellIs" dxfId="98" priority="179" operator="lessThan">
      <formula>0</formula>
    </cfRule>
  </conditionalFormatting>
  <conditionalFormatting sqref="S100:T102 S109:T109">
    <cfRule type="cellIs" dxfId="97" priority="404" operator="lessThan">
      <formula>0</formula>
    </cfRule>
  </conditionalFormatting>
  <conditionalFormatting sqref="S94:W94">
    <cfRule type="cellIs" dxfId="96" priority="424" operator="lessThan">
      <formula>0</formula>
    </cfRule>
  </conditionalFormatting>
  <conditionalFormatting sqref="S96:W96">
    <cfRule type="cellIs" dxfId="95" priority="412" operator="lessThan">
      <formula>0</formula>
    </cfRule>
  </conditionalFormatting>
  <conditionalFormatting sqref="T119">
    <cfRule type="cellIs" dxfId="94" priority="370" operator="lessThan">
      <formula>0</formula>
    </cfRule>
  </conditionalFormatting>
  <conditionalFormatting sqref="T189:T190">
    <cfRule type="cellIs" dxfId="93" priority="183" operator="lessThan">
      <formula>0</formula>
    </cfRule>
  </conditionalFormatting>
  <conditionalFormatting sqref="T192:T209">
    <cfRule type="cellIs" dxfId="92" priority="175" operator="lessThan">
      <formula>0</formula>
    </cfRule>
  </conditionalFormatting>
  <conditionalFormatting sqref="T113:W126">
    <cfRule type="cellIs" dxfId="91" priority="329" operator="lessThan">
      <formula>0</formula>
    </cfRule>
  </conditionalFormatting>
  <conditionalFormatting sqref="T128:W129">
    <cfRule type="cellIs" dxfId="90" priority="346" operator="lessThan">
      <formula>0</formula>
    </cfRule>
  </conditionalFormatting>
  <conditionalFormatting sqref="T233:W255">
    <cfRule type="cellIs" dxfId="89" priority="101" operator="lessThan">
      <formula>0</formula>
    </cfRule>
  </conditionalFormatting>
  <conditionalFormatting sqref="T257:W277">
    <cfRule type="cellIs" dxfId="88" priority="67" operator="lessThan">
      <formula>0</formula>
    </cfRule>
  </conditionalFormatting>
  <conditionalFormatting sqref="U99:W102 S104:W105">
    <cfRule type="cellIs" dxfId="87" priority="403" operator="lessThan">
      <formula>0</formula>
    </cfRule>
  </conditionalFormatting>
  <conditionalFormatting sqref="U127:W127">
    <cfRule type="cellIs" dxfId="86" priority="351" operator="lessThan">
      <formula>0</formula>
    </cfRule>
  </conditionalFormatting>
  <conditionalFormatting sqref="U139:W145 U147:W168 U170:W188">
    <cfRule type="cellIs" dxfId="85" priority="323" operator="lessThan">
      <formula>0</formula>
    </cfRule>
  </conditionalFormatting>
  <conditionalFormatting sqref="U196:W199">
    <cfRule type="cellIs" dxfId="84" priority="162" operator="lessThan">
      <formula>0</formula>
    </cfRule>
  </conditionalFormatting>
  <conditionalFormatting sqref="U201:W209">
    <cfRule type="cellIs" dxfId="83" priority="155" operator="lessThan">
      <formula>0</formula>
    </cfRule>
  </conditionalFormatting>
  <conditionalFormatting sqref="Q300">
    <cfRule type="cellIs" dxfId="6" priority="6" operator="lessThan">
      <formula>0</formula>
    </cfRule>
  </conditionalFormatting>
  <conditionalFormatting sqref="L301:L317">
    <cfRule type="cellIs" dxfId="4" priority="5" operator="lessThan">
      <formula>0</formula>
    </cfRule>
  </conditionalFormatting>
  <conditionalFormatting sqref="I301:I317">
    <cfRule type="cellIs" dxfId="3" priority="4" operator="lessThan">
      <formula>0</formula>
    </cfRule>
  </conditionalFormatting>
  <conditionalFormatting sqref="D301:D317">
    <cfRule type="cellIs" dxfId="2" priority="3" operator="lessThan">
      <formula>0</formula>
    </cfRule>
  </conditionalFormatting>
  <conditionalFormatting sqref="C301:C317">
    <cfRule type="cellIs" dxfId="1" priority="2" operator="lessThan">
      <formula>0</formula>
    </cfRule>
  </conditionalFormatting>
  <conditionalFormatting sqref="U301:U317">
    <cfRule type="cellIs" dxfId="0" priority="1" operator="lessThan">
      <formula>0</formula>
    </cfRule>
  </conditionalFormatting>
  <pageMargins left="0.7" right="0.7" top="0.75" bottom="0.75" header="0.3" footer="0.3"/>
  <pageSetup paperSize="9" orientation="portrait"/>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D192"/>
  <sheetViews>
    <sheetView zoomScaleNormal="100" workbookViewId="0">
      <pane xSplit="1" ySplit="2" topLeftCell="B165" activePane="bottomRight" state="frozen"/>
      <selection pane="topRight" activeCell="B1" sqref="B1"/>
      <selection pane="bottomLeft" activeCell="A3" sqref="A3"/>
      <selection pane="bottomRight" activeCell="A176" sqref="A176:A192"/>
    </sheetView>
  </sheetViews>
  <sheetFormatPr defaultRowHeight="14" x14ac:dyDescent="0.3"/>
  <cols>
    <col min="1" max="1" width="11.58203125" style="350" customWidth="1"/>
    <col min="2" max="2" width="7.83203125" style="350" bestFit="1" customWidth="1"/>
    <col min="3" max="5" width="7.33203125" style="350" bestFit="1" customWidth="1"/>
    <col min="6" max="6" width="7.25" style="350" customWidth="1"/>
    <col min="7" max="10" width="7.83203125" style="350" bestFit="1" customWidth="1"/>
    <col min="11" max="12" width="7.33203125" style="350" bestFit="1" customWidth="1"/>
    <col min="13" max="14" width="6.33203125" style="350" bestFit="1" customWidth="1"/>
    <col min="15" max="16" width="7.33203125" style="350" bestFit="1" customWidth="1"/>
    <col min="17" max="17" width="7.83203125" style="350" bestFit="1" customWidth="1"/>
    <col min="18" max="18" width="7.4140625" style="350" bestFit="1" customWidth="1"/>
    <col min="19" max="19" width="7.33203125" style="350" bestFit="1" customWidth="1"/>
    <col min="20" max="20" width="7.83203125" style="350" bestFit="1" customWidth="1"/>
    <col min="21" max="21" width="9" style="350" bestFit="1" customWidth="1"/>
    <col min="22" max="22" width="8.08203125" style="350" customWidth="1"/>
    <col min="23" max="23" width="7.83203125" style="350" bestFit="1" customWidth="1"/>
    <col min="24" max="24" width="7.33203125" style="350" bestFit="1" customWidth="1"/>
    <col min="25" max="26" width="7.83203125" style="350" bestFit="1" customWidth="1"/>
    <col min="27" max="27" width="7.33203125" style="350" bestFit="1" customWidth="1"/>
    <col min="28" max="31" width="7.83203125" style="350" bestFit="1" customWidth="1"/>
    <col min="32" max="35" width="7.33203125" style="350" bestFit="1" customWidth="1"/>
    <col min="37" max="37" width="7.83203125" style="350" bestFit="1" customWidth="1"/>
    <col min="38" max="38" width="7.33203125" style="350" bestFit="1" customWidth="1"/>
    <col min="39" max="40" width="8.33203125" style="350" bestFit="1" customWidth="1"/>
    <col min="41" max="41" width="7.33203125" style="350" bestFit="1" customWidth="1"/>
    <col min="42" max="42" width="7.08203125" style="350" customWidth="1"/>
    <col min="46" max="46" width="7.83203125" style="350" bestFit="1" customWidth="1"/>
    <col min="47" max="47" width="6.6640625" style="350" bestFit="1" customWidth="1"/>
    <col min="48" max="49" width="7.83203125" style="350" customWidth="1"/>
    <col min="50" max="50" width="7.83203125" style="350" bestFit="1" customWidth="1"/>
    <col min="51" max="51" width="8" style="350" bestFit="1" customWidth="1"/>
    <col min="52" max="53" width="7.83203125" style="350" bestFit="1" customWidth="1"/>
    <col min="54" max="54" width="8.83203125" style="350" bestFit="1" customWidth="1"/>
  </cols>
  <sheetData>
    <row r="1" spans="1:56" s="8" customFormat="1" ht="28" customHeight="1" x14ac:dyDescent="0.3">
      <c r="A1" s="8" t="s">
        <v>0</v>
      </c>
      <c r="B1" s="8" t="s">
        <v>183</v>
      </c>
      <c r="C1" s="8" t="s">
        <v>2152</v>
      </c>
      <c r="D1" s="8" t="s">
        <v>145</v>
      </c>
      <c r="E1" s="8" t="s">
        <v>2153</v>
      </c>
      <c r="F1" s="8" t="s">
        <v>2154</v>
      </c>
      <c r="G1" s="8" t="s">
        <v>2155</v>
      </c>
      <c r="H1" s="8" t="s">
        <v>2156</v>
      </c>
      <c r="I1" s="8" t="s">
        <v>2157</v>
      </c>
      <c r="J1" s="8" t="s">
        <v>2158</v>
      </c>
      <c r="K1" s="8" t="s">
        <v>2159</v>
      </c>
      <c r="L1" s="8" t="s">
        <v>2160</v>
      </c>
      <c r="M1" s="8" t="s">
        <v>2161</v>
      </c>
      <c r="N1" s="8" t="s">
        <v>2162</v>
      </c>
      <c r="O1" s="8" t="s">
        <v>2163</v>
      </c>
      <c r="P1" s="8" t="s">
        <v>2164</v>
      </c>
      <c r="Q1" s="8" t="s">
        <v>91</v>
      </c>
      <c r="R1" s="8" t="s">
        <v>202</v>
      </c>
      <c r="S1" s="8" t="s">
        <v>225</v>
      </c>
      <c r="T1" s="8" t="s">
        <v>2165</v>
      </c>
      <c r="U1" s="8" t="s">
        <v>2166</v>
      </c>
      <c r="V1" s="8" t="s">
        <v>2167</v>
      </c>
      <c r="W1" s="8" t="s">
        <v>2168</v>
      </c>
      <c r="X1" s="8" t="s">
        <v>2169</v>
      </c>
      <c r="Y1" s="8" t="s">
        <v>2170</v>
      </c>
      <c r="Z1" s="8" t="s">
        <v>2171</v>
      </c>
      <c r="AA1" s="8" t="s">
        <v>2172</v>
      </c>
      <c r="AB1" s="8" t="s">
        <v>157</v>
      </c>
      <c r="AC1" s="8" t="s">
        <v>2173</v>
      </c>
      <c r="AD1" s="8" t="s">
        <v>2174</v>
      </c>
      <c r="AE1" s="8" t="s">
        <v>1532</v>
      </c>
      <c r="AF1" s="8" t="s">
        <v>2175</v>
      </c>
      <c r="AG1" s="8" t="s">
        <v>2176</v>
      </c>
      <c r="AH1" s="8" t="s">
        <v>2177</v>
      </c>
      <c r="AI1" s="8" t="s">
        <v>212</v>
      </c>
      <c r="AJ1" s="8" t="s">
        <v>219</v>
      </c>
      <c r="AK1" s="8" t="s">
        <v>101</v>
      </c>
      <c r="AL1" s="8" t="s">
        <v>2178</v>
      </c>
      <c r="AM1" s="8" t="s">
        <v>2179</v>
      </c>
      <c r="AN1" s="8" t="s">
        <v>2180</v>
      </c>
      <c r="AO1" s="8" t="s">
        <v>2181</v>
      </c>
      <c r="AP1" s="8" t="s">
        <v>2182</v>
      </c>
      <c r="AQ1" s="8" t="s">
        <v>1958</v>
      </c>
      <c r="AR1" s="8" t="s">
        <v>2183</v>
      </c>
      <c r="AS1" s="8" t="s">
        <v>2184</v>
      </c>
      <c r="AT1" s="8" t="s">
        <v>19</v>
      </c>
      <c r="AU1" s="8" t="s">
        <v>2185</v>
      </c>
      <c r="AV1" s="8" t="s">
        <v>2186</v>
      </c>
      <c r="AW1" s="8" t="s">
        <v>2187</v>
      </c>
      <c r="AX1" s="8">
        <v>176</v>
      </c>
      <c r="AY1" s="8" t="s">
        <v>2188</v>
      </c>
      <c r="AZ1" s="8" t="s">
        <v>2189</v>
      </c>
      <c r="BA1" s="8" t="s">
        <v>2190</v>
      </c>
      <c r="BB1" s="8" t="s">
        <v>2191</v>
      </c>
      <c r="BD1" s="8" t="s">
        <v>2192</v>
      </c>
    </row>
    <row r="2" spans="1:56" s="8" customFormat="1" hidden="1" x14ac:dyDescent="0.3">
      <c r="A2" s="295" t="s">
        <v>33</v>
      </c>
      <c r="B2" s="347">
        <v>-3.7100000000000001E-2</v>
      </c>
      <c r="C2" s="347">
        <v>0.12</v>
      </c>
      <c r="D2" s="347">
        <v>7.22E-2</v>
      </c>
      <c r="E2" s="347">
        <v>0.1031</v>
      </c>
      <c r="F2" s="347">
        <v>5.8000000000000003E-2</v>
      </c>
      <c r="G2" s="347">
        <v>-8.0600000000000005E-2</v>
      </c>
      <c r="H2" s="347">
        <v>2.1600000000000001E-2</v>
      </c>
      <c r="I2" s="347">
        <v>-4.3400000000000001E-2</v>
      </c>
      <c r="J2" s="347">
        <v>7.8700000000000006E-2</v>
      </c>
      <c r="K2" s="347">
        <v>2.9100000000000001E-2</v>
      </c>
      <c r="L2" s="347">
        <v>0.13089999999999999</v>
      </c>
      <c r="M2" s="347">
        <v>-1.52E-2</v>
      </c>
      <c r="N2" s="347">
        <v>2.1499999999999998E-2</v>
      </c>
      <c r="O2" s="347">
        <v>2.63E-2</v>
      </c>
      <c r="P2" s="347">
        <v>4.1300000000000003E-2</v>
      </c>
      <c r="Q2" s="347">
        <v>-5.5100000000000003E-2</v>
      </c>
      <c r="R2" s="347">
        <v>-1.5599999999999999E-2</v>
      </c>
      <c r="S2" s="347">
        <v>-2.8500000000000001E-2</v>
      </c>
      <c r="T2" s="347">
        <v>-1.9900000000000001E-2</v>
      </c>
      <c r="U2" s="347">
        <v>6.0100000000000001E-2</v>
      </c>
      <c r="V2" s="347">
        <v>1.9E-2</v>
      </c>
      <c r="W2" s="347">
        <v>-2.58E-2</v>
      </c>
      <c r="X2" s="347">
        <v>-1.7299999999999999E-2</v>
      </c>
      <c r="Y2" s="347">
        <v>-3.0599999999999999E-2</v>
      </c>
      <c r="Z2" s="347">
        <v>-3.8199999999999998E-2</v>
      </c>
      <c r="AA2" s="347">
        <v>-3.5200000000000002E-2</v>
      </c>
      <c r="AB2" s="347">
        <v>-5.2499999999999998E-2</v>
      </c>
      <c r="AC2" s="347">
        <v>-2.63E-2</v>
      </c>
      <c r="AD2" s="347">
        <v>4.4499999999999998E-2</v>
      </c>
      <c r="AE2" s="347">
        <v>4.1999999999999997E-3</v>
      </c>
      <c r="AF2" s="347">
        <v>0</v>
      </c>
      <c r="AG2" s="347">
        <v>2.2700000000000001E-2</v>
      </c>
      <c r="AH2" s="347">
        <v>7.1000000000000004E-3</v>
      </c>
      <c r="AI2" s="347">
        <v>0.17150000000000001</v>
      </c>
      <c r="AJ2" s="347">
        <v>5.2499999999999998E-2</v>
      </c>
      <c r="AK2" s="347">
        <v>0.1217</v>
      </c>
      <c r="AL2" s="347">
        <v>2.06E-2</v>
      </c>
      <c r="AM2" s="347">
        <v>4.1700000000000001E-2</v>
      </c>
      <c r="AN2" s="347">
        <v>4.9299999999999997E-2</v>
      </c>
      <c r="AO2" s="347">
        <v>3.7999999999999999E-2</v>
      </c>
      <c r="AP2" s="347">
        <v>2.07E-2</v>
      </c>
      <c r="AQ2" s="347">
        <v>2.2800000000000001E-2</v>
      </c>
      <c r="AR2" s="347">
        <v>6.1699999999999998E-2</v>
      </c>
      <c r="AS2" s="347">
        <v>3.56E-2</v>
      </c>
      <c r="AT2" s="347">
        <v>-2.1399999999999999E-2</v>
      </c>
      <c r="AU2" s="347"/>
      <c r="AV2" s="347"/>
      <c r="AW2" s="347"/>
      <c r="AX2" s="347"/>
      <c r="AY2" s="347"/>
      <c r="AZ2" s="347"/>
      <c r="BA2" s="347"/>
    </row>
    <row r="3" spans="1:56" s="383" customFormat="1" x14ac:dyDescent="0.3">
      <c r="A3" s="381" t="s">
        <v>2193</v>
      </c>
      <c r="B3" s="382">
        <v>6.6799999999999998E-2</v>
      </c>
      <c r="C3" s="382">
        <v>0.43619999999999998</v>
      </c>
      <c r="D3" s="382">
        <v>0.30890000000000001</v>
      </c>
      <c r="E3" s="382">
        <v>0.42559999999999998</v>
      </c>
      <c r="F3" s="382">
        <v>0.35670000000000002</v>
      </c>
      <c r="G3" s="382">
        <v>-0.13</v>
      </c>
      <c r="H3" s="382">
        <v>0.1736</v>
      </c>
      <c r="I3" s="382">
        <v>-2.9399999999999999E-2</v>
      </c>
      <c r="J3" s="382">
        <v>0.14749999999999999</v>
      </c>
      <c r="K3" s="382">
        <v>0.2349</v>
      </c>
      <c r="L3" s="382">
        <v>0.98050000000000004</v>
      </c>
      <c r="M3" s="382">
        <v>-5.0099999999999999E-2</v>
      </c>
      <c r="N3" s="382">
        <v>6.2700000000000006E-2</v>
      </c>
      <c r="O3" s="382">
        <v>3.5000000000000003E-2</v>
      </c>
      <c r="P3" s="382">
        <v>0.1749</v>
      </c>
      <c r="Q3" s="382">
        <v>-9.2700000000000005E-2</v>
      </c>
      <c r="R3" s="382">
        <v>0.1084</v>
      </c>
      <c r="S3" s="382">
        <v>2.6800000000000001E-2</v>
      </c>
      <c r="T3" s="382">
        <v>0.10730000000000001</v>
      </c>
      <c r="U3" s="382">
        <v>0.3256</v>
      </c>
      <c r="V3" s="382">
        <v>0.5796</v>
      </c>
      <c r="W3" s="382">
        <v>1.4800000000000001E-2</v>
      </c>
      <c r="X3" s="382">
        <v>-3.9800000000000002E-2</v>
      </c>
      <c r="Y3" s="382">
        <v>-4.1200000000000001E-2</v>
      </c>
      <c r="Z3" s="382">
        <v>4.7100000000000003E-2</v>
      </c>
      <c r="AA3" s="382">
        <v>6.3700000000000007E-2</v>
      </c>
      <c r="AB3" s="382">
        <v>0.1923</v>
      </c>
      <c r="AC3" s="382">
        <v>1.01E-2</v>
      </c>
      <c r="AD3" s="382">
        <v>0.12230000000000001</v>
      </c>
      <c r="AE3" s="382">
        <v>0.27079999999999999</v>
      </c>
      <c r="AF3" s="382">
        <v>0.1206</v>
      </c>
      <c r="AG3" s="382">
        <v>0.43859999999999999</v>
      </c>
      <c r="AH3" s="382">
        <v>0.28939999999999999</v>
      </c>
      <c r="AI3" s="382">
        <v>0.31769999999999998</v>
      </c>
      <c r="AJ3" s="382">
        <v>0.45090000000000002</v>
      </c>
      <c r="AK3" s="382">
        <v>0.99470000000000003</v>
      </c>
      <c r="AL3" s="382">
        <v>0.18410000000000001</v>
      </c>
      <c r="AM3" s="382">
        <v>0.29870000000000002</v>
      </c>
      <c r="AN3" s="382">
        <v>0.49569999999999997</v>
      </c>
      <c r="AO3" s="382">
        <v>0.38800000000000001</v>
      </c>
      <c r="AP3" s="382">
        <v>0.129</v>
      </c>
      <c r="AQ3" s="382">
        <v>0.17660000000000001</v>
      </c>
      <c r="AR3" s="382">
        <v>0.3039</v>
      </c>
      <c r="AS3" s="382">
        <v>0.27489999999999998</v>
      </c>
      <c r="AT3" s="382">
        <v>0.81020000000000003</v>
      </c>
      <c r="AU3" s="382"/>
      <c r="AV3" s="382"/>
      <c r="AW3" s="382"/>
      <c r="AX3" s="382"/>
      <c r="AY3" s="382"/>
      <c r="AZ3" s="382"/>
      <c r="BA3" s="382"/>
    </row>
    <row r="4" spans="1:56" s="383" customFormat="1" ht="34.5" customHeight="1" x14ac:dyDescent="0.3">
      <c r="A4" s="381" t="s">
        <v>2194</v>
      </c>
      <c r="B4" s="382">
        <f>B5+B6+B21+B44+B66+B85+B107+B131+B153+B175</f>
        <v>0.17022914886765994</v>
      </c>
      <c r="C4" s="382">
        <f t="shared" ref="C4:BD4" si="0">C5+C6+C21+C44+C66+C85+C107+C131+C153+C175</f>
        <v>-0.25838592434568597</v>
      </c>
      <c r="D4" s="382">
        <f t="shared" si="0"/>
        <v>-8.4106510822188021E-2</v>
      </c>
      <c r="E4" s="382">
        <f t="shared" si="0"/>
        <v>-6.9170959233170709E-2</v>
      </c>
      <c r="F4" s="382">
        <f t="shared" si="0"/>
        <v>-9.6685761888858496E-2</v>
      </c>
      <c r="G4" s="382">
        <f t="shared" si="0"/>
        <v>-0.23390864875803208</v>
      </c>
      <c r="H4" s="382">
        <f t="shared" si="0"/>
        <v>-9.8053072947654293E-2</v>
      </c>
      <c r="I4" s="382">
        <f t="shared" si="0"/>
        <v>-0.17414608335437121</v>
      </c>
      <c r="J4" s="382">
        <f t="shared" si="0"/>
        <v>-0.3782714398345336</v>
      </c>
      <c r="K4" s="382">
        <f t="shared" si="0"/>
        <v>-0.22443925108772309</v>
      </c>
      <c r="L4" s="382">
        <f t="shared" si="0"/>
        <v>-3.5148007430859343E-2</v>
      </c>
      <c r="M4" s="382">
        <f t="shared" si="0"/>
        <v>0.11479459297843758</v>
      </c>
      <c r="N4" s="382">
        <f t="shared" si="0"/>
        <v>-8.0556103431423942E-2</v>
      </c>
      <c r="O4" s="382">
        <f t="shared" si="0"/>
        <v>-0.12779380090835152</v>
      </c>
      <c r="P4" s="382">
        <f t="shared" si="0"/>
        <v>-0.10438987482607395</v>
      </c>
      <c r="Q4" s="382">
        <f t="shared" si="0"/>
        <v>0.25206639565655242</v>
      </c>
      <c r="R4" s="382">
        <f t="shared" si="0"/>
        <v>4.5388783685815656E-2</v>
      </c>
      <c r="S4" s="382">
        <f t="shared" si="0"/>
        <v>-0.1122991319496128</v>
      </c>
      <c r="T4" s="382">
        <f t="shared" si="0"/>
        <v>-0.1467250397323121</v>
      </c>
      <c r="U4" s="382">
        <f t="shared" si="0"/>
        <v>0.1008716774508957</v>
      </c>
      <c r="V4" s="382">
        <f t="shared" si="0"/>
        <v>-0.18685853869005076</v>
      </c>
      <c r="W4" s="382">
        <f t="shared" si="0"/>
        <v>4.4343414004636858E-2</v>
      </c>
      <c r="X4" s="382">
        <f t="shared" si="0"/>
        <v>5.4349106532128405E-2</v>
      </c>
      <c r="Y4" s="382">
        <f t="shared" si="0"/>
        <v>-9.265989174134158E-2</v>
      </c>
      <c r="Z4" s="382">
        <f t="shared" si="0"/>
        <v>4.939719664881536E-2</v>
      </c>
      <c r="AA4" s="382">
        <f t="shared" si="0"/>
        <v>0.10320884292155046</v>
      </c>
      <c r="AB4" s="382">
        <f t="shared" si="0"/>
        <v>8.5891714271597364E-2</v>
      </c>
      <c r="AC4" s="382">
        <f t="shared" si="0"/>
        <v>5.0717843832530418E-2</v>
      </c>
      <c r="AD4" s="382">
        <f t="shared" si="0"/>
        <v>-0.27037326850745375</v>
      </c>
      <c r="AE4" s="382">
        <f t="shared" si="0"/>
        <v>-0.16478165793120975</v>
      </c>
      <c r="AF4" s="382">
        <f t="shared" si="0"/>
        <v>-0.25657470140486222</v>
      </c>
      <c r="AG4" s="382">
        <f t="shared" si="0"/>
        <v>-0.28352098655069313</v>
      </c>
      <c r="AH4" s="382">
        <f t="shared" si="0"/>
        <v>-0.16379567082674273</v>
      </c>
      <c r="AI4" s="382">
        <f t="shared" si="0"/>
        <v>-0.1767418744261556</v>
      </c>
      <c r="AJ4" s="382">
        <f t="shared" si="0"/>
        <v>0.38920791208495376</v>
      </c>
      <c r="AK4" s="382">
        <f t="shared" si="0"/>
        <v>0.34605488089371828</v>
      </c>
      <c r="AL4" s="382">
        <f t="shared" si="0"/>
        <v>5.9249274911343797E-3</v>
      </c>
      <c r="AM4" s="382">
        <f t="shared" si="0"/>
        <v>-2.1151609266994748E-2</v>
      </c>
      <c r="AN4" s="382">
        <f t="shared" si="0"/>
        <v>2.2612872958615499E-2</v>
      </c>
      <c r="AO4" s="382">
        <f t="shared" si="0"/>
        <v>-0.29569999999999996</v>
      </c>
      <c r="AP4" s="382">
        <f t="shared" si="0"/>
        <v>-5.6495755617167659E-2</v>
      </c>
      <c r="AQ4" s="382">
        <f t="shared" si="0"/>
        <v>-4.1189490680952755E-2</v>
      </c>
      <c r="AR4" s="382">
        <f t="shared" si="0"/>
        <v>3.9061400205334454E-2</v>
      </c>
      <c r="AS4" s="382">
        <f t="shared" si="0"/>
        <v>1.5524410854272225E-3</v>
      </c>
      <c r="AT4" s="382">
        <f t="shared" si="0"/>
        <v>0.13775540622224994</v>
      </c>
      <c r="AU4" s="382">
        <f t="shared" si="0"/>
        <v>2.6000000000000009E-2</v>
      </c>
      <c r="AV4" s="382">
        <f t="shared" si="0"/>
        <v>-7.7199999999999991E-2</v>
      </c>
      <c r="AW4" s="382">
        <f t="shared" si="0"/>
        <v>5.0000000000002126E-4</v>
      </c>
      <c r="AX4" s="382">
        <f t="shared" si="0"/>
        <v>3.4000000000000044E-2</v>
      </c>
      <c r="AY4" s="382">
        <f t="shared" si="0"/>
        <v>-0.12950000000000003</v>
      </c>
      <c r="AZ4" s="382">
        <f t="shared" si="0"/>
        <v>-2.7100000000000006E-2</v>
      </c>
      <c r="BA4" s="382">
        <f t="shared" si="0"/>
        <v>7.6999999999999916E-3</v>
      </c>
      <c r="BB4" s="382">
        <f t="shared" si="0"/>
        <v>-6.9800000000000001E-2</v>
      </c>
      <c r="BC4" s="382">
        <f t="shared" si="0"/>
        <v>0</v>
      </c>
      <c r="BD4" s="382">
        <f t="shared" si="0"/>
        <v>6.1922044632419793E-3</v>
      </c>
    </row>
    <row r="5" spans="1:56" x14ac:dyDescent="0.3">
      <c r="A5" s="295" t="s">
        <v>35</v>
      </c>
      <c r="B5" s="347">
        <v>1.6899999999999998E-2</v>
      </c>
      <c r="C5" s="347">
        <v>-1.18E-2</v>
      </c>
      <c r="D5" s="347">
        <v>4.36E-2</v>
      </c>
      <c r="E5" s="347">
        <v>0.11409999999999999</v>
      </c>
      <c r="F5" s="347">
        <v>6.2300000000000001E-2</v>
      </c>
      <c r="G5" s="347">
        <v>9.2999999999999992E-3</v>
      </c>
      <c r="H5" s="347">
        <v>0.121</v>
      </c>
      <c r="I5" s="347">
        <v>-1.89E-2</v>
      </c>
      <c r="J5" s="347">
        <v>-1.3599999999999999E-2</v>
      </c>
      <c r="K5" s="347">
        <v>6.6900000000000001E-2</v>
      </c>
      <c r="L5" s="347">
        <v>0.21379999999999999</v>
      </c>
      <c r="M5" s="347">
        <v>3.4200000000000001E-2</v>
      </c>
      <c r="N5" s="347">
        <v>5.6500000000000002E-2</v>
      </c>
      <c r="O5" s="347">
        <v>-1.4E-2</v>
      </c>
      <c r="P5" s="347">
        <v>6.4000000000000003E-3</v>
      </c>
      <c r="Q5" s="347">
        <v>9.9199999999999997E-2</v>
      </c>
      <c r="R5" s="347">
        <v>-5.8299999999999998E-2</v>
      </c>
      <c r="S5" s="347">
        <v>3.1399999999999997E-2</v>
      </c>
      <c r="T5" s="347">
        <v>1.72E-2</v>
      </c>
      <c r="U5" s="347">
        <v>0.16400000000000001</v>
      </c>
      <c r="V5" s="347">
        <v>1.43E-2</v>
      </c>
      <c r="W5" s="347">
        <v>3.2500000000000001E-2</v>
      </c>
      <c r="X5" s="347">
        <v>4.7100000000000003E-2</v>
      </c>
      <c r="Y5" s="347">
        <v>3.8E-3</v>
      </c>
      <c r="Z5" s="347">
        <v>5.3E-3</v>
      </c>
      <c r="AA5" s="347">
        <v>2.86E-2</v>
      </c>
      <c r="AB5" s="347">
        <v>8.3999999999999995E-3</v>
      </c>
      <c r="AC5" s="347">
        <v>2.7E-2</v>
      </c>
      <c r="AD5" s="347">
        <v>-5.1700000000000003E-2</v>
      </c>
      <c r="AE5" s="347">
        <v>0.11020000000000001</v>
      </c>
      <c r="AF5" s="347">
        <v>9.4899999999999998E-2</v>
      </c>
      <c r="AG5" s="347">
        <v>0.1042</v>
      </c>
      <c r="AH5" s="347">
        <v>0.22140000000000001</v>
      </c>
      <c r="AI5" s="347">
        <v>5.3199999999999997E-2</v>
      </c>
      <c r="AJ5" s="347">
        <v>0.16869999999999999</v>
      </c>
      <c r="AK5" s="347">
        <v>4.7899999999999998E-2</v>
      </c>
      <c r="AL5" s="347">
        <v>3.7999999999999999E-2</v>
      </c>
      <c r="AM5" s="347">
        <v>5.1299999999999998E-2</v>
      </c>
      <c r="AN5" s="347">
        <v>4.4200000000000003E-2</v>
      </c>
      <c r="AO5" s="347">
        <v>6.3500000000000001E-2</v>
      </c>
      <c r="AP5" s="347">
        <v>1.15E-2</v>
      </c>
      <c r="AQ5" s="347">
        <v>1.6500000000000001E-2</v>
      </c>
      <c r="AR5" s="347">
        <v>0.1212</v>
      </c>
      <c r="AS5" s="347">
        <v>8.6800000000000002E-2</v>
      </c>
      <c r="AT5" s="347">
        <v>0.1074</v>
      </c>
      <c r="AU5" s="347">
        <v>7.2499999999999995E-2</v>
      </c>
      <c r="AV5" s="347">
        <v>4.36E-2</v>
      </c>
      <c r="AW5" s="347">
        <v>8.2699999999999996E-2</v>
      </c>
      <c r="AX5" s="347">
        <v>6.1499999999999999E-2</v>
      </c>
      <c r="AY5" s="347"/>
      <c r="AZ5" s="347"/>
      <c r="BA5" s="347"/>
    </row>
    <row r="6" spans="1:56" x14ac:dyDescent="0.3">
      <c r="A6" s="295" t="s">
        <v>57</v>
      </c>
      <c r="B6" s="347">
        <f t="shared" ref="B6:AJ6" si="1">SUM(B7:B20)</f>
        <v>1.7599999999999998E-2</v>
      </c>
      <c r="C6" s="347">
        <f t="shared" si="1"/>
        <v>2.07E-2</v>
      </c>
      <c r="D6" s="347">
        <f t="shared" si="1"/>
        <v>2.0899999999999998E-2</v>
      </c>
      <c r="E6" s="347">
        <f t="shared" si="1"/>
        <v>5.21E-2</v>
      </c>
      <c r="F6" s="347">
        <f t="shared" si="1"/>
        <v>9.5200000000000007E-2</v>
      </c>
      <c r="G6" s="347">
        <f t="shared" si="1"/>
        <v>-2.7099999999999999E-2</v>
      </c>
      <c r="H6" s="347">
        <f t="shared" si="1"/>
        <v>-1.7699999999999994E-2</v>
      </c>
      <c r="I6" s="347">
        <f t="shared" si="1"/>
        <v>-3.2000000000000015E-3</v>
      </c>
      <c r="J6" s="347">
        <f t="shared" si="1"/>
        <v>-2.7099999999999992E-2</v>
      </c>
      <c r="K6" s="347">
        <f t="shared" si="1"/>
        <v>8.3400000000000002E-2</v>
      </c>
      <c r="L6" s="347">
        <f t="shared" si="1"/>
        <v>4.1899999999999986E-2</v>
      </c>
      <c r="M6" s="347">
        <f t="shared" si="1"/>
        <v>2.9099999999999997E-2</v>
      </c>
      <c r="N6" s="347">
        <f t="shared" si="1"/>
        <v>2.0800000000000003E-2</v>
      </c>
      <c r="O6" s="347">
        <f t="shared" si="1"/>
        <v>-1.3799999999999998E-2</v>
      </c>
      <c r="P6" s="347">
        <f t="shared" si="1"/>
        <v>2.7999999999999987E-3</v>
      </c>
      <c r="Q6" s="347">
        <f t="shared" si="1"/>
        <v>6.9000000000000006E-2</v>
      </c>
      <c r="R6" s="347">
        <f t="shared" si="1"/>
        <v>-2.3000000000000043E-3</v>
      </c>
      <c r="S6" s="347">
        <f t="shared" si="1"/>
        <v>1.100000000000002E-3</v>
      </c>
      <c r="T6" s="347">
        <f t="shared" si="1"/>
        <v>-5.2000000000000067E-3</v>
      </c>
      <c r="U6" s="347">
        <f t="shared" si="1"/>
        <v>0.13880000000000001</v>
      </c>
      <c r="V6" s="347">
        <f t="shared" si="1"/>
        <v>4.1099999999999998E-2</v>
      </c>
      <c r="W6" s="347">
        <f t="shared" si="1"/>
        <v>5.7499999999999996E-2</v>
      </c>
      <c r="X6" s="347">
        <f t="shared" si="1"/>
        <v>-4.8999999999999998E-3</v>
      </c>
      <c r="Y6" s="347">
        <f t="shared" si="1"/>
        <v>3.2999999999999956E-3</v>
      </c>
      <c r="Z6" s="347">
        <f t="shared" si="1"/>
        <v>-1.9999999999999983E-3</v>
      </c>
      <c r="AA6" s="347">
        <f t="shared" si="1"/>
        <v>-1.4299999999999998E-2</v>
      </c>
      <c r="AB6" s="347">
        <f t="shared" si="1"/>
        <v>-1.8300000000000004E-2</v>
      </c>
      <c r="AC6" s="347">
        <f t="shared" si="1"/>
        <v>6.1499999999999999E-2</v>
      </c>
      <c r="AD6" s="347">
        <f t="shared" si="1"/>
        <v>1.4699999999999994E-2</v>
      </c>
      <c r="AE6" s="347">
        <f t="shared" si="1"/>
        <v>6.7199999999999996E-2</v>
      </c>
      <c r="AF6" s="347">
        <f t="shared" si="1"/>
        <v>-9.499999999999998E-3</v>
      </c>
      <c r="AG6" s="347">
        <f t="shared" si="1"/>
        <v>-4.19E-2</v>
      </c>
      <c r="AH6" s="347">
        <f t="shared" si="1"/>
        <v>-3.9899999999999998E-2</v>
      </c>
      <c r="AI6" s="347">
        <f t="shared" si="1"/>
        <v>7.1400000000000019E-2</v>
      </c>
      <c r="AJ6" s="347">
        <f t="shared" si="1"/>
        <v>-1.2599999999999988E-2</v>
      </c>
      <c r="AK6" s="347">
        <v>1.6400000000000001E-2</v>
      </c>
      <c r="AL6" s="347">
        <v>1.09E-2</v>
      </c>
      <c r="AM6" s="347">
        <v>2.0400000000000001E-2</v>
      </c>
      <c r="AN6" s="347">
        <v>-1.0800000000000001E-2</v>
      </c>
      <c r="AO6" s="347">
        <v>3.5999999999999999E-3</v>
      </c>
      <c r="AP6" s="347">
        <v>-8.8000000000000005E-3</v>
      </c>
      <c r="AQ6" s="347">
        <v>8.9999999999999998E-4</v>
      </c>
      <c r="AR6" s="347">
        <v>3.44E-2</v>
      </c>
      <c r="AS6" s="347">
        <v>3.7100000000000001E-2</v>
      </c>
      <c r="AT6" s="347">
        <v>6.5000000000000002E-2</v>
      </c>
      <c r="AU6" s="347">
        <v>1.3299999999999999E-2</v>
      </c>
      <c r="AV6" s="347">
        <v>5.4399999999999997E-2</v>
      </c>
      <c r="AW6" s="347">
        <v>3.73E-2</v>
      </c>
      <c r="AX6" s="347">
        <f>SUM(AX7:AX20)</f>
        <v>3.0999999999999993E-2</v>
      </c>
      <c r="AY6" s="347">
        <f>SUM(AY7:AY20)</f>
        <v>2.0199999999999999E-2</v>
      </c>
      <c r="AZ6" s="347">
        <f>SUM(AZ7:AZ20)</f>
        <v>0</v>
      </c>
      <c r="BA6" s="347">
        <f>SUM(BA7:BA20)</f>
        <v>3.9199999999999999E-2</v>
      </c>
    </row>
    <row r="7" spans="1:56" hidden="1" x14ac:dyDescent="0.3">
      <c r="A7">
        <v>20260202</v>
      </c>
      <c r="B7" s="279">
        <v>-4.0000000000000001E-3</v>
      </c>
      <c r="C7" s="279">
        <v>-2.18E-2</v>
      </c>
      <c r="D7" s="279">
        <v>-0.02</v>
      </c>
      <c r="E7" s="279">
        <v>-6.9699999999999998E-2</v>
      </c>
      <c r="F7" s="279">
        <v>-3.1099999999999999E-2</v>
      </c>
      <c r="G7" s="279">
        <v>1.4800000000000001E-2</v>
      </c>
      <c r="H7" s="279">
        <v>-7.0300000000000001E-2</v>
      </c>
      <c r="I7" s="279">
        <v>-1.2999999999999999E-3</v>
      </c>
      <c r="J7" s="279">
        <v>-1.2500000000000001E-2</v>
      </c>
      <c r="K7" s="279">
        <v>-6.2E-2</v>
      </c>
      <c r="L7" s="279">
        <v>-0.1</v>
      </c>
      <c r="M7" s="279">
        <v>-3.1199999999999999E-2</v>
      </c>
      <c r="N7" s="279">
        <v>-3.7499999999999999E-2</v>
      </c>
      <c r="O7" s="279">
        <v>-1.34E-2</v>
      </c>
      <c r="P7" s="279">
        <v>-1.21E-2</v>
      </c>
      <c r="Q7" s="279">
        <v>-5.9299999999999999E-2</v>
      </c>
      <c r="R7" s="279">
        <v>1.2999999999999999E-3</v>
      </c>
      <c r="S7" s="279">
        <v>-3.3599999999999998E-2</v>
      </c>
      <c r="T7" s="279">
        <v>-3.6900000000000002E-2</v>
      </c>
      <c r="U7" s="279">
        <v>1.3299999999999999E-2</v>
      </c>
      <c r="V7" s="279">
        <v>-1.55E-2</v>
      </c>
      <c r="W7" s="279">
        <v>-7.4999999999999997E-3</v>
      </c>
      <c r="X7" s="279">
        <v>-2.2499999999999999E-2</v>
      </c>
      <c r="Y7" s="279">
        <v>-1.24E-2</v>
      </c>
      <c r="Z7" s="279">
        <v>-2.1100000000000001E-2</v>
      </c>
      <c r="AA7" s="279">
        <v>-2.53E-2</v>
      </c>
      <c r="AB7" s="279">
        <v>-2.98E-2</v>
      </c>
      <c r="AC7" s="279">
        <v>-1.46E-2</v>
      </c>
      <c r="AD7" s="279">
        <v>-2.2800000000000001E-2</v>
      </c>
      <c r="AE7" s="279">
        <v>-9.4000000000000004E-3</v>
      </c>
      <c r="AF7" s="279">
        <v>-2.5100000000000001E-2</v>
      </c>
      <c r="AG7" s="279">
        <v>-3.5200000000000002E-2</v>
      </c>
      <c r="AH7" s="279">
        <v>-2.87E-2</v>
      </c>
      <c r="AI7" s="279">
        <v>-1.7999999999999999E-2</v>
      </c>
      <c r="AJ7" s="279">
        <v>-5.4399999999999997E-2</v>
      </c>
      <c r="AK7" s="279"/>
      <c r="AL7" s="279"/>
      <c r="AM7" s="279"/>
      <c r="AN7" s="279"/>
      <c r="AO7" s="279"/>
      <c r="AP7" s="279"/>
      <c r="AR7" s="347"/>
      <c r="AS7" s="347"/>
      <c r="AX7" s="279">
        <v>-2.3E-2</v>
      </c>
      <c r="AY7" s="279">
        <v>-1.9300000000000001E-2</v>
      </c>
      <c r="AZ7" s="279"/>
      <c r="BA7" s="279">
        <v>-1.35E-2</v>
      </c>
    </row>
    <row r="8" spans="1:56" hidden="1" x14ac:dyDescent="0.3">
      <c r="A8">
        <v>20260203</v>
      </c>
      <c r="B8" s="279">
        <v>-1.5E-3</v>
      </c>
      <c r="C8" s="279">
        <v>3.1099999999999999E-2</v>
      </c>
      <c r="D8" s="279">
        <v>2.5899999999999999E-2</v>
      </c>
      <c r="E8" s="279">
        <v>4.1000000000000002E-2</v>
      </c>
      <c r="F8" s="279">
        <v>6.6000000000000003E-2</v>
      </c>
      <c r="G8" s="279">
        <v>3.5999999999999999E-3</v>
      </c>
      <c r="H8" s="279">
        <v>1.38E-2</v>
      </c>
      <c r="I8" s="279">
        <v>7.7000000000000002E-3</v>
      </c>
      <c r="J8" s="279">
        <v>1.4E-2</v>
      </c>
      <c r="K8" s="279">
        <v>3.44E-2</v>
      </c>
      <c r="L8" s="279">
        <v>6.8400000000000002E-2</v>
      </c>
      <c r="M8" s="279">
        <v>1.6000000000000001E-3</v>
      </c>
      <c r="N8" s="279">
        <v>2.07E-2</v>
      </c>
      <c r="O8" s="279">
        <v>3.3999999999999998E-3</v>
      </c>
      <c r="P8" s="279">
        <v>1.03E-2</v>
      </c>
      <c r="Q8" s="279">
        <v>5.5999999999999999E-3</v>
      </c>
      <c r="R8" s="279">
        <v>-1.03E-2</v>
      </c>
      <c r="S8" s="279">
        <v>2.2800000000000001E-2</v>
      </c>
      <c r="T8" s="279">
        <v>8.0000000000000002E-3</v>
      </c>
      <c r="U8" s="279">
        <v>3.6600000000000001E-2</v>
      </c>
      <c r="V8" s="279">
        <v>2.3400000000000001E-2</v>
      </c>
      <c r="W8" s="279">
        <v>5.0000000000000001E-3</v>
      </c>
      <c r="X8" s="279">
        <v>1.72E-2</v>
      </c>
      <c r="Y8" s="279">
        <v>4.7999999999999996E-3</v>
      </c>
      <c r="Z8" s="279">
        <v>1.34E-2</v>
      </c>
      <c r="AA8" s="279">
        <v>1.5599999999999999E-2</v>
      </c>
      <c r="AB8" s="279">
        <v>1.23E-2</v>
      </c>
      <c r="AC8" s="279">
        <v>7.9000000000000008E-3</v>
      </c>
      <c r="AD8" s="279">
        <v>1.9599999999999999E-2</v>
      </c>
      <c r="AE8" s="279">
        <v>6.0499999999999998E-2</v>
      </c>
      <c r="AF8" s="279">
        <v>3.0700000000000002E-2</v>
      </c>
      <c r="AG8" s="279">
        <v>2.8000000000000001E-2</v>
      </c>
      <c r="AH8" s="279">
        <v>3.4599999999999999E-2</v>
      </c>
      <c r="AI8" s="279">
        <v>4.4400000000000002E-2</v>
      </c>
      <c r="AJ8" s="279">
        <v>1.4800000000000001E-2</v>
      </c>
      <c r="AK8" s="279"/>
      <c r="AL8" s="279"/>
      <c r="AM8" s="279"/>
      <c r="AN8" s="279"/>
      <c r="AO8" s="279"/>
      <c r="AP8" s="279"/>
      <c r="AR8" s="347"/>
      <c r="AS8" s="347"/>
      <c r="AX8" s="279">
        <v>1.9199999999999998E-2</v>
      </c>
      <c r="AY8" s="279">
        <v>1.61E-2</v>
      </c>
      <c r="AZ8" s="279"/>
      <c r="BA8" s="279">
        <v>2.24E-2</v>
      </c>
    </row>
    <row r="9" spans="1:56" hidden="1" x14ac:dyDescent="0.3">
      <c r="A9">
        <v>20260204</v>
      </c>
      <c r="B9" s="279">
        <v>2E-3</v>
      </c>
      <c r="C9" s="279">
        <v>7.9000000000000008E-3</v>
      </c>
      <c r="D9" s="279">
        <v>-5.4000000000000003E-3</v>
      </c>
      <c r="E9" s="279">
        <v>1.1000000000000001E-3</v>
      </c>
      <c r="F9" s="279">
        <v>2.1600000000000001E-2</v>
      </c>
      <c r="G9" s="279">
        <v>0.02</v>
      </c>
      <c r="H9" s="279">
        <v>2.7000000000000001E-3</v>
      </c>
      <c r="I9" s="279">
        <v>2.1700000000000001E-2</v>
      </c>
      <c r="J9" s="279">
        <v>3.1300000000000001E-2</v>
      </c>
      <c r="K9" s="279">
        <v>2.3300000000000001E-2</v>
      </c>
      <c r="L9" s="279">
        <v>1.8E-3</v>
      </c>
      <c r="M9" s="279">
        <v>3.2399999999999998E-2</v>
      </c>
      <c r="N9" s="279">
        <v>1.38E-2</v>
      </c>
      <c r="O9" s="279">
        <v>1.4500000000000001E-2</v>
      </c>
      <c r="P9" s="279">
        <v>9.4999999999999998E-3</v>
      </c>
      <c r="Q9" s="279">
        <v>9.0700000000000003E-2</v>
      </c>
      <c r="R9" s="279">
        <v>1.43E-2</v>
      </c>
      <c r="S9" s="279">
        <v>2.75E-2</v>
      </c>
      <c r="T9" s="279">
        <v>9.4999999999999998E-3</v>
      </c>
      <c r="U9" s="279">
        <v>3.3E-3</v>
      </c>
      <c r="V9" s="279">
        <v>1.2200000000000001E-2</v>
      </c>
      <c r="W9" s="279">
        <v>1.7399999999999999E-2</v>
      </c>
      <c r="X9" s="279">
        <v>1.6899999999999998E-2</v>
      </c>
      <c r="Y9" s="279">
        <v>1.44E-2</v>
      </c>
      <c r="Z9" s="279">
        <v>8.0000000000000002E-3</v>
      </c>
      <c r="AA9" s="279">
        <v>1.0200000000000001E-2</v>
      </c>
      <c r="AB9" s="279">
        <v>1.09E-2</v>
      </c>
      <c r="AC9" s="279">
        <v>1.37E-2</v>
      </c>
      <c r="AD9" s="279">
        <v>0.02</v>
      </c>
      <c r="AE9" s="279">
        <v>3.1199999999999999E-2</v>
      </c>
      <c r="AF9" s="279">
        <v>-1.9099999999999999E-2</v>
      </c>
      <c r="AG9" s="279">
        <v>-3.1099999999999999E-2</v>
      </c>
      <c r="AH9" s="279">
        <v>-3.27E-2</v>
      </c>
      <c r="AI9" s="279">
        <v>1.2999999999999999E-3</v>
      </c>
      <c r="AJ9" s="279">
        <v>-2.07E-2</v>
      </c>
      <c r="AK9" s="279"/>
      <c r="AL9" s="279"/>
      <c r="AM9" s="279"/>
      <c r="AN9" s="279"/>
      <c r="AO9" s="279"/>
      <c r="AP9" s="279"/>
      <c r="AR9" s="347"/>
      <c r="AS9" s="347"/>
      <c r="AX9" s="279">
        <v>1.3299999999999999E-2</v>
      </c>
      <c r="AY9" s="279">
        <v>3.0000000000000001E-3</v>
      </c>
      <c r="AZ9" s="279"/>
      <c r="BA9" s="279">
        <v>3.8999999999999998E-3</v>
      </c>
    </row>
    <row r="10" spans="1:56" hidden="1" x14ac:dyDescent="0.3">
      <c r="A10">
        <v>20260205</v>
      </c>
      <c r="B10" s="279">
        <v>2.5000000000000001E-3</v>
      </c>
      <c r="C10" s="279">
        <v>-1.6299999999999999E-2</v>
      </c>
      <c r="D10" s="279">
        <v>-1.7299999999999999E-2</v>
      </c>
      <c r="E10" s="279">
        <v>-2.1299999999999999E-2</v>
      </c>
      <c r="F10" s="279">
        <v>-1.11E-2</v>
      </c>
      <c r="G10" s="279">
        <v>5.3E-3</v>
      </c>
      <c r="H10" s="279">
        <v>-2.2700000000000001E-2</v>
      </c>
      <c r="I10" s="279">
        <v>0.01</v>
      </c>
      <c r="J10" s="279">
        <v>1.5800000000000002E-2</v>
      </c>
      <c r="K10" s="279">
        <v>-2.0799999999999999E-2</v>
      </c>
      <c r="L10" s="279">
        <v>-4.8399999999999999E-2</v>
      </c>
      <c r="M10" s="279">
        <v>-4.4000000000000003E-3</v>
      </c>
      <c r="N10" s="279">
        <v>-1.7600000000000001E-2</v>
      </c>
      <c r="O10" s="279">
        <v>1.6999999999999999E-3</v>
      </c>
      <c r="P10" s="279">
        <v>-3.8E-3</v>
      </c>
      <c r="Q10" s="279">
        <v>-2.8299999999999999E-2</v>
      </c>
      <c r="R10" s="279">
        <v>1.67E-2</v>
      </c>
      <c r="S10" s="279">
        <v>-1.2999999999999999E-3</v>
      </c>
      <c r="T10" s="279">
        <v>-1.6000000000000001E-3</v>
      </c>
      <c r="U10" s="279">
        <v>-4.7899999999999998E-2</v>
      </c>
      <c r="V10" s="279">
        <v>-3.56E-2</v>
      </c>
      <c r="W10" s="279">
        <v>-1.2200000000000001E-2</v>
      </c>
      <c r="X10" s="279">
        <v>0</v>
      </c>
      <c r="Y10" s="279">
        <v>9.4999999999999998E-3</v>
      </c>
      <c r="Z10" s="279">
        <v>1.0500000000000001E-2</v>
      </c>
      <c r="AA10" s="279">
        <v>0</v>
      </c>
      <c r="AB10" s="279">
        <v>2.3999999999999998E-3</v>
      </c>
      <c r="AC10" s="279">
        <v>-8.6999999999999994E-3</v>
      </c>
      <c r="AD10" s="279">
        <v>-4.3E-3</v>
      </c>
      <c r="AE10" s="279">
        <v>-5.45E-2</v>
      </c>
      <c r="AF10" s="279">
        <v>-1.41E-2</v>
      </c>
      <c r="AG10" s="279">
        <v>2E-3</v>
      </c>
      <c r="AH10" s="279">
        <v>-7.6E-3</v>
      </c>
      <c r="AI10" s="279">
        <v>-1.2800000000000001E-2</v>
      </c>
      <c r="AJ10" s="279">
        <v>-1.06E-2</v>
      </c>
      <c r="AK10" s="279"/>
      <c r="AL10" s="279"/>
      <c r="AM10" s="279"/>
      <c r="AN10" s="279"/>
      <c r="AO10" s="279"/>
      <c r="AP10" s="279"/>
      <c r="AR10" s="347"/>
      <c r="AS10" s="347"/>
      <c r="AX10" s="279">
        <v>-6.1999999999999998E-3</v>
      </c>
      <c r="AY10" s="279">
        <v>-8.0000000000000004E-4</v>
      </c>
      <c r="AZ10" s="279"/>
      <c r="BA10" s="279">
        <v>-3.3999999999999998E-3</v>
      </c>
    </row>
    <row r="11" spans="1:56" hidden="1" x14ac:dyDescent="0.3">
      <c r="A11">
        <v>20260206</v>
      </c>
      <c r="B11" s="279">
        <v>1E-3</v>
      </c>
      <c r="C11" s="279">
        <v>4.5999999999999999E-3</v>
      </c>
      <c r="D11" s="279">
        <v>6.4999999999999997E-3</v>
      </c>
      <c r="E11" s="279">
        <v>2.64E-2</v>
      </c>
      <c r="F11" s="279">
        <v>-1.18E-2</v>
      </c>
      <c r="G11" s="279">
        <v>-1.95E-2</v>
      </c>
      <c r="H11" s="279">
        <v>5.5999999999999999E-3</v>
      </c>
      <c r="I11" s="279">
        <v>-1.24E-2</v>
      </c>
      <c r="J11" s="279">
        <v>-1.67E-2</v>
      </c>
      <c r="K11" s="279">
        <v>-4.0000000000000001E-3</v>
      </c>
      <c r="L11" s="279">
        <v>4.1999999999999997E-3</v>
      </c>
      <c r="M11" s="279">
        <v>-3.2000000000000002E-3</v>
      </c>
      <c r="N11" s="279">
        <v>-9.7999999999999997E-3</v>
      </c>
      <c r="O11" s="279">
        <v>-5.8999999999999999E-3</v>
      </c>
      <c r="P11" s="279">
        <v>-4.4000000000000003E-3</v>
      </c>
      <c r="Q11" s="279">
        <v>-4.4000000000000003E-3</v>
      </c>
      <c r="R11" s="279">
        <v>-2.5000000000000001E-3</v>
      </c>
      <c r="S11" s="279">
        <v>-1.34E-2</v>
      </c>
      <c r="T11" s="279">
        <v>0</v>
      </c>
      <c r="U11" s="279">
        <v>5.1999999999999998E-3</v>
      </c>
      <c r="V11" s="279">
        <v>6.1999999999999998E-3</v>
      </c>
      <c r="W11" s="279">
        <v>1.6999999999999999E-3</v>
      </c>
      <c r="X11" s="279">
        <v>-5.5999999999999999E-3</v>
      </c>
      <c r="Y11" s="279">
        <v>6.6E-3</v>
      </c>
      <c r="Z11" s="279">
        <v>-2.5999999999999999E-3</v>
      </c>
      <c r="AA11" s="279">
        <v>-2.5000000000000001E-3</v>
      </c>
      <c r="AB11" s="279">
        <v>-1.1999999999999999E-3</v>
      </c>
      <c r="AC11" s="279">
        <v>2.8999999999999998E-3</v>
      </c>
      <c r="AD11" s="279">
        <v>-2.2000000000000001E-3</v>
      </c>
      <c r="AE11" s="279">
        <v>7.3000000000000001E-3</v>
      </c>
      <c r="AF11" s="279">
        <v>-1.6500000000000001E-2</v>
      </c>
      <c r="AG11" s="279">
        <v>5.1999999999999998E-3</v>
      </c>
      <c r="AH11" s="279">
        <v>-1.4500000000000001E-2</v>
      </c>
      <c r="AI11" s="279">
        <v>-1.77E-2</v>
      </c>
      <c r="AJ11" s="279">
        <v>-8.8000000000000005E-3</v>
      </c>
      <c r="AK11" s="279"/>
      <c r="AL11" s="279"/>
      <c r="AM11" s="279"/>
      <c r="AN11" s="279"/>
      <c r="AO11" s="279"/>
      <c r="AP11" s="279"/>
      <c r="AR11" s="347"/>
      <c r="AS11" s="347"/>
      <c r="AX11" s="279">
        <v>5.7000000000000002E-3</v>
      </c>
      <c r="AY11" s="279">
        <v>-8.0000000000000004E-4</v>
      </c>
      <c r="AZ11" s="279"/>
      <c r="BA11" s="279">
        <v>7.4999999999999997E-3</v>
      </c>
    </row>
    <row r="12" spans="1:56" hidden="1" x14ac:dyDescent="0.3">
      <c r="A12">
        <v>20260209</v>
      </c>
      <c r="B12" s="279">
        <v>1.5E-3</v>
      </c>
      <c r="C12" s="279">
        <v>1.0500000000000001E-2</v>
      </c>
      <c r="D12" s="279">
        <v>1.6500000000000001E-2</v>
      </c>
      <c r="E12" s="279">
        <v>1.34E-2</v>
      </c>
      <c r="F12" s="279">
        <v>3.6400000000000002E-2</v>
      </c>
      <c r="G12" s="279">
        <v>0</v>
      </c>
      <c r="H12" s="279">
        <v>5.4999999999999997E-3</v>
      </c>
      <c r="I12" s="279">
        <v>1.2999999999999999E-3</v>
      </c>
      <c r="J12" s="279">
        <v>1.7000000000000001E-2</v>
      </c>
      <c r="K12" s="279">
        <v>1.7999999999999999E-2</v>
      </c>
      <c r="L12" s="279">
        <v>2.1399999999999999E-2</v>
      </c>
      <c r="M12" s="279">
        <v>5.7999999999999996E-3</v>
      </c>
      <c r="N12" s="279">
        <v>1.4E-2</v>
      </c>
      <c r="O12" s="279">
        <v>9.2999999999999992E-3</v>
      </c>
      <c r="P12" s="279">
        <v>9.4999999999999998E-3</v>
      </c>
      <c r="Q12" s="279">
        <v>5.3E-3</v>
      </c>
      <c r="R12" s="279">
        <v>2.5000000000000001E-3</v>
      </c>
      <c r="S12" s="279">
        <v>2.1999999999999999E-2</v>
      </c>
      <c r="T12" s="279">
        <v>3.0999999999999999E-3</v>
      </c>
      <c r="U12" s="279">
        <v>2.9899999999999999E-2</v>
      </c>
      <c r="V12" s="279">
        <v>2.76E-2</v>
      </c>
      <c r="W12" s="279">
        <v>5.7999999999999996E-3</v>
      </c>
      <c r="X12" s="279">
        <v>2.8E-3</v>
      </c>
      <c r="Y12" s="279">
        <v>1.9E-3</v>
      </c>
      <c r="Z12" s="279">
        <v>0</v>
      </c>
      <c r="AA12" s="279">
        <v>5.1000000000000004E-3</v>
      </c>
      <c r="AB12" s="279">
        <v>3.5999999999999999E-3</v>
      </c>
      <c r="AC12" s="279">
        <v>4.8999999999999998E-3</v>
      </c>
      <c r="AD12" s="279">
        <v>5.7999999999999996E-3</v>
      </c>
      <c r="AE12" s="279">
        <v>3.8100000000000002E-2</v>
      </c>
      <c r="AF12" s="279">
        <v>3.4700000000000002E-2</v>
      </c>
      <c r="AG12" s="279">
        <v>2.86E-2</v>
      </c>
      <c r="AH12" s="279">
        <v>4.3099999999999999E-2</v>
      </c>
      <c r="AI12" s="279">
        <v>1.8100000000000002E-2</v>
      </c>
      <c r="AJ12" s="279">
        <v>3.2300000000000002E-2</v>
      </c>
      <c r="AK12" s="279"/>
      <c r="AL12" s="279"/>
      <c r="AM12" s="279"/>
      <c r="AN12" s="279"/>
      <c r="AO12" s="279"/>
      <c r="AP12" s="279"/>
      <c r="AR12" s="347"/>
      <c r="AS12" s="347"/>
      <c r="AX12" s="279">
        <v>1.12E-2</v>
      </c>
      <c r="AY12" s="279">
        <v>9.1999999999999998E-3</v>
      </c>
      <c r="AZ12" s="279"/>
      <c r="BA12" s="279">
        <v>1.4999999999999999E-2</v>
      </c>
    </row>
    <row r="13" spans="1:56" hidden="1" x14ac:dyDescent="0.3">
      <c r="A13">
        <v>20260210</v>
      </c>
      <c r="B13" s="279">
        <v>-5.0000000000000001E-3</v>
      </c>
      <c r="C13" s="279">
        <v>7.1999999999999998E-3</v>
      </c>
      <c r="D13" s="279">
        <v>9.9000000000000008E-3</v>
      </c>
      <c r="E13" s="279">
        <v>-1.1000000000000001E-3</v>
      </c>
      <c r="F13" s="279">
        <v>4.8999999999999998E-3</v>
      </c>
      <c r="G13" s="279">
        <v>-1.6199999999999999E-2</v>
      </c>
      <c r="H13" s="279">
        <v>-7.3000000000000001E-3</v>
      </c>
      <c r="I13" s="279">
        <v>-1.2500000000000001E-2</v>
      </c>
      <c r="J13" s="279">
        <v>-6.0000000000000001E-3</v>
      </c>
      <c r="K13" s="279">
        <v>-1.2999999999999999E-3</v>
      </c>
      <c r="L13" s="279">
        <v>-1.8E-3</v>
      </c>
      <c r="M13" s="279">
        <v>3.8E-3</v>
      </c>
      <c r="N13" s="279">
        <v>-6.4999999999999997E-3</v>
      </c>
      <c r="O13" s="279">
        <v>-8.0000000000000004E-4</v>
      </c>
      <c r="P13" s="279">
        <v>1.01E-2</v>
      </c>
      <c r="Q13" s="279">
        <v>8.8000000000000005E-3</v>
      </c>
      <c r="R13" s="279">
        <v>2.5000000000000001E-3</v>
      </c>
      <c r="S13" s="279">
        <v>-1.6400000000000001E-2</v>
      </c>
      <c r="T13" s="279">
        <v>-3.0999999999999999E-3</v>
      </c>
      <c r="U13" s="279">
        <v>9.4999999999999998E-3</v>
      </c>
      <c r="V13" s="279">
        <v>-5.1000000000000004E-3</v>
      </c>
      <c r="W13" s="279">
        <v>-5.7000000000000002E-3</v>
      </c>
      <c r="X13" s="279">
        <v>8.3999999999999995E-3</v>
      </c>
      <c r="Y13" s="279">
        <v>-5.5999999999999999E-3</v>
      </c>
      <c r="Z13" s="279">
        <v>1.3100000000000001E-2</v>
      </c>
      <c r="AA13" s="279">
        <v>7.6E-3</v>
      </c>
      <c r="AB13" s="279">
        <v>1.44E-2</v>
      </c>
      <c r="AC13" s="279">
        <v>-5.7999999999999996E-3</v>
      </c>
      <c r="AD13" s="279">
        <v>2.8999999999999998E-3</v>
      </c>
      <c r="AE13" s="279">
        <v>-1.66E-2</v>
      </c>
      <c r="AF13" s="279">
        <v>8.6E-3</v>
      </c>
      <c r="AG13" s="279">
        <v>5.5599999999999997E-2</v>
      </c>
      <c r="AH13" s="279">
        <v>4.5499999999999999E-2</v>
      </c>
      <c r="AI13" s="279">
        <v>2E-3</v>
      </c>
      <c r="AJ13" s="279">
        <v>4.8999999999999998E-3</v>
      </c>
      <c r="AK13" s="279"/>
      <c r="AL13" s="279"/>
      <c r="AM13" s="279"/>
      <c r="AN13" s="279"/>
      <c r="AO13" s="279"/>
      <c r="AP13" s="279"/>
      <c r="AR13" s="347"/>
      <c r="AS13" s="347"/>
      <c r="AX13" s="279">
        <v>1.1999999999999999E-3</v>
      </c>
      <c r="AY13" s="279">
        <v>-8.9999999999999998E-4</v>
      </c>
      <c r="AZ13" s="279"/>
      <c r="BA13" s="279">
        <v>-1E-4</v>
      </c>
    </row>
    <row r="14" spans="1:56" hidden="1" x14ac:dyDescent="0.3">
      <c r="A14">
        <v>20260211</v>
      </c>
      <c r="B14" s="279">
        <v>6.1000000000000004E-3</v>
      </c>
      <c r="C14" s="279">
        <v>-1.03E-2</v>
      </c>
      <c r="D14" s="279">
        <v>-1.1599999999999999E-2</v>
      </c>
      <c r="E14" s="279">
        <v>2.1000000000000001E-2</v>
      </c>
      <c r="F14" s="279">
        <v>4.4000000000000003E-3</v>
      </c>
      <c r="G14" s="279">
        <v>0</v>
      </c>
      <c r="H14" s="279">
        <v>7.4000000000000003E-3</v>
      </c>
      <c r="I14" s="279">
        <v>0</v>
      </c>
      <c r="J14" s="279">
        <v>-1.2E-2</v>
      </c>
      <c r="K14" s="279">
        <v>1.77E-2</v>
      </c>
      <c r="L14" s="279">
        <v>2.7799999999999998E-2</v>
      </c>
      <c r="M14" s="279">
        <v>8.6E-3</v>
      </c>
      <c r="N14" s="279">
        <v>2.5000000000000001E-3</v>
      </c>
      <c r="O14" s="279">
        <v>-1.6999999999999999E-3</v>
      </c>
      <c r="P14" s="279">
        <v>-1.06E-2</v>
      </c>
      <c r="Q14" s="279">
        <v>1.4E-2</v>
      </c>
      <c r="R14" s="279">
        <v>2.5000000000000001E-3</v>
      </c>
      <c r="S14" s="279">
        <v>-2.5999999999999999E-3</v>
      </c>
      <c r="T14" s="279">
        <v>3.0999999999999999E-3</v>
      </c>
      <c r="U14" s="279">
        <v>5.9999999999999995E-4</v>
      </c>
      <c r="V14" s="279">
        <v>-4.7000000000000002E-3</v>
      </c>
      <c r="W14" s="279">
        <v>-1.6999999999999999E-3</v>
      </c>
      <c r="X14" s="279">
        <v>-5.4999999999999997E-3</v>
      </c>
      <c r="Y14" s="279">
        <v>-2.8E-3</v>
      </c>
      <c r="Z14" s="279">
        <v>0</v>
      </c>
      <c r="AA14" s="279">
        <v>-2.5000000000000001E-3</v>
      </c>
      <c r="AB14" s="279">
        <v>-2.3999999999999998E-3</v>
      </c>
      <c r="AC14" s="279">
        <v>1E-3</v>
      </c>
      <c r="AD14" s="279">
        <v>6.9999999999999999E-4</v>
      </c>
      <c r="AE14" s="279">
        <v>-9.7999999999999997E-3</v>
      </c>
      <c r="AF14" s="279">
        <v>-9.5999999999999992E-3</v>
      </c>
      <c r="AG14" s="279">
        <v>0</v>
      </c>
      <c r="AH14" s="279">
        <v>-2.8500000000000001E-2</v>
      </c>
      <c r="AI14" s="279">
        <v>-7.4999999999999997E-3</v>
      </c>
      <c r="AJ14" s="279">
        <v>-1.1599999999999999E-2</v>
      </c>
      <c r="AK14" s="279"/>
      <c r="AL14" s="279"/>
      <c r="AM14" s="279"/>
      <c r="AN14" s="279"/>
      <c r="AO14" s="279"/>
      <c r="AP14" s="279"/>
      <c r="AR14" s="347"/>
      <c r="AS14" s="347"/>
      <c r="AX14" s="279">
        <v>3.8E-3</v>
      </c>
      <c r="AY14" s="279">
        <v>3.5000000000000001E-3</v>
      </c>
      <c r="AZ14" s="279"/>
      <c r="BA14" s="279">
        <v>5.9999999999999995E-4</v>
      </c>
    </row>
    <row r="15" spans="1:56" hidden="1" x14ac:dyDescent="0.3">
      <c r="A15">
        <v>20260212</v>
      </c>
      <c r="B15" s="279">
        <v>1E-3</v>
      </c>
      <c r="C15" s="279">
        <v>3.8999999999999998E-3</v>
      </c>
      <c r="D15" s="279">
        <v>1.3599999999999999E-2</v>
      </c>
      <c r="E15" s="279">
        <v>1.1000000000000001E-3</v>
      </c>
      <c r="F15" s="279">
        <v>2.12E-2</v>
      </c>
      <c r="G15" s="279">
        <v>-1.83E-2</v>
      </c>
      <c r="H15" s="279">
        <v>-1.0999999999999999E-2</v>
      </c>
      <c r="I15" s="279">
        <v>-1.14E-2</v>
      </c>
      <c r="J15" s="279">
        <v>-2.07E-2</v>
      </c>
      <c r="K15" s="279">
        <v>5.9999999999999995E-4</v>
      </c>
      <c r="L15" s="279">
        <v>6.6E-3</v>
      </c>
      <c r="M15" s="279">
        <v>-8.9999999999999998E-4</v>
      </c>
      <c r="N15" s="279">
        <v>3.3E-3</v>
      </c>
      <c r="O15" s="279">
        <v>-7.4999999999999997E-3</v>
      </c>
      <c r="P15" s="279">
        <v>0</v>
      </c>
      <c r="Q15" s="279">
        <v>3.3999999999999998E-3</v>
      </c>
      <c r="R15" s="279">
        <v>-1.5100000000000001E-2</v>
      </c>
      <c r="S15" s="279">
        <v>-5.1999999999999998E-3</v>
      </c>
      <c r="T15" s="279">
        <v>-1.0999999999999999E-2</v>
      </c>
      <c r="U15" s="279">
        <v>3.2599999999999997E-2</v>
      </c>
      <c r="V15" s="279">
        <v>3.1300000000000001E-2</v>
      </c>
      <c r="W15" s="279">
        <v>7.4000000000000003E-3</v>
      </c>
      <c r="X15" s="279">
        <v>-5.5999999999999999E-3</v>
      </c>
      <c r="Y15" s="279">
        <v>-1.03E-2</v>
      </c>
      <c r="Z15" s="279">
        <v>-2.5999999999999999E-3</v>
      </c>
      <c r="AA15" s="279">
        <v>-5.0000000000000001E-3</v>
      </c>
      <c r="AB15" s="279">
        <v>-3.5000000000000001E-3</v>
      </c>
      <c r="AC15" s="279">
        <v>7.7999999999999996E-3</v>
      </c>
      <c r="AD15" s="279">
        <v>-1.4E-3</v>
      </c>
      <c r="AE15" s="279">
        <v>1.26E-2</v>
      </c>
      <c r="AF15" s="279">
        <v>1.52E-2</v>
      </c>
      <c r="AG15" s="279">
        <v>-2.1499999999999998E-2</v>
      </c>
      <c r="AH15" s="279">
        <v>5.7000000000000002E-3</v>
      </c>
      <c r="AI15" s="279">
        <v>1.37E-2</v>
      </c>
      <c r="AJ15" s="279">
        <v>2.1600000000000001E-2</v>
      </c>
      <c r="AK15" s="279"/>
      <c r="AL15" s="279"/>
      <c r="AM15" s="279"/>
      <c r="AN15" s="279"/>
      <c r="AO15" s="279"/>
      <c r="AP15" s="279"/>
      <c r="AR15" s="347"/>
      <c r="AS15" s="347"/>
      <c r="AX15" s="279">
        <v>-1E-4</v>
      </c>
      <c r="AY15" s="279">
        <v>-1E-4</v>
      </c>
      <c r="AZ15" s="279"/>
      <c r="BA15" s="279">
        <v>-4.1999999999999997E-3</v>
      </c>
    </row>
    <row r="16" spans="1:56" hidden="1" x14ac:dyDescent="0.3">
      <c r="A16">
        <v>20260213</v>
      </c>
      <c r="B16" s="279">
        <v>5.4999999999999997E-3</v>
      </c>
      <c r="C16" s="279">
        <v>-1.2999999999999999E-3</v>
      </c>
      <c r="D16" s="279">
        <v>8.9999999999999998E-4</v>
      </c>
      <c r="E16" s="279">
        <v>-1.95E-2</v>
      </c>
      <c r="F16" s="279">
        <v>-2.5600000000000001E-2</v>
      </c>
      <c r="G16" s="279">
        <v>0</v>
      </c>
      <c r="H16" s="279">
        <v>-8.3000000000000001E-3</v>
      </c>
      <c r="I16" s="279">
        <v>-3.8E-3</v>
      </c>
      <c r="J16" s="279">
        <v>-6.1999999999999998E-3</v>
      </c>
      <c r="K16" s="279">
        <v>-2.5100000000000001E-2</v>
      </c>
      <c r="L16" s="279">
        <v>-3.4299999999999997E-2</v>
      </c>
      <c r="M16" s="279">
        <v>-1.35E-2</v>
      </c>
      <c r="N16" s="279">
        <v>-9.7999999999999997E-3</v>
      </c>
      <c r="O16" s="279">
        <v>-9.2999999999999992E-3</v>
      </c>
      <c r="P16" s="279">
        <v>-4.4000000000000003E-3</v>
      </c>
      <c r="Q16" s="279">
        <v>-1.72E-2</v>
      </c>
      <c r="R16" s="279">
        <v>-6.4000000000000003E-3</v>
      </c>
      <c r="S16" s="279">
        <v>-4.4999999999999997E-3</v>
      </c>
      <c r="T16" s="279">
        <v>-9.4999999999999998E-3</v>
      </c>
      <c r="U16" s="279">
        <v>-2.0899999999999998E-2</v>
      </c>
      <c r="V16" s="279">
        <v>-1.8100000000000002E-2</v>
      </c>
      <c r="W16" s="279">
        <v>-1.3100000000000001E-2</v>
      </c>
      <c r="X16" s="279">
        <v>-1.4E-2</v>
      </c>
      <c r="Y16" s="279">
        <v>-3.8E-3</v>
      </c>
      <c r="Z16" s="279">
        <v>-1.29E-2</v>
      </c>
      <c r="AA16" s="279">
        <v>-1.77E-2</v>
      </c>
      <c r="AB16" s="279">
        <v>-1.2999999999999999E-2</v>
      </c>
      <c r="AC16" s="279">
        <v>-1.2500000000000001E-2</v>
      </c>
      <c r="AD16" s="279">
        <v>-5.1000000000000004E-3</v>
      </c>
      <c r="AE16" s="279">
        <v>-3.0099999999999998E-2</v>
      </c>
      <c r="AF16" s="279">
        <v>-1.2800000000000001E-2</v>
      </c>
      <c r="AG16" s="279">
        <v>-7.3000000000000001E-3</v>
      </c>
      <c r="AH16" s="279">
        <v>-1.9400000000000001E-2</v>
      </c>
      <c r="AI16" s="279">
        <v>3.3999999999999998E-3</v>
      </c>
      <c r="AJ16" s="279">
        <v>1.8E-3</v>
      </c>
      <c r="AK16" s="279"/>
      <c r="AL16" s="279"/>
      <c r="AM16" s="279"/>
      <c r="AN16" s="279"/>
      <c r="AO16" s="279"/>
      <c r="AP16" s="279"/>
      <c r="AR16" s="347"/>
      <c r="AS16" s="347"/>
      <c r="AX16" s="279">
        <v>-8.6E-3</v>
      </c>
      <c r="AY16" s="279">
        <v>-5.0000000000000001E-3</v>
      </c>
      <c r="AZ16" s="279"/>
      <c r="BA16" s="279">
        <v>-2.3999999999999998E-3</v>
      </c>
    </row>
    <row r="17" spans="1:56" hidden="1" x14ac:dyDescent="0.3">
      <c r="A17">
        <v>20260224</v>
      </c>
      <c r="B17" s="279">
        <v>5.0000000000000001E-4</v>
      </c>
      <c r="C17" s="279">
        <v>2.5999999999999999E-3</v>
      </c>
      <c r="D17" s="279">
        <v>-7.1000000000000004E-3</v>
      </c>
      <c r="E17" s="279">
        <v>3.5299999999999998E-2</v>
      </c>
      <c r="F17" s="279">
        <v>3.61E-2</v>
      </c>
      <c r="G17" s="279">
        <v>-1.12E-2</v>
      </c>
      <c r="H17" s="279">
        <v>3.1800000000000002E-2</v>
      </c>
      <c r="I17" s="279">
        <v>-7.7000000000000002E-3</v>
      </c>
      <c r="J17" s="279">
        <v>-3.3799999999999997E-2</v>
      </c>
      <c r="K17" s="279">
        <v>2.0500000000000001E-2</v>
      </c>
      <c r="L17" s="279">
        <v>3.0599999999999999E-2</v>
      </c>
      <c r="M17" s="279">
        <v>1.6899999999999998E-2</v>
      </c>
      <c r="N17" s="279">
        <v>2.46E-2</v>
      </c>
      <c r="O17" s="279">
        <v>-1.6999999999999999E-3</v>
      </c>
      <c r="P17" s="279">
        <v>4.4000000000000003E-3</v>
      </c>
      <c r="Q17" s="279">
        <v>3.15E-2</v>
      </c>
      <c r="R17" s="279">
        <v>-2.5999999999999999E-3</v>
      </c>
      <c r="S17" s="279">
        <v>0</v>
      </c>
      <c r="T17" s="279">
        <v>4.7999999999999996E-3</v>
      </c>
      <c r="U17" s="279">
        <v>4.3700000000000003E-2</v>
      </c>
      <c r="V17" s="279">
        <v>5.1000000000000004E-3</v>
      </c>
      <c r="W17" s="279">
        <v>0.02</v>
      </c>
      <c r="X17" s="279">
        <v>0</v>
      </c>
      <c r="Y17" s="279">
        <v>5.7000000000000002E-3</v>
      </c>
      <c r="Z17" s="279">
        <v>-2.5999999999999999E-3</v>
      </c>
      <c r="AA17" s="279">
        <v>0</v>
      </c>
      <c r="AB17" s="279">
        <v>-4.7999999999999996E-3</v>
      </c>
      <c r="AC17" s="279">
        <v>1.95E-2</v>
      </c>
      <c r="AD17" s="279">
        <v>8.6999999999999994E-3</v>
      </c>
      <c r="AE17" s="279">
        <v>1.46E-2</v>
      </c>
      <c r="AF17" s="279">
        <v>-2.92E-2</v>
      </c>
      <c r="AG17" s="279">
        <v>-4.7399999999999998E-2</v>
      </c>
      <c r="AH17" s="279">
        <v>-3.0599999999999999E-2</v>
      </c>
      <c r="AI17" s="279">
        <v>1.21E-2</v>
      </c>
      <c r="AJ17" s="279">
        <v>3.5999999999999999E-3</v>
      </c>
      <c r="AK17" s="279"/>
      <c r="AL17" s="279"/>
      <c r="AM17" s="279"/>
      <c r="AN17" s="279"/>
      <c r="AO17" s="279"/>
      <c r="AP17" s="279"/>
      <c r="AR17" s="347"/>
      <c r="AS17" s="347"/>
      <c r="AX17" s="279">
        <v>1.2200000000000001E-2</v>
      </c>
      <c r="AY17" s="279">
        <v>4.1999999999999997E-3</v>
      </c>
      <c r="AZ17" s="279"/>
      <c r="BA17" s="279">
        <v>1.17E-2</v>
      </c>
    </row>
    <row r="18" spans="1:56" hidden="1" x14ac:dyDescent="0.3">
      <c r="A18">
        <v>20260225</v>
      </c>
      <c r="B18" s="279">
        <v>9.4999999999999998E-3</v>
      </c>
      <c r="C18" s="279">
        <v>1.2999999999999999E-3</v>
      </c>
      <c r="D18" s="279">
        <v>8.9999999999999998E-4</v>
      </c>
      <c r="E18" s="279">
        <v>1.6E-2</v>
      </c>
      <c r="F18" s="279">
        <v>5.3E-3</v>
      </c>
      <c r="G18" s="279">
        <v>5.7000000000000002E-3</v>
      </c>
      <c r="H18" s="279">
        <v>2.3599999999999999E-2</v>
      </c>
      <c r="I18" s="279">
        <v>5.1999999999999998E-3</v>
      </c>
      <c r="J18" s="279">
        <v>3.8999999999999998E-3</v>
      </c>
      <c r="K18" s="279">
        <v>4.2700000000000002E-2</v>
      </c>
      <c r="L18" s="279">
        <v>3.85E-2</v>
      </c>
      <c r="M18" s="279">
        <v>1.2999999999999999E-3</v>
      </c>
      <c r="N18" s="279">
        <v>8.0000000000000002E-3</v>
      </c>
      <c r="O18" s="279">
        <v>6.0000000000000001E-3</v>
      </c>
      <c r="P18" s="279">
        <v>-2.5000000000000001E-3</v>
      </c>
      <c r="Q18" s="279">
        <v>-2.5000000000000001E-3</v>
      </c>
      <c r="R18" s="279">
        <v>-3.8999999999999998E-3</v>
      </c>
      <c r="S18" s="279">
        <v>2.7300000000000001E-2</v>
      </c>
      <c r="T18" s="279">
        <v>1.2699999999999999E-2</v>
      </c>
      <c r="U18" s="279">
        <v>6.3E-3</v>
      </c>
      <c r="V18" s="279">
        <v>1.5599999999999999E-2</v>
      </c>
      <c r="W18" s="279">
        <v>3.3E-3</v>
      </c>
      <c r="X18" s="279">
        <v>8.5000000000000006E-3</v>
      </c>
      <c r="Y18" s="279">
        <v>2.8E-3</v>
      </c>
      <c r="Z18" s="279">
        <v>2.5999999999999999E-3</v>
      </c>
      <c r="AA18" s="279">
        <v>1.54E-2</v>
      </c>
      <c r="AB18" s="279">
        <v>7.1999999999999998E-3</v>
      </c>
      <c r="AC18" s="279">
        <v>6.7000000000000002E-3</v>
      </c>
      <c r="AD18" s="279">
        <v>6.9999999999999999E-4</v>
      </c>
      <c r="AE18" s="279">
        <v>1.17E-2</v>
      </c>
      <c r="AF18" s="279">
        <v>3.3E-3</v>
      </c>
      <c r="AG18" s="279">
        <v>-5.7999999999999996E-3</v>
      </c>
      <c r="AH18" s="279">
        <v>-4.3E-3</v>
      </c>
      <c r="AI18" s="279">
        <v>1.67E-2</v>
      </c>
      <c r="AJ18" s="279">
        <v>8.3999999999999995E-3</v>
      </c>
      <c r="AK18" s="279"/>
      <c r="AL18" s="279"/>
      <c r="AM18" s="279"/>
      <c r="AN18" s="279"/>
      <c r="AO18" s="279"/>
      <c r="AP18" s="279"/>
      <c r="AR18" s="347"/>
      <c r="AS18" s="347"/>
      <c r="AX18" s="279">
        <v>4.4999999999999997E-3</v>
      </c>
      <c r="AY18" s="279">
        <v>9.4000000000000004E-3</v>
      </c>
      <c r="AZ18" s="279"/>
      <c r="BA18" s="279">
        <v>4.5999999999999999E-3</v>
      </c>
    </row>
    <row r="19" spans="1:56" hidden="1" x14ac:dyDescent="0.3">
      <c r="A19">
        <v>20260226</v>
      </c>
      <c r="B19" s="279">
        <v>-1.5E-3</v>
      </c>
      <c r="C19" s="279">
        <v>3.2000000000000002E-3</v>
      </c>
      <c r="D19" s="279">
        <v>6.3E-3</v>
      </c>
      <c r="E19" s="279">
        <v>2.0999999999999999E-3</v>
      </c>
      <c r="F19" s="279">
        <v>-7.9000000000000008E-3</v>
      </c>
      <c r="G19" s="279">
        <v>-1.32E-2</v>
      </c>
      <c r="H19" s="279">
        <v>-8.9999999999999998E-4</v>
      </c>
      <c r="I19" s="279">
        <v>-5.1999999999999998E-3</v>
      </c>
      <c r="J19" s="279">
        <v>-7.7000000000000002E-3</v>
      </c>
      <c r="K19" s="279">
        <v>1.49E-2</v>
      </c>
      <c r="L19" s="279">
        <v>-7.7000000000000002E-3</v>
      </c>
      <c r="M19" s="279">
        <v>2.9999999999999997E-4</v>
      </c>
      <c r="N19" s="279">
        <v>4.7999999999999996E-3</v>
      </c>
      <c r="O19" s="279">
        <v>-1.0999999999999999E-2</v>
      </c>
      <c r="P19" s="279">
        <v>-1.9E-3</v>
      </c>
      <c r="Q19" s="279">
        <v>-6.7999999999999996E-3</v>
      </c>
      <c r="R19" s="279">
        <v>-2.5999999999999999E-3</v>
      </c>
      <c r="S19" s="279">
        <v>-2.41E-2</v>
      </c>
      <c r="T19" s="279">
        <v>0</v>
      </c>
      <c r="U19" s="279">
        <v>2.9100000000000001E-2</v>
      </c>
      <c r="V19" s="279">
        <v>-5.4000000000000003E-3</v>
      </c>
      <c r="W19" s="279">
        <v>1.2999999999999999E-2</v>
      </c>
      <c r="X19" s="279">
        <v>-1.12E-2</v>
      </c>
      <c r="Y19" s="279">
        <v>-7.4999999999999997E-3</v>
      </c>
      <c r="Z19" s="279">
        <v>-5.1999999999999998E-3</v>
      </c>
      <c r="AA19" s="279">
        <v>-1.01E-2</v>
      </c>
      <c r="AB19" s="279">
        <v>-1.5599999999999999E-2</v>
      </c>
      <c r="AC19" s="279">
        <v>1.14E-2</v>
      </c>
      <c r="AD19" s="279">
        <v>-1.0800000000000001E-2</v>
      </c>
      <c r="AE19" s="279">
        <v>-4.4999999999999997E-3</v>
      </c>
      <c r="AF19" s="279">
        <v>0</v>
      </c>
      <c r="AG19" s="279">
        <v>-1.5599999999999999E-2</v>
      </c>
      <c r="AH19" s="279">
        <v>-1.2E-2</v>
      </c>
      <c r="AI19" s="279">
        <v>1.7000000000000001E-2</v>
      </c>
      <c r="AJ19" s="279">
        <v>1.43E-2</v>
      </c>
      <c r="AK19" s="279"/>
      <c r="AL19" s="279"/>
      <c r="AM19" s="279"/>
      <c r="AN19" s="279"/>
      <c r="AO19" s="279"/>
      <c r="AP19" s="279"/>
      <c r="AR19" s="347"/>
      <c r="AS19" s="347"/>
      <c r="AX19" s="279">
        <v>-5.0000000000000001E-3</v>
      </c>
      <c r="AY19" s="279">
        <v>-1E-4</v>
      </c>
      <c r="AZ19" s="279"/>
      <c r="BA19" s="279">
        <v>-5.1999999999999998E-3</v>
      </c>
    </row>
    <row r="20" spans="1:56" hidden="1" x14ac:dyDescent="0.3">
      <c r="A20">
        <v>20260227</v>
      </c>
      <c r="B20" s="279">
        <v>0</v>
      </c>
      <c r="C20" s="279">
        <v>-1.9E-3</v>
      </c>
      <c r="D20" s="279">
        <v>1.8E-3</v>
      </c>
      <c r="E20" s="279">
        <v>6.3E-3</v>
      </c>
      <c r="F20" s="279">
        <v>-1.32E-2</v>
      </c>
      <c r="G20" s="279">
        <v>1.9E-3</v>
      </c>
      <c r="H20" s="279">
        <v>1.24E-2</v>
      </c>
      <c r="I20" s="279">
        <v>5.1999999999999998E-3</v>
      </c>
      <c r="J20" s="279">
        <v>6.4999999999999997E-3</v>
      </c>
      <c r="K20" s="279">
        <v>2.4500000000000001E-2</v>
      </c>
      <c r="L20" s="279">
        <v>3.4799999999999998E-2</v>
      </c>
      <c r="M20" s="279">
        <v>1.1599999999999999E-2</v>
      </c>
      <c r="N20" s="279">
        <v>1.03E-2</v>
      </c>
      <c r="O20" s="279">
        <v>2.5999999999999999E-3</v>
      </c>
      <c r="P20" s="279">
        <v>-1.2999999999999999E-3</v>
      </c>
      <c r="Q20" s="279">
        <v>2.8199999999999999E-2</v>
      </c>
      <c r="R20" s="279">
        <v>1.2999999999999999E-3</v>
      </c>
      <c r="S20" s="279">
        <v>2.5999999999999999E-3</v>
      </c>
      <c r="T20" s="279">
        <v>1.5699999999999999E-2</v>
      </c>
      <c r="U20" s="279">
        <v>-2.5000000000000001E-3</v>
      </c>
      <c r="V20" s="279">
        <v>4.1000000000000003E-3</v>
      </c>
      <c r="W20" s="279">
        <v>2.41E-2</v>
      </c>
      <c r="X20" s="279">
        <v>5.7000000000000002E-3</v>
      </c>
      <c r="Y20" s="279">
        <v>0</v>
      </c>
      <c r="Z20" s="279">
        <v>-2.5999999999999999E-3</v>
      </c>
      <c r="AA20" s="279">
        <v>-5.1000000000000004E-3</v>
      </c>
      <c r="AB20" s="279">
        <v>1.1999999999999999E-3</v>
      </c>
      <c r="AC20" s="279">
        <v>2.7300000000000001E-2</v>
      </c>
      <c r="AD20" s="279">
        <v>2.8999999999999998E-3</v>
      </c>
      <c r="AE20" s="279">
        <v>1.61E-2</v>
      </c>
      <c r="AF20" s="279">
        <v>2.4400000000000002E-2</v>
      </c>
      <c r="AG20" s="279">
        <v>2.5999999999999999E-3</v>
      </c>
      <c r="AH20" s="279">
        <v>9.4999999999999998E-3</v>
      </c>
      <c r="AI20" s="279">
        <v>-1.2999999999999999E-3</v>
      </c>
      <c r="AJ20" s="279">
        <v>-8.2000000000000007E-3</v>
      </c>
      <c r="AK20" s="279"/>
      <c r="AL20" s="279"/>
      <c r="AM20" s="279"/>
      <c r="AN20" s="279"/>
      <c r="AO20" s="279"/>
      <c r="AP20" s="279"/>
      <c r="AR20" s="347"/>
      <c r="AS20" s="347"/>
      <c r="AX20" s="279">
        <v>2.8E-3</v>
      </c>
      <c r="AY20" s="279">
        <v>1.8E-3</v>
      </c>
      <c r="AZ20" s="279"/>
      <c r="BA20" s="279">
        <v>2.3E-3</v>
      </c>
    </row>
    <row r="21" spans="1:56" x14ac:dyDescent="0.3">
      <c r="A21" s="295" t="s">
        <v>75</v>
      </c>
      <c r="B21" s="347">
        <f t="shared" ref="B21:AV21" si="2">SUM(B22:B43)</f>
        <v>3.1799999999999953E-2</v>
      </c>
      <c r="C21" s="347">
        <f t="shared" si="2"/>
        <v>-0.1472</v>
      </c>
      <c r="D21" s="347">
        <f t="shared" si="2"/>
        <v>-0.16310000000000002</v>
      </c>
      <c r="E21" s="347">
        <f t="shared" si="2"/>
        <v>-9.9199999999999997E-2</v>
      </c>
      <c r="F21" s="347">
        <f t="shared" si="2"/>
        <v>-0.14440000000000003</v>
      </c>
      <c r="G21" s="347">
        <f t="shared" si="2"/>
        <v>-6.2800000000000009E-2</v>
      </c>
      <c r="H21" s="347">
        <f t="shared" si="2"/>
        <v>-5.0100000000000026E-2</v>
      </c>
      <c r="I21" s="347">
        <f t="shared" si="2"/>
        <v>-4.1600000000000012E-2</v>
      </c>
      <c r="J21" s="347">
        <f t="shared" si="2"/>
        <v>-0.12669999999999998</v>
      </c>
      <c r="K21" s="347">
        <f t="shared" si="2"/>
        <v>-0.15499999999999997</v>
      </c>
      <c r="L21" s="347">
        <f t="shared" si="2"/>
        <v>-0.18630000000000005</v>
      </c>
      <c r="M21" s="347">
        <f t="shared" si="2"/>
        <v>7.499999999999998E-3</v>
      </c>
      <c r="N21" s="347">
        <f t="shared" si="2"/>
        <v>-5.3100000000000001E-2</v>
      </c>
      <c r="O21" s="347">
        <f t="shared" si="2"/>
        <v>-0.12509999999999999</v>
      </c>
      <c r="P21" s="347">
        <f t="shared" si="2"/>
        <v>-9.8999999999999991E-2</v>
      </c>
      <c r="Q21" s="347">
        <f t="shared" si="2"/>
        <v>2.0900000000000023E-2</v>
      </c>
      <c r="R21" s="347">
        <f t="shared" si="2"/>
        <v>3.8100000000000002E-2</v>
      </c>
      <c r="S21" s="347">
        <f t="shared" si="2"/>
        <v>-0.1263</v>
      </c>
      <c r="T21" s="347">
        <f t="shared" si="2"/>
        <v>-5.5100000000000003E-2</v>
      </c>
      <c r="U21" s="347">
        <f t="shared" si="2"/>
        <v>-6.3699999999999993E-2</v>
      </c>
      <c r="V21" s="347">
        <f t="shared" si="2"/>
        <v>-2.4000000000000004E-2</v>
      </c>
      <c r="W21" s="347">
        <f t="shared" si="2"/>
        <v>1.7200000000000007E-2</v>
      </c>
      <c r="X21" s="347">
        <f t="shared" si="2"/>
        <v>-6.6700000000000009E-2</v>
      </c>
      <c r="Y21" s="347">
        <f t="shared" si="2"/>
        <v>-3.7899999999999996E-2</v>
      </c>
      <c r="Z21" s="347">
        <f t="shared" si="2"/>
        <v>-3.740000000000001E-2</v>
      </c>
      <c r="AA21" s="347">
        <f t="shared" si="2"/>
        <v>-2.7099999999999992E-2</v>
      </c>
      <c r="AB21" s="347">
        <f t="shared" si="2"/>
        <v>2.6999999999999975E-3</v>
      </c>
      <c r="AC21" s="347">
        <f t="shared" si="2"/>
        <v>1.4200000000000001E-2</v>
      </c>
      <c r="AD21" s="347">
        <f t="shared" si="2"/>
        <v>-5.6899999999999992E-2</v>
      </c>
      <c r="AE21" s="347">
        <f t="shared" si="2"/>
        <v>-9.0499999999999997E-2</v>
      </c>
      <c r="AF21" s="347">
        <f t="shared" si="2"/>
        <v>-0.17980000000000002</v>
      </c>
      <c r="AG21" s="347">
        <f t="shared" si="2"/>
        <v>-0.17810000000000001</v>
      </c>
      <c r="AH21" s="347">
        <f t="shared" si="2"/>
        <v>-0.16180000000000003</v>
      </c>
      <c r="AI21" s="347">
        <f t="shared" si="2"/>
        <v>-0.16569999999999996</v>
      </c>
      <c r="AJ21" s="347">
        <f t="shared" si="2"/>
        <v>-0.16759999999999997</v>
      </c>
      <c r="AK21" s="347">
        <f t="shared" si="2"/>
        <v>-4.1900000000000007E-2</v>
      </c>
      <c r="AL21" s="347">
        <f t="shared" si="2"/>
        <v>-6.5899999999999986E-2</v>
      </c>
      <c r="AM21" s="347">
        <f t="shared" si="2"/>
        <v>-7.0199999999999999E-2</v>
      </c>
      <c r="AN21" s="347">
        <f t="shared" si="2"/>
        <v>-3.5600000000000007E-2</v>
      </c>
      <c r="AO21" s="347">
        <f t="shared" si="2"/>
        <v>-0.20289999999999994</v>
      </c>
      <c r="AP21" s="347">
        <f t="shared" si="2"/>
        <v>-7.1500000000000008E-2</v>
      </c>
      <c r="AQ21" s="347">
        <f t="shared" si="2"/>
        <v>-5.5499999999999994E-2</v>
      </c>
      <c r="AR21" s="347">
        <f t="shared" si="2"/>
        <v>-0.12429999999999999</v>
      </c>
      <c r="AS21" s="347">
        <f t="shared" si="2"/>
        <v>-0.11239999999999997</v>
      </c>
      <c r="AT21" s="347">
        <f t="shared" si="2"/>
        <v>-7.2999999999999982E-2</v>
      </c>
      <c r="AU21" s="347">
        <f t="shared" si="2"/>
        <v>-8.7599999999999983E-2</v>
      </c>
      <c r="AV21" s="347">
        <f t="shared" si="2"/>
        <v>-4.2000000000000003E-2</v>
      </c>
      <c r="AW21" s="347">
        <v>-0.1026</v>
      </c>
      <c r="AX21" s="347">
        <f>SUM(AX22:AX43)</f>
        <v>-6.9599999999999995E-2</v>
      </c>
      <c r="AY21" s="347">
        <f>SUM(AY22:AY43)</f>
        <v>-9.1599999999999987E-2</v>
      </c>
      <c r="AZ21" s="347">
        <f>SUM(AZ22:AZ43)</f>
        <v>-3.1399999999999997E-2</v>
      </c>
      <c r="BA21" s="347">
        <f>SUM(BA22:BA43)</f>
        <v>-7.4300000000000005E-2</v>
      </c>
      <c r="BD21" s="9">
        <f>AX21-AS21</f>
        <v>4.2799999999999977E-2</v>
      </c>
    </row>
    <row r="22" spans="1:56" hidden="1" x14ac:dyDescent="0.3">
      <c r="A22">
        <v>20260302</v>
      </c>
      <c r="B22" s="9">
        <v>8.3999999999999995E-3</v>
      </c>
      <c r="C22" s="9">
        <v>-1.9400000000000001E-2</v>
      </c>
      <c r="D22" s="9">
        <v>-2.23E-2</v>
      </c>
      <c r="E22" s="9">
        <v>1.9800000000000002E-2</v>
      </c>
      <c r="F22" s="9">
        <v>-5.8999999999999999E-3</v>
      </c>
      <c r="G22" s="9">
        <v>-1.9E-2</v>
      </c>
      <c r="H22" s="9">
        <v>2.1000000000000001E-2</v>
      </c>
      <c r="I22" s="9">
        <v>-9.0000000000000011E-3</v>
      </c>
      <c r="J22" s="9">
        <v>-3.1E-2</v>
      </c>
      <c r="K22" s="9">
        <v>1.1999999999999999E-3</v>
      </c>
      <c r="L22" s="9">
        <v>3.6499999999999998E-2</v>
      </c>
      <c r="M22" s="9">
        <v>2.1999999999999999E-2</v>
      </c>
      <c r="N22" s="9">
        <v>-8.0000000000000004E-4</v>
      </c>
      <c r="O22" s="9">
        <v>-1.2800000000000001E-2</v>
      </c>
      <c r="P22" s="9">
        <v>-1.77E-2</v>
      </c>
      <c r="Q22" s="9">
        <v>3.4100000000000012E-2</v>
      </c>
      <c r="R22" s="9">
        <v>5.2000000000000006E-3</v>
      </c>
      <c r="S22" s="9">
        <v>-2.2700000000000001E-2</v>
      </c>
      <c r="T22" s="9">
        <v>-6.1999999999999998E-3</v>
      </c>
      <c r="U22" s="9">
        <v>1.72E-2</v>
      </c>
      <c r="V22" s="9">
        <v>1.2699999999999999E-2</v>
      </c>
      <c r="W22" s="9">
        <v>7.8000000000000014E-3</v>
      </c>
      <c r="X22" s="9">
        <v>-1.6899999999999998E-2</v>
      </c>
      <c r="Y22" s="9">
        <v>-1.04E-2</v>
      </c>
      <c r="Z22" s="9">
        <v>-2.1100000000000001E-2</v>
      </c>
      <c r="AA22" s="9">
        <v>-2.5700000000000001E-2</v>
      </c>
      <c r="AB22" s="9">
        <v>-2.4299999999999999E-2</v>
      </c>
      <c r="AC22" s="9">
        <v>1.47E-2</v>
      </c>
      <c r="AD22" s="9">
        <v>-3.5999999999999999E-3</v>
      </c>
      <c r="AE22" s="9">
        <v>0</v>
      </c>
      <c r="AF22" s="9">
        <v>-2.92E-2</v>
      </c>
      <c r="AG22" s="9">
        <v>-3.2300000000000002E-2</v>
      </c>
      <c r="AH22" s="9">
        <v>-3.6900000000000002E-2</v>
      </c>
      <c r="AI22" s="9">
        <v>2.4500000000000001E-2</v>
      </c>
      <c r="AJ22" s="9">
        <v>-1.78E-2</v>
      </c>
      <c r="AK22" s="9">
        <v>8.3000000000000001E-3</v>
      </c>
      <c r="AL22" s="279">
        <v>4.7000000000000002E-3</v>
      </c>
      <c r="AM22" s="279">
        <v>-2E-3</v>
      </c>
      <c r="AN22" s="279">
        <v>-4.8999999999999998E-3</v>
      </c>
      <c r="AO22" s="279">
        <v>-3.9899999999999998E-2</v>
      </c>
      <c r="AP22" s="279">
        <v>2.3E-3</v>
      </c>
      <c r="AQ22" s="279">
        <v>3.8E-3</v>
      </c>
      <c r="AR22" s="279">
        <v>0</v>
      </c>
      <c r="AS22" s="279">
        <v>-9.7999999999999997E-3</v>
      </c>
      <c r="AT22" s="279">
        <v>-3.2099999999999997E-2</v>
      </c>
      <c r="AU22" s="279">
        <v>-4.0000000000000001E-3</v>
      </c>
      <c r="AV22" s="279">
        <v>-1.6799999999999999E-2</v>
      </c>
      <c r="AW22" s="279"/>
      <c r="AX22" s="279">
        <v>-3.5999999999999999E-3</v>
      </c>
      <c r="AY22" s="279">
        <v>-2.1100000000000001E-2</v>
      </c>
      <c r="AZ22" s="279"/>
      <c r="BA22" s="279">
        <v>-1.9400000000000001E-2</v>
      </c>
      <c r="BD22" s="9">
        <f>AX22-AS22</f>
        <v>6.1999999999999998E-3</v>
      </c>
    </row>
    <row r="23" spans="1:56" hidden="1" x14ac:dyDescent="0.3">
      <c r="A23">
        <v>20260303</v>
      </c>
      <c r="B23" s="9">
        <v>8.3999999999999995E-3</v>
      </c>
      <c r="C23" s="9">
        <v>-4.2299999999999997E-2</v>
      </c>
      <c r="D23" s="9">
        <v>-4.9200000000000001E-2</v>
      </c>
      <c r="E23" s="9">
        <v>-3.2599999999999997E-2</v>
      </c>
      <c r="F23" s="9">
        <v>-3.61E-2</v>
      </c>
      <c r="G23" s="9">
        <v>-1.9E-3</v>
      </c>
      <c r="H23" s="9">
        <v>-1.6999999999999999E-3</v>
      </c>
      <c r="I23" s="9">
        <v>-3.8999999999999998E-3</v>
      </c>
      <c r="J23" s="9">
        <v>-1.6E-2</v>
      </c>
      <c r="K23" s="9">
        <v>-3.2800000000000003E-2</v>
      </c>
      <c r="L23" s="9">
        <v>-5.4399999999999997E-2</v>
      </c>
      <c r="M23" s="9">
        <v>1.9400000000000001E-2</v>
      </c>
      <c r="N23" s="9">
        <v>-2.9000000000000001E-2</v>
      </c>
      <c r="O23" s="9">
        <v>-8.6999999999999994E-3</v>
      </c>
      <c r="P23" s="9">
        <v>-2.7699999999999999E-2</v>
      </c>
      <c r="Q23" s="9">
        <v>3.2199999999999999E-2</v>
      </c>
      <c r="R23" s="9">
        <v>9.0000000000000011E-3</v>
      </c>
      <c r="S23" s="9">
        <v>-2.92E-2</v>
      </c>
      <c r="T23" s="9">
        <v>-7.8000000000000014E-3</v>
      </c>
      <c r="U23" s="9">
        <v>-4.1900000000000007E-2</v>
      </c>
      <c r="V23" s="9">
        <v>-1.83E-2</v>
      </c>
      <c r="W23" s="9">
        <v>-6.1999999999999998E-3</v>
      </c>
      <c r="X23" s="9">
        <v>-2.5899999999999999E-2</v>
      </c>
      <c r="Y23" s="9">
        <v>-1.06E-2</v>
      </c>
      <c r="Z23" s="9">
        <v>-1.35E-2</v>
      </c>
      <c r="AA23" s="9">
        <v>-2.9000000000000001E-2</v>
      </c>
      <c r="AB23" s="9">
        <v>-2.9899999999999999E-2</v>
      </c>
      <c r="AC23" s="9">
        <v>-9.9000000000000008E-3</v>
      </c>
      <c r="AD23" s="9">
        <v>-2.3300000000000001E-2</v>
      </c>
      <c r="AE23" s="9">
        <v>-2.29E-2</v>
      </c>
      <c r="AF23" s="9">
        <v>-3.5700000000000003E-2</v>
      </c>
      <c r="AG23" s="9">
        <v>-4.6300000000000001E-2</v>
      </c>
      <c r="AH23" s="9">
        <v>-5.4300000000000001E-2</v>
      </c>
      <c r="AI23" s="9">
        <v>-6.8600000000000008E-2</v>
      </c>
      <c r="AJ23" s="9">
        <v>-5.8000000000000003E-2</v>
      </c>
      <c r="AK23" s="9">
        <v>-3.1899999999999998E-2</v>
      </c>
      <c r="AL23" s="279">
        <v>-1.43E-2</v>
      </c>
      <c r="AM23" s="279">
        <v>-3.0700000000000002E-2</v>
      </c>
      <c r="AN23" s="279">
        <v>-2.5700000000000001E-2</v>
      </c>
      <c r="AO23" s="279">
        <v>-4.1099999999999998E-2</v>
      </c>
      <c r="AP23" s="279">
        <v>-1.06E-2</v>
      </c>
      <c r="AQ23" s="279">
        <v>-1.54E-2</v>
      </c>
      <c r="AR23" s="279">
        <v>-4.3499999999999997E-2</v>
      </c>
      <c r="AS23" s="279">
        <v>-3.95E-2</v>
      </c>
      <c r="AT23" s="279">
        <v>-2.6599999999999999E-2</v>
      </c>
      <c r="AU23" s="279">
        <v>-2.3099999999999999E-2</v>
      </c>
      <c r="AV23" s="279">
        <v>-3.3000000000000002E-2</v>
      </c>
      <c r="AW23" s="279"/>
      <c r="AX23" s="279">
        <v>-1.2999999999999999E-2</v>
      </c>
      <c r="AY23" s="279">
        <v>-3.3000000000000002E-2</v>
      </c>
      <c r="AZ23" s="279"/>
      <c r="BA23" s="279">
        <v>-1.8599999999999998E-2</v>
      </c>
      <c r="BD23" s="9">
        <f t="shared" ref="BD23:BD43" si="3">AX23-AS23+BD22</f>
        <v>3.27E-2</v>
      </c>
    </row>
    <row r="24" spans="1:56" hidden="1" x14ac:dyDescent="0.3">
      <c r="A24">
        <v>20260304</v>
      </c>
      <c r="B24" s="9">
        <v>2.4899999999999999E-2</v>
      </c>
      <c r="C24" s="9">
        <v>-8.3000000000000001E-3</v>
      </c>
      <c r="D24" s="9">
        <v>-6.7000000000000002E-3</v>
      </c>
      <c r="E24" s="9">
        <v>-1.7899999999999999E-2</v>
      </c>
      <c r="F24" s="9">
        <v>-9.4999999999999998E-3</v>
      </c>
      <c r="G24" s="9">
        <v>-2.52E-2</v>
      </c>
      <c r="H24" s="9">
        <v>3.09E-2</v>
      </c>
      <c r="I24" s="9">
        <v>-7.8000000000000014E-3</v>
      </c>
      <c r="J24" s="9">
        <v>-9.4999999999999998E-3</v>
      </c>
      <c r="K24" s="9">
        <v>-9.300000000000001E-3</v>
      </c>
      <c r="L24" s="9">
        <v>-7.1999999999999998E-3</v>
      </c>
      <c r="M24" s="9">
        <v>-1.8700000000000001E-2</v>
      </c>
      <c r="N24" s="9">
        <v>-6.5000000000000006E-3</v>
      </c>
      <c r="O24" s="9">
        <v>-2.53E-2</v>
      </c>
      <c r="P24" s="9">
        <v>-5.3E-3</v>
      </c>
      <c r="Q24" s="9">
        <v>-2.18E-2</v>
      </c>
      <c r="R24" s="9">
        <v>-1.15E-2</v>
      </c>
      <c r="S24" s="9">
        <v>-8.8999999999999999E-3</v>
      </c>
      <c r="T24" s="9">
        <v>4.7000000000000002E-3</v>
      </c>
      <c r="U24" s="9">
        <v>3.3300000000000003E-2</v>
      </c>
      <c r="V24" s="9">
        <v>-5.8999999999999999E-3</v>
      </c>
      <c r="W24" s="9">
        <v>1.09E-2</v>
      </c>
      <c r="X24" s="9">
        <v>-1.47E-2</v>
      </c>
      <c r="Y24" s="9">
        <v>-1.1599999999999999E-2</v>
      </c>
      <c r="Z24" s="9">
        <v>-1.37E-2</v>
      </c>
      <c r="AA24" s="9">
        <v>-1.09E-2</v>
      </c>
      <c r="AB24" s="9">
        <v>-9.0000000000000011E-3</v>
      </c>
      <c r="AC24" s="9">
        <v>7.3000000000000001E-3</v>
      </c>
      <c r="AD24" s="9">
        <v>-8.199999999999999E-3</v>
      </c>
      <c r="AE24" s="9">
        <v>0</v>
      </c>
      <c r="AF24" s="9">
        <v>-1.2699999999999999E-2</v>
      </c>
      <c r="AG24" s="9">
        <v>-8.6E-3</v>
      </c>
      <c r="AH24" s="9">
        <v>-4.7000000000000002E-3</v>
      </c>
      <c r="AI24" s="9">
        <v>1.2200000000000001E-2</v>
      </c>
      <c r="AJ24" s="9">
        <v>0</v>
      </c>
      <c r="AK24" s="9">
        <v>-7.6E-3</v>
      </c>
      <c r="AL24" s="279">
        <v>-9.7999999999999997E-3</v>
      </c>
      <c r="AM24" s="279">
        <v>-7.4999999999999997E-3</v>
      </c>
      <c r="AN24" s="279">
        <v>-1.41E-2</v>
      </c>
      <c r="AO24" s="279">
        <v>-2.5999999999999999E-3</v>
      </c>
      <c r="AP24" s="279">
        <v>-1.3299999999999999E-2</v>
      </c>
      <c r="AQ24" s="279">
        <v>-1.14E-2</v>
      </c>
      <c r="AR24" s="279">
        <v>-3.8999999999999998E-3</v>
      </c>
      <c r="AS24" s="279">
        <v>-5.8999999999999999E-3</v>
      </c>
      <c r="AT24" s="279">
        <v>-6.4999999999999997E-3</v>
      </c>
      <c r="AU24" s="279">
        <v>-2.2000000000000001E-3</v>
      </c>
      <c r="AV24" s="279">
        <v>-1.8E-3</v>
      </c>
      <c r="AW24" s="279"/>
      <c r="AX24" s="279">
        <v>-9.5999999999999992E-3</v>
      </c>
      <c r="AY24" s="279">
        <v>-1.41E-2</v>
      </c>
      <c r="AZ24" s="279"/>
      <c r="BA24" s="279">
        <v>-6.4000000000000003E-3</v>
      </c>
      <c r="BD24" s="9">
        <f t="shared" si="3"/>
        <v>2.9000000000000001E-2</v>
      </c>
    </row>
    <row r="25" spans="1:56" hidden="1" x14ac:dyDescent="0.3">
      <c r="A25">
        <v>20260305</v>
      </c>
      <c r="B25" s="9">
        <v>-1.95E-2</v>
      </c>
      <c r="C25" s="9">
        <v>1.3899999999999999E-2</v>
      </c>
      <c r="D25" s="9">
        <v>1.7399999999999999E-2</v>
      </c>
      <c r="E25" s="9">
        <v>1.18E-2</v>
      </c>
      <c r="F25" s="9">
        <v>2.3199999999999998E-2</v>
      </c>
      <c r="G25" s="9">
        <v>2E-3</v>
      </c>
      <c r="H25" s="9">
        <v>-4.2500000000000003E-2</v>
      </c>
      <c r="I25" s="9">
        <v>-4.0000000000000001E-3</v>
      </c>
      <c r="J25" s="9">
        <v>-6.7999999999999996E-3</v>
      </c>
      <c r="K25" s="9">
        <v>1.1999999999999999E-3</v>
      </c>
      <c r="L25" s="9">
        <v>-8.1000000000000013E-3</v>
      </c>
      <c r="M25" s="9">
        <v>-3.8999999999999998E-3</v>
      </c>
      <c r="N25" s="9">
        <v>1.7100000000000001E-2</v>
      </c>
      <c r="O25" s="9">
        <v>1.8E-3</v>
      </c>
      <c r="P25" s="9">
        <v>1.1299999999999999E-2</v>
      </c>
      <c r="Q25" s="9">
        <v>-2.3999999999999998E-3</v>
      </c>
      <c r="R25" s="9">
        <v>1.03E-2</v>
      </c>
      <c r="S25" s="9">
        <v>6.1999999999999998E-3</v>
      </c>
      <c r="T25" s="9">
        <v>-1.09E-2</v>
      </c>
      <c r="U25" s="9">
        <v>4.1300000000000003E-2</v>
      </c>
      <c r="V25" s="9">
        <v>8.6999999999999994E-3</v>
      </c>
      <c r="W25" s="9">
        <v>1.24E-2</v>
      </c>
      <c r="X25" s="9">
        <v>0</v>
      </c>
      <c r="Y25" s="9">
        <v>2E-3</v>
      </c>
      <c r="Z25" s="9">
        <v>5.5000000000000014E-3</v>
      </c>
      <c r="AA25" s="9">
        <v>5.5000000000000014E-3</v>
      </c>
      <c r="AB25" s="9">
        <v>7.8000000000000014E-3</v>
      </c>
      <c r="AC25" s="9">
        <v>1.6299999999999999E-2</v>
      </c>
      <c r="AD25" s="9">
        <v>6.0000000000000001E-3</v>
      </c>
      <c r="AE25" s="9">
        <v>1.35E-2</v>
      </c>
      <c r="AF25" s="9">
        <v>4.7000000000000002E-3</v>
      </c>
      <c r="AG25" s="9">
        <v>1.5100000000000001E-2</v>
      </c>
      <c r="AH25" s="9">
        <v>1.7000000000000001E-2</v>
      </c>
      <c r="AI25" s="9">
        <v>7.3000000000000001E-3</v>
      </c>
      <c r="AJ25" s="9">
        <v>1.7299999999999999E-2</v>
      </c>
      <c r="AK25" s="9">
        <v>2.0400000000000001E-2</v>
      </c>
      <c r="AL25" s="279">
        <v>6.4000000000000003E-3</v>
      </c>
      <c r="AM25" s="279">
        <v>1.23E-2</v>
      </c>
      <c r="AN25" s="279">
        <v>1.66E-2</v>
      </c>
      <c r="AO25" s="279">
        <v>1.12E-2</v>
      </c>
      <c r="AP25" s="279">
        <v>4.7999999999999996E-3</v>
      </c>
      <c r="AQ25" s="279">
        <v>9.7999999999999997E-3</v>
      </c>
      <c r="AR25" s="279">
        <v>7.3000000000000001E-3</v>
      </c>
      <c r="AS25" s="279">
        <v>9.4999999999999998E-3</v>
      </c>
      <c r="AT25" s="279">
        <v>1.3299999999999999E-2</v>
      </c>
      <c r="AU25" s="279">
        <v>2.0000000000000001E-4</v>
      </c>
      <c r="AV25" s="279">
        <v>1.4500000000000001E-2</v>
      </c>
      <c r="AW25" s="279"/>
      <c r="AX25" s="279">
        <v>3.2000000000000002E-3</v>
      </c>
      <c r="AY25" s="279">
        <v>9.1999999999999998E-3</v>
      </c>
      <c r="AZ25" s="279"/>
      <c r="BA25" s="279">
        <v>7.6E-3</v>
      </c>
      <c r="BD25" s="9">
        <f t="shared" si="3"/>
        <v>2.2700000000000001E-2</v>
      </c>
    </row>
    <row r="26" spans="1:56" hidden="1" x14ac:dyDescent="0.3">
      <c r="A26">
        <v>20260306</v>
      </c>
      <c r="B26" s="9">
        <v>3.15E-2</v>
      </c>
      <c r="C26" s="9">
        <v>8.8999999999999999E-3</v>
      </c>
      <c r="D26" s="9">
        <v>5.6999999999999993E-3</v>
      </c>
      <c r="E26" s="9">
        <v>1.9099999999999999E-2</v>
      </c>
      <c r="F26" s="9">
        <v>1.1599999999999999E-2</v>
      </c>
      <c r="G26" s="9">
        <v>1.3899999999999999E-2</v>
      </c>
      <c r="H26" s="9">
        <v>3.1300000000000001E-2</v>
      </c>
      <c r="I26" s="9">
        <v>2.2499999999999999E-2</v>
      </c>
      <c r="J26" s="9">
        <v>1.5100000000000001E-2</v>
      </c>
      <c r="K26" s="9">
        <v>5.0000000000000001E-3</v>
      </c>
      <c r="L26" s="9">
        <v>-2.0199999999999999E-2</v>
      </c>
      <c r="M26" s="9">
        <v>-1.8E-3</v>
      </c>
      <c r="N26" s="9">
        <v>1.6799999999999999E-2</v>
      </c>
      <c r="O26" s="9">
        <v>1.2500000000000001E-2</v>
      </c>
      <c r="P26" s="9">
        <v>6.6000000000000008E-3</v>
      </c>
      <c r="Q26" s="9">
        <v>-1.2E-2</v>
      </c>
      <c r="R26" s="9">
        <v>1.2999999999999999E-3</v>
      </c>
      <c r="S26" s="9">
        <v>1.03E-2</v>
      </c>
      <c r="T26" s="9">
        <v>3.9399999999999998E-2</v>
      </c>
      <c r="U26" s="9">
        <v>3.8999999999999998E-3</v>
      </c>
      <c r="V26" s="9">
        <v>9.1000000000000004E-3</v>
      </c>
      <c r="W26" s="9">
        <v>1.4500000000000001E-2</v>
      </c>
      <c r="X26" s="9">
        <v>2.4E-2</v>
      </c>
      <c r="Y26" s="9">
        <v>1.2699999999999999E-2</v>
      </c>
      <c r="Z26" s="9">
        <v>2.4799999999999999E-2</v>
      </c>
      <c r="AA26" s="9">
        <v>2.7300000000000001E-2</v>
      </c>
      <c r="AB26" s="9">
        <v>3.09E-2</v>
      </c>
      <c r="AC26" s="9">
        <v>1.0699999999999999E-2</v>
      </c>
      <c r="AD26" s="9">
        <v>6.0000000000000001E-3</v>
      </c>
      <c r="AE26" s="9">
        <v>1.8E-3</v>
      </c>
      <c r="AF26" s="9">
        <v>1.9800000000000002E-2</v>
      </c>
      <c r="AG26" s="9">
        <v>1.4E-3</v>
      </c>
      <c r="AH26" s="9">
        <v>5.6000000000000008E-3</v>
      </c>
      <c r="AI26" s="9">
        <v>9.9000000000000008E-3</v>
      </c>
      <c r="AJ26" s="9">
        <v>0</v>
      </c>
      <c r="AK26" s="9">
        <v>-5.0000000000000001E-3</v>
      </c>
      <c r="AL26" s="279">
        <v>3.8E-3</v>
      </c>
      <c r="AM26" s="279">
        <v>5.8999999999999999E-3</v>
      </c>
      <c r="AN26" s="279">
        <v>3.8E-3</v>
      </c>
      <c r="AO26" s="279">
        <v>1E-4</v>
      </c>
      <c r="AP26" s="279">
        <v>1.4E-3</v>
      </c>
      <c r="AQ26" s="279">
        <v>2.7000000000000001E-3</v>
      </c>
      <c r="AR26" s="279">
        <v>6.1999999999999998E-3</v>
      </c>
      <c r="AS26" s="279">
        <v>9.4999999999999998E-3</v>
      </c>
      <c r="AT26" s="279">
        <v>3.5099999999999999E-2</v>
      </c>
      <c r="AU26" s="279">
        <v>3.8999999999999998E-3</v>
      </c>
      <c r="AV26" s="279">
        <v>1.24E-2</v>
      </c>
      <c r="AW26" s="279"/>
      <c r="AX26" s="279">
        <v>1.43E-2</v>
      </c>
      <c r="AY26" s="279">
        <v>1.6799999999999999E-2</v>
      </c>
      <c r="AZ26" s="279"/>
      <c r="BA26" s="279">
        <v>1.7999999999999999E-2</v>
      </c>
      <c r="BD26" s="9">
        <f t="shared" si="3"/>
        <v>2.7500000000000004E-2</v>
      </c>
    </row>
    <row r="27" spans="1:56" hidden="1" x14ac:dyDescent="0.3">
      <c r="A27">
        <v>20260309</v>
      </c>
      <c r="B27" s="9">
        <v>4.99E-2</v>
      </c>
      <c r="C27" s="9">
        <v>-1.9E-2</v>
      </c>
      <c r="D27" s="9">
        <v>-8.5000000000000006E-3</v>
      </c>
      <c r="E27" s="9">
        <v>-1.5599999999999999E-2</v>
      </c>
      <c r="F27" s="9">
        <v>-3.1099999999999999E-2</v>
      </c>
      <c r="G27" s="9">
        <v>-9.7999999999999997E-3</v>
      </c>
      <c r="H27" s="9">
        <v>-4.1999999999999997E-3</v>
      </c>
      <c r="I27" s="9">
        <v>-2.5999999999999999E-3</v>
      </c>
      <c r="J27" s="9">
        <v>-2.4400000000000002E-2</v>
      </c>
      <c r="K27" s="9">
        <v>-6.7999999999999996E-3</v>
      </c>
      <c r="L27" s="9">
        <v>-9.7000000000000003E-3</v>
      </c>
      <c r="M27" s="9">
        <v>7.3000000000000001E-3</v>
      </c>
      <c r="N27" s="9">
        <v>-1.0200000000000001E-2</v>
      </c>
      <c r="O27" s="9">
        <v>-1.6799999999999999E-2</v>
      </c>
      <c r="P27" s="9">
        <v>-1.9E-2</v>
      </c>
      <c r="Q27" s="9">
        <v>3.15E-2</v>
      </c>
      <c r="R27" s="9">
        <v>-7.7000000000000002E-3</v>
      </c>
      <c r="S27" s="9">
        <v>-1.6899999999999998E-2</v>
      </c>
      <c r="T27" s="9">
        <v>-1.5E-3</v>
      </c>
      <c r="U27" s="9">
        <v>1.11E-2</v>
      </c>
      <c r="V27" s="9">
        <v>6.7999999999999996E-3</v>
      </c>
      <c r="W27" s="9">
        <v>1.3599999999999999E-2</v>
      </c>
      <c r="X27" s="9">
        <v>-1.46E-2</v>
      </c>
      <c r="Y27" s="9">
        <v>-4.7999999999999996E-3</v>
      </c>
      <c r="Z27" s="9">
        <v>-1.34E-2</v>
      </c>
      <c r="AA27" s="9">
        <v>-8.0000000000000002E-3</v>
      </c>
      <c r="AB27" s="9">
        <v>-1.37E-2</v>
      </c>
      <c r="AC27" s="9">
        <v>1.32E-2</v>
      </c>
      <c r="AD27" s="9">
        <v>-1.34E-2</v>
      </c>
      <c r="AE27" s="9">
        <v>1.95E-2</v>
      </c>
      <c r="AF27" s="9">
        <v>1.49E-2</v>
      </c>
      <c r="AG27" s="9">
        <v>-7.000000000000001E-4</v>
      </c>
      <c r="AH27" s="9">
        <v>0</v>
      </c>
      <c r="AI27" s="9">
        <v>-1.9699999999999999E-2</v>
      </c>
      <c r="AJ27" s="9">
        <v>-2.0199999999999999E-2</v>
      </c>
      <c r="AK27" s="9">
        <v>-2.3099999999999999E-2</v>
      </c>
      <c r="AL27" s="279">
        <v>-6.7000000000000002E-3</v>
      </c>
      <c r="AM27" s="279">
        <v>-7.4000000000000003E-3</v>
      </c>
      <c r="AN27" s="279">
        <v>-6.4000000000000003E-3</v>
      </c>
      <c r="AO27" s="279">
        <v>-2.3199999999999998E-2</v>
      </c>
      <c r="AP27" s="279">
        <v>-9.9000000000000008E-3</v>
      </c>
      <c r="AQ27" s="279">
        <v>-9.7000000000000003E-3</v>
      </c>
      <c r="AR27" s="279">
        <v>-9.7000000000000003E-3</v>
      </c>
      <c r="AS27" s="279">
        <v>-5.4999999999999997E-3</v>
      </c>
      <c r="AT27" s="279">
        <v>-8.6999999999999994E-3</v>
      </c>
      <c r="AU27" s="279">
        <v>-4.3E-3</v>
      </c>
      <c r="AV27" s="279">
        <v>-6.1999999999999998E-3</v>
      </c>
      <c r="AW27" s="279"/>
      <c r="AX27" s="279">
        <v>-8.6E-3</v>
      </c>
      <c r="AY27" s="279">
        <v>-1.0200000000000001E-2</v>
      </c>
      <c r="AZ27" s="279"/>
      <c r="BA27" s="279">
        <v>-5.4999999999999997E-3</v>
      </c>
      <c r="BD27" s="9">
        <f t="shared" si="3"/>
        <v>2.4400000000000005E-2</v>
      </c>
    </row>
    <row r="28" spans="1:56" hidden="1" x14ac:dyDescent="0.3">
      <c r="A28">
        <v>20260310</v>
      </c>
      <c r="B28" s="9">
        <v>-2.3699999999999999E-2</v>
      </c>
      <c r="C28" s="9">
        <v>2.4299999999999999E-2</v>
      </c>
      <c r="D28" s="9">
        <v>2.0899999999999998E-2</v>
      </c>
      <c r="E28" s="9">
        <v>-6.3E-3</v>
      </c>
      <c r="F28" s="9">
        <v>3.5499999999999997E-2</v>
      </c>
      <c r="G28" s="9">
        <v>5.8999999999999999E-3</v>
      </c>
      <c r="H28" s="9">
        <v>-3.3999999999999998E-3</v>
      </c>
      <c r="I28" s="9">
        <v>1.2999999999999999E-3</v>
      </c>
      <c r="J28" s="9">
        <v>1.3899999999999999E-2</v>
      </c>
      <c r="K28" s="9">
        <v>-5.6000000000000008E-3</v>
      </c>
      <c r="L28" s="9">
        <v>9.7000000000000003E-3</v>
      </c>
      <c r="M28" s="9">
        <v>-1.18E-2</v>
      </c>
      <c r="N28" s="9">
        <v>1.9E-2</v>
      </c>
      <c r="O28" s="9">
        <v>7.1999999999999998E-3</v>
      </c>
      <c r="P28" s="9">
        <v>2.1999999999999999E-2</v>
      </c>
      <c r="Q28" s="9">
        <v>-3.2899999999999999E-2</v>
      </c>
      <c r="R28" s="9">
        <v>1.2999999999999999E-3</v>
      </c>
      <c r="S28" s="9">
        <v>1.03E-2</v>
      </c>
      <c r="T28" s="9">
        <v>-1.5E-3</v>
      </c>
      <c r="U28" s="9">
        <v>7.1000000000000004E-3</v>
      </c>
      <c r="V28" s="9">
        <v>1.9199999999999998E-2</v>
      </c>
      <c r="W28" s="9">
        <v>1.5E-3</v>
      </c>
      <c r="X28" s="9">
        <v>1.4800000000000001E-2</v>
      </c>
      <c r="Y28" s="9">
        <v>9.7000000000000003E-3</v>
      </c>
      <c r="Z28" s="9">
        <v>1.9099999999999999E-2</v>
      </c>
      <c r="AA28" s="9">
        <v>2.1399999999999999E-2</v>
      </c>
      <c r="AB28" s="9">
        <v>2.9100000000000001E-2</v>
      </c>
      <c r="AC28" s="9">
        <v>-8.9999999999999998E-4</v>
      </c>
      <c r="AD28" s="9">
        <v>1.43E-2</v>
      </c>
      <c r="AE28" s="9">
        <v>1.1299999999999999E-2</v>
      </c>
      <c r="AF28" s="9">
        <v>7.9000000000000008E-3</v>
      </c>
      <c r="AG28" s="9">
        <v>1.49E-2</v>
      </c>
      <c r="AH28" s="9">
        <v>7.4000000000000003E-3</v>
      </c>
      <c r="AI28" s="9">
        <v>1.21E-2</v>
      </c>
      <c r="AJ28" s="9">
        <v>2.64E-2</v>
      </c>
      <c r="AK28" s="9">
        <v>4.8099999999999997E-2</v>
      </c>
      <c r="AL28" s="279">
        <v>6.4999999999999997E-3</v>
      </c>
      <c r="AM28" s="279">
        <v>2.0400000000000001E-2</v>
      </c>
      <c r="AN28" s="279">
        <v>3.04E-2</v>
      </c>
      <c r="AO28" s="279">
        <v>1.9400000000000001E-2</v>
      </c>
      <c r="AP28" s="279">
        <v>6.4000000000000003E-3</v>
      </c>
      <c r="AQ28" s="279">
        <v>1.2800000000000001E-2</v>
      </c>
      <c r="AR28" s="279">
        <v>1.5800000000000002E-2</v>
      </c>
      <c r="AS28" s="279">
        <v>1.78E-2</v>
      </c>
      <c r="AT28" s="279">
        <v>2.64E-2</v>
      </c>
      <c r="AU28" s="279">
        <v>1.2200000000000001E-2</v>
      </c>
      <c r="AV28" s="279">
        <v>1.6299999999999999E-2</v>
      </c>
      <c r="AW28" s="279"/>
      <c r="AX28" s="279">
        <v>9.4999999999999998E-3</v>
      </c>
      <c r="AY28" s="279">
        <v>1.8700000000000001E-2</v>
      </c>
      <c r="AZ28" s="279"/>
      <c r="BA28" s="279">
        <v>1.7299999999999999E-2</v>
      </c>
      <c r="BD28" s="9">
        <f t="shared" si="3"/>
        <v>1.6100000000000003E-2</v>
      </c>
    </row>
    <row r="29" spans="1:56" hidden="1" x14ac:dyDescent="0.3">
      <c r="A29">
        <v>20260311</v>
      </c>
      <c r="B29" s="9">
        <v>2.98E-2</v>
      </c>
      <c r="C29" s="9">
        <v>-1.4E-3</v>
      </c>
      <c r="D29" s="9">
        <v>-4.7000000000000002E-3</v>
      </c>
      <c r="E29" s="9">
        <v>2.4500000000000001E-2</v>
      </c>
      <c r="F29" s="9">
        <v>-1.09E-2</v>
      </c>
      <c r="G29" s="9">
        <v>-3.8999999999999998E-3</v>
      </c>
      <c r="H29" s="9">
        <v>2.0400000000000001E-2</v>
      </c>
      <c r="I29" s="9">
        <v>5.2000000000000006E-3</v>
      </c>
      <c r="J29" s="9">
        <v>-8.199999999999999E-3</v>
      </c>
      <c r="K29" s="9">
        <v>-5.0000000000000001E-3</v>
      </c>
      <c r="L29" s="9">
        <v>-3.5000000000000001E-3</v>
      </c>
      <c r="M29" s="9">
        <v>1.3100000000000001E-2</v>
      </c>
      <c r="N29" s="9">
        <v>2.1000000000000001E-2</v>
      </c>
      <c r="O29" s="9">
        <v>2.7000000000000001E-3</v>
      </c>
      <c r="P29" s="9">
        <v>2E-3</v>
      </c>
      <c r="Q29" s="9">
        <v>2.76E-2</v>
      </c>
      <c r="R29" s="9">
        <v>9.0000000000000011E-3</v>
      </c>
      <c r="S29" s="9">
        <v>4.0999999999999986E-3</v>
      </c>
      <c r="T29" s="9">
        <v>1.52E-2</v>
      </c>
      <c r="U29" s="9">
        <v>-4.3E-3</v>
      </c>
      <c r="V29" s="9">
        <v>4.0800000000000003E-2</v>
      </c>
      <c r="W29" s="9">
        <v>2.4500000000000001E-2</v>
      </c>
      <c r="X29" s="9">
        <v>2.8999999999999998E-3</v>
      </c>
      <c r="Y29" s="9">
        <v>-1E-3</v>
      </c>
      <c r="Z29" s="9">
        <v>-2.7000000000000001E-3</v>
      </c>
      <c r="AA29" s="9">
        <v>-5.2000000000000006E-3</v>
      </c>
      <c r="AB29" s="9">
        <v>-7.4000000000000003E-3</v>
      </c>
      <c r="AC29" s="9">
        <v>2.52E-2</v>
      </c>
      <c r="AD29" s="9">
        <v>9.7000000000000003E-3</v>
      </c>
      <c r="AE29" s="9">
        <v>1.55E-2</v>
      </c>
      <c r="AF29" s="9">
        <v>-7.8000000000000014E-3</v>
      </c>
      <c r="AG29" s="9">
        <v>-6.9999999999999993E-3</v>
      </c>
      <c r="AH29" s="9">
        <v>-7.3000000000000001E-3</v>
      </c>
      <c r="AI29" s="9">
        <v>-1.46E-2</v>
      </c>
      <c r="AJ29" s="9">
        <v>-1.1299999999999999E-2</v>
      </c>
      <c r="AK29" s="9">
        <v>4.0999999999999986E-3</v>
      </c>
      <c r="AL29" s="279">
        <v>2.5000000000000001E-3</v>
      </c>
      <c r="AM29" s="279">
        <v>7.7999999999999996E-3</v>
      </c>
      <c r="AN29" s="279">
        <v>1.3100000000000001E-2</v>
      </c>
      <c r="AO29" s="279">
        <v>4.1000000000000003E-3</v>
      </c>
      <c r="AP29" s="279">
        <v>1.1999999999999999E-3</v>
      </c>
      <c r="AQ29" s="279">
        <v>6.4000000000000003E-3</v>
      </c>
      <c r="AR29" s="279">
        <v>-8.0000000000000004E-4</v>
      </c>
      <c r="AS29" s="279">
        <v>1.6000000000000001E-3</v>
      </c>
      <c r="AT29" s="279">
        <v>-8.0999999999999996E-3</v>
      </c>
      <c r="AU29" s="279">
        <v>5.0000000000000001E-4</v>
      </c>
      <c r="AV29" s="279">
        <v>7.7999999999999996E-3</v>
      </c>
      <c r="AW29" s="279"/>
      <c r="AX29" s="279">
        <v>5.0000000000000001E-4</v>
      </c>
      <c r="AY29" s="279">
        <v>-2.3E-3</v>
      </c>
      <c r="AZ29" s="279"/>
      <c r="BA29" s="279">
        <v>-1.8E-3</v>
      </c>
      <c r="BD29" s="9">
        <f t="shared" si="3"/>
        <v>1.5000000000000003E-2</v>
      </c>
    </row>
    <row r="30" spans="1:56" hidden="1" x14ac:dyDescent="0.3">
      <c r="A30">
        <v>20260312</v>
      </c>
      <c r="B30" s="9">
        <v>-5.3E-3</v>
      </c>
      <c r="C30" s="9">
        <v>-1.0200000000000001E-2</v>
      </c>
      <c r="D30" s="9">
        <v>-1.12E-2</v>
      </c>
      <c r="E30" s="9">
        <v>-2.0999999999999999E-3</v>
      </c>
      <c r="F30" s="9">
        <v>-3.3500000000000002E-2</v>
      </c>
      <c r="G30" s="9">
        <v>0</v>
      </c>
      <c r="H30" s="9">
        <v>6.7000000000000002E-3</v>
      </c>
      <c r="I30" s="9">
        <v>3.8999999999999998E-3</v>
      </c>
      <c r="J30" s="9">
        <v>-1.4E-3</v>
      </c>
      <c r="K30" s="9">
        <v>8.8000000000000005E-3</v>
      </c>
      <c r="L30" s="9">
        <v>-7.4999999999999997E-3</v>
      </c>
      <c r="M30" s="9">
        <v>2.0500000000000001E-2</v>
      </c>
      <c r="N30" s="9">
        <v>6.1000000000000004E-3</v>
      </c>
      <c r="O30" s="9">
        <v>-1.8E-3</v>
      </c>
      <c r="P30" s="9">
        <v>-3.8999999999999998E-3</v>
      </c>
      <c r="Q30" s="9">
        <v>5.2800000000000007E-2</v>
      </c>
      <c r="R30" s="9">
        <v>8.8999999999999999E-3</v>
      </c>
      <c r="S30" s="9">
        <v>-2.7000000000000001E-3</v>
      </c>
      <c r="T30" s="9">
        <v>1.35E-2</v>
      </c>
      <c r="U30" s="9">
        <v>-1.38E-2</v>
      </c>
      <c r="V30" s="9">
        <v>-2.0999999999999999E-3</v>
      </c>
      <c r="W30" s="9">
        <v>2.24E-2</v>
      </c>
      <c r="X30" s="9">
        <v>-8.6999999999999994E-3</v>
      </c>
      <c r="Y30" s="9">
        <v>-3.8999999999999998E-3</v>
      </c>
      <c r="Z30" s="9">
        <v>-5.4000000000000003E-3</v>
      </c>
      <c r="AA30" s="9">
        <v>-7.9000000000000008E-3</v>
      </c>
      <c r="AB30" s="9">
        <v>-8.6999999999999994E-3</v>
      </c>
      <c r="AC30" s="9">
        <v>2.29E-2</v>
      </c>
      <c r="AD30" s="9">
        <v>-7.4000000000000003E-3</v>
      </c>
      <c r="AE30" s="9">
        <v>2.5000000000000001E-3</v>
      </c>
      <c r="AF30" s="9">
        <v>-7.9000000000000008E-3</v>
      </c>
      <c r="AG30" s="9">
        <v>-1.41E-2</v>
      </c>
      <c r="AH30" s="9">
        <v>-1.7600000000000001E-2</v>
      </c>
      <c r="AI30" s="9">
        <v>-2.1499999999999998E-2</v>
      </c>
      <c r="AJ30" s="9">
        <v>-1.4E-2</v>
      </c>
      <c r="AK30" s="9">
        <v>-1.0999999999999999E-2</v>
      </c>
      <c r="AL30" s="279">
        <v>-1E-3</v>
      </c>
      <c r="AM30" s="279">
        <v>-6.3E-3</v>
      </c>
      <c r="AN30" s="279">
        <v>-9.5999999999999992E-3</v>
      </c>
      <c r="AO30" s="279">
        <v>-1.12E-2</v>
      </c>
      <c r="AP30" s="279">
        <v>-4.5999999999999999E-3</v>
      </c>
      <c r="AQ30" s="279">
        <v>-3.5999999999999999E-3</v>
      </c>
      <c r="AR30" s="279">
        <v>-5.1999999999999998E-3</v>
      </c>
      <c r="AS30" s="279">
        <v>-3.3E-3</v>
      </c>
      <c r="AT30" s="279">
        <v>-1.3599999999999999E-2</v>
      </c>
      <c r="AU30" s="279">
        <v>-1.4500000000000001E-2</v>
      </c>
      <c r="AV30" s="279">
        <v>-7.3000000000000001E-3</v>
      </c>
      <c r="AW30" s="279"/>
      <c r="AX30" s="279">
        <v>-5.0000000000000001E-4</v>
      </c>
      <c r="AY30" s="279">
        <v>0</v>
      </c>
      <c r="AZ30" s="279"/>
      <c r="BA30" s="279">
        <v>-1.04E-2</v>
      </c>
      <c r="BD30" s="9">
        <f t="shared" si="3"/>
        <v>1.7800000000000003E-2</v>
      </c>
    </row>
    <row r="31" spans="1:56" hidden="1" x14ac:dyDescent="0.3">
      <c r="A31">
        <v>20260313</v>
      </c>
      <c r="B31" s="9">
        <v>3.9899999999999998E-2</v>
      </c>
      <c r="C31" s="9">
        <v>-1.44E-2</v>
      </c>
      <c r="D31" s="9">
        <v>-1.61E-2</v>
      </c>
      <c r="E31" s="9">
        <v>-4.1999999999999997E-3</v>
      </c>
      <c r="F31" s="9">
        <v>-1.5900000000000001E-2</v>
      </c>
      <c r="G31" s="9">
        <v>1.1900000000000001E-2</v>
      </c>
      <c r="H31" s="9">
        <v>-7.4999999999999997E-3</v>
      </c>
      <c r="I31" s="9">
        <v>2.5999999999999999E-3</v>
      </c>
      <c r="J31" s="9">
        <v>1.4E-3</v>
      </c>
      <c r="K31" s="9">
        <v>-5.6000000000000008E-3</v>
      </c>
      <c r="L31" s="9">
        <v>-2.7099999999999999E-2</v>
      </c>
      <c r="M31" s="9">
        <v>-5.0000000000000001E-3</v>
      </c>
      <c r="N31" s="9">
        <v>1.14E-2</v>
      </c>
      <c r="O31" s="9">
        <v>-8.0000000000000002E-3</v>
      </c>
      <c r="P31" s="9">
        <v>-2.5999999999999999E-3</v>
      </c>
      <c r="Q31" s="9">
        <v>-1.2E-2</v>
      </c>
      <c r="R31" s="9">
        <v>2.5000000000000001E-3</v>
      </c>
      <c r="S31" s="9">
        <v>0</v>
      </c>
      <c r="T31" s="9">
        <v>-5.8999999999999999E-3</v>
      </c>
      <c r="U31" s="9">
        <v>-2.7900000000000001E-2</v>
      </c>
      <c r="V31" s="9">
        <v>-1.23E-2</v>
      </c>
      <c r="W31" s="9">
        <v>-2.0500000000000001E-2</v>
      </c>
      <c r="X31" s="9">
        <v>-5.8999999999999999E-3</v>
      </c>
      <c r="Y31" s="9">
        <v>-1.9E-3</v>
      </c>
      <c r="Z31" s="9">
        <v>-8.1000000000000013E-3</v>
      </c>
      <c r="AA31" s="9">
        <v>-5.3E-3</v>
      </c>
      <c r="AB31" s="9">
        <v>-7.4999999999999997E-3</v>
      </c>
      <c r="AC31" s="9">
        <v>-2.1600000000000001E-2</v>
      </c>
      <c r="AD31" s="9">
        <v>-6.7000000000000002E-3</v>
      </c>
      <c r="AE31" s="9">
        <v>-1.61E-2</v>
      </c>
      <c r="AF31" s="9">
        <v>-2.6100000000000002E-2</v>
      </c>
      <c r="AG31" s="9">
        <v>-1.3599999999999999E-2</v>
      </c>
      <c r="AH31" s="9">
        <v>-1.6899999999999998E-2</v>
      </c>
      <c r="AI31" s="9">
        <v>-2.9499999999999998E-2</v>
      </c>
      <c r="AJ31" s="9">
        <v>-7.1000000000000004E-3</v>
      </c>
      <c r="AK31" s="9">
        <v>-8.6999999999999994E-3</v>
      </c>
      <c r="AL31" s="279">
        <v>-8.0999999999999996E-3</v>
      </c>
      <c r="AM31" s="279">
        <v>-6.4999999999999997E-3</v>
      </c>
      <c r="AN31" s="279">
        <v>-2.2000000000000001E-3</v>
      </c>
      <c r="AO31" s="279">
        <v>-1.03E-2</v>
      </c>
      <c r="AP31" s="279">
        <v>-5.0000000000000001E-3</v>
      </c>
      <c r="AQ31" s="279">
        <v>-3.8999999999999998E-3</v>
      </c>
      <c r="AR31" s="279">
        <v>-1.43E-2</v>
      </c>
      <c r="AS31" s="279">
        <v>-1.46E-2</v>
      </c>
      <c r="AT31" s="279">
        <v>5.9999999999999995E-4</v>
      </c>
      <c r="AU31" s="279">
        <v>-1.26E-2</v>
      </c>
      <c r="AV31" s="279">
        <v>-5.0000000000000001E-4</v>
      </c>
      <c r="AW31" s="279"/>
      <c r="AX31" s="279">
        <v>-4.5999999999999999E-3</v>
      </c>
      <c r="AY31" s="279">
        <v>-4.4999999999999997E-3</v>
      </c>
      <c r="AZ31" s="279"/>
      <c r="BA31" s="279">
        <v>-4.4000000000000003E-3</v>
      </c>
      <c r="BD31" s="9">
        <f t="shared" si="3"/>
        <v>2.7800000000000005E-2</v>
      </c>
    </row>
    <row r="32" spans="1:56" hidden="1" x14ac:dyDescent="0.3">
      <c r="A32">
        <v>20260316</v>
      </c>
      <c r="B32" s="9">
        <v>-2.5399999999999999E-2</v>
      </c>
      <c r="C32" s="9">
        <v>-4.8999999999999998E-3</v>
      </c>
      <c r="D32" s="9">
        <v>-1E-3</v>
      </c>
      <c r="E32" s="9">
        <v>-3.3399999999999999E-2</v>
      </c>
      <c r="F32" s="9">
        <v>-1.9699999999999999E-2</v>
      </c>
      <c r="G32" s="9">
        <v>1.37E-2</v>
      </c>
      <c r="H32" s="9">
        <v>4.1999999999999997E-3</v>
      </c>
      <c r="I32" s="9">
        <v>1.15E-2</v>
      </c>
      <c r="J32" s="9">
        <v>5.5000000000000014E-3</v>
      </c>
      <c r="K32" s="9">
        <v>-3.2000000000000001E-2</v>
      </c>
      <c r="L32" s="9">
        <v>-3.0599999999999999E-2</v>
      </c>
      <c r="M32" s="9">
        <v>-8.6E-3</v>
      </c>
      <c r="N32" s="9">
        <v>-0.03</v>
      </c>
      <c r="O32" s="9">
        <v>-5.4000000000000003E-3</v>
      </c>
      <c r="P32" s="9">
        <v>-5.8999999999999999E-3</v>
      </c>
      <c r="Q32" s="9">
        <v>-2.35E-2</v>
      </c>
      <c r="R32" s="9">
        <v>2.5000000000000001E-3</v>
      </c>
      <c r="S32" s="9">
        <v>6.1000000000000004E-3</v>
      </c>
      <c r="T32" s="9">
        <v>6.0000000000000001E-3</v>
      </c>
      <c r="U32" s="9">
        <v>-2.4799999999999999E-2</v>
      </c>
      <c r="V32" s="9">
        <v>4.0000000000000002E-4</v>
      </c>
      <c r="W32" s="9">
        <v>-2.3900000000000001E-2</v>
      </c>
      <c r="X32" s="9">
        <v>3.0000000000000001E-3</v>
      </c>
      <c r="Y32" s="9">
        <v>6.7999999999999996E-3</v>
      </c>
      <c r="Z32" s="9">
        <v>2.7000000000000001E-3</v>
      </c>
      <c r="AA32" s="9">
        <v>5.3E-3</v>
      </c>
      <c r="AB32" s="9">
        <v>1.1299999999999999E-2</v>
      </c>
      <c r="AC32" s="9">
        <v>-2.7099999999999999E-2</v>
      </c>
      <c r="AD32" s="9">
        <v>1.04E-2</v>
      </c>
      <c r="AE32" s="9">
        <v>-2.4899999999999999E-2</v>
      </c>
      <c r="AF32" s="9">
        <v>-2.3E-3</v>
      </c>
      <c r="AG32" s="9">
        <v>-1.4E-3</v>
      </c>
      <c r="AH32" s="9">
        <v>7.7000000000000002E-3</v>
      </c>
      <c r="AI32" s="9">
        <v>7.000000000000001E-4</v>
      </c>
      <c r="AJ32" s="9">
        <v>2.1399999999999999E-2</v>
      </c>
      <c r="AK32" s="9">
        <v>1.4999999999999999E-2</v>
      </c>
      <c r="AL32" s="279">
        <v>-2.5999999999999999E-3</v>
      </c>
      <c r="AM32" s="279">
        <v>1.9E-3</v>
      </c>
      <c r="AN32" s="279">
        <v>1.41E-2</v>
      </c>
      <c r="AO32" s="279">
        <v>-3.5000000000000001E-3</v>
      </c>
      <c r="AP32" s="279">
        <v>-8.9999999999999998E-4</v>
      </c>
      <c r="AQ32" s="279">
        <v>5.0000000000000001E-4</v>
      </c>
      <c r="AR32" s="279">
        <v>-6.6E-3</v>
      </c>
      <c r="AS32" s="279">
        <v>-4.0000000000000002E-4</v>
      </c>
      <c r="AT32" s="279">
        <v>2.0999999999999999E-3</v>
      </c>
      <c r="AU32" s="279">
        <v>-1E-3</v>
      </c>
      <c r="AV32" s="279">
        <v>5.0000000000000001E-3</v>
      </c>
      <c r="AW32" s="279"/>
      <c r="AX32" s="279">
        <v>2.9999999999999997E-4</v>
      </c>
      <c r="AY32" s="279">
        <v>1.06E-2</v>
      </c>
      <c r="AZ32" s="279"/>
      <c r="BA32" s="279">
        <v>6.6E-3</v>
      </c>
      <c r="BD32" s="9">
        <f t="shared" si="3"/>
        <v>2.8500000000000004E-2</v>
      </c>
    </row>
    <row r="33" spans="1:56" hidden="1" x14ac:dyDescent="0.3">
      <c r="A33">
        <v>20260317</v>
      </c>
      <c r="B33" s="9">
        <v>-5.3E-3</v>
      </c>
      <c r="C33" s="9">
        <v>-1.4E-2</v>
      </c>
      <c r="D33" s="9">
        <v>-1.7299999999999999E-2</v>
      </c>
      <c r="E33" s="9">
        <v>-2.7E-2</v>
      </c>
      <c r="F33" s="9">
        <v>-4.7000000000000002E-3</v>
      </c>
      <c r="G33" s="9">
        <v>-1.9E-3</v>
      </c>
      <c r="H33" s="9">
        <v>-3.4100000000000012E-2</v>
      </c>
      <c r="I33" s="9">
        <v>-2.5000000000000001E-3</v>
      </c>
      <c r="J33" s="9">
        <v>-1.4E-3</v>
      </c>
      <c r="K33" s="9">
        <v>-3.2000000000000002E-3</v>
      </c>
      <c r="L33" s="9">
        <v>-1.6500000000000001E-2</v>
      </c>
      <c r="M33" s="9">
        <v>-7.8000000000000014E-3</v>
      </c>
      <c r="N33" s="9">
        <v>-1.47E-2</v>
      </c>
      <c r="O33" s="9">
        <v>1.0800000000000001E-2</v>
      </c>
      <c r="P33" s="9">
        <v>-1.12E-2</v>
      </c>
      <c r="Q33" s="9">
        <v>-2.1700000000000001E-2</v>
      </c>
      <c r="R33" s="9">
        <v>8.8000000000000005E-3</v>
      </c>
      <c r="S33" s="9">
        <v>3.3999999999999998E-3</v>
      </c>
      <c r="T33" s="9">
        <v>-1.9199999999999998E-2</v>
      </c>
      <c r="U33" s="9">
        <v>-3.1E-2</v>
      </c>
      <c r="V33" s="9">
        <v>-3.5099999999999999E-2</v>
      </c>
      <c r="W33" s="9">
        <v>-7.4000000000000003E-3</v>
      </c>
      <c r="X33" s="9">
        <v>0</v>
      </c>
      <c r="Y33" s="9">
        <v>1E-3</v>
      </c>
      <c r="Z33" s="9">
        <v>5.4000000000000003E-3</v>
      </c>
      <c r="AA33" s="9">
        <v>0</v>
      </c>
      <c r="AB33" s="9">
        <v>6.1999999999999998E-3</v>
      </c>
      <c r="AC33" s="9">
        <v>-6.1000000000000004E-3</v>
      </c>
      <c r="AD33" s="9">
        <v>-6.6000000000000008E-3</v>
      </c>
      <c r="AE33" s="9">
        <v>-1.7600000000000001E-2</v>
      </c>
      <c r="AF33" s="9">
        <v>-1.29E-2</v>
      </c>
      <c r="AG33" s="9">
        <v>-5.7999999999999996E-3</v>
      </c>
      <c r="AH33" s="9">
        <v>-1.14E-2</v>
      </c>
      <c r="AI33" s="9">
        <v>-2.76E-2</v>
      </c>
      <c r="AJ33" s="9">
        <v>-2.7300000000000001E-2</v>
      </c>
      <c r="AK33" s="9">
        <v>-4.0999999999999988E-2</v>
      </c>
      <c r="AL33" s="279">
        <v>-8.5000000000000006E-3</v>
      </c>
      <c r="AM33" s="279">
        <v>-1.8700000000000001E-2</v>
      </c>
      <c r="AN33" s="279">
        <v>-2.29E-2</v>
      </c>
      <c r="AO33" s="279">
        <v>-1.8499999999999999E-2</v>
      </c>
      <c r="AP33" s="279">
        <v>3.2000000000000002E-3</v>
      </c>
      <c r="AQ33" s="279">
        <v>-7.3000000000000001E-3</v>
      </c>
      <c r="AR33" s="279">
        <v>-2.07E-2</v>
      </c>
      <c r="AS33" s="279">
        <v>-2.3300000000000001E-2</v>
      </c>
      <c r="AT33" s="279">
        <v>-2.2800000000000001E-2</v>
      </c>
      <c r="AU33" s="279">
        <v>-1.9699999999999999E-2</v>
      </c>
      <c r="AV33" s="279">
        <v>-7.4999999999999997E-3</v>
      </c>
      <c r="AW33" s="279"/>
      <c r="AX33" s="279">
        <v>-6.1000000000000004E-3</v>
      </c>
      <c r="AY33" s="279">
        <v>-8.3999999999999995E-3</v>
      </c>
      <c r="AZ33" s="279"/>
      <c r="BA33" s="279">
        <v>-1.61E-2</v>
      </c>
      <c r="BD33" s="9">
        <f t="shared" si="3"/>
        <v>4.5700000000000005E-2</v>
      </c>
    </row>
    <row r="34" spans="1:56" hidden="1" x14ac:dyDescent="0.3">
      <c r="A34">
        <v>20260318</v>
      </c>
      <c r="B34" s="9">
        <v>4.0000000000000002E-4</v>
      </c>
      <c r="C34" s="9">
        <v>2.0999999999999999E-3</v>
      </c>
      <c r="D34" s="9">
        <v>5.8999999999999999E-3</v>
      </c>
      <c r="E34" s="9">
        <v>-2.2000000000000001E-3</v>
      </c>
      <c r="F34" s="9">
        <v>2.3999999999999998E-3</v>
      </c>
      <c r="G34" s="9">
        <v>-9.7000000000000003E-3</v>
      </c>
      <c r="H34" s="9">
        <v>-1.46E-2</v>
      </c>
      <c r="I34" s="9">
        <v>-7.6E-3</v>
      </c>
      <c r="J34" s="9">
        <v>-6.8999999999999999E-3</v>
      </c>
      <c r="K34" s="9">
        <v>-7.1999999999999998E-3</v>
      </c>
      <c r="L34" s="9">
        <v>-7.7000000000000002E-3</v>
      </c>
      <c r="M34" s="9">
        <v>-3.8999999999999998E-3</v>
      </c>
      <c r="N34" s="9">
        <v>-1.6000000000000001E-3</v>
      </c>
      <c r="O34" s="9">
        <v>-3.5999999999999999E-3</v>
      </c>
      <c r="P34" s="9">
        <v>6.7000000000000002E-3</v>
      </c>
      <c r="Q34" s="9">
        <v>-7.1000000000000004E-3</v>
      </c>
      <c r="R34" s="9">
        <v>-2.5000000000000001E-3</v>
      </c>
      <c r="S34" s="9">
        <v>-1.0800000000000001E-2</v>
      </c>
      <c r="T34" s="9">
        <v>0</v>
      </c>
      <c r="U34" s="9">
        <v>1.83E-2</v>
      </c>
      <c r="V34" s="9">
        <v>8.8999999999999999E-3</v>
      </c>
      <c r="W34" s="9">
        <v>0</v>
      </c>
      <c r="X34" s="9">
        <v>-2.8999999999999998E-3</v>
      </c>
      <c r="Y34" s="9">
        <v>-2.8999999999999998E-3</v>
      </c>
      <c r="Z34" s="9">
        <v>-2.7000000000000001E-3</v>
      </c>
      <c r="AA34" s="9">
        <v>5.3E-3</v>
      </c>
      <c r="AB34" s="9">
        <v>5.0000000000000001E-3</v>
      </c>
      <c r="AC34" s="9">
        <v>2.5999999999999999E-3</v>
      </c>
      <c r="AD34" s="9">
        <v>-5.8999999999999999E-3</v>
      </c>
      <c r="AE34" s="9">
        <v>4.5000000000000014E-3</v>
      </c>
      <c r="AF34" s="9">
        <v>1.54E-2</v>
      </c>
      <c r="AG34" s="9">
        <v>8.6999999999999994E-3</v>
      </c>
      <c r="AH34" s="9">
        <v>1.06E-2</v>
      </c>
      <c r="AI34" s="9">
        <v>1.7399999999999999E-2</v>
      </c>
      <c r="AJ34" s="9">
        <v>2.2200000000000001E-2</v>
      </c>
      <c r="AK34" s="9">
        <v>4.0999999999999988E-2</v>
      </c>
      <c r="AL34" s="279">
        <v>3.2000000000000002E-3</v>
      </c>
      <c r="AM34" s="279">
        <v>1.0500000000000001E-2</v>
      </c>
      <c r="AN34" s="279">
        <v>2.0199999999999999E-2</v>
      </c>
      <c r="AO34" s="279">
        <v>6.8999999999999999E-3</v>
      </c>
      <c r="AP34" s="279">
        <v>-6.9999999999999999E-4</v>
      </c>
      <c r="AQ34" s="279">
        <v>4.4999999999999997E-3</v>
      </c>
      <c r="AR34" s="279">
        <v>0.01</v>
      </c>
      <c r="AS34" s="279">
        <v>9.5999999999999992E-3</v>
      </c>
      <c r="AT34" s="279">
        <v>1.77E-2</v>
      </c>
      <c r="AU34" s="279">
        <v>1.4200000000000001E-2</v>
      </c>
      <c r="AV34" s="279">
        <v>5.3E-3</v>
      </c>
      <c r="AW34" s="279"/>
      <c r="AX34" s="279">
        <v>1E-4</v>
      </c>
      <c r="AY34" s="279">
        <v>9.1000000000000004E-3</v>
      </c>
      <c r="AZ34" s="279"/>
      <c r="BA34" s="279">
        <v>1.5100000000000001E-2</v>
      </c>
      <c r="BD34" s="9">
        <f t="shared" si="3"/>
        <v>3.6200000000000003E-2</v>
      </c>
    </row>
    <row r="35" spans="1:56" hidden="1" x14ac:dyDescent="0.3">
      <c r="A35">
        <v>20260319</v>
      </c>
      <c r="B35" s="9">
        <v>-3.0999999999999999E-3</v>
      </c>
      <c r="C35" s="9">
        <v>-2.3300000000000001E-2</v>
      </c>
      <c r="D35" s="9">
        <v>-2.4299999999999999E-2</v>
      </c>
      <c r="E35" s="9">
        <v>-4.3400000000000001E-2</v>
      </c>
      <c r="F35" s="9">
        <v>-4.02E-2</v>
      </c>
      <c r="G35" s="9">
        <v>-1.7500000000000002E-2</v>
      </c>
      <c r="H35" s="9">
        <v>-2.7900000000000001E-2</v>
      </c>
      <c r="I35" s="9">
        <v>-1.5299999999999999E-2</v>
      </c>
      <c r="J35" s="9">
        <v>-2.4899999999999999E-2</v>
      </c>
      <c r="K35" s="9">
        <v>-3.9300000000000002E-2</v>
      </c>
      <c r="L35" s="9">
        <v>-6.3100000000000003E-2</v>
      </c>
      <c r="M35" s="9">
        <v>2.7000000000000001E-3</v>
      </c>
      <c r="N35" s="9">
        <v>-1.9599999999999999E-2</v>
      </c>
      <c r="O35" s="9">
        <v>-1.17E-2</v>
      </c>
      <c r="P35" s="9">
        <v>-2.12E-2</v>
      </c>
      <c r="Q35" s="9">
        <v>2.24E-2</v>
      </c>
      <c r="R35" s="9">
        <v>-3.7000000000000002E-3</v>
      </c>
      <c r="S35" s="9">
        <v>-2.7300000000000001E-2</v>
      </c>
      <c r="T35" s="9">
        <v>-2.2599999999999999E-2</v>
      </c>
      <c r="U35" s="9">
        <v>-2.9899999999999999E-2</v>
      </c>
      <c r="V35" s="9">
        <v>-1.23E-2</v>
      </c>
      <c r="W35" s="9">
        <v>1.5E-3</v>
      </c>
      <c r="X35" s="9">
        <v>-1.78E-2</v>
      </c>
      <c r="Y35" s="9">
        <v>-1.1599999999999999E-2</v>
      </c>
      <c r="Z35" s="9">
        <v>-1.35E-2</v>
      </c>
      <c r="AA35" s="9">
        <v>-1.8499999999999999E-2</v>
      </c>
      <c r="AB35" s="9">
        <v>-1.6E-2</v>
      </c>
      <c r="AC35" s="9">
        <v>-8.9999999999999998E-4</v>
      </c>
      <c r="AD35" s="9">
        <v>-1.7999999999999999E-2</v>
      </c>
      <c r="AE35" s="9">
        <v>-1.34E-2</v>
      </c>
      <c r="AF35" s="9">
        <v>-1.7500000000000002E-2</v>
      </c>
      <c r="AG35" s="9">
        <v>-2.8899999999999999E-2</v>
      </c>
      <c r="AH35" s="9">
        <v>-1.7100000000000001E-2</v>
      </c>
      <c r="AI35" s="9">
        <v>-2.64E-2</v>
      </c>
      <c r="AJ35" s="9">
        <v>-2.6100000000000002E-2</v>
      </c>
      <c r="AK35" s="9">
        <v>-1.03E-2</v>
      </c>
      <c r="AL35" s="279">
        <v>-1.3899999999999999E-2</v>
      </c>
      <c r="AM35" s="279">
        <v>-2.0199999999999999E-2</v>
      </c>
      <c r="AN35" s="279">
        <v>-1.11E-2</v>
      </c>
      <c r="AO35" s="279">
        <v>-3.3300000000000003E-2</v>
      </c>
      <c r="AP35" s="279">
        <v>-1.5299999999999999E-2</v>
      </c>
      <c r="AQ35" s="279">
        <v>-1.61E-2</v>
      </c>
      <c r="AR35" s="279">
        <v>-2.7099999999999999E-2</v>
      </c>
      <c r="AS35" s="279">
        <v>-2.3099999999999999E-2</v>
      </c>
      <c r="AT35" s="279">
        <v>-2.9899999999999999E-2</v>
      </c>
      <c r="AU35" s="279">
        <v>-2.0199999999999999E-2</v>
      </c>
      <c r="AV35" s="279">
        <v>-1.61E-2</v>
      </c>
      <c r="AW35" s="279"/>
      <c r="AX35" s="279">
        <v>-1.7100000000000001E-2</v>
      </c>
      <c r="AY35" s="279">
        <v>-1.9199999999999998E-2</v>
      </c>
      <c r="AZ35" s="279"/>
      <c r="BA35" s="279">
        <v>-1.9699999999999999E-2</v>
      </c>
      <c r="BD35" s="9">
        <f t="shared" si="3"/>
        <v>4.2200000000000001E-2</v>
      </c>
    </row>
    <row r="36" spans="1:56" hidden="1" x14ac:dyDescent="0.3">
      <c r="A36">
        <v>20260320</v>
      </c>
      <c r="B36" s="9">
        <v>-1.7399999999999999E-2</v>
      </c>
      <c r="C36" s="9">
        <v>-1.66E-2</v>
      </c>
      <c r="D36" s="9">
        <v>-0.02</v>
      </c>
      <c r="E36" s="9">
        <v>-1.0500000000000001E-2</v>
      </c>
      <c r="F36" s="9">
        <v>-1.29E-2</v>
      </c>
      <c r="G36" s="9">
        <v>-7.9000000000000008E-3</v>
      </c>
      <c r="H36" s="9">
        <v>-1.6199999999999999E-2</v>
      </c>
      <c r="I36" s="9">
        <v>-7.8000000000000014E-3</v>
      </c>
      <c r="J36" s="9">
        <v>-7.1000000000000004E-3</v>
      </c>
      <c r="K36" s="9">
        <v>-2.1100000000000001E-2</v>
      </c>
      <c r="L36" s="9">
        <v>-1.3899999999999999E-2</v>
      </c>
      <c r="M36" s="9">
        <v>-2.7000000000000001E-3</v>
      </c>
      <c r="N36" s="9">
        <v>-1.44E-2</v>
      </c>
      <c r="O36" s="9">
        <v>-1.6299999999999999E-2</v>
      </c>
      <c r="P36" s="9">
        <v>-1.29E-2</v>
      </c>
      <c r="Q36" s="9">
        <v>3.0999999999999999E-3</v>
      </c>
      <c r="R36" s="9">
        <v>-2.5000000000000001E-3</v>
      </c>
      <c r="S36" s="9">
        <v>-1.7500000000000002E-2</v>
      </c>
      <c r="T36" s="9">
        <v>-1.23E-2</v>
      </c>
      <c r="U36" s="9">
        <v>-1.9099999999999999E-2</v>
      </c>
      <c r="V36" s="9">
        <v>2.7099999999999999E-2</v>
      </c>
      <c r="W36" s="9">
        <v>1.5E-3</v>
      </c>
      <c r="X36" s="9">
        <v>-1.8100000000000002E-2</v>
      </c>
      <c r="Y36" s="9">
        <v>1E-3</v>
      </c>
      <c r="Z36" s="9">
        <v>-8.199999999999999E-3</v>
      </c>
      <c r="AA36" s="9">
        <v>-1.35E-2</v>
      </c>
      <c r="AB36" s="9">
        <v>-1.2500000000000001E-2</v>
      </c>
      <c r="AC36" s="9">
        <v>1.8E-3</v>
      </c>
      <c r="AD36" s="9">
        <v>-7.6E-3</v>
      </c>
      <c r="AE36" s="9">
        <v>2.9899999999999999E-2</v>
      </c>
      <c r="AF36" s="9">
        <v>-3.7999999999999999E-2</v>
      </c>
      <c r="AG36" s="9">
        <v>-2.98E-2</v>
      </c>
      <c r="AH36" s="9">
        <v>-0.03</v>
      </c>
      <c r="AI36" s="9">
        <v>-2.7900000000000001E-2</v>
      </c>
      <c r="AJ36" s="9">
        <v>-1.7000000000000001E-2</v>
      </c>
      <c r="AK36" s="9">
        <v>1.3299999999999999E-2</v>
      </c>
      <c r="AL36" s="279">
        <v>-1.24E-2</v>
      </c>
      <c r="AM36" s="279">
        <v>-2.5000000000000001E-3</v>
      </c>
      <c r="AN36" s="279">
        <v>1.2999999999999999E-2</v>
      </c>
      <c r="AO36" s="279">
        <v>-1.01E-2</v>
      </c>
      <c r="AP36" s="279">
        <v>-1.11E-2</v>
      </c>
      <c r="AQ36" s="279">
        <v>-3.5000000000000001E-3</v>
      </c>
      <c r="AR36" s="279">
        <v>-1.49E-2</v>
      </c>
      <c r="AS36" s="279">
        <v>-1.5900000000000001E-2</v>
      </c>
      <c r="AT36" s="279">
        <v>-3.73E-2</v>
      </c>
      <c r="AU36" s="279">
        <v>-0.01</v>
      </c>
      <c r="AV36" s="279">
        <v>-1.38E-2</v>
      </c>
      <c r="AW36" s="279"/>
      <c r="AX36" s="279">
        <v>-0.01</v>
      </c>
      <c r="AY36" s="279">
        <v>-2.07E-2</v>
      </c>
      <c r="AZ36" s="279"/>
      <c r="BA36" s="279">
        <v>-2.3199999999999998E-2</v>
      </c>
      <c r="BD36" s="9">
        <f t="shared" si="3"/>
        <v>4.8100000000000004E-2</v>
      </c>
    </row>
    <row r="37" spans="1:56" hidden="1" x14ac:dyDescent="0.3">
      <c r="A37">
        <v>20260323</v>
      </c>
      <c r="B37" s="9">
        <v>1.1299999999999999E-2</v>
      </c>
      <c r="C37" s="9">
        <v>-3.8300000000000001E-2</v>
      </c>
      <c r="D37" s="9">
        <v>-4.4800000000000013E-2</v>
      </c>
      <c r="E37" s="9">
        <v>-1.6500000000000001E-2</v>
      </c>
      <c r="F37" s="9">
        <v>-4.3700000000000003E-2</v>
      </c>
      <c r="G37" s="9">
        <v>-3.2000000000000001E-2</v>
      </c>
      <c r="H37" s="9">
        <v>-4.1099999999999998E-2</v>
      </c>
      <c r="I37" s="9">
        <v>-3.6600000000000001E-2</v>
      </c>
      <c r="J37" s="9">
        <v>-5.5800000000000002E-2</v>
      </c>
      <c r="K37" s="9">
        <v>-4.3899999999999988E-2</v>
      </c>
      <c r="L37" s="9">
        <v>-4.9000000000000002E-2</v>
      </c>
      <c r="M37" s="9">
        <v>-1.8800000000000001E-2</v>
      </c>
      <c r="N37" s="9">
        <v>-3.9E-2</v>
      </c>
      <c r="O37" s="9">
        <v>-4.3400000000000001E-2</v>
      </c>
      <c r="P37" s="9">
        <v>-4.2599999999999999E-2</v>
      </c>
      <c r="Q37" s="9">
        <v>7.8000000000000014E-3</v>
      </c>
      <c r="R37" s="9">
        <v>-3.2599999999999997E-2</v>
      </c>
      <c r="S37" s="9">
        <v>-0.05</v>
      </c>
      <c r="T37" s="9">
        <v>-5.4699999999999999E-2</v>
      </c>
      <c r="U37" s="9">
        <v>-2.4299999999999999E-2</v>
      </c>
      <c r="V37" s="9">
        <v>-2.69E-2</v>
      </c>
      <c r="W37" s="9">
        <v>-2.46E-2</v>
      </c>
      <c r="X37" s="9">
        <v>-4.2900000000000001E-2</v>
      </c>
      <c r="Y37" s="9">
        <v>-4.4800000000000013E-2</v>
      </c>
      <c r="Z37" s="9">
        <v>-3.8700000000000012E-2</v>
      </c>
      <c r="AA37" s="9">
        <v>-4.9200000000000001E-2</v>
      </c>
      <c r="AB37" s="9">
        <v>-4.4400000000000002E-2</v>
      </c>
      <c r="AC37" s="9">
        <v>-2.1000000000000001E-2</v>
      </c>
      <c r="AD37" s="9">
        <v>-1.6899999999999998E-2</v>
      </c>
      <c r="AE37" s="9">
        <v>-1.41E-2</v>
      </c>
      <c r="AF37" s="9">
        <v>-5.0599999999999999E-2</v>
      </c>
      <c r="AG37" s="9">
        <v>-5.1400000000000001E-2</v>
      </c>
      <c r="AH37" s="9">
        <v>-5.3900000000000003E-2</v>
      </c>
      <c r="AI37" s="9">
        <v>-4.9799999999999997E-2</v>
      </c>
      <c r="AJ37" s="9">
        <v>-5.0599999999999999E-2</v>
      </c>
      <c r="AK37" s="9">
        <v>-5.2400000000000002E-2</v>
      </c>
      <c r="AL37" s="279">
        <v>-3.6299999999999999E-2</v>
      </c>
      <c r="AM37" s="279">
        <v>-3.7600000000000001E-2</v>
      </c>
      <c r="AN37" s="279">
        <v>-3.49E-2</v>
      </c>
      <c r="AO37" s="279">
        <v>-5.4800000000000001E-2</v>
      </c>
      <c r="AP37" s="279">
        <v>-3.1699999999999999E-2</v>
      </c>
      <c r="AQ37" s="279">
        <v>-3.2599999999999997E-2</v>
      </c>
      <c r="AR37" s="279">
        <v>-4.1099999999999998E-2</v>
      </c>
      <c r="AS37" s="279">
        <v>-4.8099999999999997E-2</v>
      </c>
      <c r="AT37" s="279">
        <v>-6.4699999999999994E-2</v>
      </c>
      <c r="AU37" s="279">
        <v>-1.44E-2</v>
      </c>
      <c r="AV37" s="279">
        <v>-3.9199999999999999E-2</v>
      </c>
      <c r="AW37" s="279"/>
      <c r="AX37" s="279">
        <v>-4.2099999999999999E-2</v>
      </c>
      <c r="AY37" s="279">
        <v>-5.2999999999999999E-2</v>
      </c>
      <c r="AZ37" s="279">
        <v>-5.8999999999999997E-2</v>
      </c>
      <c r="BA37" s="279">
        <v>-4.4900000000000002E-2</v>
      </c>
      <c r="BD37" s="9">
        <f t="shared" si="3"/>
        <v>5.4100000000000002E-2</v>
      </c>
    </row>
    <row r="38" spans="1:56" hidden="1" x14ac:dyDescent="0.3">
      <c r="A38">
        <v>20260324</v>
      </c>
      <c r="B38" s="9">
        <v>5.4000000000000003E-3</v>
      </c>
      <c r="C38" s="9">
        <v>4.5999999999999999E-3</v>
      </c>
      <c r="D38" s="9">
        <v>1.49E-2</v>
      </c>
      <c r="E38" s="9">
        <v>9.5999999999999992E-3</v>
      </c>
      <c r="F38" s="9">
        <v>3.2599999999999997E-2</v>
      </c>
      <c r="G38" s="9">
        <v>1.24E-2</v>
      </c>
      <c r="H38" s="9">
        <v>1.14E-2</v>
      </c>
      <c r="I38" s="9">
        <v>8.199999999999999E-3</v>
      </c>
      <c r="J38" s="9">
        <v>1.8200000000000001E-2</v>
      </c>
      <c r="K38" s="9">
        <v>3.5700000000000003E-2</v>
      </c>
      <c r="L38" s="9">
        <v>3.78E-2</v>
      </c>
      <c r="M38" s="9">
        <v>1.0800000000000001E-2</v>
      </c>
      <c r="N38" s="9">
        <v>3.2099999999999997E-2</v>
      </c>
      <c r="O38" s="9">
        <v>1.06E-2</v>
      </c>
      <c r="P38" s="9">
        <v>1.7899999999999999E-2</v>
      </c>
      <c r="Q38" s="9">
        <v>-5.4000000000000003E-3</v>
      </c>
      <c r="R38" s="9">
        <v>2.0799999999999999E-2</v>
      </c>
      <c r="S38" s="9">
        <v>2.8500000000000001E-2</v>
      </c>
      <c r="T38" s="9">
        <v>6.6000000000000008E-3</v>
      </c>
      <c r="U38" s="9">
        <v>2.7199999999999998E-2</v>
      </c>
      <c r="V38" s="9">
        <v>1.8E-3</v>
      </c>
      <c r="W38" s="9">
        <v>4.1200000000000001E-2</v>
      </c>
      <c r="X38" s="9">
        <v>2.24E-2</v>
      </c>
      <c r="Y38" s="9">
        <v>1.43E-2</v>
      </c>
      <c r="Z38" s="9">
        <v>2.5899999999999999E-2</v>
      </c>
      <c r="AA38" s="9">
        <v>3.1600000000000003E-2</v>
      </c>
      <c r="AB38" s="9">
        <v>2.92E-2</v>
      </c>
      <c r="AC38" s="9">
        <v>3.9300000000000002E-2</v>
      </c>
      <c r="AD38" s="9">
        <v>6.9999999999999993E-3</v>
      </c>
      <c r="AE38" s="9">
        <v>1.8E-3</v>
      </c>
      <c r="AF38" s="9">
        <v>1.2999999999999999E-2</v>
      </c>
      <c r="AG38" s="9">
        <v>2.2599999999999999E-2</v>
      </c>
      <c r="AH38" s="9">
        <v>2.53E-2</v>
      </c>
      <c r="AI38" s="9">
        <v>2.46E-2</v>
      </c>
      <c r="AJ38" s="9">
        <v>1.8200000000000001E-2</v>
      </c>
      <c r="AK38" s="9">
        <v>1.21E-2</v>
      </c>
      <c r="AL38" s="279">
        <v>1.78E-2</v>
      </c>
      <c r="AM38" s="279">
        <v>1.43E-2</v>
      </c>
      <c r="AN38" s="279">
        <v>5.0000000000000001E-3</v>
      </c>
      <c r="AO38" s="279">
        <v>1.9400000000000001E-2</v>
      </c>
      <c r="AP38" s="279">
        <v>1.38E-2</v>
      </c>
      <c r="AQ38" s="279">
        <v>1.2800000000000001E-2</v>
      </c>
      <c r="AR38" s="279">
        <v>2.1000000000000001E-2</v>
      </c>
      <c r="AS38" s="279">
        <v>2.5899999999999999E-2</v>
      </c>
      <c r="AT38" s="9">
        <v>5.6800000000000003E-2</v>
      </c>
      <c r="AU38" s="279">
        <v>2.75E-2</v>
      </c>
      <c r="AV38" s="279">
        <v>2.1999999999999999E-2</v>
      </c>
      <c r="AW38" s="279"/>
      <c r="AX38" s="9">
        <v>1.78E-2</v>
      </c>
      <c r="AY38" s="9">
        <v>2.6499999999999999E-2</v>
      </c>
      <c r="AZ38" s="9"/>
      <c r="BA38" s="9">
        <v>3.5099999999999999E-2</v>
      </c>
      <c r="BD38" s="9">
        <f t="shared" si="3"/>
        <v>4.5999999999999999E-2</v>
      </c>
    </row>
    <row r="39" spans="1:56" hidden="1" x14ac:dyDescent="0.3">
      <c r="A39">
        <v>20260325</v>
      </c>
      <c r="B39" s="9">
        <v>-3.7000000000000012E-2</v>
      </c>
      <c r="C39" s="9">
        <v>2.8899999999999999E-2</v>
      </c>
      <c r="D39" s="9">
        <v>1.89E-2</v>
      </c>
      <c r="E39" s="9">
        <v>1.78E-2</v>
      </c>
      <c r="F39" s="9">
        <v>2.7799999999999998E-2</v>
      </c>
      <c r="G39" s="9">
        <v>4.0999999999999986E-3</v>
      </c>
      <c r="H39" s="9">
        <v>1.6899999999999998E-2</v>
      </c>
      <c r="I39" s="9">
        <v>6.7000000000000002E-3</v>
      </c>
      <c r="J39" s="9">
        <v>3.27E-2</v>
      </c>
      <c r="K39" s="9">
        <v>1.83E-2</v>
      </c>
      <c r="L39" s="9">
        <v>3.1699999999999999E-2</v>
      </c>
      <c r="M39" s="9">
        <v>-4.0000000000000001E-3</v>
      </c>
      <c r="N39" s="9">
        <v>2.3E-2</v>
      </c>
      <c r="O39" s="9">
        <v>1.15E-2</v>
      </c>
      <c r="P39" s="9">
        <v>1.6899999999999998E-2</v>
      </c>
      <c r="Q39" s="9">
        <v>-1.5599999999999999E-2</v>
      </c>
      <c r="R39" s="9">
        <v>8.8999999999999999E-3</v>
      </c>
      <c r="S39" s="9">
        <v>1.46E-2</v>
      </c>
      <c r="T39" s="9">
        <v>9.9000000000000008E-3</v>
      </c>
      <c r="U39" s="9">
        <v>2.86E-2</v>
      </c>
      <c r="V39" s="9">
        <v>9.300000000000001E-3</v>
      </c>
      <c r="W39" s="9">
        <v>2.86E-2</v>
      </c>
      <c r="X39" s="9">
        <v>1.5699999999999999E-2</v>
      </c>
      <c r="Y39" s="9">
        <v>8.0000000000000002E-3</v>
      </c>
      <c r="Z39" s="9">
        <v>5.6000000000000008E-3</v>
      </c>
      <c r="AA39" s="9">
        <v>8.3999999999999995E-3</v>
      </c>
      <c r="AB39" s="9">
        <v>7.7000000000000002E-3</v>
      </c>
      <c r="AC39" s="9">
        <v>3.09E-2</v>
      </c>
      <c r="AD39" s="9">
        <v>1.7100000000000001E-2</v>
      </c>
      <c r="AE39" s="9">
        <v>1.0699999999999999E-2</v>
      </c>
      <c r="AF39" s="9">
        <v>1.7899999999999999E-2</v>
      </c>
      <c r="AG39" s="9">
        <v>2.53E-2</v>
      </c>
      <c r="AH39" s="9">
        <v>1.95E-2</v>
      </c>
      <c r="AI39" s="9">
        <v>1.78E-2</v>
      </c>
      <c r="AJ39" s="9">
        <v>2.69E-2</v>
      </c>
      <c r="AK39" s="9">
        <v>3.8899999999999997E-2</v>
      </c>
      <c r="AL39" s="279">
        <v>1.2999999999999999E-2</v>
      </c>
      <c r="AM39" s="279">
        <v>1.95E-2</v>
      </c>
      <c r="AN39" s="279">
        <v>2.01E-2</v>
      </c>
      <c r="AO39" s="279">
        <v>1.4800000000000001E-2</v>
      </c>
      <c r="AP39" s="279">
        <v>1.01E-2</v>
      </c>
      <c r="AQ39" s="279">
        <v>1.4E-2</v>
      </c>
      <c r="AR39" s="279">
        <v>2.24E-2</v>
      </c>
      <c r="AS39" s="279">
        <v>1.9800000000000002E-2</v>
      </c>
      <c r="AT39" s="279">
        <v>2.4500000000000001E-2</v>
      </c>
      <c r="AU39" s="279">
        <v>1.1599999999999999E-2</v>
      </c>
      <c r="AV39" s="279">
        <v>2.0299999999999999E-2</v>
      </c>
      <c r="AW39" s="279"/>
      <c r="AX39" s="279">
        <v>1.5599999999999999E-2</v>
      </c>
      <c r="AY39" s="279">
        <v>9.4000000000000004E-3</v>
      </c>
      <c r="AZ39" s="279">
        <v>1.5800000000000002E-2</v>
      </c>
      <c r="BA39" s="279">
        <v>1.7999999999999999E-2</v>
      </c>
      <c r="BD39" s="9">
        <f t="shared" si="3"/>
        <v>4.1799999999999997E-2</v>
      </c>
    </row>
    <row r="40" spans="1:56" hidden="1" x14ac:dyDescent="0.3">
      <c r="A40">
        <v>20260326</v>
      </c>
      <c r="B40" s="9">
        <v>8.9999999999999998E-4</v>
      </c>
      <c r="C40" s="9">
        <v>-1.26E-2</v>
      </c>
      <c r="D40" s="9">
        <v>-1.44E-2</v>
      </c>
      <c r="E40" s="9">
        <v>2.3E-3</v>
      </c>
      <c r="F40" s="9">
        <v>-1.9099999999999999E-2</v>
      </c>
      <c r="G40" s="9">
        <v>-1.2200000000000001E-2</v>
      </c>
      <c r="H40" s="9">
        <v>-1.0200000000000001E-2</v>
      </c>
      <c r="I40" s="9">
        <v>-1.0699999999999999E-2</v>
      </c>
      <c r="J40" s="9">
        <v>-1.44E-2</v>
      </c>
      <c r="K40" s="9">
        <v>-0.02</v>
      </c>
      <c r="L40" s="9">
        <v>-1.6899999999999998E-2</v>
      </c>
      <c r="M40" s="9">
        <v>3.7000000000000002E-3</v>
      </c>
      <c r="N40" s="9">
        <v>-2.4799999999999999E-2</v>
      </c>
      <c r="O40" s="9">
        <v>-2.2700000000000001E-2</v>
      </c>
      <c r="P40" s="9">
        <v>-1.04E-2</v>
      </c>
      <c r="Q40" s="9">
        <v>1.18E-2</v>
      </c>
      <c r="R40" s="9">
        <v>2.5000000000000001E-3</v>
      </c>
      <c r="S40" s="9">
        <v>-1.8700000000000001E-2</v>
      </c>
      <c r="T40" s="9">
        <v>-8.1000000000000013E-3</v>
      </c>
      <c r="U40" s="9">
        <v>-2.3099999999999999E-2</v>
      </c>
      <c r="V40" s="9">
        <v>-1.06E-2</v>
      </c>
      <c r="W40" s="9">
        <v>-1.14E-2</v>
      </c>
      <c r="X40" s="9">
        <v>-1.54E-2</v>
      </c>
      <c r="Y40" s="9">
        <v>-1.0999999999999999E-2</v>
      </c>
      <c r="Z40" s="9">
        <v>-1.67E-2</v>
      </c>
      <c r="AA40" s="9">
        <v>-8.3000000000000001E-3</v>
      </c>
      <c r="AB40" s="9">
        <v>-1.0200000000000001E-2</v>
      </c>
      <c r="AC40" s="9">
        <v>-9.1999999999999998E-3</v>
      </c>
      <c r="AD40" s="9">
        <v>-1.6799999999999999E-2</v>
      </c>
      <c r="AE40" s="9">
        <v>-2.46E-2</v>
      </c>
      <c r="AF40" s="9">
        <v>-3.15E-2</v>
      </c>
      <c r="AG40" s="9">
        <v>-2.24E-2</v>
      </c>
      <c r="AH40" s="9">
        <v>-1.9199999999999998E-2</v>
      </c>
      <c r="AI40" s="9">
        <v>-1.9E-2</v>
      </c>
      <c r="AJ40" s="9">
        <v>-2.4799999999999999E-2</v>
      </c>
      <c r="AK40" s="9">
        <v>-2.75E-2</v>
      </c>
      <c r="AL40" s="279">
        <v>-1.09E-2</v>
      </c>
      <c r="AM40" s="279">
        <v>-1.41E-2</v>
      </c>
      <c r="AN40" s="279">
        <v>-1.34E-2</v>
      </c>
      <c r="AO40" s="279">
        <v>-1.5699999999999999E-2</v>
      </c>
      <c r="AP40" s="279">
        <v>-1.2200000000000001E-2</v>
      </c>
      <c r="AQ40" s="279">
        <v>-1.32E-2</v>
      </c>
      <c r="AR40" s="279">
        <v>-1.6199999999999999E-2</v>
      </c>
      <c r="AS40" s="279">
        <v>-1.44E-2</v>
      </c>
      <c r="AT40" s="279">
        <v>-1.6500000000000001E-2</v>
      </c>
      <c r="AU40" s="279">
        <v>-1.6E-2</v>
      </c>
      <c r="AV40" s="279">
        <v>-4.4000000000000003E-3</v>
      </c>
      <c r="AW40" s="279"/>
      <c r="AX40" s="279">
        <v>-1.4E-2</v>
      </c>
      <c r="AY40" s="279">
        <v>-1.6400000000000001E-2</v>
      </c>
      <c r="AZ40" s="279"/>
      <c r="BA40" s="279">
        <v>-1.8800000000000001E-2</v>
      </c>
      <c r="BD40" s="9">
        <f t="shared" si="3"/>
        <v>4.2199999999999994E-2</v>
      </c>
    </row>
    <row r="41" spans="1:56" hidden="1" x14ac:dyDescent="0.3">
      <c r="A41">
        <v>20260327</v>
      </c>
      <c r="B41" s="9">
        <v>-1.7999999999999999E-2</v>
      </c>
      <c r="C41" s="9">
        <v>4.5000000000000014E-3</v>
      </c>
      <c r="D41" s="9">
        <v>6.3E-3</v>
      </c>
      <c r="E41" s="9">
        <v>2.3199999999999998E-2</v>
      </c>
      <c r="F41" s="9">
        <v>-5.9999999999999995E-4</v>
      </c>
      <c r="G41" s="9">
        <v>1.23E-2</v>
      </c>
      <c r="H41" s="9">
        <v>2.24E-2</v>
      </c>
      <c r="I41" s="9">
        <v>1.7600000000000001E-2</v>
      </c>
      <c r="J41" s="9">
        <v>1.0200000000000001E-2</v>
      </c>
      <c r="K41" s="9">
        <v>1.4800000000000001E-2</v>
      </c>
      <c r="L41" s="9">
        <v>2.9700000000000001E-2</v>
      </c>
      <c r="M41" s="9">
        <v>-2.9999999999999997E-4</v>
      </c>
      <c r="N41" s="9">
        <v>0</v>
      </c>
      <c r="O41" s="9">
        <v>5.7999999999999996E-3</v>
      </c>
      <c r="P41" s="9">
        <v>7.000000000000001E-4</v>
      </c>
      <c r="Q41" s="9">
        <v>-3.0999999999999999E-3</v>
      </c>
      <c r="R41" s="9">
        <v>-5.0000000000000001E-3</v>
      </c>
      <c r="S41" s="9">
        <v>7.3000000000000001E-3</v>
      </c>
      <c r="T41" s="9">
        <v>1.6400000000000001E-2</v>
      </c>
      <c r="U41" s="9">
        <v>6.9999999999999993E-3</v>
      </c>
      <c r="V41" s="9">
        <v>4.4000000000000003E-3</v>
      </c>
      <c r="W41" s="9">
        <v>-1.15E-2</v>
      </c>
      <c r="X41" s="9">
        <v>2.5100000000000001E-2</v>
      </c>
      <c r="Y41" s="9">
        <v>1.61E-2</v>
      </c>
      <c r="Z41" s="9">
        <v>3.4000000000000002E-2</v>
      </c>
      <c r="AA41" s="9">
        <v>3.3399999999999999E-2</v>
      </c>
      <c r="AB41" s="9">
        <v>5.1700000000000003E-2</v>
      </c>
      <c r="AC41" s="9">
        <v>-1.01E-2</v>
      </c>
      <c r="AD41" s="9">
        <v>9.300000000000001E-3</v>
      </c>
      <c r="AE41" s="9">
        <v>-8.9999999999999998E-4</v>
      </c>
      <c r="AF41" s="9">
        <v>9.1000000000000004E-3</v>
      </c>
      <c r="AG41" s="9">
        <v>1.18E-2</v>
      </c>
      <c r="AH41" s="9">
        <v>1.34E-2</v>
      </c>
      <c r="AI41" s="9">
        <v>6.1999999999999998E-3</v>
      </c>
      <c r="AJ41" s="9">
        <v>1.03E-2</v>
      </c>
      <c r="AK41" s="9">
        <v>-5.8999999999999999E-3</v>
      </c>
      <c r="AL41" s="279">
        <v>6.3E-3</v>
      </c>
      <c r="AM41" s="279">
        <v>1.1299999999999999E-2</v>
      </c>
      <c r="AN41" s="279">
        <v>7.1000000000000004E-3</v>
      </c>
      <c r="AO41" s="279">
        <v>3.7000000000000002E-3</v>
      </c>
      <c r="AP41" s="279">
        <v>4.4999999999999997E-3</v>
      </c>
      <c r="AQ41" s="279">
        <v>5.5999999999999999E-3</v>
      </c>
      <c r="AR41" s="279">
        <v>1.2500000000000001E-2</v>
      </c>
      <c r="AS41" s="279">
        <v>1.4E-2</v>
      </c>
      <c r="AT41" s="279">
        <v>2.0400000000000001E-2</v>
      </c>
      <c r="AU41" s="279">
        <v>7.1999999999999998E-3</v>
      </c>
      <c r="AV41" s="279">
        <v>1.2200000000000001E-2</v>
      </c>
      <c r="AW41" s="279"/>
      <c r="AX41" s="279">
        <v>1.55E-2</v>
      </c>
      <c r="AY41" s="279">
        <v>2.3099999999999999E-2</v>
      </c>
      <c r="AZ41" s="279">
        <v>1.6899999999999998E-2</v>
      </c>
      <c r="BA41" s="279">
        <v>1.4800000000000001E-2</v>
      </c>
      <c r="BD41" s="9">
        <f t="shared" si="3"/>
        <v>4.3699999999999996E-2</v>
      </c>
    </row>
    <row r="42" spans="1:56" hidden="1" x14ac:dyDescent="0.3">
      <c r="A42">
        <v>20260330</v>
      </c>
      <c r="B42" s="9">
        <v>6.1000000000000004E-3</v>
      </c>
      <c r="C42" s="9">
        <v>-3.0000000000000001E-3</v>
      </c>
      <c r="D42" s="9">
        <v>-4.1999999999999997E-3</v>
      </c>
      <c r="E42" s="9">
        <v>9.1000000000000004E-3</v>
      </c>
      <c r="F42" s="9">
        <v>3.8E-3</v>
      </c>
      <c r="G42" s="9">
        <v>2E-3</v>
      </c>
      <c r="H42" s="9">
        <v>2.47E-2</v>
      </c>
      <c r="I42" s="9">
        <v>1.2999999999999999E-3</v>
      </c>
      <c r="J42" s="9">
        <v>-1.01E-2</v>
      </c>
      <c r="K42" s="9">
        <v>8.3000000000000001E-3</v>
      </c>
      <c r="L42" s="9">
        <v>1.6199999999999999E-2</v>
      </c>
      <c r="M42" s="9">
        <v>9.7999999999999997E-3</v>
      </c>
      <c r="N42" s="9">
        <v>3.3E-3</v>
      </c>
      <c r="O42" s="9">
        <v>-3.8E-3</v>
      </c>
      <c r="P42" s="9">
        <v>-9.1000000000000004E-3</v>
      </c>
      <c r="Q42" s="9">
        <v>-6.9999999999999993E-3</v>
      </c>
      <c r="R42" s="9">
        <v>3.8E-3</v>
      </c>
      <c r="S42" s="9">
        <v>-2.8999999999999998E-3</v>
      </c>
      <c r="T42" s="9">
        <v>-1.6000000000000001E-3</v>
      </c>
      <c r="U42" s="9">
        <v>1.6000000000000001E-3</v>
      </c>
      <c r="V42" s="9">
        <v>-1.2E-2</v>
      </c>
      <c r="W42" s="9">
        <v>-3.2800000000000003E-2</v>
      </c>
      <c r="X42" s="9">
        <v>9.1999999999999998E-3</v>
      </c>
      <c r="Y42" s="9">
        <v>9.9000000000000008E-3</v>
      </c>
      <c r="Z42" s="9">
        <v>0</v>
      </c>
      <c r="AA42" s="9">
        <v>1.35E-2</v>
      </c>
      <c r="AB42" s="9">
        <v>8.6E-3</v>
      </c>
      <c r="AC42" s="9">
        <v>-3.7400000000000003E-2</v>
      </c>
      <c r="AD42" s="9">
        <v>-3.8E-3</v>
      </c>
      <c r="AE42" s="9">
        <v>-3.61E-2</v>
      </c>
      <c r="AF42" s="9">
        <v>1.2999999999999999E-3</v>
      </c>
      <c r="AG42" s="9">
        <v>-6.1999999999999998E-3</v>
      </c>
      <c r="AH42" s="9">
        <v>0</v>
      </c>
      <c r="AI42" s="9">
        <v>1.0800000000000001E-2</v>
      </c>
      <c r="AJ42" s="9">
        <v>-7.000000000000001E-4</v>
      </c>
      <c r="AK42" s="9">
        <v>4.0000000000000002E-4</v>
      </c>
      <c r="AL42" s="279">
        <v>2.3999999999999998E-3</v>
      </c>
      <c r="AM42" s="279">
        <v>-2.5000000000000001E-3</v>
      </c>
      <c r="AN42" s="279">
        <v>-6.7999999999999996E-3</v>
      </c>
      <c r="AO42" s="279">
        <v>-8.3999999999999995E-3</v>
      </c>
      <c r="AP42" s="279">
        <v>-1.4E-3</v>
      </c>
      <c r="AQ42" s="279">
        <v>-2.3999999999999998E-3</v>
      </c>
      <c r="AR42" s="279">
        <v>2.0999999999999999E-3</v>
      </c>
      <c r="AS42" s="279">
        <v>2.8E-3</v>
      </c>
      <c r="AT42" s="279">
        <v>1.1900000000000001E-2</v>
      </c>
      <c r="AU42" s="279">
        <v>-8.3999999999999995E-3</v>
      </c>
      <c r="AV42" s="279">
        <v>4.1999999999999997E-3</v>
      </c>
      <c r="AW42" s="279"/>
      <c r="AX42" s="279">
        <v>-4.4999999999999997E-3</v>
      </c>
      <c r="AY42" s="279">
        <v>-2.0000000000000001E-4</v>
      </c>
      <c r="AZ42" s="279">
        <v>3.0000000000000001E-3</v>
      </c>
      <c r="BA42" s="279">
        <v>-2.3E-3</v>
      </c>
      <c r="BD42" s="9">
        <f t="shared" si="3"/>
        <v>3.6399999999999995E-2</v>
      </c>
    </row>
    <row r="43" spans="1:56" hidden="1" x14ac:dyDescent="0.3">
      <c r="A43">
        <v>20260331</v>
      </c>
      <c r="B43" s="9">
        <v>-3.04E-2</v>
      </c>
      <c r="C43" s="9">
        <v>-6.7000000000000002E-3</v>
      </c>
      <c r="D43" s="9">
        <v>-8.3999999999999995E-3</v>
      </c>
      <c r="E43" s="9">
        <v>-2.47E-2</v>
      </c>
      <c r="F43" s="9">
        <v>2.5000000000000001E-3</v>
      </c>
      <c r="G43" s="9">
        <v>0</v>
      </c>
      <c r="H43" s="9">
        <v>-3.6600000000000001E-2</v>
      </c>
      <c r="I43" s="9">
        <v>-1.46E-2</v>
      </c>
      <c r="J43" s="9">
        <v>-5.7999999999999996E-3</v>
      </c>
      <c r="K43" s="9">
        <v>-1.6500000000000001E-2</v>
      </c>
      <c r="L43" s="9">
        <v>-1.2500000000000001E-2</v>
      </c>
      <c r="M43" s="9">
        <v>-1.4500000000000001E-2</v>
      </c>
      <c r="N43" s="9">
        <v>-1.23E-2</v>
      </c>
      <c r="O43" s="9">
        <v>-7.7000000000000002E-3</v>
      </c>
      <c r="P43" s="9">
        <v>6.4000000000000003E-3</v>
      </c>
      <c r="Q43" s="9">
        <v>-3.7900000000000003E-2</v>
      </c>
      <c r="R43" s="9">
        <v>8.8000000000000005E-3</v>
      </c>
      <c r="S43" s="9">
        <v>-9.4999999999999998E-3</v>
      </c>
      <c r="T43" s="9">
        <v>-1.4500000000000001E-2</v>
      </c>
      <c r="U43" s="9">
        <v>-2.0199999999999999E-2</v>
      </c>
      <c r="V43" s="9">
        <v>-3.7699999999999997E-2</v>
      </c>
      <c r="W43" s="9">
        <v>-2.4899999999999999E-2</v>
      </c>
      <c r="X43" s="9">
        <v>0</v>
      </c>
      <c r="Y43" s="9">
        <v>-4.8999999999999998E-3</v>
      </c>
      <c r="Z43" s="9">
        <v>-2.7000000000000001E-3</v>
      </c>
      <c r="AA43" s="9">
        <v>2.7000000000000001E-3</v>
      </c>
      <c r="AB43" s="9">
        <v>-1.1999999999999999E-3</v>
      </c>
      <c r="AC43" s="9">
        <v>-2.6499999999999999E-2</v>
      </c>
      <c r="AD43" s="9">
        <v>1.5E-3</v>
      </c>
      <c r="AE43" s="9">
        <v>-3.09E-2</v>
      </c>
      <c r="AF43" s="9">
        <v>-1.1599999999999999E-2</v>
      </c>
      <c r="AG43" s="9">
        <v>-9.4000000000000004E-3</v>
      </c>
      <c r="AH43" s="9">
        <v>1E-3</v>
      </c>
      <c r="AI43" s="9">
        <v>-4.5999999999999999E-3</v>
      </c>
      <c r="AJ43" s="9">
        <v>-3.5400000000000001E-2</v>
      </c>
      <c r="AK43" s="9">
        <v>-1.9099999999999999E-2</v>
      </c>
      <c r="AL43" s="279">
        <v>-8.0000000000000002E-3</v>
      </c>
      <c r="AM43" s="279">
        <v>-1.8100000000000002E-2</v>
      </c>
      <c r="AN43" s="279">
        <v>-2.7E-2</v>
      </c>
      <c r="AO43" s="279">
        <v>-9.9000000000000008E-3</v>
      </c>
      <c r="AP43" s="279">
        <v>-2.5000000000000001E-3</v>
      </c>
      <c r="AQ43" s="279">
        <v>-9.2999999999999992E-3</v>
      </c>
      <c r="AR43" s="279">
        <v>-1.7600000000000001E-2</v>
      </c>
      <c r="AS43" s="279">
        <v>-1.9099999999999999E-2</v>
      </c>
      <c r="AT43" s="279">
        <v>-1.4999999999999999E-2</v>
      </c>
      <c r="AU43" s="279">
        <v>-1.4500000000000001E-2</v>
      </c>
      <c r="AV43" s="279">
        <v>-1.54E-2</v>
      </c>
      <c r="AW43" s="279"/>
      <c r="AX43" s="279">
        <v>-1.2699999999999999E-2</v>
      </c>
      <c r="AY43" s="279">
        <v>-1.1900000000000001E-2</v>
      </c>
      <c r="AZ43" s="279">
        <v>-8.0999999999999996E-3</v>
      </c>
      <c r="BA43" s="279">
        <v>-1.5299999999999999E-2</v>
      </c>
      <c r="BD43" s="9">
        <f t="shared" si="3"/>
        <v>4.2799999999999991E-2</v>
      </c>
    </row>
    <row r="44" spans="1:56" ht="42" customHeight="1" x14ac:dyDescent="0.3">
      <c r="A44" s="295" t="s">
        <v>98</v>
      </c>
      <c r="B44" s="347">
        <f t="shared" ref="B44:AV44" si="4">SUM(B45:B65)</f>
        <v>4.4901349445295308E-2</v>
      </c>
      <c r="C44" s="347">
        <f t="shared" si="4"/>
        <v>6.5271074472869409E-2</v>
      </c>
      <c r="D44" s="347">
        <f t="shared" si="4"/>
        <v>0.12217981008948083</v>
      </c>
      <c r="E44" s="347">
        <f t="shared" si="4"/>
        <v>9.9033190681743211E-2</v>
      </c>
      <c r="F44" s="347">
        <f t="shared" si="4"/>
        <v>8.3306268666949096E-2</v>
      </c>
      <c r="G44" s="347">
        <f t="shared" si="4"/>
        <v>-1.763469755957716E-2</v>
      </c>
      <c r="H44" s="347">
        <f t="shared" si="4"/>
        <v>2.8808401210469563E-3</v>
      </c>
      <c r="I44" s="347">
        <f t="shared" si="4"/>
        <v>7.3855699879612595E-3</v>
      </c>
      <c r="J44" s="347">
        <f t="shared" si="4"/>
        <v>-2.5246601841408898E-2</v>
      </c>
      <c r="K44" s="347">
        <f t="shared" si="4"/>
        <v>1.1330493375719992E-2</v>
      </c>
      <c r="L44" s="347">
        <f t="shared" si="4"/>
        <v>7.1988562373580797E-2</v>
      </c>
      <c r="M44" s="347">
        <f t="shared" si="4"/>
        <v>2.775844327772832E-2</v>
      </c>
      <c r="N44" s="347">
        <f t="shared" si="4"/>
        <v>-2.7650623907046522E-3</v>
      </c>
      <c r="O44" s="347">
        <f t="shared" si="4"/>
        <v>4.8830330981615794E-2</v>
      </c>
      <c r="P44" s="347">
        <f t="shared" si="4"/>
        <v>7.0098122483450334E-2</v>
      </c>
      <c r="Q44" s="347">
        <f t="shared" si="4"/>
        <v>7.7803548862272462E-2</v>
      </c>
      <c r="R44" s="347">
        <f t="shared" si="4"/>
        <v>-8.52801071543988E-3</v>
      </c>
      <c r="S44" s="347">
        <f t="shared" si="4"/>
        <v>6.1199030079167438E-2</v>
      </c>
      <c r="T44" s="347">
        <f t="shared" si="4"/>
        <v>2.8238925559353936E-2</v>
      </c>
      <c r="U44" s="347">
        <f t="shared" si="4"/>
        <v>5.6742275674752513E-2</v>
      </c>
      <c r="V44" s="347">
        <f t="shared" si="4"/>
        <v>8.5195522524541226E-2</v>
      </c>
      <c r="W44" s="347">
        <f t="shared" si="4"/>
        <v>5.0628817379292819E-3</v>
      </c>
      <c r="X44" s="347">
        <f t="shared" si="4"/>
        <v>2.0084917105970341E-2</v>
      </c>
      <c r="Y44" s="347">
        <f t="shared" si="4"/>
        <v>-1.3018973036464054E-2</v>
      </c>
      <c r="Z44" s="347">
        <f t="shared" si="4"/>
        <v>1.8187987933115726E-2</v>
      </c>
      <c r="AA44" s="347">
        <f t="shared" si="4"/>
        <v>2.3861508640682767E-2</v>
      </c>
      <c r="AB44" s="347">
        <f t="shared" si="4"/>
        <v>2.1849333370374015E-2</v>
      </c>
      <c r="AC44" s="347">
        <f t="shared" si="4"/>
        <v>5.7767668179495822E-3</v>
      </c>
      <c r="AD44" s="347">
        <f t="shared" si="4"/>
        <v>1.3845299860873227E-2</v>
      </c>
      <c r="AE44" s="347">
        <f t="shared" si="4"/>
        <v>3.0764851225127742E-2</v>
      </c>
      <c r="AF44" s="347">
        <f t="shared" si="4"/>
        <v>5.9377825105593612E-2</v>
      </c>
      <c r="AG44" s="347">
        <f t="shared" si="4"/>
        <v>3.0422793408206587E-2</v>
      </c>
      <c r="AH44" s="347">
        <f t="shared" si="4"/>
        <v>5.2514783275770492E-3</v>
      </c>
      <c r="AI44" s="347">
        <f t="shared" si="4"/>
        <v>7.3046506407844256E-2</v>
      </c>
      <c r="AJ44" s="347">
        <f t="shared" si="4"/>
        <v>0.25690864669616953</v>
      </c>
      <c r="AK44" s="347">
        <f t="shared" si="4"/>
        <v>0.26018669594352184</v>
      </c>
      <c r="AL44" s="347">
        <f t="shared" si="4"/>
        <v>5.5926469051373641E-2</v>
      </c>
      <c r="AM44" s="347">
        <f t="shared" si="4"/>
        <v>0.11683330832005949</v>
      </c>
      <c r="AN44" s="347">
        <f t="shared" si="4"/>
        <v>0.14818165818775669</v>
      </c>
      <c r="AO44" s="347">
        <f t="shared" si="4"/>
        <v>6.7699999999999996E-2</v>
      </c>
      <c r="AP44" s="347">
        <f t="shared" si="4"/>
        <v>5.5603378407928554E-2</v>
      </c>
      <c r="AQ44" s="347">
        <f t="shared" si="4"/>
        <v>7.8584681557758954E-2</v>
      </c>
      <c r="AR44" s="347">
        <f t="shared" si="4"/>
        <v>9.4032209861656807E-2</v>
      </c>
      <c r="AS44" s="347">
        <f t="shared" si="4"/>
        <v>9.7649836350110653E-2</v>
      </c>
      <c r="AT44" s="347">
        <f t="shared" si="4"/>
        <v>7.1179789011602046E-2</v>
      </c>
      <c r="AU44" s="347">
        <f t="shared" si="4"/>
        <v>7.0200000000000012E-2</v>
      </c>
      <c r="AV44" s="347">
        <f t="shared" si="4"/>
        <v>2.8000000000000021E-3</v>
      </c>
      <c r="AW44" s="347">
        <v>6.9699999999999998E-2</v>
      </c>
      <c r="AX44" s="347">
        <f>SUM(AX45:AX65)</f>
        <v>3.2400000000000005E-2</v>
      </c>
      <c r="AY44" s="347">
        <f>SUM(AY45:AY65)</f>
        <v>4.3999999999999997E-2</v>
      </c>
      <c r="AZ44" s="347">
        <f>SUM(AZ45:AZ65)</f>
        <v>3.0099999999999991E-2</v>
      </c>
      <c r="BA44" s="347">
        <f>SUM(BA45:BA65)</f>
        <v>5.2600000000000008E-2</v>
      </c>
      <c r="BB44" s="347">
        <f>SUM(BB45:BB65)</f>
        <v>-6.399999999999996E-3</v>
      </c>
      <c r="BD44" s="9">
        <f>AX44-AS44</f>
        <v>-6.524983635011064E-2</v>
      </c>
    </row>
    <row r="45" spans="1:56" hidden="1" x14ac:dyDescent="0.3">
      <c r="A45">
        <v>20260401</v>
      </c>
      <c r="B45" s="9">
        <v>-1.4E-2</v>
      </c>
      <c r="C45" s="9">
        <v>2.4899999999999999E-2</v>
      </c>
      <c r="D45" s="9">
        <v>2.53E-2</v>
      </c>
      <c r="E45" s="9">
        <v>8.1000000000000013E-3</v>
      </c>
      <c r="F45" s="9">
        <v>3.49E-2</v>
      </c>
      <c r="G45" s="9">
        <v>1.01E-2</v>
      </c>
      <c r="H45" s="9">
        <v>2.8E-3</v>
      </c>
      <c r="I45" s="9">
        <v>1.21E-2</v>
      </c>
      <c r="J45" s="9">
        <v>3.09E-2</v>
      </c>
      <c r="K45" s="9">
        <v>1.1900000000000001E-2</v>
      </c>
      <c r="L45" s="9">
        <v>2.1700000000000001E-2</v>
      </c>
      <c r="M45" s="9">
        <v>-3.0999999999999999E-3</v>
      </c>
      <c r="N45" s="9">
        <v>0.01</v>
      </c>
      <c r="O45" s="9">
        <v>1.55E-2</v>
      </c>
      <c r="P45" s="9">
        <v>1.54E-2</v>
      </c>
      <c r="Q45" s="9">
        <v>-5.6999999999999993E-3</v>
      </c>
      <c r="R45" s="9">
        <v>0</v>
      </c>
      <c r="S45" s="9">
        <v>5.8999999999999999E-3</v>
      </c>
      <c r="T45" s="9">
        <v>3.3E-3</v>
      </c>
      <c r="U45" s="9">
        <v>1.2E-2</v>
      </c>
      <c r="V45" s="9">
        <v>-2.3E-3</v>
      </c>
      <c r="W45" s="9">
        <v>-3.0999999999999999E-3</v>
      </c>
      <c r="X45" s="9">
        <v>3.3300000000000003E-2</v>
      </c>
      <c r="Y45" s="9">
        <v>1.4800000000000001E-2</v>
      </c>
      <c r="Z45" s="9">
        <v>3.5700000000000003E-2</v>
      </c>
      <c r="AA45" s="9">
        <v>5.3099999999999987E-2</v>
      </c>
      <c r="AB45" s="9">
        <v>5.2400000000000002E-2</v>
      </c>
      <c r="AC45" s="9">
        <v>0</v>
      </c>
      <c r="AD45" s="9">
        <v>1.23E-2</v>
      </c>
      <c r="AE45" s="9">
        <v>6.7999999999999996E-3</v>
      </c>
      <c r="AF45" s="9">
        <v>2.2100000000000002E-2</v>
      </c>
      <c r="AG45" s="9">
        <v>5.62E-2</v>
      </c>
      <c r="AH45" s="9">
        <v>2.3300000000000001E-2</v>
      </c>
      <c r="AI45" s="9">
        <v>3.8E-3</v>
      </c>
      <c r="AJ45" s="9">
        <v>3.04E-2</v>
      </c>
      <c r="AK45" s="9">
        <v>3.4200000000000001E-2</v>
      </c>
      <c r="AL45" s="279">
        <v>1.46E-2</v>
      </c>
      <c r="AM45" s="279">
        <v>1.7000000000000001E-2</v>
      </c>
      <c r="AN45" s="279">
        <v>1.9599999999999999E-2</v>
      </c>
      <c r="AO45" s="279">
        <v>2.3900000000000001E-2</v>
      </c>
      <c r="AP45" s="279">
        <v>1.8599999999999998E-2</v>
      </c>
      <c r="AQ45" s="279">
        <v>1.7100000000000001E-2</v>
      </c>
      <c r="AR45" s="279">
        <v>1.7399999999999999E-2</v>
      </c>
      <c r="AS45" s="279">
        <v>1.89E-2</v>
      </c>
      <c r="AT45" s="279">
        <v>1.14E-2</v>
      </c>
      <c r="AU45" s="279">
        <v>2.23E-2</v>
      </c>
      <c r="AV45" s="279">
        <v>5.3E-3</v>
      </c>
      <c r="AW45" s="279"/>
      <c r="AX45" s="279">
        <v>2.29E-2</v>
      </c>
      <c r="AY45" s="279">
        <v>2.5100000000000001E-2</v>
      </c>
      <c r="AZ45" s="279">
        <v>1.8200000000000001E-2</v>
      </c>
      <c r="BA45" s="279">
        <v>2.1899999999999999E-2</v>
      </c>
      <c r="BD45" s="9">
        <f>AX45-AS45</f>
        <v>4.0000000000000001E-3</v>
      </c>
    </row>
    <row r="46" spans="1:56" hidden="1" x14ac:dyDescent="0.3">
      <c r="A46">
        <v>20260402</v>
      </c>
      <c r="B46" s="9">
        <v>1.8599999999999998E-2</v>
      </c>
      <c r="C46" s="9">
        <v>-1.47E-2</v>
      </c>
      <c r="D46" s="9">
        <v>-2.1600000000000001E-2</v>
      </c>
      <c r="E46" s="9">
        <v>-1.03E-2</v>
      </c>
      <c r="F46" s="9">
        <v>-1.6299999999999999E-2</v>
      </c>
      <c r="G46" s="9">
        <v>2E-3</v>
      </c>
      <c r="H46" s="9">
        <v>-8.9999999999999998E-4</v>
      </c>
      <c r="I46" s="9">
        <v>6.7000000000000002E-3</v>
      </c>
      <c r="J46" s="9">
        <v>-2.1399999999999999E-2</v>
      </c>
      <c r="K46" s="9">
        <v>-9.0000000000000011E-3</v>
      </c>
      <c r="L46" s="9">
        <v>-1.7299999999999999E-2</v>
      </c>
      <c r="M46" s="9">
        <v>5.2000000000000006E-3</v>
      </c>
      <c r="N46" s="9">
        <v>-1.4E-2</v>
      </c>
      <c r="O46" s="9">
        <v>-1.9099999999999999E-2</v>
      </c>
      <c r="P46" s="9">
        <v>-1.3100000000000001E-2</v>
      </c>
      <c r="Q46" s="9">
        <v>9.9000000000000008E-3</v>
      </c>
      <c r="R46" s="9">
        <v>3.7000000000000002E-3</v>
      </c>
      <c r="S46" s="9">
        <v>-2.5700000000000001E-2</v>
      </c>
      <c r="T46" s="9">
        <v>2.4500000000000001E-2</v>
      </c>
      <c r="U46" s="9">
        <v>-1.4500000000000001E-2</v>
      </c>
      <c r="V46" s="9">
        <v>-2.9399999999999999E-2</v>
      </c>
      <c r="W46" s="9">
        <v>-5.4000000000000003E-3</v>
      </c>
      <c r="X46" s="9">
        <v>-5.8999999999999999E-3</v>
      </c>
      <c r="Y46" s="9">
        <v>2.8999999999999998E-3</v>
      </c>
      <c r="Z46" s="9">
        <v>-8.0000000000000002E-3</v>
      </c>
      <c r="AA46" s="9">
        <v>0</v>
      </c>
      <c r="AB46" s="9">
        <v>2.3E-3</v>
      </c>
      <c r="AC46" s="9">
        <v>-1.18E-2</v>
      </c>
      <c r="AD46" s="9">
        <v>-1.14E-2</v>
      </c>
      <c r="AE46" s="9">
        <v>-3.27E-2</v>
      </c>
      <c r="AF46" s="9">
        <v>-3.0599999999999999E-2</v>
      </c>
      <c r="AG46" s="9">
        <v>-2.3199999999999998E-2</v>
      </c>
      <c r="AH46" s="9">
        <v>-2.9700000000000001E-2</v>
      </c>
      <c r="AI46" s="9">
        <v>-1.83E-2</v>
      </c>
      <c r="AJ46" s="9">
        <v>-3.09E-2</v>
      </c>
      <c r="AK46" s="9">
        <v>-2.76E-2</v>
      </c>
      <c r="AL46" s="279">
        <v>-7.4000000000000003E-3</v>
      </c>
      <c r="AM46" s="279">
        <v>-1.6E-2</v>
      </c>
      <c r="AN46" s="279">
        <v>-2.3099999999999999E-2</v>
      </c>
      <c r="AO46" s="279">
        <v>3.0000000000000001E-3</v>
      </c>
      <c r="AP46" s="279">
        <v>-8.8000000000000005E-3</v>
      </c>
      <c r="AQ46" s="279">
        <v>-1.04E-2</v>
      </c>
      <c r="AR46" s="279">
        <v>-1.8700000000000001E-2</v>
      </c>
      <c r="AS46" s="279">
        <v>-1.8100000000000002E-2</v>
      </c>
      <c r="AT46" s="279">
        <v>-2.18E-2</v>
      </c>
      <c r="AU46" s="279">
        <v>-1.52E-2</v>
      </c>
      <c r="AV46" s="279">
        <v>-1.6299999999999999E-2</v>
      </c>
      <c r="AW46" s="279"/>
      <c r="AX46" s="279">
        <v>-7.1000000000000004E-3</v>
      </c>
      <c r="AY46" s="279">
        <v>-8.0999999999999996E-3</v>
      </c>
      <c r="AZ46" s="279">
        <v>-1.2200000000000001E-2</v>
      </c>
      <c r="BA46" s="279">
        <v>-1.7899999999999999E-2</v>
      </c>
      <c r="BB46" s="279">
        <v>-3.6799999999999999E-2</v>
      </c>
      <c r="BD46" s="9">
        <f t="shared" ref="BD46:BD65" si="5">AX46-AS46+BD45</f>
        <v>1.5000000000000001E-2</v>
      </c>
    </row>
    <row r="47" spans="1:56" hidden="1" x14ac:dyDescent="0.3">
      <c r="A47">
        <v>20260403</v>
      </c>
      <c r="B47" s="9">
        <v>-1.01E-2</v>
      </c>
      <c r="C47" s="9">
        <v>-1.2699999999999999E-2</v>
      </c>
      <c r="D47" s="9">
        <v>-9.4000000000000004E-3</v>
      </c>
      <c r="E47" s="9">
        <v>-1.2699999999999999E-2</v>
      </c>
      <c r="F47" s="9">
        <v>-9.7999999999999997E-3</v>
      </c>
      <c r="G47" s="9">
        <v>-0.01</v>
      </c>
      <c r="H47" s="9">
        <v>-2.5899999999999999E-2</v>
      </c>
      <c r="I47" s="9">
        <v>-1.1900000000000001E-2</v>
      </c>
      <c r="J47" s="9">
        <v>-2.0400000000000001E-2</v>
      </c>
      <c r="K47" s="9">
        <v>-1.4E-2</v>
      </c>
      <c r="L47" s="9">
        <v>-0.01</v>
      </c>
      <c r="M47" s="9">
        <v>-1.29E-2</v>
      </c>
      <c r="N47" s="9">
        <v>-0.02</v>
      </c>
      <c r="O47" s="9">
        <v>-8.8000000000000005E-3</v>
      </c>
      <c r="P47" s="9">
        <v>-1.6799999999999999E-2</v>
      </c>
      <c r="Q47" s="9">
        <v>-2.69E-2</v>
      </c>
      <c r="R47" s="9">
        <v>-9.9000000000000008E-3</v>
      </c>
      <c r="S47" s="9">
        <v>-2.1100000000000001E-2</v>
      </c>
      <c r="T47" s="9">
        <v>-3.0300000000000001E-2</v>
      </c>
      <c r="U47" s="9">
        <v>-2.2000000000000001E-3</v>
      </c>
      <c r="V47" s="9">
        <v>-2.5499999999999998E-2</v>
      </c>
      <c r="W47" s="9">
        <v>-2.4199999999999999E-2</v>
      </c>
      <c r="X47" s="9">
        <v>-2.6499999999999999E-2</v>
      </c>
      <c r="Y47" s="9">
        <v>-1.46E-2</v>
      </c>
      <c r="Z47" s="9">
        <v>-1.6E-2</v>
      </c>
      <c r="AA47" s="9">
        <v>-2.0199999999999999E-2</v>
      </c>
      <c r="AB47" s="9">
        <v>-2.0799999999999999E-2</v>
      </c>
      <c r="AC47" s="9">
        <v>-2.4799999999999999E-2</v>
      </c>
      <c r="AD47" s="9">
        <v>-1.6199999999999999E-2</v>
      </c>
      <c r="AE47" s="9">
        <v>-2.4799999999999999E-2</v>
      </c>
      <c r="AF47" s="9">
        <v>-1.3100000000000001E-2</v>
      </c>
      <c r="AG47" s="9">
        <v>-2.07E-2</v>
      </c>
      <c r="AH47" s="9">
        <v>-2.76E-2</v>
      </c>
      <c r="AI47" s="9">
        <v>-1.17E-2</v>
      </c>
      <c r="AJ47" s="9">
        <v>0</v>
      </c>
      <c r="AK47" s="9">
        <v>1.9E-2</v>
      </c>
      <c r="AL47" s="279">
        <v>-0.01</v>
      </c>
      <c r="AM47" s="279">
        <v>-9.9000000000000008E-3</v>
      </c>
      <c r="AN47" s="279">
        <v>-7.3000000000000001E-3</v>
      </c>
      <c r="AO47" s="279">
        <v>-2.12E-2</v>
      </c>
      <c r="AP47" s="279">
        <v>-8.0000000000000002E-3</v>
      </c>
      <c r="AQ47" s="279">
        <v>-8.5000000000000006E-3</v>
      </c>
      <c r="AR47" s="279">
        <v>-9.2999999999999992E-3</v>
      </c>
      <c r="AS47" s="279">
        <v>-1.14E-2</v>
      </c>
      <c r="AT47" s="279">
        <v>-3.6799999999999999E-2</v>
      </c>
      <c r="AU47" s="279">
        <v>2.0999999999999999E-3</v>
      </c>
      <c r="AV47" s="279">
        <v>-2.01E-2</v>
      </c>
      <c r="AW47" s="279"/>
      <c r="AX47" s="279">
        <v>-1.7600000000000001E-2</v>
      </c>
      <c r="AY47" s="279">
        <v>-1.8700000000000001E-2</v>
      </c>
      <c r="AZ47" s="279">
        <v>-2.4899999999999999E-2</v>
      </c>
      <c r="BA47" s="279">
        <v>-1.1599999999999999E-2</v>
      </c>
      <c r="BB47" s="279">
        <v>-2.6499999999999999E-2</v>
      </c>
      <c r="BD47" s="9">
        <f t="shared" si="5"/>
        <v>8.8000000000000005E-3</v>
      </c>
    </row>
    <row r="48" spans="1:56" hidden="1" x14ac:dyDescent="0.3">
      <c r="A48">
        <v>20260407</v>
      </c>
      <c r="B48" s="9">
        <v>-1.5E-3</v>
      </c>
      <c r="C48" s="9">
        <v>-9.1000000000000004E-3</v>
      </c>
      <c r="D48" s="9">
        <v>-3.2000000000000002E-3</v>
      </c>
      <c r="E48" s="9">
        <v>3.5099999999999999E-2</v>
      </c>
      <c r="F48" s="9">
        <v>-1.67E-2</v>
      </c>
      <c r="G48" s="9">
        <v>-6.1000000000000004E-3</v>
      </c>
      <c r="H48" s="9">
        <v>1.7999999999999999E-2</v>
      </c>
      <c r="I48" s="9">
        <v>-2.7000000000000001E-3</v>
      </c>
      <c r="J48" s="9">
        <v>-1.5E-3</v>
      </c>
      <c r="K48" s="9">
        <v>3.5000000000000001E-3</v>
      </c>
      <c r="L48" s="9">
        <v>1.0699999999999999E-2</v>
      </c>
      <c r="M48" s="9">
        <v>3.7000000000000002E-3</v>
      </c>
      <c r="N48" s="9">
        <v>7.6E-3</v>
      </c>
      <c r="O48" s="9">
        <v>-1E-3</v>
      </c>
      <c r="P48" s="9">
        <v>-2.0999999999999999E-3</v>
      </c>
      <c r="Q48" s="9">
        <v>2.8500000000000001E-2</v>
      </c>
      <c r="R48" s="9">
        <v>-1.1299999999999999E-2</v>
      </c>
      <c r="S48" s="9">
        <v>1.5E-3</v>
      </c>
      <c r="T48" s="9">
        <v>1.9699999999999999E-2</v>
      </c>
      <c r="U48" s="9">
        <v>-7.6E-3</v>
      </c>
      <c r="V48" s="9">
        <v>4.4000000000000003E-3</v>
      </c>
      <c r="W48" s="9">
        <v>-2.3999999999999998E-3</v>
      </c>
      <c r="X48" s="9">
        <v>6.1000000000000004E-3</v>
      </c>
      <c r="Y48" s="9">
        <v>-5.8999999999999999E-3</v>
      </c>
      <c r="Z48" s="9">
        <v>2.7000000000000001E-3</v>
      </c>
      <c r="AA48" s="9">
        <v>0</v>
      </c>
      <c r="AB48" s="9">
        <v>-4.7000000000000002E-3</v>
      </c>
      <c r="AC48" s="9">
        <v>1.9E-3</v>
      </c>
      <c r="AD48" s="9">
        <v>-6.9999999999999993E-3</v>
      </c>
      <c r="AE48" s="9">
        <v>2E-3</v>
      </c>
      <c r="AF48" s="9">
        <v>0</v>
      </c>
      <c r="AG48" s="9">
        <v>1.6000000000000001E-3</v>
      </c>
      <c r="AH48" s="9">
        <v>1.0500000000000001E-2</v>
      </c>
      <c r="AI48" s="9">
        <v>-8.0000000000000004E-4</v>
      </c>
      <c r="AJ48" s="9">
        <v>1.7000000000000001E-2</v>
      </c>
      <c r="AK48" s="9">
        <v>3.3999999999999998E-3</v>
      </c>
      <c r="AL48" s="279">
        <v>2.5999999999999999E-3</v>
      </c>
      <c r="AM48" s="279">
        <v>3.5999999999999999E-3</v>
      </c>
      <c r="AN48" s="279">
        <v>3.5999999999999999E-3</v>
      </c>
      <c r="AO48" s="279">
        <v>-3.3999999999999998E-3</v>
      </c>
      <c r="AP48" s="279">
        <v>0</v>
      </c>
      <c r="AQ48" s="279">
        <v>0</v>
      </c>
      <c r="AR48" s="279">
        <v>4.7999999999999996E-3</v>
      </c>
      <c r="AS48" s="279">
        <v>9.1999999999999998E-3</v>
      </c>
      <c r="AT48" s="279">
        <v>3.3399999999999999E-2</v>
      </c>
      <c r="AU48" s="279">
        <v>5.8999999999999999E-3</v>
      </c>
      <c r="AV48" s="279">
        <v>4.0000000000000002E-4</v>
      </c>
      <c r="AW48" s="279"/>
      <c r="AX48" s="279">
        <v>4.5999999999999999E-3</v>
      </c>
      <c r="AY48" s="279">
        <v>6.7000000000000002E-3</v>
      </c>
      <c r="AZ48" s="279">
        <v>1.41E-2</v>
      </c>
      <c r="BA48" s="279">
        <v>1.84E-2</v>
      </c>
      <c r="BB48" s="279">
        <v>1.9099999999999999E-2</v>
      </c>
      <c r="BD48" s="9">
        <f t="shared" si="5"/>
        <v>4.2000000000000006E-3</v>
      </c>
    </row>
    <row r="49" spans="1:56" hidden="1" x14ac:dyDescent="0.3">
      <c r="A49">
        <v>20260408</v>
      </c>
      <c r="B49" s="9">
        <v>-6.7999999999999996E-3</v>
      </c>
      <c r="C49" s="9">
        <v>5.5700000000000013E-2</v>
      </c>
      <c r="D49" s="9">
        <v>6.1600000000000002E-2</v>
      </c>
      <c r="E49" s="9">
        <v>1.7000000000000001E-2</v>
      </c>
      <c r="F49" s="9">
        <v>6.0300000000000013E-2</v>
      </c>
      <c r="G49" s="9">
        <v>1.43E-2</v>
      </c>
      <c r="H49" s="9">
        <v>1.2999999999999999E-2</v>
      </c>
      <c r="I49" s="9">
        <v>1.61E-2</v>
      </c>
      <c r="J49" s="9">
        <v>4.4699999999999997E-2</v>
      </c>
      <c r="K49" s="9">
        <v>3.32E-2</v>
      </c>
      <c r="L49" s="9">
        <v>6.3799999999999996E-2</v>
      </c>
      <c r="M49" s="9">
        <v>-2.9999999999999997E-4</v>
      </c>
      <c r="N49" s="9">
        <v>3.6299999999999999E-2</v>
      </c>
      <c r="O49" s="9">
        <v>3.8399999999999997E-2</v>
      </c>
      <c r="P49" s="9">
        <v>3.1399999999999997E-2</v>
      </c>
      <c r="Q49" s="9">
        <v>-1.9599999999999999E-2</v>
      </c>
      <c r="R49" s="9">
        <v>7.6E-3</v>
      </c>
      <c r="S49" s="9">
        <v>3.8399999999999997E-2</v>
      </c>
      <c r="T49" s="9">
        <v>1.29E-2</v>
      </c>
      <c r="U49" s="9">
        <v>4.5699999999999998E-2</v>
      </c>
      <c r="V49" s="9">
        <v>4.4200000000000003E-2</v>
      </c>
      <c r="W49" s="9">
        <v>1.84E-2</v>
      </c>
      <c r="X49" s="9">
        <v>2.1100000000000001E-2</v>
      </c>
      <c r="Y49" s="9">
        <v>1.3899999999999999E-2</v>
      </c>
      <c r="Z49" s="9">
        <v>1.6299999999999999E-2</v>
      </c>
      <c r="AA49" s="9">
        <v>1.54E-2</v>
      </c>
      <c r="AB49" s="9">
        <v>1.54E-2</v>
      </c>
      <c r="AC49" s="9">
        <v>2.07E-2</v>
      </c>
      <c r="AD49" s="9">
        <v>3.5400000000000001E-2</v>
      </c>
      <c r="AE49" s="9">
        <v>4.7800000000000002E-2</v>
      </c>
      <c r="AF49" s="9">
        <v>7.0599999999999996E-2</v>
      </c>
      <c r="AG49" s="9">
        <v>5.8700000000000002E-2</v>
      </c>
      <c r="AH49" s="9">
        <v>0.08</v>
      </c>
      <c r="AI49" s="9">
        <v>5.04E-2</v>
      </c>
      <c r="AJ49" s="9">
        <v>6.54E-2</v>
      </c>
      <c r="AK49" s="9">
        <v>7.6300000000000007E-2</v>
      </c>
      <c r="AL49" s="279">
        <v>2.7E-2</v>
      </c>
      <c r="AM49" s="279">
        <v>4.7899999999999998E-2</v>
      </c>
      <c r="AN49" s="279">
        <v>5.91E-2</v>
      </c>
      <c r="AO49" s="279">
        <v>4.5600000000000002E-2</v>
      </c>
      <c r="AP49" s="279">
        <v>2.7E-2</v>
      </c>
      <c r="AQ49" s="279">
        <v>3.49E-2</v>
      </c>
      <c r="AR49" s="279">
        <v>4.9399999999999999E-2</v>
      </c>
      <c r="AS49" s="279">
        <v>4.5999999999999999E-2</v>
      </c>
      <c r="AT49" s="279">
        <v>3.8699999999999998E-2</v>
      </c>
      <c r="AU49" s="279">
        <v>3.3799999999999997E-2</v>
      </c>
      <c r="AV49" s="279">
        <v>1.9099999999999999E-2</v>
      </c>
      <c r="AW49" s="279"/>
      <c r="AX49" s="279">
        <v>3.0700000000000002E-2</v>
      </c>
      <c r="AY49" s="279">
        <v>3.0499999999999999E-2</v>
      </c>
      <c r="AZ49" s="279">
        <v>2.52E-2</v>
      </c>
      <c r="BA49" s="279">
        <v>3.32E-2</v>
      </c>
      <c r="BB49" s="279">
        <v>2.8899999999999999E-2</v>
      </c>
      <c r="BD49" s="9">
        <f t="shared" si="5"/>
        <v>-1.1099999999999997E-2</v>
      </c>
    </row>
    <row r="50" spans="1:56" hidden="1" x14ac:dyDescent="0.3">
      <c r="A50">
        <v>20260409</v>
      </c>
      <c r="B50" s="9">
        <v>1.67E-2</v>
      </c>
      <c r="C50" s="9">
        <v>-4.3E-3</v>
      </c>
      <c r="D50" s="9">
        <v>-0.01</v>
      </c>
      <c r="E50" s="9">
        <v>1.1000000000000001E-3</v>
      </c>
      <c r="F50" s="9">
        <v>-7.7000000000000002E-3</v>
      </c>
      <c r="G50" s="9">
        <v>-1.61E-2</v>
      </c>
      <c r="H50" s="9">
        <v>-1.8E-3</v>
      </c>
      <c r="I50" s="9">
        <v>-1.32E-2</v>
      </c>
      <c r="J50" s="9">
        <v>-2.5700000000000001E-2</v>
      </c>
      <c r="K50" s="9">
        <v>-4.7999999999999996E-3</v>
      </c>
      <c r="L50" s="9">
        <v>-7.6E-3</v>
      </c>
      <c r="M50" s="9">
        <v>-4.5999999999999999E-3</v>
      </c>
      <c r="N50" s="9">
        <v>-9.0000000000000011E-3</v>
      </c>
      <c r="O50" s="9">
        <v>-2.18E-2</v>
      </c>
      <c r="P50" s="9">
        <v>-1.04E-2</v>
      </c>
      <c r="Q50" s="9">
        <v>-7.4999999999999997E-3</v>
      </c>
      <c r="R50" s="9">
        <v>-7.6E-3</v>
      </c>
      <c r="S50" s="9">
        <v>-1.4E-2</v>
      </c>
      <c r="T50" s="9">
        <v>-1.43E-2</v>
      </c>
      <c r="U50" s="9">
        <v>-6.7999999999999996E-3</v>
      </c>
      <c r="V50" s="9">
        <v>6.1000000000000004E-3</v>
      </c>
      <c r="W50" s="9">
        <v>-9.4000000000000004E-3</v>
      </c>
      <c r="X50" s="9">
        <v>-8.8000000000000005E-3</v>
      </c>
      <c r="Y50" s="9">
        <v>-1.37E-2</v>
      </c>
      <c r="Z50" s="9">
        <v>-5.3E-3</v>
      </c>
      <c r="AA50" s="9">
        <v>-1.2699999999999999E-2</v>
      </c>
      <c r="AB50" s="9">
        <v>-1.29E-2</v>
      </c>
      <c r="AC50" s="9">
        <v>-8.3000000000000001E-3</v>
      </c>
      <c r="AD50" s="9">
        <v>-9.1000000000000004E-3</v>
      </c>
      <c r="AE50" s="9">
        <v>-1.3599999999999999E-2</v>
      </c>
      <c r="AF50" s="9">
        <v>-2.4899999999999999E-2</v>
      </c>
      <c r="AG50" s="9">
        <v>-2.4400000000000002E-2</v>
      </c>
      <c r="AH50" s="9">
        <v>-2.5999999999999999E-2</v>
      </c>
      <c r="AI50" s="9">
        <v>-7.4999999999999997E-3</v>
      </c>
      <c r="AJ50" s="9">
        <v>7.000000000000001E-4</v>
      </c>
      <c r="AK50" s="9">
        <v>1.06E-2</v>
      </c>
      <c r="AL50" s="279">
        <v>-7.1999999999999998E-3</v>
      </c>
      <c r="AM50" s="279">
        <v>-3.3E-3</v>
      </c>
      <c r="AN50" s="279">
        <v>-7.3000000000000001E-3</v>
      </c>
      <c r="AO50" s="279">
        <v>-1.6199999999999999E-2</v>
      </c>
      <c r="AP50" s="279">
        <v>-7.7000000000000002E-3</v>
      </c>
      <c r="AQ50" s="279">
        <v>-6.4000000000000003E-3</v>
      </c>
      <c r="AR50" s="279">
        <v>-5.8999999999999999E-3</v>
      </c>
      <c r="AS50" s="279">
        <v>-4.3E-3</v>
      </c>
      <c r="AT50" s="279">
        <v>-2.1499999999999998E-2</v>
      </c>
      <c r="AU50" s="279">
        <v>-3.2000000000000002E-3</v>
      </c>
      <c r="AV50" s="279">
        <v>-5.4000000000000003E-3</v>
      </c>
      <c r="AW50" s="279"/>
      <c r="AX50" s="279">
        <v>-1.67E-2</v>
      </c>
      <c r="AY50" s="279">
        <v>-1.7600000000000001E-2</v>
      </c>
      <c r="AZ50" s="279">
        <v>-1.06E-2</v>
      </c>
      <c r="BA50" s="279">
        <v>-1.54E-2</v>
      </c>
      <c r="BB50" s="279">
        <v>-1.83E-2</v>
      </c>
      <c r="BD50" s="9">
        <f t="shared" si="5"/>
        <v>-2.3499999999999997E-2</v>
      </c>
    </row>
    <row r="51" spans="1:56" hidden="1" x14ac:dyDescent="0.3">
      <c r="A51">
        <v>20260410</v>
      </c>
      <c r="B51" s="9">
        <v>3.3999999999999998E-3</v>
      </c>
      <c r="C51" s="9">
        <v>1.6E-2</v>
      </c>
      <c r="D51" s="9">
        <v>1.6199999999999999E-2</v>
      </c>
      <c r="E51" s="9">
        <v>7.8000000000000014E-3</v>
      </c>
      <c r="F51" s="9">
        <v>1.3100000000000001E-2</v>
      </c>
      <c r="G51" s="9">
        <v>2E-3</v>
      </c>
      <c r="H51" s="9">
        <v>-4.5999999999999999E-3</v>
      </c>
      <c r="I51" s="9">
        <v>-5.4000000000000003E-3</v>
      </c>
      <c r="J51" s="9">
        <v>1.5E-3</v>
      </c>
      <c r="K51" s="9">
        <v>0</v>
      </c>
      <c r="L51" s="9">
        <v>-3.3E-3</v>
      </c>
      <c r="M51" s="9">
        <v>1.9E-3</v>
      </c>
      <c r="N51" s="9">
        <v>0</v>
      </c>
      <c r="O51" s="9">
        <v>3.5900000000000001E-2</v>
      </c>
      <c r="P51" s="9">
        <v>5.6000000000000008E-3</v>
      </c>
      <c r="Q51" s="9">
        <v>1.6999999999999999E-3</v>
      </c>
      <c r="R51" s="9">
        <v>-1.2999999999999999E-3</v>
      </c>
      <c r="S51" s="9">
        <v>1.0500000000000001E-2</v>
      </c>
      <c r="T51" s="9">
        <v>-8.1000000000000013E-3</v>
      </c>
      <c r="U51" s="9">
        <v>1.6000000000000001E-3</v>
      </c>
      <c r="V51" s="9">
        <v>4.7199999999999999E-2</v>
      </c>
      <c r="W51" s="9">
        <v>2.3999999999999998E-3</v>
      </c>
      <c r="X51" s="9">
        <v>8.8999999999999999E-3</v>
      </c>
      <c r="Y51" s="9">
        <v>1E-3</v>
      </c>
      <c r="Z51" s="9">
        <v>0</v>
      </c>
      <c r="AA51" s="9">
        <v>7.7000000000000002E-3</v>
      </c>
      <c r="AB51" s="9">
        <v>5.8999999999999999E-3</v>
      </c>
      <c r="AC51" s="9">
        <v>-1.9E-3</v>
      </c>
      <c r="AD51" s="9">
        <v>1.6899999999999998E-2</v>
      </c>
      <c r="AE51" s="9">
        <v>1.9699999999999999E-2</v>
      </c>
      <c r="AF51" s="9">
        <v>1.4E-2</v>
      </c>
      <c r="AG51" s="9">
        <v>2.4199999999999999E-2</v>
      </c>
      <c r="AH51" s="9">
        <v>1.1900000000000001E-2</v>
      </c>
      <c r="AI51" s="9">
        <v>1.21E-2</v>
      </c>
      <c r="AJ51" s="9">
        <v>1.89E-2</v>
      </c>
      <c r="AK51" s="9">
        <v>3.2199999999999999E-2</v>
      </c>
      <c r="AL51" s="279">
        <v>5.1000000000000004E-3</v>
      </c>
      <c r="AM51" s="279">
        <v>2.24E-2</v>
      </c>
      <c r="AN51" s="279">
        <v>3.78E-2</v>
      </c>
      <c r="AO51" s="279">
        <v>1.66E-2</v>
      </c>
      <c r="AP51" s="279">
        <v>5.1000000000000004E-3</v>
      </c>
      <c r="AQ51" s="279">
        <v>1.54E-2</v>
      </c>
      <c r="AR51" s="279">
        <v>8.9999999999999993E-3</v>
      </c>
      <c r="AS51" s="279">
        <v>9.7000000000000003E-3</v>
      </c>
      <c r="AT51" s="279">
        <v>1.01E-2</v>
      </c>
      <c r="AU51" s="279">
        <v>-1.1999999999999999E-3</v>
      </c>
      <c r="AV51" s="279">
        <v>1.3100000000000001E-2</v>
      </c>
      <c r="AW51" s="279"/>
      <c r="AX51" s="279">
        <v>6.7000000000000002E-3</v>
      </c>
      <c r="AY51" s="279">
        <v>1.09E-2</v>
      </c>
      <c r="AZ51" s="279">
        <v>1.15E-2</v>
      </c>
      <c r="BA51" s="279">
        <v>8.6999999999999994E-3</v>
      </c>
      <c r="BB51" s="279">
        <v>9.4999999999999998E-3</v>
      </c>
      <c r="BD51" s="9">
        <f t="shared" si="5"/>
        <v>-2.6499999999999996E-2</v>
      </c>
    </row>
    <row r="52" spans="1:56" hidden="1" x14ac:dyDescent="0.3">
      <c r="A52">
        <v>20260413</v>
      </c>
      <c r="B52" s="9">
        <v>2.2100000000000002E-2</v>
      </c>
      <c r="C52" s="9">
        <v>-5.6999999999999993E-3</v>
      </c>
      <c r="D52" s="9">
        <v>-1E-3</v>
      </c>
      <c r="E52" s="9">
        <v>-1.1000000000000001E-3</v>
      </c>
      <c r="F52" s="9">
        <v>-8.3000000000000001E-3</v>
      </c>
      <c r="G52" s="9">
        <v>-4.0999999999999986E-3</v>
      </c>
      <c r="H52" s="9">
        <v>-8.9999999999999998E-4</v>
      </c>
      <c r="I52" s="9">
        <v>1.2999999999999999E-3</v>
      </c>
      <c r="J52" s="9">
        <v>-5.7999999999999996E-3</v>
      </c>
      <c r="K52" s="9">
        <v>1.03E-2</v>
      </c>
      <c r="L52" s="9">
        <v>0</v>
      </c>
      <c r="M52" s="9">
        <v>1.6000000000000001E-3</v>
      </c>
      <c r="N52" s="9">
        <v>-5.6999999999999993E-3</v>
      </c>
      <c r="O52" s="9">
        <v>6.6000000000000008E-3</v>
      </c>
      <c r="P52" s="9">
        <v>-4.1999999999999997E-3</v>
      </c>
      <c r="Q52" s="9">
        <v>9.1999999999999998E-3</v>
      </c>
      <c r="R52" s="9">
        <v>2.5000000000000001E-3</v>
      </c>
      <c r="S52" s="9">
        <v>8.8999999999999999E-3</v>
      </c>
      <c r="T52" s="9">
        <v>1.2999999999999999E-2</v>
      </c>
      <c r="U52" s="9">
        <v>-2.06E-2</v>
      </c>
      <c r="V52" s="9">
        <v>1.61E-2</v>
      </c>
      <c r="W52" s="9">
        <v>7.9000000000000008E-3</v>
      </c>
      <c r="X52" s="9">
        <v>-1.18E-2</v>
      </c>
      <c r="Y52" s="9">
        <v>-1.5800000000000002E-2</v>
      </c>
      <c r="Z52" s="9">
        <v>-5.4000000000000003E-3</v>
      </c>
      <c r="AA52" s="9">
        <v>-2.5000000000000001E-3</v>
      </c>
      <c r="AB52" s="9">
        <v>-5.8999999999999999E-3</v>
      </c>
      <c r="AC52" s="9">
        <v>9.300000000000001E-3</v>
      </c>
      <c r="AD52" s="9">
        <v>0</v>
      </c>
      <c r="AE52" s="9">
        <v>1.83E-2</v>
      </c>
      <c r="AF52" s="9">
        <v>2.5000000000000001E-3</v>
      </c>
      <c r="AG52" s="9">
        <v>-3.7000000000000012E-2</v>
      </c>
      <c r="AH52" s="9">
        <v>-1.8599999999999998E-2</v>
      </c>
      <c r="AI52" s="9">
        <v>9.0000000000000011E-3</v>
      </c>
      <c r="AJ52" s="9">
        <v>3.2000000000000002E-3</v>
      </c>
      <c r="AK52" s="9">
        <v>4.5000000000000014E-3</v>
      </c>
      <c r="AL52" s="279">
        <v>5.9999999999999995E-4</v>
      </c>
      <c r="AM52" s="279">
        <v>6.8999999999999999E-3</v>
      </c>
      <c r="AN52" s="279">
        <v>8.0000000000000002E-3</v>
      </c>
      <c r="AO52" s="279">
        <v>4.0000000000000002E-4</v>
      </c>
      <c r="AP52" s="279">
        <v>0</v>
      </c>
      <c r="AQ52" s="279">
        <v>2.0999999999999999E-3</v>
      </c>
      <c r="AR52" s="279">
        <v>-2.0000000000000001E-4</v>
      </c>
      <c r="AS52" s="279">
        <v>3.3999999999999998E-3</v>
      </c>
      <c r="AT52" s="279">
        <v>-1.8E-3</v>
      </c>
      <c r="AU52" s="279">
        <v>-5.7000000000000002E-3</v>
      </c>
      <c r="AV52" s="279">
        <v>1.4500000000000001E-2</v>
      </c>
      <c r="AW52" s="279"/>
      <c r="AX52" s="279">
        <v>-5.1999999999999998E-3</v>
      </c>
      <c r="AY52" s="279">
        <v>-3.7000000000000002E-3</v>
      </c>
      <c r="AZ52" s="279">
        <v>0</v>
      </c>
      <c r="BA52" s="279">
        <v>-6.9999999999999999E-4</v>
      </c>
      <c r="BB52" s="279">
        <v>1.4E-3</v>
      </c>
      <c r="BD52" s="9">
        <f t="shared" si="5"/>
        <v>-3.5099999999999992E-2</v>
      </c>
    </row>
    <row r="53" spans="1:56" hidden="1" x14ac:dyDescent="0.3">
      <c r="A53">
        <v>20260414</v>
      </c>
      <c r="B53" s="9">
        <v>-8.0000000000000002E-3</v>
      </c>
      <c r="C53" s="9">
        <v>1.0800000000000001E-2</v>
      </c>
      <c r="D53" s="9">
        <v>2.4899999999999999E-2</v>
      </c>
      <c r="E53" s="9">
        <v>8.8000000000000005E-3</v>
      </c>
      <c r="F53" s="9">
        <v>0</v>
      </c>
      <c r="G53" s="9">
        <v>4.0999999999999986E-3</v>
      </c>
      <c r="H53" s="9">
        <v>2.8E-3</v>
      </c>
      <c r="I53" s="9">
        <v>9.4000000000000004E-3</v>
      </c>
      <c r="J53" s="9">
        <v>-1.5E-3</v>
      </c>
      <c r="K53" s="9">
        <v>-4.7999999999999996E-3</v>
      </c>
      <c r="L53" s="9">
        <v>1.9099999999999999E-2</v>
      </c>
      <c r="M53" s="9">
        <v>0</v>
      </c>
      <c r="N53" s="9">
        <v>5.0000000000000001E-3</v>
      </c>
      <c r="O53" s="9">
        <v>5.6000000000000008E-3</v>
      </c>
      <c r="P53" s="9">
        <v>1.26E-2</v>
      </c>
      <c r="Q53" s="9">
        <v>-1.0800000000000001E-2</v>
      </c>
      <c r="R53" s="9">
        <v>6.3E-3</v>
      </c>
      <c r="S53" s="9">
        <v>2.7900000000000001E-2</v>
      </c>
      <c r="T53" s="9">
        <v>2.8899999999999999E-2</v>
      </c>
      <c r="U53" s="9">
        <v>9.1999999999999998E-3</v>
      </c>
      <c r="V53" s="9">
        <v>2.7300000000000001E-2</v>
      </c>
      <c r="W53" s="9">
        <v>2.3999999999999998E-3</v>
      </c>
      <c r="X53" s="9">
        <v>6.0000000000000001E-3</v>
      </c>
      <c r="Y53" s="9">
        <v>6.0000000000000001E-3</v>
      </c>
      <c r="Z53" s="9">
        <v>1.0800000000000001E-2</v>
      </c>
      <c r="AA53" s="9">
        <v>1.0200000000000001E-2</v>
      </c>
      <c r="AB53" s="9">
        <v>9.4999999999999998E-3</v>
      </c>
      <c r="AC53" s="9">
        <v>1.8E-3</v>
      </c>
      <c r="AD53" s="9">
        <v>3.8E-3</v>
      </c>
      <c r="AE53" s="9">
        <v>7.6E-3</v>
      </c>
      <c r="AF53" s="9">
        <v>2.1299999999999999E-2</v>
      </c>
      <c r="AG53" s="9">
        <v>6.8999999999999999E-3</v>
      </c>
      <c r="AH53" s="9">
        <v>1.1900000000000001E-2</v>
      </c>
      <c r="AI53" s="9">
        <v>1.78E-2</v>
      </c>
      <c r="AJ53" s="9">
        <v>2.6800000000000001E-2</v>
      </c>
      <c r="AK53" s="9">
        <v>2.3900000000000001E-2</v>
      </c>
      <c r="AL53" s="279">
        <v>9.4999999999999998E-3</v>
      </c>
      <c r="AM53" s="279">
        <v>1.61E-2</v>
      </c>
      <c r="AN53" s="279">
        <v>2.3599999999999999E-2</v>
      </c>
      <c r="AO53" s="279">
        <v>1.17E-2</v>
      </c>
      <c r="AP53" s="279">
        <v>8.5000000000000006E-3</v>
      </c>
      <c r="AQ53" s="279">
        <v>1.1900000000000001E-2</v>
      </c>
      <c r="AR53" s="279">
        <v>1.52E-2</v>
      </c>
      <c r="AS53" s="279">
        <v>1.49E-2</v>
      </c>
      <c r="AT53" s="279">
        <v>0</v>
      </c>
      <c r="AU53" s="279">
        <v>1.0200000000000001E-2</v>
      </c>
      <c r="AV53" s="279">
        <v>6.4999999999999997E-3</v>
      </c>
      <c r="AW53" s="279"/>
      <c r="AX53" s="279">
        <v>8.0000000000000002E-3</v>
      </c>
      <c r="AY53" s="279">
        <v>8.8000000000000005E-3</v>
      </c>
      <c r="AZ53" s="279">
        <v>4.3E-3</v>
      </c>
      <c r="BA53" s="279">
        <v>4.3E-3</v>
      </c>
      <c r="BB53" s="279">
        <v>3.8E-3</v>
      </c>
      <c r="BD53" s="9">
        <f t="shared" si="5"/>
        <v>-4.1999999999999996E-2</v>
      </c>
    </row>
    <row r="54" spans="1:56" hidden="1" x14ac:dyDescent="0.3">
      <c r="A54">
        <v>20260415</v>
      </c>
      <c r="B54" s="9">
        <v>-6.6319279962104372E-3</v>
      </c>
      <c r="C54" s="9">
        <v>-7.1073205401571567E-4</v>
      </c>
      <c r="D54" s="9">
        <v>-1.360544217687076E-2</v>
      </c>
      <c r="E54" s="9">
        <v>-1.9693654266958439E-2</v>
      </c>
      <c r="F54" s="9">
        <v>2.9726516052319359E-3</v>
      </c>
      <c r="G54" s="9">
        <v>2.0366598778004089E-3</v>
      </c>
      <c r="H54" s="9">
        <v>-7.3937153419593414E-3</v>
      </c>
      <c r="I54" s="9">
        <v>1.3315579227696421E-3</v>
      </c>
      <c r="J54" s="9">
        <v>5.8910162002945559E-3</v>
      </c>
      <c r="K54" s="9">
        <v>-9.5628415300546537E-3</v>
      </c>
      <c r="L54" s="9">
        <v>-1.4981273408239709E-2</v>
      </c>
      <c r="M54" s="9">
        <v>5.2745888923364419E-3</v>
      </c>
      <c r="N54" s="9">
        <v>0</v>
      </c>
      <c r="O54" s="9">
        <v>-7.4005550416281294E-3</v>
      </c>
      <c r="P54" s="9">
        <v>1.3783597518952459E-3</v>
      </c>
      <c r="Q54" s="9">
        <v>1.6764459346186101E-3</v>
      </c>
      <c r="R54" s="9">
        <v>1.007556675062973E-2</v>
      </c>
      <c r="S54" s="9">
        <v>-1.502145922746775E-2</v>
      </c>
      <c r="T54" s="9">
        <v>6.2500000000000064E-3</v>
      </c>
      <c r="U54" s="9">
        <v>1.605995717344743E-2</v>
      </c>
      <c r="V54" s="9">
        <v>-2.3106546854942352E-2</v>
      </c>
      <c r="W54" s="9">
        <v>1.5673981191222589E-3</v>
      </c>
      <c r="X54" s="9">
        <v>0</v>
      </c>
      <c r="Y54" s="9">
        <v>2.0000000000000021E-2</v>
      </c>
      <c r="Z54" s="9">
        <v>5.3333333333333392E-3</v>
      </c>
      <c r="AA54" s="9">
        <v>1.262626262626264E-2</v>
      </c>
      <c r="AB54" s="9">
        <v>2.1101992966002361E-2</v>
      </c>
      <c r="AC54" s="9">
        <v>3.6764705882352971E-3</v>
      </c>
      <c r="AD54" s="9">
        <v>-1.503759398496242E-3</v>
      </c>
      <c r="AE54" s="9">
        <v>-5.6390977443609071E-3</v>
      </c>
      <c r="AF54" s="9">
        <v>-1.3513513513513389E-2</v>
      </c>
      <c r="AG54" s="9">
        <v>3.8138825324180899E-3</v>
      </c>
      <c r="AH54" s="9">
        <v>-1.081612586037355E-2</v>
      </c>
      <c r="AI54" s="9">
        <v>-5.8181818181818239E-3</v>
      </c>
      <c r="AJ54" s="9">
        <v>-6.2189054726368206E-3</v>
      </c>
      <c r="AK54" s="9">
        <v>-1.9343065693430792E-2</v>
      </c>
      <c r="AL54" s="279">
        <v>1.450346133548152E-4</v>
      </c>
      <c r="AM54" s="279">
        <v>-9.6646504940250209E-3</v>
      </c>
      <c r="AN54" s="279">
        <v>-1.2242987056161159E-2</v>
      </c>
      <c r="AO54" s="279">
        <v>-2.9999999999999997E-4</v>
      </c>
      <c r="AP54" s="279">
        <v>3.4310438163411461E-3</v>
      </c>
      <c r="AQ54" s="279">
        <v>-3.4111957499269041E-3</v>
      </c>
      <c r="AR54" s="279">
        <v>-5.5006021460656633E-3</v>
      </c>
      <c r="AS54" s="279">
        <v>-4.7388738922020989E-3</v>
      </c>
      <c r="AT54" s="279">
        <v>-8.2575774273114869E-3</v>
      </c>
      <c r="AU54" s="279">
        <v>2.3999999999999998E-3</v>
      </c>
      <c r="AV54" s="279">
        <v>-1.6999999999999999E-3</v>
      </c>
      <c r="AW54" s="279"/>
      <c r="AX54" s="279">
        <v>3.3E-3</v>
      </c>
      <c r="AY54" s="279">
        <v>6.7999999999999996E-3</v>
      </c>
      <c r="AZ54" s="279">
        <v>-2.7000000000000001E-3</v>
      </c>
      <c r="BA54" s="279">
        <v>-6.7000000000000002E-3</v>
      </c>
      <c r="BB54" s="279">
        <v>-4.4999999999999997E-3</v>
      </c>
      <c r="BD54" s="9">
        <f t="shared" si="5"/>
        <v>-3.3961126107797897E-2</v>
      </c>
    </row>
    <row r="55" spans="1:56" hidden="1" x14ac:dyDescent="0.3">
      <c r="A55">
        <v>20260416</v>
      </c>
      <c r="B55" s="9">
        <v>6.676204101096918E-3</v>
      </c>
      <c r="C55" s="9">
        <v>1.4224751066856349E-2</v>
      </c>
      <c r="D55" s="9">
        <v>2.0689655172413921E-2</v>
      </c>
      <c r="E55" s="9">
        <v>1.4508928571428581E-2</v>
      </c>
      <c r="F55" s="9">
        <v>5.927682276229999E-3</v>
      </c>
      <c r="G55" s="9">
        <v>2.032520325203254E-3</v>
      </c>
      <c r="H55" s="9">
        <v>1.210428305400363E-2</v>
      </c>
      <c r="I55" s="9">
        <v>1.3297872340425549E-3</v>
      </c>
      <c r="J55" s="9">
        <v>1.317715959004377E-2</v>
      </c>
      <c r="K55" s="9">
        <v>2.2068965517241398E-2</v>
      </c>
      <c r="L55" s="9">
        <v>3.1368821292775587E-2</v>
      </c>
      <c r="M55" s="9">
        <v>1.234567901234569E-3</v>
      </c>
      <c r="N55" s="9">
        <v>6.573541495480696E-3</v>
      </c>
      <c r="O55" s="9">
        <v>7.4557315936626348E-3</v>
      </c>
      <c r="P55" s="9">
        <v>6.8823124569855534E-3</v>
      </c>
      <c r="Q55" s="9">
        <v>2.510460251045934E-3</v>
      </c>
      <c r="R55" s="9">
        <v>-1.246882793017457E-3</v>
      </c>
      <c r="S55" s="9">
        <v>2.9048656499636922E-3</v>
      </c>
      <c r="T55" s="9">
        <v>-1.552795031055902E-3</v>
      </c>
      <c r="U55" s="9">
        <v>7.9030558482613943E-3</v>
      </c>
      <c r="V55" s="9">
        <v>2.190100744634265E-2</v>
      </c>
      <c r="W55" s="9">
        <v>7.8247261345852966E-3</v>
      </c>
      <c r="X55" s="9">
        <v>0</v>
      </c>
      <c r="Y55" s="9">
        <v>-1.9607843137254919E-3</v>
      </c>
      <c r="Z55" s="9">
        <v>0</v>
      </c>
      <c r="AA55" s="9">
        <v>2.4937655860349148E-3</v>
      </c>
      <c r="AB55" s="9">
        <v>-3.444316877152701E-3</v>
      </c>
      <c r="AC55" s="9">
        <v>5.4945054945054993E-3</v>
      </c>
      <c r="AD55" s="9">
        <v>1.5813253012048119E-2</v>
      </c>
      <c r="AE55" s="9">
        <v>1.134215500945181E-2</v>
      </c>
      <c r="AF55" s="9">
        <v>2.241594022415928E-2</v>
      </c>
      <c r="AG55" s="9">
        <v>2.5835866261398201E-2</v>
      </c>
      <c r="AH55" s="9">
        <v>2.5844930417495051E-2</v>
      </c>
      <c r="AI55" s="9">
        <v>5.8522311631309491E-3</v>
      </c>
      <c r="AJ55" s="9">
        <v>1.3767209011264089E-2</v>
      </c>
      <c r="AK55" s="9">
        <v>3.014514328247115E-2</v>
      </c>
      <c r="AL55" s="279">
        <v>7.0366102181436312E-3</v>
      </c>
      <c r="AM55" s="279">
        <v>2.0545285499287511E-2</v>
      </c>
      <c r="AN55" s="279">
        <v>3.1667785693151602E-2</v>
      </c>
      <c r="AO55" s="279">
        <v>1.34E-2</v>
      </c>
      <c r="AP55" s="279">
        <v>1.890931001671359E-3</v>
      </c>
      <c r="AQ55" s="279">
        <v>1.0962260901079421E-2</v>
      </c>
      <c r="AR55" s="279">
        <v>1.690740901659693E-2</v>
      </c>
      <c r="AS55" s="279">
        <v>1.5644685248819779E-2</v>
      </c>
      <c r="AT55" s="279">
        <v>2.3090117621673491E-2</v>
      </c>
      <c r="AU55" s="279">
        <v>1.66E-2</v>
      </c>
      <c r="AV55" s="279">
        <v>6.4999999999999997E-3</v>
      </c>
      <c r="AW55" s="279"/>
      <c r="AX55" s="279">
        <v>6.4999999999999997E-3</v>
      </c>
      <c r="AY55" s="279">
        <v>4.1999999999999997E-3</v>
      </c>
      <c r="AZ55" s="279">
        <v>5.1000000000000004E-3</v>
      </c>
      <c r="BA55" s="279">
        <v>1.67E-2</v>
      </c>
      <c r="BB55" s="279">
        <v>7.1000000000000004E-3</v>
      </c>
      <c r="BD55" s="9">
        <f t="shared" si="5"/>
        <v>-4.3105811356617674E-2</v>
      </c>
    </row>
    <row r="56" spans="1:56" hidden="1" x14ac:dyDescent="0.3">
      <c r="A56">
        <v>20260417</v>
      </c>
      <c r="B56" s="9">
        <v>-8.053055423969847E-3</v>
      </c>
      <c r="C56" s="9">
        <v>2.103786816269364E-3</v>
      </c>
      <c r="D56" s="9">
        <v>7.7220077220077291E-3</v>
      </c>
      <c r="E56" s="9">
        <v>-1.2101210121012109E-2</v>
      </c>
      <c r="F56" s="9">
        <v>-1.7088980553918762E-2</v>
      </c>
      <c r="G56" s="9">
        <v>-1.6227180527383381E-2</v>
      </c>
      <c r="H56" s="9">
        <v>-8.2796688132473761E-3</v>
      </c>
      <c r="I56" s="9">
        <v>-1.4608233731739719E-2</v>
      </c>
      <c r="J56" s="9">
        <v>-1.4450867052022981E-2</v>
      </c>
      <c r="K56" s="9">
        <v>-3.3738191632927761E-3</v>
      </c>
      <c r="L56" s="9">
        <v>-1.3824884792627259E-3</v>
      </c>
      <c r="M56" s="9">
        <v>-8.0147965474723307E-3</v>
      </c>
      <c r="N56" s="9">
        <v>-8.1632653061233633E-4</v>
      </c>
      <c r="O56" s="9">
        <v>-4.6253469010174783E-3</v>
      </c>
      <c r="P56" s="9">
        <v>6.835269993163977E-4</v>
      </c>
      <c r="Q56" s="9">
        <v>-1.585976627712847E-2</v>
      </c>
      <c r="R56" s="9">
        <v>-6.2421972534332142E-3</v>
      </c>
      <c r="S56" s="9">
        <v>1.665459811730623E-2</v>
      </c>
      <c r="T56" s="9">
        <v>-1.3996889580093321E-2</v>
      </c>
      <c r="U56" s="9">
        <v>3.136434918975434E-3</v>
      </c>
      <c r="V56" s="9">
        <v>3.4290612944706421E-3</v>
      </c>
      <c r="W56" s="9">
        <v>7.7639751552786482E-4</v>
      </c>
      <c r="X56" s="9">
        <v>-1.7804154302670641E-2</v>
      </c>
      <c r="Y56" s="9">
        <v>-1.5717092337917501E-2</v>
      </c>
      <c r="Z56" s="9">
        <v>-2.9177718832891279E-2</v>
      </c>
      <c r="AA56" s="9">
        <v>-2.238805970149256E-2</v>
      </c>
      <c r="AB56" s="9">
        <v>-2.3041474654377898E-2</v>
      </c>
      <c r="AC56" s="9">
        <v>-2.7322404371585732E-3</v>
      </c>
      <c r="AD56" s="9">
        <v>-5.1890289103038506E-3</v>
      </c>
      <c r="AE56" s="9">
        <v>9.3457943925223349E-4</v>
      </c>
      <c r="AF56" s="9">
        <v>-2.436053593179052E-3</v>
      </c>
      <c r="AG56" s="9">
        <v>-1.4814814814814829E-2</v>
      </c>
      <c r="AH56" s="9">
        <v>-1.9379844961240329E-3</v>
      </c>
      <c r="AI56" s="9">
        <v>7.9999999999999256E-3</v>
      </c>
      <c r="AJ56" s="9">
        <v>4.9382716049381388E-3</v>
      </c>
      <c r="AK56" s="9">
        <v>4.2991329479768872E-2</v>
      </c>
      <c r="AL56" s="279">
        <v>-1.016311733041226E-3</v>
      </c>
      <c r="AM56" s="279">
        <v>6.0208173242959117E-3</v>
      </c>
      <c r="AN56" s="279">
        <v>1.434600447677519E-2</v>
      </c>
      <c r="AO56" s="279">
        <v>4.7699999999999999E-2</v>
      </c>
      <c r="AP56" s="279">
        <v>-9.8275575862551978E-3</v>
      </c>
      <c r="AQ56" s="279">
        <v>-1.675587255690148E-3</v>
      </c>
      <c r="AR56" s="279">
        <v>4.1701660203404892E-3</v>
      </c>
      <c r="AS56" s="279">
        <v>9.0433200214308247E-3</v>
      </c>
      <c r="AT56" s="279">
        <v>-8.180677124515567E-3</v>
      </c>
      <c r="AU56" s="279">
        <v>4.4999999999999997E-3</v>
      </c>
      <c r="AV56" s="279">
        <v>-2.0000000000000001E-4</v>
      </c>
      <c r="AW56" s="279"/>
      <c r="AX56" s="279">
        <v>-6.3E-3</v>
      </c>
      <c r="AY56" s="279">
        <v>-2.3E-3</v>
      </c>
      <c r="AZ56" s="279">
        <v>-4.5999999999999999E-3</v>
      </c>
      <c r="BA56" s="279">
        <v>-2E-3</v>
      </c>
      <c r="BB56" s="279">
        <v>-4.1999999999999997E-3</v>
      </c>
      <c r="BD56" s="9">
        <f t="shared" si="5"/>
        <v>-5.8449131378048497E-2</v>
      </c>
    </row>
    <row r="57" spans="1:56" hidden="1" x14ac:dyDescent="0.3">
      <c r="A57">
        <v>20260420</v>
      </c>
      <c r="B57" s="9">
        <v>-1.4326647564468339E-3</v>
      </c>
      <c r="C57" s="9">
        <v>3.4989503149054539E-3</v>
      </c>
      <c r="D57" s="9">
        <v>7.662835249042153E-3</v>
      </c>
      <c r="E57" s="9">
        <v>-1.1135857461024509E-3</v>
      </c>
      <c r="F57" s="9">
        <v>-1.7985611510790719E-3</v>
      </c>
      <c r="G57" s="9">
        <v>-2.061855670103095E-3</v>
      </c>
      <c r="H57" s="9">
        <v>4.6382189239331101E-3</v>
      </c>
      <c r="I57" s="9">
        <v>0</v>
      </c>
      <c r="J57" s="9">
        <v>4.3988269794721447E-3</v>
      </c>
      <c r="K57" s="9">
        <v>-6.7704807041307508E-4</v>
      </c>
      <c r="L57" s="9">
        <v>5.5376095985233097E-3</v>
      </c>
      <c r="M57" s="9">
        <v>2.175264139216941E-3</v>
      </c>
      <c r="N57" s="9">
        <v>3.2679738562091539E-3</v>
      </c>
      <c r="O57" s="9">
        <v>-9.2936802973988088E-4</v>
      </c>
      <c r="P57" s="9">
        <v>1.5710382513661289E-2</v>
      </c>
      <c r="Q57" s="9">
        <v>-1.696352841391011E-3</v>
      </c>
      <c r="R57" s="9">
        <v>1.130653266331659E-2</v>
      </c>
      <c r="S57" s="9">
        <v>-4.2735042735042774E-3</v>
      </c>
      <c r="T57" s="9">
        <v>-4.7318611987381748E-3</v>
      </c>
      <c r="U57" s="9">
        <v>3.2829598749348592E-2</v>
      </c>
      <c r="V57" s="9">
        <v>8.9705254164886405E-3</v>
      </c>
      <c r="W57" s="9">
        <v>1.2412723041117161E-2</v>
      </c>
      <c r="X57" s="9">
        <v>9.0634441087613371E-3</v>
      </c>
      <c r="Y57" s="9">
        <v>-1.9960079840319381E-3</v>
      </c>
      <c r="Z57" s="9">
        <v>-2.732240437158473E-3</v>
      </c>
      <c r="AA57" s="9">
        <v>-2.5445292620865159E-3</v>
      </c>
      <c r="AB57" s="9">
        <v>-7.0754716981132138E-3</v>
      </c>
      <c r="AC57" s="9">
        <v>1.2785388127853891E-2</v>
      </c>
      <c r="AD57" s="9">
        <v>-3.7257824143070912E-3</v>
      </c>
      <c r="AE57" s="9">
        <v>1.4005602240896481E-2</v>
      </c>
      <c r="AF57" s="9">
        <v>1.221001221001222E-2</v>
      </c>
      <c r="AG57" s="9">
        <v>0</v>
      </c>
      <c r="AH57" s="9">
        <v>1.8446601941747479E-2</v>
      </c>
      <c r="AI57" s="9">
        <v>2.8138528138528251E-2</v>
      </c>
      <c r="AJ57" s="9">
        <v>1.535626535626544E-2</v>
      </c>
      <c r="AK57" s="9">
        <v>1.4894354000692811E-2</v>
      </c>
      <c r="AL57" s="279">
        <v>7.5781237465829231E-3</v>
      </c>
      <c r="AM57" s="279">
        <v>5.4635408339167068E-3</v>
      </c>
      <c r="AN57" s="279">
        <v>-1.950089348510981E-4</v>
      </c>
      <c r="AO57" s="279">
        <v>1.12E-2</v>
      </c>
      <c r="AP57" s="279">
        <v>7.8259340067395235E-3</v>
      </c>
      <c r="AQ57" s="279">
        <v>6.0843522418877376E-3</v>
      </c>
      <c r="AR57" s="279">
        <v>9.2313987227474331E-3</v>
      </c>
      <c r="AS57" s="279">
        <v>6.0640243194140754E-3</v>
      </c>
      <c r="AT57" s="279">
        <v>1.000741071403688E-2</v>
      </c>
      <c r="AU57" s="279">
        <v>3.3E-3</v>
      </c>
      <c r="AV57" s="279">
        <v>1.4E-3</v>
      </c>
      <c r="AW57" s="279"/>
      <c r="AX57" s="279">
        <v>4.8999999999999998E-3</v>
      </c>
      <c r="AY57" s="279">
        <v>2.5999999999999999E-3</v>
      </c>
      <c r="AZ57" s="279">
        <v>1.9E-3</v>
      </c>
      <c r="BA57" s="279">
        <v>1.6000000000000001E-3</v>
      </c>
      <c r="BB57" s="279">
        <v>6.3E-3</v>
      </c>
      <c r="BD57" s="9">
        <f t="shared" si="5"/>
        <v>-5.9613155697462575E-2</v>
      </c>
    </row>
    <row r="58" spans="1:56" hidden="1" x14ac:dyDescent="0.3">
      <c r="A58">
        <v>20260421</v>
      </c>
      <c r="B58" s="9">
        <v>1.7216642754662639E-2</v>
      </c>
      <c r="C58" s="9">
        <v>-1.394700139470015E-3</v>
      </c>
      <c r="D58" s="9">
        <v>-2.8517110266160781E-3</v>
      </c>
      <c r="E58" s="9">
        <v>1.3377926421404691E-2</v>
      </c>
      <c r="F58" s="9">
        <v>3.6036036036036071E-3</v>
      </c>
      <c r="G58" s="9">
        <v>-2.0661157024793411E-3</v>
      </c>
      <c r="H58" s="9">
        <v>-4.6168051708216926E-3</v>
      </c>
      <c r="I58" s="9">
        <v>0</v>
      </c>
      <c r="J58" s="9">
        <v>-2.9197080291970831E-3</v>
      </c>
      <c r="K58" s="9">
        <v>-3.387533875338682E-3</v>
      </c>
      <c r="L58" s="9">
        <v>4.5892611289597709E-4</v>
      </c>
      <c r="M58" s="9">
        <v>1.240310077519381E-2</v>
      </c>
      <c r="N58" s="9">
        <v>3.2573289902280162E-3</v>
      </c>
      <c r="O58" s="9">
        <v>-8.3720930232557191E-3</v>
      </c>
      <c r="P58" s="9">
        <v>-2.6899798251513131E-3</v>
      </c>
      <c r="Q58" s="9">
        <v>2.4638912489379709E-2</v>
      </c>
      <c r="R58" s="9">
        <v>3.7267080745341649E-3</v>
      </c>
      <c r="S58" s="9">
        <v>-3.5765379113017839E-3</v>
      </c>
      <c r="T58" s="9">
        <v>4.754358161648182E-3</v>
      </c>
      <c r="U58" s="9">
        <v>-1.1099899091826451E-2</v>
      </c>
      <c r="V58" s="9">
        <v>-1.185436071126165E-2</v>
      </c>
      <c r="W58" s="9">
        <v>9.1954022988505833E-3</v>
      </c>
      <c r="X58" s="9">
        <v>-5.988023952095814E-3</v>
      </c>
      <c r="Y58" s="9">
        <v>-4.0000000000000044E-3</v>
      </c>
      <c r="Z58" s="9">
        <v>0</v>
      </c>
      <c r="AA58" s="9">
        <v>-1.0204081632653071E-2</v>
      </c>
      <c r="AB58" s="9">
        <v>-1.187648456057008E-2</v>
      </c>
      <c r="AC58" s="9">
        <v>1.2623985572587929E-2</v>
      </c>
      <c r="AD58" s="9">
        <v>-1.495886312640241E-3</v>
      </c>
      <c r="AE58" s="9">
        <v>-3.683241252302029E-3</v>
      </c>
      <c r="AF58" s="9">
        <v>-1.5681544028950559E-2</v>
      </c>
      <c r="AG58" s="9">
        <v>0</v>
      </c>
      <c r="AH58" s="9">
        <v>-1.143946615824596E-2</v>
      </c>
      <c r="AI58" s="9">
        <v>-6.3157894736842937E-3</v>
      </c>
      <c r="AJ58" s="9">
        <v>-1.088929219600727E-2</v>
      </c>
      <c r="AK58" s="9">
        <v>2.730375426621163E-3</v>
      </c>
      <c r="AL58" s="279">
        <v>7.2258898363527667E-4</v>
      </c>
      <c r="AM58" s="279">
        <v>1.0282526266557821E-3</v>
      </c>
      <c r="AN58" s="279">
        <v>3.0893447205441928E-3</v>
      </c>
      <c r="AO58" s="279">
        <v>-1.52E-2</v>
      </c>
      <c r="AP58" s="279">
        <v>-5.3891854285414E-4</v>
      </c>
      <c r="AQ58" s="279">
        <v>2.2186502746643221E-3</v>
      </c>
      <c r="AR58" s="279">
        <v>-2.3758441171810312E-3</v>
      </c>
      <c r="AS58" s="279">
        <v>-7.9647630307122898E-4</v>
      </c>
      <c r="AT58" s="279">
        <v>-2.205877714520041E-3</v>
      </c>
      <c r="AU58" s="279">
        <v>-3.7000000000000002E-3</v>
      </c>
      <c r="AV58" s="279">
        <v>-5.9999999999999995E-4</v>
      </c>
      <c r="AW58" s="279"/>
      <c r="AX58" s="279">
        <v>-5.7000000000000002E-3</v>
      </c>
      <c r="AY58" s="279">
        <v>-2.5999999999999999E-3</v>
      </c>
      <c r="AZ58" s="279">
        <v>-3.8E-3</v>
      </c>
      <c r="BA58" s="279">
        <v>-4.7000000000000002E-3</v>
      </c>
      <c r="BB58" s="279">
        <v>-3.2000000000000002E-3</v>
      </c>
      <c r="BD58" s="9">
        <f t="shared" si="5"/>
        <v>-6.4516679394391346E-2</v>
      </c>
    </row>
    <row r="59" spans="1:56" hidden="1" x14ac:dyDescent="0.3">
      <c r="A59">
        <v>20260422</v>
      </c>
      <c r="B59" s="9">
        <v>1.9746121297602379E-2</v>
      </c>
      <c r="C59" s="9">
        <v>7.6815642458101406E-3</v>
      </c>
      <c r="D59" s="9">
        <v>8.579599618684576E-3</v>
      </c>
      <c r="E59" s="9">
        <v>-2.2002200220022018E-3</v>
      </c>
      <c r="F59" s="9">
        <v>3.5906642728904879E-3</v>
      </c>
      <c r="G59" s="9">
        <v>-2.0703933747412031E-3</v>
      </c>
      <c r="H59" s="9">
        <v>-8.3487940630798865E-3</v>
      </c>
      <c r="I59" s="9">
        <v>-6.7385444743935374E-3</v>
      </c>
      <c r="J59" s="9">
        <v>-1.1713030746705721E-2</v>
      </c>
      <c r="K59" s="9">
        <v>3.3990482664853108E-3</v>
      </c>
      <c r="L59" s="9">
        <v>-4.587155963304284E-4</v>
      </c>
      <c r="M59" s="9">
        <v>1.2251148545176121E-3</v>
      </c>
      <c r="N59" s="9">
        <v>-1.623376623376625E-3</v>
      </c>
      <c r="O59" s="9">
        <v>8.4427767354595656E-3</v>
      </c>
      <c r="P59" s="9">
        <v>4.7201618341199559E-3</v>
      </c>
      <c r="Q59" s="9">
        <v>3.3167495854063049E-3</v>
      </c>
      <c r="R59" s="9">
        <v>-7.4257425742574306E-3</v>
      </c>
      <c r="S59" s="9">
        <v>5.0251256281406273E-3</v>
      </c>
      <c r="T59" s="9">
        <v>-1.2618296529968469E-2</v>
      </c>
      <c r="U59" s="9">
        <v>2.7551020408163179E-2</v>
      </c>
      <c r="V59" s="9">
        <v>1.3281919451585319E-2</v>
      </c>
      <c r="W59" s="9">
        <v>1.518602885345484E-3</v>
      </c>
      <c r="X59" s="9">
        <v>1.204819277108435E-2</v>
      </c>
      <c r="Y59" s="9">
        <v>-3.012048192771088E-3</v>
      </c>
      <c r="Z59" s="9">
        <v>-5.4794520547945258E-3</v>
      </c>
      <c r="AA59" s="9">
        <v>5.1546391752577362E-3</v>
      </c>
      <c r="AB59" s="9">
        <v>7.211538461538468E-3</v>
      </c>
      <c r="AC59" s="9">
        <v>-2.6714158504006161E-3</v>
      </c>
      <c r="AD59" s="9">
        <v>4.494382022471914E-3</v>
      </c>
      <c r="AE59" s="9">
        <v>2.7726432532346498E-3</v>
      </c>
      <c r="AF59" s="9">
        <v>2.083333333333335E-2</v>
      </c>
      <c r="AG59" s="9">
        <v>-9.0225563909774511E-3</v>
      </c>
      <c r="AH59" s="9">
        <v>-2.8929604628735702E-3</v>
      </c>
      <c r="AI59" s="9">
        <v>2.8248587570621499E-3</v>
      </c>
      <c r="AJ59" s="9">
        <v>2.5688073394495439E-2</v>
      </c>
      <c r="AK59" s="9">
        <v>5.3778080326752867E-2</v>
      </c>
      <c r="AL59" s="279">
        <v>5.1850430236688788E-3</v>
      </c>
      <c r="AM59" s="279">
        <v>1.3025248729487239E-2</v>
      </c>
      <c r="AN59" s="279">
        <v>1.7300918936810281E-2</v>
      </c>
      <c r="AO59" s="279">
        <v>1.5900000000000001E-2</v>
      </c>
      <c r="AP59" s="279">
        <v>-5.1049223893543326E-4</v>
      </c>
      <c r="AQ59" s="279">
        <v>6.6338128987916958E-3</v>
      </c>
      <c r="AR59" s="279">
        <v>1.2799338260668531E-2</v>
      </c>
      <c r="AS59" s="279">
        <v>1.557668183901707E-2</v>
      </c>
      <c r="AT59" s="279">
        <v>-2.793226554026139E-3</v>
      </c>
      <c r="AU59" s="279">
        <v>7.9000000000000008E-3</v>
      </c>
      <c r="AV59" s="279">
        <v>-5.4999999999999997E-3</v>
      </c>
      <c r="AW59" s="279"/>
      <c r="AX59" s="279">
        <v>1.9E-3</v>
      </c>
      <c r="AY59" s="279">
        <v>5.8999999999999999E-3</v>
      </c>
      <c r="AZ59" s="279">
        <v>-1.8E-3</v>
      </c>
      <c r="BA59" s="279">
        <v>2.2000000000000001E-3</v>
      </c>
      <c r="BB59" s="279">
        <v>2.3999999999999998E-3</v>
      </c>
      <c r="BD59" s="9">
        <f t="shared" si="5"/>
        <v>-7.819336123340842E-2</v>
      </c>
    </row>
    <row r="60" spans="1:56" hidden="1" x14ac:dyDescent="0.3">
      <c r="A60">
        <v>20260423</v>
      </c>
      <c r="B60" s="9">
        <v>-5.993545412632504E-3</v>
      </c>
      <c r="C60" s="9">
        <v>-1.10880110880111E-2</v>
      </c>
      <c r="D60" s="9">
        <v>-7.561436672967871E-3</v>
      </c>
      <c r="E60" s="9">
        <v>-1.1025358324145539E-2</v>
      </c>
      <c r="F60" s="9">
        <v>3.577817531305906E-3</v>
      </c>
      <c r="G60" s="9">
        <v>1.6597510373444001E-2</v>
      </c>
      <c r="H60" s="9">
        <v>9.3545369504220016E-4</v>
      </c>
      <c r="I60" s="9">
        <v>0</v>
      </c>
      <c r="J60" s="9">
        <v>-1.037037037037038E-2</v>
      </c>
      <c r="K60" s="9">
        <v>-1.693766937669371E-2</v>
      </c>
      <c r="L60" s="9">
        <v>-3.7173015144561707E-2</v>
      </c>
      <c r="M60" s="9">
        <v>7.3416947078617373E-3</v>
      </c>
      <c r="N60" s="9">
        <v>-8.1300813008121126E-4</v>
      </c>
      <c r="O60" s="9">
        <v>-8.3720930232557191E-3</v>
      </c>
      <c r="P60" s="9">
        <v>6.7114093959739054E-4</v>
      </c>
      <c r="Q60" s="9">
        <v>2.9752066115702511E-2</v>
      </c>
      <c r="R60" s="9">
        <v>2.4937655860349148E-3</v>
      </c>
      <c r="S60" s="9">
        <v>-5.7142857142857186E-3</v>
      </c>
      <c r="T60" s="9">
        <v>-1.59744408945687E-2</v>
      </c>
      <c r="U60" s="9">
        <v>1.489572989076521E-3</v>
      </c>
      <c r="V60" s="9">
        <v>-8.0338266384778548E-3</v>
      </c>
      <c r="W60" s="9">
        <v>1.743745261561799E-2</v>
      </c>
      <c r="X60" s="9">
        <v>-2.9761904761904791E-3</v>
      </c>
      <c r="Y60" s="9">
        <v>0</v>
      </c>
      <c r="Z60" s="9">
        <v>5.5096418732782431E-3</v>
      </c>
      <c r="AA60" s="9">
        <v>-1.7948717948717961E-2</v>
      </c>
      <c r="AB60" s="9">
        <v>-1.1933174224343691E-2</v>
      </c>
      <c r="AC60" s="9">
        <v>1.9642857142856959E-2</v>
      </c>
      <c r="AD60" s="9">
        <v>-2.9828486204325159E-3</v>
      </c>
      <c r="AE60" s="9">
        <v>-6.4516129032257102E-3</v>
      </c>
      <c r="AF60" s="9">
        <v>-1.200480192076832E-2</v>
      </c>
      <c r="AG60" s="9">
        <v>-1.289833080424896E-2</v>
      </c>
      <c r="AH60" s="9">
        <v>-7.7369439071566801E-3</v>
      </c>
      <c r="AI60" s="9">
        <v>2.816901408450707E-3</v>
      </c>
      <c r="AJ60" s="9">
        <v>-1.7292784734645281E-2</v>
      </c>
      <c r="AK60" s="9">
        <v>-8.7209302325581828E-3</v>
      </c>
      <c r="AL60" s="279">
        <v>-3.1678477095203978E-3</v>
      </c>
      <c r="AM60" s="279">
        <v>-8.8184913116901471E-3</v>
      </c>
      <c r="AN60" s="279">
        <v>-8.6634127051590619E-3</v>
      </c>
      <c r="AO60" s="279">
        <v>-3.04E-2</v>
      </c>
      <c r="AP60" s="279">
        <v>-9.0231439222675767E-4</v>
      </c>
      <c r="AQ60" s="279">
        <v>-2.7710278319544369E-3</v>
      </c>
      <c r="AR60" s="279">
        <v>-9.6671740975989122E-3</v>
      </c>
      <c r="AS60" s="279">
        <v>-1.397187368496506E-2</v>
      </c>
      <c r="AT60" s="279">
        <v>-1.016952913504638E-2</v>
      </c>
      <c r="AU60" s="279">
        <v>-6.8999999999999999E-3</v>
      </c>
      <c r="AV60" s="279">
        <v>-1.3299999999999999E-2</v>
      </c>
      <c r="AW60" s="279"/>
      <c r="AX60" s="279">
        <v>-2.5000000000000001E-3</v>
      </c>
      <c r="AY60" s="279">
        <v>-3.3E-3</v>
      </c>
      <c r="AZ60" s="279">
        <v>-8.0000000000000002E-3</v>
      </c>
      <c r="BA60" s="279">
        <v>-9.9000000000000008E-3</v>
      </c>
      <c r="BB60" s="279">
        <v>0</v>
      </c>
      <c r="BD60" s="9">
        <f t="shared" si="5"/>
        <v>-6.6721487548443356E-2</v>
      </c>
    </row>
    <row r="61" spans="1:56" hidden="1" x14ac:dyDescent="0.3">
      <c r="A61">
        <v>20260424</v>
      </c>
      <c r="B61" s="9">
        <v>-1.437847866419301E-2</v>
      </c>
      <c r="C61" s="9">
        <v>-1.1913104414856429E-2</v>
      </c>
      <c r="D61" s="9">
        <v>-8.5714285714286846E-3</v>
      </c>
      <c r="E61" s="9">
        <v>2.5641025641025661E-2</v>
      </c>
      <c r="F61" s="9">
        <v>-4.1592394533571699E-3</v>
      </c>
      <c r="G61" s="9">
        <v>2.0408163265306142E-3</v>
      </c>
      <c r="H61" s="9">
        <v>1.8691588785046741E-3</v>
      </c>
      <c r="I61" s="9">
        <v>0</v>
      </c>
      <c r="J61" s="9">
        <v>-5.988023952095814E-3</v>
      </c>
      <c r="K61" s="9">
        <v>-2.0675396278429449E-3</v>
      </c>
      <c r="L61" s="9">
        <v>9.5328884652049663E-3</v>
      </c>
      <c r="M61" s="9">
        <v>-3.9477679927119166E-3</v>
      </c>
      <c r="N61" s="9">
        <v>-1.383238405207496E-2</v>
      </c>
      <c r="O61" s="9">
        <v>-9.3808630393996326E-3</v>
      </c>
      <c r="P61" s="9">
        <v>-1.207243460764588E-2</v>
      </c>
      <c r="Q61" s="9">
        <v>8.0256821829864514E-4</v>
      </c>
      <c r="R61" s="9">
        <v>-1.243781094527364E-3</v>
      </c>
      <c r="S61" s="9">
        <v>-6.4655172413792374E-3</v>
      </c>
      <c r="T61" s="9">
        <v>-1.1363636363636369E-2</v>
      </c>
      <c r="U61" s="9">
        <v>-1.6360932077342551E-2</v>
      </c>
      <c r="V61" s="9">
        <v>-7.2463768115941622E-3</v>
      </c>
      <c r="W61" s="9">
        <v>-1.7883755588673639E-2</v>
      </c>
      <c r="X61" s="9">
        <v>0</v>
      </c>
      <c r="Y61" s="9">
        <v>-1.0070493454179259E-3</v>
      </c>
      <c r="Z61" s="9">
        <v>2.7397260273972629E-3</v>
      </c>
      <c r="AA61" s="9">
        <v>-7.832898172323766E-3</v>
      </c>
      <c r="AB61" s="9">
        <v>-1.2077294685990351E-3</v>
      </c>
      <c r="AC61" s="9">
        <v>-1.663747810858136E-2</v>
      </c>
      <c r="AD61" s="9">
        <v>-1.0471204188481679E-2</v>
      </c>
      <c r="AE61" s="9">
        <v>-1.484230055658628E-2</v>
      </c>
      <c r="AF61" s="9">
        <v>-3.6452004860267348E-3</v>
      </c>
      <c r="AG61" s="9">
        <v>-1.998462720983861E-2</v>
      </c>
      <c r="AH61" s="9">
        <v>-2.7290448343079941E-2</v>
      </c>
      <c r="AI61" s="9">
        <v>-1.966292134831462E-2</v>
      </c>
      <c r="AJ61" s="9">
        <v>1.7597087378640859E-2</v>
      </c>
      <c r="AK61" s="9">
        <v>-3.5516454871293568E-2</v>
      </c>
      <c r="AL61" s="279">
        <v>-3.26136932755146E-3</v>
      </c>
      <c r="AM61" s="279">
        <v>-6.8567516095044577E-3</v>
      </c>
      <c r="AN61" s="279">
        <v>-1.4101698086175471E-2</v>
      </c>
      <c r="AO61" s="279">
        <v>-5.7000000000000002E-3</v>
      </c>
      <c r="AP61" s="279">
        <v>5.8442292526702227E-3</v>
      </c>
      <c r="AQ61" s="279">
        <v>-3.543071754186505E-3</v>
      </c>
      <c r="AR61" s="279">
        <v>-5.7058250625933908E-3</v>
      </c>
      <c r="AS61" s="279">
        <v>-7.0070814111163268E-3</v>
      </c>
      <c r="AT61" s="279">
        <v>1.092012068705314E-2</v>
      </c>
      <c r="AU61" s="279">
        <v>-4.3E-3</v>
      </c>
      <c r="AV61" s="279">
        <v>5.9999999999999995E-4</v>
      </c>
      <c r="AW61" s="279"/>
      <c r="AX61" s="279">
        <v>-4.4999999999999997E-3</v>
      </c>
      <c r="AY61" s="279">
        <v>-3.2000000000000002E-3</v>
      </c>
      <c r="AZ61" s="279">
        <v>2E-3</v>
      </c>
      <c r="BA61" s="279">
        <v>0</v>
      </c>
      <c r="BB61" s="279">
        <v>-1.9E-3</v>
      </c>
      <c r="BD61" s="9">
        <f t="shared" si="5"/>
        <v>-6.4214406137327026E-2</v>
      </c>
    </row>
    <row r="62" spans="1:56" hidden="1" x14ac:dyDescent="0.3">
      <c r="A62">
        <v>20260427</v>
      </c>
      <c r="B62" s="9">
        <v>1.270588235294124E-2</v>
      </c>
      <c r="C62" s="9">
        <v>2.1276595744681658E-3</v>
      </c>
      <c r="D62" s="9">
        <v>2.689721421709897E-2</v>
      </c>
      <c r="E62" s="9">
        <v>6.5217391304347883E-3</v>
      </c>
      <c r="F62" s="9">
        <v>7.1599045346062117E-3</v>
      </c>
      <c r="G62" s="9">
        <v>-1.8329938900203679E-2</v>
      </c>
      <c r="H62" s="9">
        <v>-6.5298507462687658E-3</v>
      </c>
      <c r="I62" s="9">
        <v>-8.1411126187245671E-3</v>
      </c>
      <c r="J62" s="9">
        <v>-1.506024096385544E-3</v>
      </c>
      <c r="K62" s="9">
        <v>-1.1740331491712641E-2</v>
      </c>
      <c r="L62" s="9">
        <v>-1.085930122757304E-2</v>
      </c>
      <c r="M62" s="9">
        <v>-1.524390243902407E-3</v>
      </c>
      <c r="N62" s="9">
        <v>-1.23762376237623E-2</v>
      </c>
      <c r="O62" s="9">
        <v>9.4696969696959259E-4</v>
      </c>
      <c r="P62" s="9">
        <v>1.561439239646973E-2</v>
      </c>
      <c r="Q62" s="9">
        <v>5.6134723336005573E-3</v>
      </c>
      <c r="R62" s="9">
        <v>-3.735990037359904E-3</v>
      </c>
      <c r="S62" s="9">
        <v>-2.1691973969632061E-3</v>
      </c>
      <c r="T62" s="9">
        <v>-8.2101806239737347E-3</v>
      </c>
      <c r="U62" s="9">
        <v>-5.040322580644606E-4</v>
      </c>
      <c r="V62" s="9">
        <v>-1.4169171318162459E-2</v>
      </c>
      <c r="W62" s="9">
        <v>-8.3459787556905314E-3</v>
      </c>
      <c r="X62" s="9">
        <v>-8.9552238805970224E-3</v>
      </c>
      <c r="Y62" s="9">
        <v>-6.0483870967741986E-3</v>
      </c>
      <c r="Z62" s="9">
        <v>-5.4644808743169451E-3</v>
      </c>
      <c r="AA62" s="9">
        <v>5.2631578947368463E-3</v>
      </c>
      <c r="AB62" s="9">
        <v>0</v>
      </c>
      <c r="AC62" s="9">
        <v>-6.2333036509349031E-3</v>
      </c>
      <c r="AD62" s="9">
        <v>4.5351473922902539E-3</v>
      </c>
      <c r="AE62" s="9">
        <v>-8.4745762711865517E-3</v>
      </c>
      <c r="AF62" s="9">
        <v>0</v>
      </c>
      <c r="AG62" s="9">
        <v>3.9215686274510714E-3</v>
      </c>
      <c r="AH62" s="9">
        <v>-6.0120240480961984E-3</v>
      </c>
      <c r="AI62" s="9">
        <v>-2.14899713467041E-3</v>
      </c>
      <c r="AJ62" s="9">
        <v>4.6511627906976653E-2</v>
      </c>
      <c r="AK62" s="9">
        <v>1.925675675675674E-2</v>
      </c>
      <c r="AL62" s="279">
        <v>1.579499497536682E-3</v>
      </c>
      <c r="AM62" s="279">
        <v>3.711304324545044E-3</v>
      </c>
      <c r="AN62" s="279">
        <v>-5.1793930124038453E-3</v>
      </c>
      <c r="AO62" s="279">
        <v>-6.4000000000000003E-3</v>
      </c>
      <c r="AP62" s="279">
        <v>-2.0335872968874581E-3</v>
      </c>
      <c r="AQ62" s="279">
        <v>3.3081944382999608E-4</v>
      </c>
      <c r="AR62" s="279">
        <v>6.2043609772989162E-3</v>
      </c>
      <c r="AS62" s="279">
        <v>4.1647409208561388E-3</v>
      </c>
      <c r="AT62" s="279">
        <v>2.0112501039476389E-2</v>
      </c>
      <c r="AU62" s="279">
        <v>3.3E-3</v>
      </c>
      <c r="AV62" s="279">
        <v>4.0000000000000001E-3</v>
      </c>
      <c r="AW62" s="279"/>
      <c r="AX62" s="279">
        <v>8.0999999999999996E-3</v>
      </c>
      <c r="AY62" s="279">
        <v>5.1000000000000004E-3</v>
      </c>
      <c r="AZ62" s="279">
        <v>6.1999999999999998E-3</v>
      </c>
      <c r="BA62" s="279">
        <v>1.17E-2</v>
      </c>
      <c r="BB62" s="279">
        <v>3.8E-3</v>
      </c>
      <c r="BD62" s="9">
        <f t="shared" si="5"/>
        <v>-6.0279147058183165E-2</v>
      </c>
    </row>
    <row r="63" spans="1:56" hidden="1" x14ac:dyDescent="0.3">
      <c r="A63">
        <v>20260428</v>
      </c>
      <c r="B63" s="9">
        <v>3.2527881040890672E-3</v>
      </c>
      <c r="C63" s="9">
        <v>-2.6893135173389971E-2</v>
      </c>
      <c r="D63" s="9">
        <v>-2.3386342376052301E-2</v>
      </c>
      <c r="E63" s="9">
        <v>1.079913606911448E-3</v>
      </c>
      <c r="F63" s="9">
        <v>2.073459715639819E-2</v>
      </c>
      <c r="G63" s="9">
        <v>0</v>
      </c>
      <c r="H63" s="9">
        <v>4.6948356807512822E-3</v>
      </c>
      <c r="I63" s="9">
        <v>1.367989056087553E-3</v>
      </c>
      <c r="J63" s="9">
        <v>-1.8099547511312229E-2</v>
      </c>
      <c r="K63" s="9">
        <v>6.9881201956665964E-4</v>
      </c>
      <c r="L63" s="9">
        <v>-2.4821002386634861E-2</v>
      </c>
      <c r="M63" s="9">
        <v>1.526717557251916E-2</v>
      </c>
      <c r="N63" s="9">
        <v>3.3416875522138709E-3</v>
      </c>
      <c r="O63" s="9">
        <v>1.2298959318826991E-2</v>
      </c>
      <c r="P63" s="9">
        <v>-8.6898395721924475E-3</v>
      </c>
      <c r="Q63" s="9">
        <v>3.5087719298245647E-2</v>
      </c>
      <c r="R63" s="9">
        <v>3.7500000000000029E-3</v>
      </c>
      <c r="S63" s="9">
        <v>3.6231884057971852E-3</v>
      </c>
      <c r="T63" s="9">
        <v>4.9668874172185476E-3</v>
      </c>
      <c r="U63" s="9">
        <v>-2.0171457387796281E-2</v>
      </c>
      <c r="V63" s="9">
        <v>-1.872822299651555E-2</v>
      </c>
      <c r="W63" s="9">
        <v>5.355776587605293E-3</v>
      </c>
      <c r="X63" s="9">
        <v>2.40963855421687E-2</v>
      </c>
      <c r="Y63" s="9">
        <v>5.0709939148073074E-3</v>
      </c>
      <c r="Z63" s="9">
        <v>2.1978021978022001E-2</v>
      </c>
      <c r="AA63" s="9">
        <v>2.617801047120422E-2</v>
      </c>
      <c r="AB63" s="9">
        <v>1.330108827085854E-2</v>
      </c>
      <c r="AC63" s="9">
        <v>6.2724014336916628E-3</v>
      </c>
      <c r="AD63" s="9">
        <v>-1.6553799849510921E-2</v>
      </c>
      <c r="AE63" s="9">
        <v>-1.2345679012345579E-2</v>
      </c>
      <c r="AF63" s="9">
        <v>-2.3170731707316958E-2</v>
      </c>
      <c r="AG63" s="9">
        <v>6.2500000000000064E-3</v>
      </c>
      <c r="AH63" s="9">
        <v>-1.612903225806453E-2</v>
      </c>
      <c r="AI63" s="9">
        <v>-1.579325197415651E-2</v>
      </c>
      <c r="AJ63" s="9">
        <v>-1.139601139601128E-2</v>
      </c>
      <c r="AK63" s="9">
        <v>-1.856148491879352E-2</v>
      </c>
      <c r="AL63" s="279">
        <v>-1.885915625312072E-3</v>
      </c>
      <c r="AM63" s="279">
        <v>-1.1022783121884591E-2</v>
      </c>
      <c r="AN63" s="279">
        <v>-1.42721637979516E-2</v>
      </c>
      <c r="AO63" s="279">
        <v>-2.6499999999999999E-2</v>
      </c>
      <c r="AP63" s="279">
        <v>3.8679465800719281E-3</v>
      </c>
      <c r="AQ63" s="279">
        <v>-2.6700149886386051E-3</v>
      </c>
      <c r="AR63" s="279">
        <v>-1.14577103954924E-2</v>
      </c>
      <c r="AS63" s="279">
        <v>-1.3435456035435729E-2</v>
      </c>
      <c r="AT63" s="279">
        <v>-9.2197507860709892E-4</v>
      </c>
      <c r="AU63" s="279">
        <v>-1.0200000000000001E-2</v>
      </c>
      <c r="AV63" s="279">
        <v>-9.4999999999999998E-3</v>
      </c>
      <c r="AW63" s="279"/>
      <c r="AX63" s="279">
        <v>-1.4999999999999999E-2</v>
      </c>
      <c r="AY63" s="279">
        <v>-1.32E-2</v>
      </c>
      <c r="AZ63" s="279">
        <v>-4.0000000000000002E-4</v>
      </c>
      <c r="BA63" s="279">
        <v>-1.15E-2</v>
      </c>
      <c r="BB63" s="279">
        <v>1.1999999999999999E-3</v>
      </c>
      <c r="BD63" s="9">
        <f t="shared" si="5"/>
        <v>-6.1843691022747435E-2</v>
      </c>
    </row>
    <row r="64" spans="1:56" hidden="1" x14ac:dyDescent="0.3">
      <c r="A64">
        <v>20260429</v>
      </c>
      <c r="B64" s="9">
        <v>2.77906438165828E-3</v>
      </c>
      <c r="C64" s="9">
        <v>1.527272727272721E-2</v>
      </c>
      <c r="D64" s="9">
        <v>1.149425287356323E-2</v>
      </c>
      <c r="E64" s="9">
        <v>3.1283710895361277E-2</v>
      </c>
      <c r="F64" s="9">
        <v>9.2861288450377319E-3</v>
      </c>
      <c r="G64" s="9">
        <v>1.03734439834025E-2</v>
      </c>
      <c r="H64" s="9">
        <v>1.682242990654207E-2</v>
      </c>
      <c r="I64" s="9">
        <v>1.7759562841530071E-2</v>
      </c>
      <c r="J64" s="9">
        <v>2.3041474654377898E-2</v>
      </c>
      <c r="K64" s="9">
        <v>2.1648044692737529E-2</v>
      </c>
      <c r="L64" s="9">
        <v>4.7479197258932918E-2</v>
      </c>
      <c r="M64" s="9">
        <v>6.6165413533833973E-3</v>
      </c>
      <c r="N64" s="9">
        <v>7.493755203996583E-3</v>
      </c>
      <c r="O64" s="9">
        <v>5.6074766355140226E-3</v>
      </c>
      <c r="P64" s="9">
        <v>2.0903573836817201E-2</v>
      </c>
      <c r="Q64" s="9">
        <v>1.6949152542372899E-2</v>
      </c>
      <c r="R64" s="9">
        <v>-3.735990037359904E-3</v>
      </c>
      <c r="S64" s="9">
        <v>2.0938628158844699E-2</v>
      </c>
      <c r="T64" s="9">
        <v>2.306425041186164E-2</v>
      </c>
      <c r="U64" s="9">
        <v>1.1322696860524969E-2</v>
      </c>
      <c r="V64" s="9">
        <v>3.9059032401242817E-2</v>
      </c>
      <c r="W64" s="9">
        <v>1.522070015220702E-3</v>
      </c>
      <c r="X64" s="9">
        <v>-5.8823529411764757E-3</v>
      </c>
      <c r="Y64" s="9">
        <v>4.0363269424823446E-3</v>
      </c>
      <c r="Z64" s="9">
        <v>5.376344086021511E-3</v>
      </c>
      <c r="AA64" s="9">
        <v>-1.0204081632653071E-2</v>
      </c>
      <c r="AB64" s="9">
        <v>0</v>
      </c>
      <c r="AC64" s="9">
        <v>8.9047195013367041E-4</v>
      </c>
      <c r="AD64" s="9">
        <v>1.377199693955625E-2</v>
      </c>
      <c r="AE64" s="9">
        <v>1.826923076923068E-2</v>
      </c>
      <c r="AF64" s="9">
        <v>1.248439450686643E-3</v>
      </c>
      <c r="AG64" s="9">
        <v>2.1739130434782629E-2</v>
      </c>
      <c r="AH64" s="9">
        <v>2.2540983606557399E-2</v>
      </c>
      <c r="AI64" s="9">
        <v>4.3763676148796541E-3</v>
      </c>
      <c r="AJ64" s="9">
        <v>-1.729106628242141E-3</v>
      </c>
      <c r="AK64" s="9">
        <v>3.7149611617697132E-3</v>
      </c>
      <c r="AL64" s="279">
        <v>7.080110340782827E-3</v>
      </c>
      <c r="AM64" s="279">
        <v>1.9585562416809761E-2</v>
      </c>
      <c r="AN64" s="279">
        <v>2.5149692274499619E-2</v>
      </c>
      <c r="AO64" s="279">
        <v>4.7999999999999996E-3</v>
      </c>
      <c r="AP64" s="279">
        <v>5.7898177921050032E-3</v>
      </c>
      <c r="AQ64" s="279">
        <v>1.0957633630139839E-2</v>
      </c>
      <c r="AR64" s="279">
        <v>1.6877323039444E-2</v>
      </c>
      <c r="AS64" s="279">
        <v>1.414583164168543E-2</v>
      </c>
      <c r="AT64" s="279">
        <v>1.6423510670331948E-2</v>
      </c>
      <c r="AU64" s="279">
        <v>9.2999999999999992E-3</v>
      </c>
      <c r="AV64" s="279">
        <v>2.5000000000000001E-3</v>
      </c>
      <c r="AW64" s="279"/>
      <c r="AX64" s="279">
        <v>1.4500000000000001E-2</v>
      </c>
      <c r="AY64" s="279">
        <v>1.3899999999999999E-2</v>
      </c>
      <c r="AZ64" s="279">
        <v>0.01</v>
      </c>
      <c r="BA64" s="279">
        <v>1.0800000000000001E-2</v>
      </c>
      <c r="BB64" s="279">
        <v>1.01E-2</v>
      </c>
      <c r="BD64" s="9">
        <f t="shared" si="5"/>
        <v>-6.1489522664432861E-2</v>
      </c>
    </row>
    <row r="65" spans="1:56" hidden="1" x14ac:dyDescent="0.3">
      <c r="A65">
        <v>20260430</v>
      </c>
      <c r="B65" s="9">
        <v>-1.3856812933025931E-3</v>
      </c>
      <c r="C65" s="9">
        <v>1.146131805157594E-2</v>
      </c>
      <c r="D65" s="9">
        <v>1.231060606060597E-2</v>
      </c>
      <c r="E65" s="9">
        <v>-1.046025104602511E-3</v>
      </c>
      <c r="F65" s="9">
        <v>0</v>
      </c>
      <c r="G65" s="9">
        <v>-6.1601642710472342E-3</v>
      </c>
      <c r="H65" s="9">
        <v>-5.5147058823529459E-3</v>
      </c>
      <c r="I65" s="9">
        <v>2.6845637583892642E-3</v>
      </c>
      <c r="J65" s="9">
        <v>-7.5075075075075144E-3</v>
      </c>
      <c r="K65" s="9">
        <v>-1.5037593984962421E-2</v>
      </c>
      <c r="L65" s="9">
        <v>-9.813084112149489E-3</v>
      </c>
      <c r="M65" s="9">
        <v>-1.792650134448695E-3</v>
      </c>
      <c r="N65" s="9">
        <v>-7.4380165289255349E-3</v>
      </c>
      <c r="O65" s="9">
        <v>1.858736059479556E-3</v>
      </c>
      <c r="P65" s="9">
        <v>8.586525759577213E-3</v>
      </c>
      <c r="Q65" s="9">
        <v>-3.7878787878788752E-3</v>
      </c>
      <c r="R65" s="9">
        <v>-6.2500000000000064E-3</v>
      </c>
      <c r="S65" s="9">
        <v>1.697312588401699E-2</v>
      </c>
      <c r="T65" s="9">
        <v>8.0515297906602334E-3</v>
      </c>
      <c r="U65" s="9">
        <v>-1.2213740458015279E-2</v>
      </c>
      <c r="V65" s="9">
        <v>-6.4075181546348241E-3</v>
      </c>
      <c r="W65" s="9">
        <v>-1.291793313069918E-2</v>
      </c>
      <c r="X65" s="9">
        <v>-5.9171597633136154E-3</v>
      </c>
      <c r="Y65" s="9">
        <v>3.015075376884425E-3</v>
      </c>
      <c r="Z65" s="9">
        <v>-1.0695187165775411E-2</v>
      </c>
      <c r="AA65" s="9">
        <v>-7.7319587628866043E-3</v>
      </c>
      <c r="AB65" s="9">
        <v>-2.3866348448687369E-3</v>
      </c>
      <c r="AC65" s="9">
        <v>-1.4234875444839871E-2</v>
      </c>
      <c r="AD65" s="9">
        <v>-7.5471698113207617E-3</v>
      </c>
      <c r="AE65" s="9">
        <v>3.777148253068937E-3</v>
      </c>
      <c r="AF65" s="9">
        <v>1.122194513715712E-2</v>
      </c>
      <c r="AG65" s="9">
        <v>-1.6717325227963539E-2</v>
      </c>
      <c r="AH65" s="9">
        <v>-1.302605210420843E-2</v>
      </c>
      <c r="AI65" s="9">
        <v>1.59767610748003E-2</v>
      </c>
      <c r="AJ65" s="9">
        <v>4.9076212471131621E-2</v>
      </c>
      <c r="AK65" s="9">
        <v>-1.6823687752354961E-3</v>
      </c>
      <c r="AL65" s="279">
        <v>1.1309030230937571E-3</v>
      </c>
      <c r="AM65" s="279">
        <v>-8.8402689783425128E-4</v>
      </c>
      <c r="AN65" s="279">
        <v>-2.717424321321969E-3</v>
      </c>
      <c r="AO65" s="279">
        <v>-1.1999999999999999E-3</v>
      </c>
      <c r="AP65" s="279">
        <v>6.0663460154883591E-3</v>
      </c>
      <c r="AQ65" s="279">
        <v>-6.3195025223747097E-4</v>
      </c>
      <c r="AR65" s="279">
        <v>8.4936964349189312E-4</v>
      </c>
      <c r="AS65" s="279">
        <v>4.6603136856777569E-3</v>
      </c>
      <c r="AT65" s="279">
        <v>1.145499131305691E-2</v>
      </c>
      <c r="AU65" s="279">
        <v>-1E-3</v>
      </c>
      <c r="AV65" s="279">
        <v>1.5E-3</v>
      </c>
      <c r="AW65" s="279"/>
      <c r="AX65" s="279">
        <v>8.9999999999999998E-4</v>
      </c>
      <c r="AY65" s="279">
        <v>-3.8E-3</v>
      </c>
      <c r="AZ65" s="279">
        <v>5.9999999999999995E-4</v>
      </c>
      <c r="BA65" s="279">
        <v>3.5000000000000001E-3</v>
      </c>
      <c r="BB65" s="279">
        <v>-4.5999999999999999E-3</v>
      </c>
      <c r="BD65" s="9">
        <f t="shared" si="5"/>
        <v>-6.5249836350110613E-2</v>
      </c>
    </row>
    <row r="66" spans="1:56" x14ac:dyDescent="0.3">
      <c r="A66" s="295" t="s">
        <v>120</v>
      </c>
      <c r="B66" s="347">
        <f t="shared" ref="B66:AV66" si="6">SUM(B67:B84)</f>
        <v>-3.9277531262327636E-2</v>
      </c>
      <c r="C66" s="347">
        <f t="shared" si="6"/>
        <v>1.1597946893496192E-2</v>
      </c>
      <c r="D66" s="347">
        <f t="shared" si="6"/>
        <v>8.3807956091622698E-2</v>
      </c>
      <c r="E66" s="347">
        <f t="shared" si="6"/>
        <v>-0.15459784396292767</v>
      </c>
      <c r="F66" s="347">
        <f t="shared" si="6"/>
        <v>2.5308725498124135E-3</v>
      </c>
      <c r="G66" s="347">
        <f t="shared" si="6"/>
        <v>-5.543802645005641E-2</v>
      </c>
      <c r="H66" s="347">
        <f t="shared" si="6"/>
        <v>-0.13936987708944507</v>
      </c>
      <c r="I66" s="347">
        <f t="shared" si="6"/>
        <v>-7.9703404431934022E-2</v>
      </c>
      <c r="J66" s="347">
        <f t="shared" si="6"/>
        <v>-6.8779470024447925E-2</v>
      </c>
      <c r="K66" s="347">
        <f t="shared" si="6"/>
        <v>-0.10915845054347863</v>
      </c>
      <c r="L66" s="347">
        <f t="shared" si="6"/>
        <v>-6.0977875314186976E-2</v>
      </c>
      <c r="M66" s="347">
        <f t="shared" si="6"/>
        <v>-3.8916739313578239E-2</v>
      </c>
      <c r="N66" s="347">
        <f t="shared" si="6"/>
        <v>-2.4232493024979727E-2</v>
      </c>
      <c r="O66" s="347">
        <f t="shared" si="6"/>
        <v>-3.2065784975765468E-2</v>
      </c>
      <c r="P66" s="347">
        <f t="shared" si="6"/>
        <v>-3.9206083228852169E-2</v>
      </c>
      <c r="Q66" s="347">
        <f t="shared" si="6"/>
        <v>-1.5291002002578311E-2</v>
      </c>
      <c r="R66" s="347">
        <f t="shared" si="6"/>
        <v>-2.3721263703517268E-2</v>
      </c>
      <c r="S66" s="347">
        <f t="shared" si="6"/>
        <v>-5.0564493822136902E-2</v>
      </c>
      <c r="T66" s="347">
        <f t="shared" si="6"/>
        <v>-0.1188877456279504</v>
      </c>
      <c r="U66" s="347">
        <f t="shared" si="6"/>
        <v>6.5124892236947673E-2</v>
      </c>
      <c r="V66" s="347">
        <f t="shared" si="6"/>
        <v>7.5486710141387178E-3</v>
      </c>
      <c r="W66" s="347">
        <f t="shared" si="6"/>
        <v>8.8839189235857818E-2</v>
      </c>
      <c r="X66" s="347">
        <f t="shared" si="6"/>
        <v>-5.772267988932573E-2</v>
      </c>
      <c r="Y66" s="347">
        <f t="shared" si="6"/>
        <v>-4.2293105539218737E-2</v>
      </c>
      <c r="Z66" s="347">
        <f t="shared" si="6"/>
        <v>-6.8753546568001311E-2</v>
      </c>
      <c r="AA66" s="347">
        <f t="shared" si="6"/>
        <v>-9.5767877008825095E-2</v>
      </c>
      <c r="AB66" s="347">
        <f t="shared" si="6"/>
        <v>-8.4006940329783231E-2</v>
      </c>
      <c r="AC66" s="347">
        <f t="shared" si="6"/>
        <v>0.11770790302922221</v>
      </c>
      <c r="AD66" s="347">
        <f t="shared" si="6"/>
        <v>-5.250753457481059E-2</v>
      </c>
      <c r="AE66" s="347">
        <f t="shared" si="6"/>
        <v>2.658462022351004E-2</v>
      </c>
      <c r="AF66" s="347">
        <f t="shared" si="6"/>
        <v>-7.695136580007253E-2</v>
      </c>
      <c r="AG66" s="347">
        <f t="shared" si="6"/>
        <v>-0.12402372211302939</v>
      </c>
      <c r="AH66" s="347">
        <f t="shared" si="6"/>
        <v>-7.4775473890068236E-2</v>
      </c>
      <c r="AI66" s="347">
        <f t="shared" si="6"/>
        <v>-7.1566842310989559E-2</v>
      </c>
      <c r="AJ66" s="347">
        <f t="shared" si="6"/>
        <v>0.20074290760761335</v>
      </c>
      <c r="AK66" s="347">
        <f t="shared" si="6"/>
        <v>0.21365327686917626</v>
      </c>
      <c r="AL66" s="347">
        <f t="shared" si="6"/>
        <v>1.9854912264384197E-2</v>
      </c>
      <c r="AM66" s="347">
        <f t="shared" si="6"/>
        <v>3.2364377875628611E-2</v>
      </c>
      <c r="AN66" s="347">
        <f t="shared" si="6"/>
        <v>9.6650177555026612E-2</v>
      </c>
      <c r="AO66" s="347">
        <f t="shared" si="6"/>
        <v>-8.7300000000000016E-2</v>
      </c>
      <c r="AP66" s="347">
        <f t="shared" si="6"/>
        <v>-1.5064942942816618E-2</v>
      </c>
      <c r="AQ66" s="347">
        <f t="shared" si="6"/>
        <v>2.5950839077730041E-2</v>
      </c>
      <c r="AR66" s="347">
        <f t="shared" si="6"/>
        <v>1.441177004606815E-2</v>
      </c>
      <c r="AS66" s="347">
        <f t="shared" si="6"/>
        <v>1.6717758381737891E-2</v>
      </c>
      <c r="AT66" s="347">
        <f t="shared" si="6"/>
        <v>-0.10166226842466691</v>
      </c>
      <c r="AU66" s="347">
        <f t="shared" si="6"/>
        <v>-9.0000000000000011E-3</v>
      </c>
      <c r="AV66" s="347">
        <f t="shared" si="6"/>
        <v>-5.9599999999999986E-2</v>
      </c>
      <c r="AW66" s="347">
        <v>-2.6800000000000001E-2</v>
      </c>
      <c r="AX66" s="347">
        <f>SUM(AX67:AX84)</f>
        <v>-6.6500000000000004E-2</v>
      </c>
      <c r="AY66" s="347">
        <f>SUM(AY67:AY84)</f>
        <v>-6.2600000000000003E-2</v>
      </c>
      <c r="AZ66" s="347">
        <f>SUM(AZ67:AZ84)</f>
        <v>-9.7500000000000003E-2</v>
      </c>
      <c r="BA66" s="347">
        <f>SUM(BA67:BA84)</f>
        <v>-6.8900000000000003E-2</v>
      </c>
      <c r="BB66" s="347">
        <f>SUM(BB67:BB84)</f>
        <v>-7.5800000000000006E-2</v>
      </c>
      <c r="BD66" s="9">
        <f t="shared" ref="BD66:BD107" si="7">AX66-AS66</f>
        <v>-8.3217758381737894E-2</v>
      </c>
    </row>
    <row r="67" spans="1:56" hidden="1" x14ac:dyDescent="0.3">
      <c r="A67">
        <v>20260506</v>
      </c>
      <c r="B67" s="9">
        <v>-1.387604070305326E-3</v>
      </c>
      <c r="C67" s="9">
        <v>1.9830028328611918E-2</v>
      </c>
      <c r="D67" s="9">
        <v>2.1515434985968321E-2</v>
      </c>
      <c r="E67" s="9">
        <v>1.361256544502619E-2</v>
      </c>
      <c r="F67" s="9">
        <v>3.9102932719953902E-2</v>
      </c>
      <c r="G67" s="9">
        <v>-1.4462809917355379E-2</v>
      </c>
      <c r="H67" s="9">
        <v>1.8484288354898349E-3</v>
      </c>
      <c r="I67" s="9">
        <v>-6.6934404283801926E-3</v>
      </c>
      <c r="J67" s="9">
        <v>-1.512859304084721E-2</v>
      </c>
      <c r="K67" s="9">
        <v>1.040943789035385E-2</v>
      </c>
      <c r="L67" s="9">
        <v>3.7753657385559053E-2</v>
      </c>
      <c r="M67" s="9">
        <v>0</v>
      </c>
      <c r="N67" s="9">
        <v>9.1590341382180671E-3</v>
      </c>
      <c r="O67" s="9">
        <v>1.484230055658628E-2</v>
      </c>
      <c r="P67" s="9">
        <v>5.239030779305833E-3</v>
      </c>
      <c r="Q67" s="9">
        <v>5.3231939163498991E-3</v>
      </c>
      <c r="R67" s="9">
        <v>-8.8050314465408872E-3</v>
      </c>
      <c r="S67" s="9">
        <v>1.6689847009735762E-2</v>
      </c>
      <c r="T67" s="9">
        <v>3.1948881789137409E-3</v>
      </c>
      <c r="U67" s="9">
        <v>4.0185471406491542E-2</v>
      </c>
      <c r="V67" s="9">
        <v>3.2244196044711827E-2</v>
      </c>
      <c r="W67" s="9">
        <v>2.2324865280985481E-2</v>
      </c>
      <c r="X67" s="9">
        <v>-2.9761904761904791E-3</v>
      </c>
      <c r="Y67" s="9">
        <v>-4.0080160320641314E-3</v>
      </c>
      <c r="Z67" s="9">
        <v>-5.40540540540541E-3</v>
      </c>
      <c r="AA67" s="9">
        <v>-5.1948051948051991E-3</v>
      </c>
      <c r="AB67" s="9">
        <v>1.196172248803829E-3</v>
      </c>
      <c r="AC67" s="9">
        <v>2.4368231046931331E-2</v>
      </c>
      <c r="AD67" s="9">
        <v>6.0836501901140741E-3</v>
      </c>
      <c r="AE67" s="9">
        <v>2.1636876763875951E-2</v>
      </c>
      <c r="AF67" s="9">
        <v>3.8224414303329117E-2</v>
      </c>
      <c r="AG67" s="9">
        <v>1.5455950540958279E-2</v>
      </c>
      <c r="AH67" s="9">
        <v>2.639593908629433E-2</v>
      </c>
      <c r="AI67" s="9">
        <v>2.2158684774839111E-2</v>
      </c>
      <c r="AJ67" s="9">
        <v>5.2834342322509678E-2</v>
      </c>
      <c r="AK67" s="9">
        <v>2.3255813953488351E-2</v>
      </c>
      <c r="AL67" s="279">
        <v>1.1676299481610501E-2</v>
      </c>
      <c r="AM67" s="279">
        <v>2.330399038891158E-2</v>
      </c>
      <c r="AN67" s="279">
        <v>2.747003928044231E-2</v>
      </c>
      <c r="AO67" s="279">
        <v>2.5000000000000001E-2</v>
      </c>
      <c r="AP67" s="279">
        <v>1.3712387016601881E-2</v>
      </c>
      <c r="AQ67" s="279">
        <v>1.451671382751313E-2</v>
      </c>
      <c r="AR67" s="279">
        <v>2.8616237028577081E-2</v>
      </c>
      <c r="AS67" s="279">
        <v>2.2979114873801491E-2</v>
      </c>
      <c r="AT67" s="279">
        <v>2.0044135193225399E-3</v>
      </c>
      <c r="AU67" s="279">
        <v>1.61E-2</v>
      </c>
      <c r="AV67" s="279">
        <v>-1.43E-2</v>
      </c>
      <c r="AW67" s="279"/>
      <c r="AX67" s="279">
        <v>4.1000000000000003E-3</v>
      </c>
      <c r="AY67" s="279">
        <v>2.2000000000000001E-3</v>
      </c>
      <c r="AZ67" s="279">
        <v>-2.3E-3</v>
      </c>
      <c r="BA67" s="279">
        <v>-5.3E-3</v>
      </c>
      <c r="BB67" s="279">
        <v>1.2E-2</v>
      </c>
      <c r="BD67" s="9">
        <f t="shared" si="7"/>
        <v>-1.8879114873801492E-2</v>
      </c>
    </row>
    <row r="68" spans="1:56" hidden="1" x14ac:dyDescent="0.3">
      <c r="A68">
        <v>20260507</v>
      </c>
      <c r="B68" s="9">
        <v>-1.2505789717461651E-2</v>
      </c>
      <c r="C68" s="9">
        <v>3.3333333333333368E-2</v>
      </c>
      <c r="D68" s="9">
        <v>4.0293040293040122E-2</v>
      </c>
      <c r="E68" s="9">
        <v>-3.2024793388429673E-2</v>
      </c>
      <c r="F68" s="9">
        <v>1.38350857775319E-2</v>
      </c>
      <c r="G68" s="9">
        <v>2.0964360587002111E-3</v>
      </c>
      <c r="H68" s="9">
        <v>-1.476014760147603E-2</v>
      </c>
      <c r="I68" s="9">
        <v>-4.0431266846361223E-3</v>
      </c>
      <c r="J68" s="9">
        <v>1.53609831029186E-3</v>
      </c>
      <c r="K68" s="9">
        <v>6.8681318681326374E-4</v>
      </c>
      <c r="L68" s="9">
        <v>3.6380172805820861E-3</v>
      </c>
      <c r="M68" s="9">
        <v>-2.0652499251721159E-2</v>
      </c>
      <c r="N68" s="9">
        <v>2.805280528052808E-2</v>
      </c>
      <c r="O68" s="9">
        <v>-4.5703839122487339E-3</v>
      </c>
      <c r="P68" s="9">
        <v>9.1205211726384447E-3</v>
      </c>
      <c r="Q68" s="9">
        <v>-4.916792738275353E-2</v>
      </c>
      <c r="R68" s="9">
        <v>-5.0761421319796994E-3</v>
      </c>
      <c r="S68" s="9">
        <v>5.4719562243502112E-3</v>
      </c>
      <c r="T68" s="9">
        <v>-1.114649681528663E-2</v>
      </c>
      <c r="U68" s="9">
        <v>2.7736503219415579E-2</v>
      </c>
      <c r="V68" s="9">
        <v>4.9979175343606878E-3</v>
      </c>
      <c r="W68" s="9">
        <v>1.204819277108435E-2</v>
      </c>
      <c r="X68" s="9">
        <v>8.9552238805970224E-3</v>
      </c>
      <c r="Y68" s="9">
        <v>2.0120724346076482E-3</v>
      </c>
      <c r="Z68" s="9">
        <v>0</v>
      </c>
      <c r="AA68" s="9">
        <v>5.2219321148825109E-3</v>
      </c>
      <c r="AB68" s="9">
        <v>4.7789725209080088E-3</v>
      </c>
      <c r="AC68" s="9">
        <v>1.233480176211455E-2</v>
      </c>
      <c r="AD68" s="9">
        <v>5.29100529100538E-3</v>
      </c>
      <c r="AE68" s="9">
        <v>1.3812154696132509E-2</v>
      </c>
      <c r="AF68" s="9">
        <v>1.42517814726841E-2</v>
      </c>
      <c r="AG68" s="9">
        <v>1.8264840182648422E-2</v>
      </c>
      <c r="AH68" s="9">
        <v>2.6706231454006069E-2</v>
      </c>
      <c r="AI68" s="9">
        <v>1.1188811188811199E-2</v>
      </c>
      <c r="AJ68" s="9">
        <v>1.8818609513852599E-2</v>
      </c>
      <c r="AK68" s="9">
        <v>4.2160737812911762E-2</v>
      </c>
      <c r="AL68" s="279">
        <v>4.7878526234720643E-3</v>
      </c>
      <c r="AM68" s="279">
        <v>1.178979172838659E-2</v>
      </c>
      <c r="AN68" s="279">
        <v>1.45303837133376E-2</v>
      </c>
      <c r="AO68" s="279">
        <v>3.0599999999999999E-2</v>
      </c>
      <c r="AP68" s="279">
        <v>9.0892179366992832E-4</v>
      </c>
      <c r="AQ68" s="279">
        <v>4.8013847593228109E-3</v>
      </c>
      <c r="AR68" s="279">
        <v>1.2616937722908689E-2</v>
      </c>
      <c r="AS68" s="279">
        <v>1.6321987983984161E-2</v>
      </c>
      <c r="AT68" s="279">
        <v>3.7627321297569699E-3</v>
      </c>
      <c r="AU68" s="279">
        <v>6.8999999999999999E-3</v>
      </c>
      <c r="AV68" s="279">
        <v>-7.6E-3</v>
      </c>
      <c r="AW68" s="279"/>
      <c r="AX68" s="279">
        <v>-1E-3</v>
      </c>
      <c r="AY68" s="279">
        <v>1.9E-3</v>
      </c>
      <c r="AZ68" s="279">
        <v>-4.4999999999999997E-3</v>
      </c>
      <c r="BA68" s="279">
        <v>6.4000000000000003E-3</v>
      </c>
      <c r="BB68" s="279">
        <v>3.3E-3</v>
      </c>
      <c r="BD68" s="9">
        <f t="shared" si="7"/>
        <v>-1.7321987983984162E-2</v>
      </c>
    </row>
    <row r="69" spans="1:56" hidden="1" x14ac:dyDescent="0.3">
      <c r="A69">
        <v>20260508</v>
      </c>
      <c r="B69" s="9">
        <v>5.1594746716696416E-3</v>
      </c>
      <c r="C69" s="9">
        <v>2.0161290322580658E-2</v>
      </c>
      <c r="D69" s="9">
        <v>2.288732394366199E-2</v>
      </c>
      <c r="E69" s="9">
        <v>-1.707577374599788E-2</v>
      </c>
      <c r="F69" s="9">
        <v>-2.2379912663755538E-2</v>
      </c>
      <c r="G69" s="9">
        <v>-4.1841004184100458E-3</v>
      </c>
      <c r="H69" s="9">
        <v>9.3632958801487807E-4</v>
      </c>
      <c r="I69" s="9">
        <v>-6.7658998646820089E-3</v>
      </c>
      <c r="J69" s="9">
        <v>4.6012269938650336E-3</v>
      </c>
      <c r="K69" s="9">
        <v>5.4907343857240956E-3</v>
      </c>
      <c r="L69" s="9">
        <v>-4.5310376076116452E-4</v>
      </c>
      <c r="M69" s="9">
        <v>-3.3618581907089479E-3</v>
      </c>
      <c r="N69" s="9">
        <v>-3.210272873194225E-3</v>
      </c>
      <c r="O69" s="9">
        <v>-8.2644628099172602E-3</v>
      </c>
      <c r="P69" s="9">
        <v>1.032924467398322E-2</v>
      </c>
      <c r="Q69" s="9">
        <v>-8.7509944311852817E-3</v>
      </c>
      <c r="R69" s="9">
        <v>1.2755102040816341E-3</v>
      </c>
      <c r="S69" s="9">
        <v>1.224489795918368E-2</v>
      </c>
      <c r="T69" s="9">
        <v>-1.1272141706924329E-2</v>
      </c>
      <c r="U69" s="9">
        <v>-6.2650602409640224E-3</v>
      </c>
      <c r="V69" s="9">
        <v>-1.2432656444260179E-2</v>
      </c>
      <c r="W69" s="9">
        <v>-7.4404761904770227E-4</v>
      </c>
      <c r="X69" s="9">
        <v>-2.9585798816568068E-3</v>
      </c>
      <c r="Y69" s="9">
        <v>6.0240963855421751E-3</v>
      </c>
      <c r="Z69" s="9">
        <v>-5.4347826086956572E-3</v>
      </c>
      <c r="AA69" s="9">
        <v>-1.03896103896104E-2</v>
      </c>
      <c r="AB69" s="9">
        <v>-1.902497027348397E-2</v>
      </c>
      <c r="AC69" s="9">
        <v>-1.740644038294171E-3</v>
      </c>
      <c r="AD69" s="9">
        <v>7.5187969924812104E-3</v>
      </c>
      <c r="AE69" s="9">
        <v>-4.5413260672115289E-3</v>
      </c>
      <c r="AF69" s="9">
        <v>4.6838407494145242E-3</v>
      </c>
      <c r="AG69" s="9">
        <v>1.121076233183849E-2</v>
      </c>
      <c r="AH69" s="9">
        <v>-4.8169556840078186E-3</v>
      </c>
      <c r="AI69" s="9">
        <v>1.9363762102351328E-2</v>
      </c>
      <c r="AJ69" s="9">
        <v>-2.4114930733709669E-2</v>
      </c>
      <c r="AK69" s="9">
        <v>3.1605562579013228E-3</v>
      </c>
      <c r="AL69" s="279">
        <v>2.24E-2</v>
      </c>
      <c r="AM69" s="279">
        <v>-4.992561640569014E-3</v>
      </c>
      <c r="AN69" s="279">
        <v>-9.6342423292947992E-3</v>
      </c>
      <c r="AO69" s="279">
        <v>1.15E-2</v>
      </c>
      <c r="AP69" s="279">
        <v>-8.454394139167095E-3</v>
      </c>
      <c r="AQ69" s="279">
        <v>-5.8356987333972711E-3</v>
      </c>
      <c r="AR69" s="279">
        <v>-3.0219164545503729E-4</v>
      </c>
      <c r="AS69" s="279">
        <v>3.057016401381171E-3</v>
      </c>
      <c r="AT69" s="279">
        <v>1.419040966225902E-2</v>
      </c>
      <c r="AU69" s="279">
        <v>3.0999999999999999E-3</v>
      </c>
      <c r="AV69" s="279">
        <v>1.15E-2</v>
      </c>
      <c r="AW69" s="279"/>
      <c r="AX69" s="279">
        <v>8.9999999999999993E-3</v>
      </c>
      <c r="AY69" s="279">
        <v>6.7999999999999996E-3</v>
      </c>
      <c r="AZ69" s="279">
        <v>8.0999999999999996E-3</v>
      </c>
      <c r="BA69" s="279">
        <v>1.37E-2</v>
      </c>
      <c r="BB69" s="279">
        <v>6.6E-3</v>
      </c>
      <c r="BD69" s="9">
        <f t="shared" si="7"/>
        <v>5.9429835986188288E-3</v>
      </c>
    </row>
    <row r="70" spans="1:56" hidden="1" x14ac:dyDescent="0.3">
      <c r="A70">
        <v>20260511</v>
      </c>
      <c r="B70" s="9">
        <v>9.7993467102194844E-3</v>
      </c>
      <c r="C70" s="9">
        <v>-2.6350461133069852E-3</v>
      </c>
      <c r="D70" s="9">
        <v>1.6351118760757431E-2</v>
      </c>
      <c r="E70" s="9">
        <v>3.2573289902280162E-3</v>
      </c>
      <c r="F70" s="9">
        <v>3.2942490228922483E-2</v>
      </c>
      <c r="G70" s="9">
        <v>-2.1008403361344559E-3</v>
      </c>
      <c r="H70" s="9">
        <v>-1.870907390084193E-3</v>
      </c>
      <c r="I70" s="9">
        <v>2.724795640326978E-3</v>
      </c>
      <c r="J70" s="9">
        <v>-6.1068702290076387E-3</v>
      </c>
      <c r="K70" s="9">
        <v>-3.412969283276529E-3</v>
      </c>
      <c r="L70" s="9">
        <v>9.0661831369003801E-4</v>
      </c>
      <c r="M70" s="9">
        <v>6.1330880098122657E-4</v>
      </c>
      <c r="N70" s="9">
        <v>8.8566827697261659E-3</v>
      </c>
      <c r="O70" s="9">
        <v>1.5740740740740649E-2</v>
      </c>
      <c r="P70" s="9">
        <v>5.1118210862619853E-3</v>
      </c>
      <c r="Q70" s="9">
        <v>4.8154093097913363E-3</v>
      </c>
      <c r="R70" s="9">
        <v>0</v>
      </c>
      <c r="S70" s="9">
        <v>1.4112903225806391E-2</v>
      </c>
      <c r="T70" s="9">
        <v>9.7719869706840486E-3</v>
      </c>
      <c r="U70" s="9">
        <v>1.406401551891385E-2</v>
      </c>
      <c r="V70" s="9">
        <v>1.7205203524968491E-2</v>
      </c>
      <c r="W70" s="9">
        <v>1.489203276247209E-2</v>
      </c>
      <c r="X70" s="9">
        <v>8.9020771513353188E-3</v>
      </c>
      <c r="Y70" s="9">
        <v>5.988023952095814E-3</v>
      </c>
      <c r="Z70" s="9">
        <v>1.092896174863389E-2</v>
      </c>
      <c r="AA70" s="9">
        <v>3.6745406824147023E-2</v>
      </c>
      <c r="AB70" s="9">
        <v>2.6666666666666689E-2</v>
      </c>
      <c r="AC70" s="9">
        <v>1.5693112467306029E-2</v>
      </c>
      <c r="AD70" s="9">
        <v>-6.7164179104478496E-3</v>
      </c>
      <c r="AE70" s="9">
        <v>2.4635036496350279E-2</v>
      </c>
      <c r="AF70" s="9">
        <v>6.9930069930069991E-3</v>
      </c>
      <c r="AG70" s="9">
        <v>-1.552106430155204E-2</v>
      </c>
      <c r="AH70" s="9">
        <v>-5.8083252662149134E-3</v>
      </c>
      <c r="AI70" s="9">
        <v>6.1058344640435008E-3</v>
      </c>
      <c r="AJ70" s="9">
        <v>6.0988433228180802E-2</v>
      </c>
      <c r="AK70" s="9">
        <v>3.9382482671707623E-2</v>
      </c>
      <c r="AL70" s="279">
        <v>1.078181979558124E-2</v>
      </c>
      <c r="AM70" s="279">
        <v>2.1556547886762881E-2</v>
      </c>
      <c r="AN70" s="279">
        <v>3.49951055391177E-2</v>
      </c>
      <c r="AO70" s="279">
        <v>-7.0000000000000001E-3</v>
      </c>
      <c r="AP70" s="279">
        <v>1.2667966003281459E-2</v>
      </c>
      <c r="AQ70" s="279">
        <v>1.640514032273158E-2</v>
      </c>
      <c r="AR70" s="279">
        <v>1.674342499129591E-2</v>
      </c>
      <c r="AS70" s="279">
        <v>1.437217070980369E-2</v>
      </c>
      <c r="AT70" s="279">
        <v>6.3073614165220096E-3</v>
      </c>
      <c r="AU70" s="279">
        <v>5.3E-3</v>
      </c>
      <c r="AV70" s="279">
        <v>5.7000000000000002E-3</v>
      </c>
      <c r="AW70" s="279"/>
      <c r="AX70" s="279">
        <v>7.3000000000000001E-3</v>
      </c>
      <c r="AY70" s="279">
        <v>1.8100000000000002E-2</v>
      </c>
      <c r="AZ70" s="279">
        <v>1.01E-2</v>
      </c>
      <c r="BA70" s="279">
        <v>7.7000000000000002E-3</v>
      </c>
      <c r="BB70" s="279">
        <v>7.6E-3</v>
      </c>
      <c r="BD70" s="9">
        <f t="shared" si="7"/>
        <v>-7.0721707098036898E-3</v>
      </c>
    </row>
    <row r="71" spans="1:56" hidden="1" x14ac:dyDescent="0.3">
      <c r="A71">
        <v>20260512</v>
      </c>
      <c r="B71" s="9">
        <v>-4.1589648798522833E-3</v>
      </c>
      <c r="C71" s="9">
        <v>-2.6420079260237811E-3</v>
      </c>
      <c r="D71" s="9">
        <v>-1.1007620660457341E-2</v>
      </c>
      <c r="E71" s="9">
        <v>-6.4935064935064991E-3</v>
      </c>
      <c r="F71" s="9">
        <v>-2.5945945945945969E-2</v>
      </c>
      <c r="G71" s="9">
        <v>-1.2631578947368429E-2</v>
      </c>
      <c r="H71" s="9">
        <v>-9.3720712277413389E-3</v>
      </c>
      <c r="I71" s="9">
        <v>-1.494565217391306E-2</v>
      </c>
      <c r="J71" s="9">
        <v>-1.3824884792626739E-2</v>
      </c>
      <c r="K71" s="9">
        <v>-1.232876712328768E-2</v>
      </c>
      <c r="L71" s="9">
        <v>-9.0579710144927609E-3</v>
      </c>
      <c r="M71" s="9">
        <v>-1.8387986515475891E-3</v>
      </c>
      <c r="N71" s="9">
        <v>0</v>
      </c>
      <c r="O71" s="9">
        <v>4.5578851412945449E-3</v>
      </c>
      <c r="P71" s="9">
        <v>-9.5359186268276566E-3</v>
      </c>
      <c r="Q71" s="9">
        <v>-1.038338658146957E-2</v>
      </c>
      <c r="R71" s="9">
        <v>-3.8216560509554171E-3</v>
      </c>
      <c r="S71" s="9">
        <v>6.6269052352558775E-4</v>
      </c>
      <c r="T71" s="9">
        <v>-1.9354838709677441E-2</v>
      </c>
      <c r="U71" s="9">
        <v>2.1042563366809951E-2</v>
      </c>
      <c r="V71" s="9">
        <v>-1.402640264026395E-2</v>
      </c>
      <c r="W71" s="9">
        <v>1.247248716067491E-2</v>
      </c>
      <c r="X71" s="9">
        <v>-8.8235294117647127E-3</v>
      </c>
      <c r="Y71" s="9">
        <v>-9.9206349206349288E-3</v>
      </c>
      <c r="Z71" s="9">
        <v>5.40540540540541E-3</v>
      </c>
      <c r="AA71" s="9">
        <v>-1.772151898734179E-2</v>
      </c>
      <c r="AB71" s="9">
        <v>-7.0838252656434536E-3</v>
      </c>
      <c r="AC71" s="9">
        <v>1.030042918454937E-2</v>
      </c>
      <c r="AD71" s="9">
        <v>-5.2592036063109663E-3</v>
      </c>
      <c r="AE71" s="9">
        <v>-8.9047195013347276E-4</v>
      </c>
      <c r="AF71" s="9">
        <v>-2.6620370370370391E-2</v>
      </c>
      <c r="AG71" s="9">
        <v>-1.726726726726736E-2</v>
      </c>
      <c r="AH71" s="9">
        <v>-1.9474196689386582E-2</v>
      </c>
      <c r="AI71" s="9">
        <v>-9.440323668240061E-3</v>
      </c>
      <c r="AJ71" s="9">
        <v>3.46878097125873E-3</v>
      </c>
      <c r="AK71" s="9">
        <v>9.3967869051228073E-3</v>
      </c>
      <c r="AL71" s="279">
        <v>-2.4926976694315951E-3</v>
      </c>
      <c r="AM71" s="279">
        <v>-4.6781367733170712E-3</v>
      </c>
      <c r="AN71" s="279">
        <v>1.5037259091049339E-3</v>
      </c>
      <c r="AO71" s="279">
        <v>-4.7999999999999996E-3</v>
      </c>
      <c r="AP71" s="279">
        <v>6.3219329879706952E-4</v>
      </c>
      <c r="AQ71" s="279">
        <v>-7.652919038514328E-4</v>
      </c>
      <c r="AR71" s="279">
        <v>-6.0817958354210293E-3</v>
      </c>
      <c r="AS71" s="279">
        <v>-5.0628644291237151E-3</v>
      </c>
      <c r="AT71" s="279">
        <v>-1.7004788976848199E-2</v>
      </c>
      <c r="AU71" s="279">
        <v>-1.41E-2</v>
      </c>
      <c r="AV71" s="279">
        <v>-2.2000000000000001E-3</v>
      </c>
      <c r="AW71" s="279"/>
      <c r="AX71" s="279">
        <v>-1.5800000000000002E-2</v>
      </c>
      <c r="AY71" s="279">
        <v>-1.9900000000000001E-2</v>
      </c>
      <c r="AZ71" s="279">
        <v>-1.3100000000000001E-2</v>
      </c>
      <c r="BA71" s="279">
        <v>-1.72E-2</v>
      </c>
      <c r="BB71" s="279">
        <v>-6.1000000000000004E-3</v>
      </c>
      <c r="BD71" s="9">
        <f t="shared" si="7"/>
        <v>-1.0737135570876286E-2</v>
      </c>
    </row>
    <row r="72" spans="1:56" hidden="1" x14ac:dyDescent="0.3">
      <c r="A72">
        <v>20260513</v>
      </c>
      <c r="B72" s="9">
        <v>2.7842227378191311E-3</v>
      </c>
      <c r="C72" s="9">
        <v>5.2980132450331178E-3</v>
      </c>
      <c r="D72" s="9">
        <v>2.7397260273972629E-2</v>
      </c>
      <c r="E72" s="9">
        <v>2.1786492374727688E-3</v>
      </c>
      <c r="F72" s="9">
        <v>1.88679245283019E-2</v>
      </c>
      <c r="G72" s="9">
        <v>-1.4925373134328261E-2</v>
      </c>
      <c r="H72" s="9">
        <v>1.8921475875118281E-3</v>
      </c>
      <c r="I72" s="9">
        <v>-8.2758620689655244E-3</v>
      </c>
      <c r="J72" s="9">
        <v>1.5576323987538949E-3</v>
      </c>
      <c r="K72" s="9">
        <v>-4.1608876560332913E-3</v>
      </c>
      <c r="L72" s="9">
        <v>9.5978062157220777E-3</v>
      </c>
      <c r="M72" s="9">
        <v>-3.9914031317162726E-3</v>
      </c>
      <c r="N72" s="9">
        <v>7.1827613727056027E-3</v>
      </c>
      <c r="O72" s="9">
        <v>-6.3520871143376749E-3</v>
      </c>
      <c r="P72" s="9">
        <v>9.6277278562258671E-3</v>
      </c>
      <c r="Q72" s="9">
        <v>-8.8781275221954149E-3</v>
      </c>
      <c r="R72" s="9">
        <v>-2.55754475703325E-3</v>
      </c>
      <c r="S72" s="9">
        <v>-1.258278145695358E-2</v>
      </c>
      <c r="T72" s="9">
        <v>-1.315789473684212E-2</v>
      </c>
      <c r="U72" s="9">
        <v>2.5292740046838541E-2</v>
      </c>
      <c r="V72" s="9">
        <v>2.8870292887029261E-2</v>
      </c>
      <c r="W72" s="9">
        <v>2.4637681159420319E-2</v>
      </c>
      <c r="X72" s="9">
        <v>-2.967359050445107E-3</v>
      </c>
      <c r="Y72" s="9">
        <v>-4.0080160320641314E-3</v>
      </c>
      <c r="Z72" s="9">
        <v>-5.376344086021511E-3</v>
      </c>
      <c r="AA72" s="9">
        <v>-1.0309278350515471E-2</v>
      </c>
      <c r="AB72" s="9">
        <v>-1.426872770511297E-2</v>
      </c>
      <c r="AC72" s="9">
        <v>2.1240441801189391E-2</v>
      </c>
      <c r="AD72" s="9">
        <v>-1.51057401812689E-3</v>
      </c>
      <c r="AE72" s="9">
        <v>2.139037433155062E-2</v>
      </c>
      <c r="AF72" s="9">
        <v>1.0701545778834729E-2</v>
      </c>
      <c r="AG72" s="9">
        <v>1.1459129106188031E-2</v>
      </c>
      <c r="AH72" s="9">
        <v>1.6881827209533389E-2</v>
      </c>
      <c r="AI72" s="9">
        <v>1.293396868618101E-2</v>
      </c>
      <c r="AJ72" s="9">
        <v>3.111111111111119E-2</v>
      </c>
      <c r="AK72" s="9">
        <v>4.1399999999999999E-2</v>
      </c>
      <c r="AL72" s="279">
        <v>6.6633938301891727E-3</v>
      </c>
      <c r="AM72" s="279">
        <v>1.6734934520995979E-2</v>
      </c>
      <c r="AN72" s="279">
        <v>2.629069944155888E-2</v>
      </c>
      <c r="AO72" s="279">
        <v>0</v>
      </c>
      <c r="AP72" s="279">
        <v>1.2122661781153871E-3</v>
      </c>
      <c r="AQ72" s="279">
        <v>1.016478019808221E-2</v>
      </c>
      <c r="AR72" s="279">
        <v>1.505356432106199E-2</v>
      </c>
      <c r="AS72" s="279">
        <v>1.513953702427405E-2</v>
      </c>
      <c r="AT72" s="279">
        <v>2.717050134764469E-3</v>
      </c>
      <c r="AU72" s="279">
        <v>5.5999999999999999E-3</v>
      </c>
      <c r="AV72" s="279">
        <v>4.7999999999999996E-3</v>
      </c>
      <c r="AW72" s="279"/>
      <c r="AX72" s="279">
        <v>-1.6000000000000001E-3</v>
      </c>
      <c r="AY72" s="279">
        <v>-3.3E-3</v>
      </c>
      <c r="AZ72" s="279">
        <v>-8.9999999999999998E-4</v>
      </c>
      <c r="BA72" s="279">
        <v>2.2000000000000001E-3</v>
      </c>
      <c r="BB72" s="279">
        <v>8.3999999999999995E-3</v>
      </c>
      <c r="BD72" s="9">
        <f t="shared" si="7"/>
        <v>-1.673953702427405E-2</v>
      </c>
    </row>
    <row r="73" spans="1:56" hidden="1" x14ac:dyDescent="0.3">
      <c r="A73">
        <v>20260514</v>
      </c>
      <c r="B73" s="9">
        <v>-7.8667283664969473E-3</v>
      </c>
      <c r="C73" s="9">
        <v>-1.317523056653493E-2</v>
      </c>
      <c r="D73" s="9">
        <v>-2.7499999999999931E-2</v>
      </c>
      <c r="E73" s="9">
        <v>-2.608695652173915E-2</v>
      </c>
      <c r="F73" s="9">
        <v>-1.579520697167763E-2</v>
      </c>
      <c r="G73" s="9">
        <v>8.6580086580086649E-3</v>
      </c>
      <c r="H73" s="9">
        <v>-1.794145420207734E-2</v>
      </c>
      <c r="I73" s="9">
        <v>1.390820584144647E-3</v>
      </c>
      <c r="J73" s="9">
        <v>-1.8662519440124429E-2</v>
      </c>
      <c r="K73" s="9">
        <v>-1.532033426183846E-2</v>
      </c>
      <c r="L73" s="9">
        <v>-2.6256224535989262E-2</v>
      </c>
      <c r="M73" s="9">
        <v>-4.6239210850801864E-3</v>
      </c>
      <c r="N73" s="9">
        <v>-1.6640253565768551E-2</v>
      </c>
      <c r="O73" s="9">
        <v>-1.2785388127853891E-2</v>
      </c>
      <c r="P73" s="9">
        <v>-1.462174189446911E-2</v>
      </c>
      <c r="Q73" s="9">
        <v>-8.1433224755700397E-3</v>
      </c>
      <c r="R73" s="9">
        <v>5.1282051282051334E-3</v>
      </c>
      <c r="S73" s="9">
        <v>-1.6096579476861179E-2</v>
      </c>
      <c r="T73" s="9">
        <v>1.500000000000001E-2</v>
      </c>
      <c r="U73" s="9">
        <v>-3.56327089995431E-2</v>
      </c>
      <c r="V73" s="9">
        <v>-3.4973566490443211E-2</v>
      </c>
      <c r="W73" s="9">
        <v>-2.4045261669024071E-2</v>
      </c>
      <c r="X73" s="9">
        <v>-1.4880952380952399E-2</v>
      </c>
      <c r="Y73" s="9">
        <v>-4.0241448692152964E-3</v>
      </c>
      <c r="Z73" s="9">
        <v>-2.432432432432435E-2</v>
      </c>
      <c r="AA73" s="9">
        <v>-3.1250000000000028E-2</v>
      </c>
      <c r="AB73" s="9">
        <v>-3.136308805790098E-2</v>
      </c>
      <c r="AC73" s="9">
        <v>-2.412645590682189E-2</v>
      </c>
      <c r="AD73" s="9">
        <v>-1.2859304084720221E-2</v>
      </c>
      <c r="AE73" s="9">
        <v>-3.490401396160562E-3</v>
      </c>
      <c r="AF73" s="9">
        <v>-4.0000000000000042E-2</v>
      </c>
      <c r="AG73" s="9">
        <v>-3.2477341389728208E-2</v>
      </c>
      <c r="AH73" s="9">
        <v>-3.5156250000000028E-2</v>
      </c>
      <c r="AI73" s="9">
        <v>-3.6290322580645192E-2</v>
      </c>
      <c r="AJ73" s="9">
        <v>-5.7471264367816143E-3</v>
      </c>
      <c r="AK73" s="9">
        <v>-8.6505190311418761E-3</v>
      </c>
      <c r="AL73" s="279">
        <v>-7.9389106419408776E-3</v>
      </c>
      <c r="AM73" s="279">
        <v>-2.1380922637082592E-2</v>
      </c>
      <c r="AN73" s="279">
        <v>-2.15912357896191E-2</v>
      </c>
      <c r="AO73" s="279">
        <v>-3.73E-2</v>
      </c>
      <c r="AP73" s="279">
        <v>-1.0659657933754041E-2</v>
      </c>
      <c r="AQ73" s="279">
        <v>-9.2002508031663061E-3</v>
      </c>
      <c r="AR73" s="279">
        <v>-1.6996393570524428E-2</v>
      </c>
      <c r="AS73" s="279">
        <v>-8.6679872037655412E-3</v>
      </c>
      <c r="AT73" s="279">
        <v>-7.267720494356214E-3</v>
      </c>
      <c r="AU73" s="279">
        <v>-1.46E-2</v>
      </c>
      <c r="AV73" s="279">
        <v>-1.12E-2</v>
      </c>
      <c r="AW73" s="279"/>
      <c r="AX73" s="279">
        <v>-1.7399999999999999E-2</v>
      </c>
      <c r="AY73" s="279">
        <v>-1.5599999999999999E-2</v>
      </c>
      <c r="AZ73" s="279">
        <v>-1.6400000000000001E-2</v>
      </c>
      <c r="BA73" s="279">
        <v>-1.3899999999999999E-2</v>
      </c>
      <c r="BB73" s="279">
        <v>-2.29E-2</v>
      </c>
      <c r="BD73" s="9">
        <f t="shared" si="7"/>
        <v>-8.7320127962344576E-3</v>
      </c>
    </row>
    <row r="74" spans="1:56" hidden="1" x14ac:dyDescent="0.3">
      <c r="A74">
        <v>20260515</v>
      </c>
      <c r="B74" s="9">
        <v>-2.565298507462694E-2</v>
      </c>
      <c r="C74" s="9">
        <v>1.8218623481781319E-2</v>
      </c>
      <c r="D74" s="9">
        <v>3.2562125107112282E-2</v>
      </c>
      <c r="E74" s="9">
        <v>0</v>
      </c>
      <c r="F74" s="9">
        <v>6.1383928571428006E-3</v>
      </c>
      <c r="G74" s="9">
        <v>-2.360515021459229E-2</v>
      </c>
      <c r="H74" s="9">
        <v>-2.1153846153846169E-2</v>
      </c>
      <c r="I74" s="9">
        <v>-1.666666666666668E-2</v>
      </c>
      <c r="J74" s="9">
        <v>-1.9017432646592732E-2</v>
      </c>
      <c r="K74" s="9">
        <v>-1.920341394025598E-2</v>
      </c>
      <c r="L74" s="9">
        <v>-4.2723004694835573E-2</v>
      </c>
      <c r="M74" s="9">
        <v>0</v>
      </c>
      <c r="N74" s="9">
        <v>-1.296596434359807E-2</v>
      </c>
      <c r="O74" s="9">
        <v>-2.147525676937433E-2</v>
      </c>
      <c r="P74" s="9">
        <v>1.096774193548381E-2</v>
      </c>
      <c r="Q74" s="9">
        <v>1.567656765676578E-2</v>
      </c>
      <c r="R74" s="9">
        <v>-6.3775510204081686E-3</v>
      </c>
      <c r="S74" s="9">
        <v>-1.579670329670323E-2</v>
      </c>
      <c r="T74" s="9">
        <v>-9.8522167487684817E-3</v>
      </c>
      <c r="U74" s="9">
        <v>-3.2685930838465369E-2</v>
      </c>
      <c r="V74" s="9">
        <v>-2.5284450063212081E-3</v>
      </c>
      <c r="W74" s="9">
        <v>-7.97101449275355E-3</v>
      </c>
      <c r="X74" s="9">
        <v>-6.0790273556231046E-3</v>
      </c>
      <c r="Y74" s="9">
        <v>-1.4184397163120579E-2</v>
      </c>
      <c r="Z74" s="9">
        <v>-1.111111111111112E-2</v>
      </c>
      <c r="AA74" s="9">
        <v>-8.0645161290322648E-3</v>
      </c>
      <c r="AB74" s="9">
        <v>-6.2266500622665064E-3</v>
      </c>
      <c r="AC74" s="9">
        <v>-8.5251491901108343E-3</v>
      </c>
      <c r="AD74" s="9">
        <v>4.6367851622874847E-3</v>
      </c>
      <c r="AE74" s="9">
        <v>-1.773049645390053E-2</v>
      </c>
      <c r="AF74" s="9">
        <v>-1.3480392156862619E-2</v>
      </c>
      <c r="AG74" s="9">
        <v>-5.4644808743168584E-3</v>
      </c>
      <c r="AH74" s="9">
        <v>3.064351378958123E-3</v>
      </c>
      <c r="AI74" s="9">
        <v>-2.3960535588442591E-2</v>
      </c>
      <c r="AJ74" s="9">
        <v>-3.9158100832109672E-3</v>
      </c>
      <c r="AK74" s="9">
        <v>-2.2065313327449172E-2</v>
      </c>
      <c r="AL74" s="279">
        <v>-1.017918737973989E-2</v>
      </c>
      <c r="AM74" s="279">
        <v>-1.1709065436111559E-2</v>
      </c>
      <c r="AN74" s="279">
        <v>-5.5871976189150654E-3</v>
      </c>
      <c r="AO74" s="279">
        <v>-4.7000000000000002E-3</v>
      </c>
      <c r="AP74" s="279">
        <v>-1.3005089480549899E-2</v>
      </c>
      <c r="AQ74" s="279">
        <v>-1.1192006180771159E-2</v>
      </c>
      <c r="AR74" s="279">
        <v>-1.543366515738984E-2</v>
      </c>
      <c r="AS74" s="279">
        <v>-1.094189362012123E-2</v>
      </c>
      <c r="AT74" s="279">
        <v>-7.575399545913129E-3</v>
      </c>
      <c r="AU74" s="279">
        <v>-5.4000000000000003E-3</v>
      </c>
      <c r="AV74" s="279">
        <v>-7.7999999999999996E-3</v>
      </c>
      <c r="AW74" s="279"/>
      <c r="AX74" s="279">
        <v>-5.5999999999999999E-3</v>
      </c>
      <c r="AY74" s="279">
        <v>-7.9000000000000008E-3</v>
      </c>
      <c r="AZ74" s="279">
        <v>-0.01</v>
      </c>
      <c r="BA74" s="279">
        <v>-9.5999999999999992E-3</v>
      </c>
      <c r="BB74" s="279">
        <v>-9.4000000000000004E-3</v>
      </c>
      <c r="BD74" s="9">
        <f t="shared" si="7"/>
        <v>5.3418936201212299E-3</v>
      </c>
    </row>
    <row r="75" spans="1:56" hidden="1" x14ac:dyDescent="0.3">
      <c r="A75">
        <v>20260518</v>
      </c>
      <c r="B75" s="9">
        <v>1.436093824796608E-3</v>
      </c>
      <c r="C75" s="9">
        <v>9.9403578528827873E-3</v>
      </c>
      <c r="D75" s="9">
        <v>1.74273858921161E-2</v>
      </c>
      <c r="E75" s="9">
        <v>-2.008928571428573E-2</v>
      </c>
      <c r="F75" s="9">
        <v>-3.3277870216306057E-2</v>
      </c>
      <c r="G75" s="9">
        <v>-8.7912087912087981E-3</v>
      </c>
      <c r="H75" s="9">
        <v>-1.375245579567781E-2</v>
      </c>
      <c r="I75" s="9">
        <v>-1.12994350282486E-2</v>
      </c>
      <c r="J75" s="9">
        <v>-1.2924071082390959E-2</v>
      </c>
      <c r="K75" s="9">
        <v>-1.4503263234227711E-2</v>
      </c>
      <c r="L75" s="9">
        <v>-1.4713094654242399E-2</v>
      </c>
      <c r="M75" s="9">
        <v>-1.8616196090598151E-3</v>
      </c>
      <c r="N75" s="9">
        <v>-7.3891625615762702E-3</v>
      </c>
      <c r="O75" s="9">
        <v>-9.541984732825495E-4</v>
      </c>
      <c r="P75" s="9">
        <v>-4.4671346522015924E-3</v>
      </c>
      <c r="Q75" s="9">
        <v>1.7059301380990991E-2</v>
      </c>
      <c r="R75" s="9">
        <v>-1.0269576379974331E-2</v>
      </c>
      <c r="S75" s="9">
        <v>-1.2561060711793449E-2</v>
      </c>
      <c r="T75" s="9">
        <v>-2.4875621890547289E-2</v>
      </c>
      <c r="U75" s="9">
        <v>2.154750244857985E-2</v>
      </c>
      <c r="V75" s="9">
        <v>1.520912547528519E-2</v>
      </c>
      <c r="W75" s="9">
        <v>0</v>
      </c>
      <c r="X75" s="9">
        <v>-1.5290519877675849E-2</v>
      </c>
      <c r="Y75" s="9">
        <v>-1.2332990750256951E-2</v>
      </c>
      <c r="Z75" s="9">
        <v>-1.966292134831462E-2</v>
      </c>
      <c r="AA75" s="9">
        <v>-1.6260162601626028E-2</v>
      </c>
      <c r="AB75" s="9">
        <v>-1.754385964912282E-2</v>
      </c>
      <c r="AC75" s="9">
        <v>4.299226139294835E-3</v>
      </c>
      <c r="AD75" s="9">
        <v>-7.6923076923076988E-3</v>
      </c>
      <c r="AE75" s="9">
        <v>-6.317689530686026E-3</v>
      </c>
      <c r="AF75" s="9">
        <v>1.118012422360235E-2</v>
      </c>
      <c r="AG75" s="9">
        <v>-1.8838304552590279E-2</v>
      </c>
      <c r="AH75" s="9">
        <v>-6.1099796334012279E-3</v>
      </c>
      <c r="AI75" s="9">
        <v>-7.2202166064982013E-3</v>
      </c>
      <c r="AJ75" s="9">
        <v>1.130221130221115E-2</v>
      </c>
      <c r="AK75" s="9">
        <v>1.80505415162453E-2</v>
      </c>
      <c r="AL75" s="279">
        <v>-9.3369692669789499E-4</v>
      </c>
      <c r="AM75" s="279">
        <v>-2.0011412876887662E-3</v>
      </c>
      <c r="AN75" s="279">
        <v>-3.6112417613965819E-3</v>
      </c>
      <c r="AO75" s="279">
        <v>-1.55E-2</v>
      </c>
      <c r="AP75" s="279">
        <v>-7.6557968245896781E-3</v>
      </c>
      <c r="AQ75" s="279">
        <v>-5.3644615917422941E-3</v>
      </c>
      <c r="AR75" s="279">
        <v>2.0960141606274521E-3</v>
      </c>
      <c r="AS75" s="279">
        <v>4.3258552426315086E-3</v>
      </c>
      <c r="AT75" s="279">
        <v>8.6267762498630739E-3</v>
      </c>
      <c r="AU75" s="279">
        <v>5.9999999999999995E-4</v>
      </c>
      <c r="AV75" s="279">
        <v>-1.1900000000000001E-2</v>
      </c>
      <c r="AW75" s="279"/>
      <c r="AX75" s="279">
        <v>-4.7000000000000002E-3</v>
      </c>
      <c r="AY75" s="279">
        <v>-4.5999999999999999E-3</v>
      </c>
      <c r="AZ75" s="279">
        <v>-5.7000000000000002E-3</v>
      </c>
      <c r="BA75" s="279">
        <v>8.3999999999999995E-3</v>
      </c>
      <c r="BB75" s="279">
        <v>-3.7000000000000002E-3</v>
      </c>
      <c r="BD75" s="9">
        <f t="shared" si="7"/>
        <v>-9.0258552426315079E-3</v>
      </c>
    </row>
    <row r="76" spans="1:56" hidden="1" x14ac:dyDescent="0.3">
      <c r="A76">
        <v>20260519</v>
      </c>
      <c r="B76" s="9">
        <v>1.434034416825994E-2</v>
      </c>
      <c r="C76" s="9">
        <v>0</v>
      </c>
      <c r="D76" s="9">
        <v>1.060358890701478E-2</v>
      </c>
      <c r="E76" s="9">
        <v>-1.1389521640091131E-2</v>
      </c>
      <c r="F76" s="9">
        <v>0</v>
      </c>
      <c r="G76" s="9">
        <v>2.2172949002217308E-3</v>
      </c>
      <c r="H76" s="9">
        <v>-1.9920318725099619E-3</v>
      </c>
      <c r="I76" s="9">
        <v>0</v>
      </c>
      <c r="J76" s="9">
        <v>9.8199672667757861E-3</v>
      </c>
      <c r="K76" s="9">
        <v>-1.471670345842533E-3</v>
      </c>
      <c r="L76" s="9">
        <v>-1.393728222996506E-2</v>
      </c>
      <c r="M76" s="9">
        <v>1.554243083618245E-3</v>
      </c>
      <c r="N76" s="9">
        <v>7.4441687344912293E-3</v>
      </c>
      <c r="O76" s="9">
        <v>8.5959885386820631E-3</v>
      </c>
      <c r="P76" s="9">
        <v>-3.846153846153849E-3</v>
      </c>
      <c r="Q76" s="9">
        <v>-2.3961661341852171E-3</v>
      </c>
      <c r="R76" s="9">
        <v>5.1880674448767884E-3</v>
      </c>
      <c r="S76" s="9">
        <v>7.7738515901059346E-3</v>
      </c>
      <c r="T76" s="9">
        <v>5.1020408163265354E-3</v>
      </c>
      <c r="U76" s="9">
        <v>2.3010546500479411E-2</v>
      </c>
      <c r="V76" s="9">
        <v>1.0403662089055309E-2</v>
      </c>
      <c r="W76" s="9">
        <v>3.0679327976625301E-2</v>
      </c>
      <c r="X76" s="9">
        <v>9.3167701863354109E-3</v>
      </c>
      <c r="Y76" s="9">
        <v>5.2029136316337193E-3</v>
      </c>
      <c r="Z76" s="9">
        <v>0</v>
      </c>
      <c r="AA76" s="9">
        <v>2.754820936639122E-3</v>
      </c>
      <c r="AB76" s="9">
        <v>1.2755102040816341E-3</v>
      </c>
      <c r="AC76" s="9">
        <v>4.0239726027397393E-2</v>
      </c>
      <c r="AD76" s="9">
        <v>3.100775193798453E-3</v>
      </c>
      <c r="AE76" s="9">
        <v>1.4532243415077219E-2</v>
      </c>
      <c r="AF76" s="9">
        <v>1.8427518427518441E-2</v>
      </c>
      <c r="AG76" s="9">
        <v>1.839999999999993E-2</v>
      </c>
      <c r="AH76" s="9">
        <v>2.2540983606557399E-2</v>
      </c>
      <c r="AI76" s="9">
        <v>1.454545454545456E-3</v>
      </c>
      <c r="AJ76" s="9">
        <v>3.547133138969872E-2</v>
      </c>
      <c r="AK76" s="9">
        <v>2.6595744680852069E-3</v>
      </c>
      <c r="AL76" s="279">
        <v>9.1998892419461777E-3</v>
      </c>
      <c r="AM76" s="279">
        <v>2.5548365993291848E-3</v>
      </c>
      <c r="AN76" s="279">
        <v>-1.6443692327341229E-3</v>
      </c>
      <c r="AO76" s="279">
        <v>5.7999999999999996E-3</v>
      </c>
      <c r="AP76" s="279">
        <v>6.5088813847144784E-3</v>
      </c>
      <c r="AQ76" s="279">
        <v>4.0052144149899894E-3</v>
      </c>
      <c r="AR76" s="279">
        <v>8.6167007063283896E-3</v>
      </c>
      <c r="AS76" s="279">
        <v>1.014097935451813E-2</v>
      </c>
      <c r="AT76" s="279">
        <v>3.7247834987681298E-3</v>
      </c>
      <c r="AU76" s="279">
        <v>1.8200000000000001E-2</v>
      </c>
      <c r="AV76" s="279">
        <v>1.0999999999999999E-2</v>
      </c>
      <c r="AW76" s="279"/>
      <c r="AX76" s="279">
        <v>1.11E-2</v>
      </c>
      <c r="AY76" s="279">
        <v>9.9000000000000008E-3</v>
      </c>
      <c r="AZ76" s="279">
        <v>6.0000000000000001E-3</v>
      </c>
      <c r="BA76" s="279">
        <v>1.0200000000000001E-2</v>
      </c>
      <c r="BB76" s="279">
        <v>1.0699999999999999E-2</v>
      </c>
      <c r="BD76" s="9">
        <f t="shared" si="7"/>
        <v>9.5902064548187074E-4</v>
      </c>
    </row>
    <row r="77" spans="1:56" hidden="1" x14ac:dyDescent="0.3">
      <c r="A77">
        <v>20260520</v>
      </c>
      <c r="B77" s="9">
        <v>-8.9538171536285033E-3</v>
      </c>
      <c r="C77" s="9">
        <v>-1.1811023622047249E-2</v>
      </c>
      <c r="D77" s="9">
        <v>-5.6497175141243883E-3</v>
      </c>
      <c r="E77" s="9">
        <v>1.4976958525345641E-2</v>
      </c>
      <c r="F77" s="9">
        <v>-6.3109581181871027E-3</v>
      </c>
      <c r="G77" s="9">
        <v>6.6371681415929263E-3</v>
      </c>
      <c r="H77" s="9">
        <v>-1.0978043912175659E-2</v>
      </c>
      <c r="I77" s="9">
        <v>-1.4285714285714301E-3</v>
      </c>
      <c r="J77" s="9">
        <v>-1.134521880064831E-2</v>
      </c>
      <c r="K77" s="9">
        <v>-1.105379513633007E-2</v>
      </c>
      <c r="L77" s="9">
        <v>2.0191822311963672E-3</v>
      </c>
      <c r="M77" s="9">
        <v>-2.1725636250776279E-3</v>
      </c>
      <c r="N77" s="9">
        <v>-1.3136288998357981E-2</v>
      </c>
      <c r="O77" s="9">
        <v>-6.62878787878799E-3</v>
      </c>
      <c r="P77" s="9">
        <v>-5.7915057915058684E-3</v>
      </c>
      <c r="Q77" s="9">
        <v>-1.6012810248198572E-2</v>
      </c>
      <c r="R77" s="9">
        <v>-9.0322580645161368E-3</v>
      </c>
      <c r="S77" s="9">
        <v>-7.0126227208976216E-3</v>
      </c>
      <c r="T77" s="9">
        <v>-1.184433164128597E-2</v>
      </c>
      <c r="U77" s="9">
        <v>6.0918462980318194E-3</v>
      </c>
      <c r="V77" s="9">
        <v>2.4299835255354271E-2</v>
      </c>
      <c r="W77" s="9">
        <v>-4.0396881644223913E-2</v>
      </c>
      <c r="X77" s="9">
        <v>-1.230769230769232E-2</v>
      </c>
      <c r="Y77" s="9">
        <v>-6.211180124223609E-3</v>
      </c>
      <c r="Z77" s="9">
        <v>-5.7306590257879724E-3</v>
      </c>
      <c r="AA77" s="9">
        <v>-5.4945054945054993E-3</v>
      </c>
      <c r="AB77" s="9">
        <v>1.273885350318473E-3</v>
      </c>
      <c r="AC77" s="9">
        <v>-4.9382716049382762E-2</v>
      </c>
      <c r="AD77" s="9">
        <v>-1.313755795981463E-2</v>
      </c>
      <c r="AE77" s="9">
        <v>8.057296329453803E-3</v>
      </c>
      <c r="AF77" s="9">
        <v>-2.2919179734619911E-2</v>
      </c>
      <c r="AG77" s="9">
        <v>-1.9638648860958299E-2</v>
      </c>
      <c r="AH77" s="9">
        <v>-2.9058116232464959E-2</v>
      </c>
      <c r="AI77" s="9">
        <v>-4.3572984749455377E-3</v>
      </c>
      <c r="AJ77" s="9">
        <v>4.504927264195218E-2</v>
      </c>
      <c r="AK77" s="9">
        <v>7.0733863837312188E-3</v>
      </c>
      <c r="AL77" s="279">
        <v>-1.7636006675079989E-3</v>
      </c>
      <c r="AM77" s="279">
        <v>4.3995116220584046E-6</v>
      </c>
      <c r="AN77" s="279">
        <v>3.4160193918900111E-3</v>
      </c>
      <c r="AO77" s="279">
        <v>-1.1299999999999999E-2</v>
      </c>
      <c r="AP77" s="279">
        <v>-1.065312779487711E-4</v>
      </c>
      <c r="AQ77" s="279">
        <v>-4.4979448299074771E-4</v>
      </c>
      <c r="AR77" s="279">
        <v>3.2870627609398548E-3</v>
      </c>
      <c r="AS77" s="279">
        <v>2.9993262300798671E-5</v>
      </c>
      <c r="AT77" s="279">
        <v>-1.206585645638412E-2</v>
      </c>
      <c r="AU77" s="279">
        <v>-3.5999999999999999E-3</v>
      </c>
      <c r="AV77" s="279">
        <v>-6.4999999999999997E-3</v>
      </c>
      <c r="AW77" s="279"/>
      <c r="AX77" s="279">
        <v>-1.0800000000000001E-2</v>
      </c>
      <c r="AY77" s="279">
        <v>-5.0000000000000001E-3</v>
      </c>
      <c r="AZ77" s="279">
        <v>-1.3100000000000001E-2</v>
      </c>
      <c r="BA77" s="279">
        <v>-1.0200000000000001E-2</v>
      </c>
      <c r="BB77" s="279">
        <v>-2.3800000000000002E-2</v>
      </c>
      <c r="BD77" s="9">
        <f t="shared" si="7"/>
        <v>-1.0829993262300799E-2</v>
      </c>
    </row>
    <row r="78" spans="1:56" hidden="1" x14ac:dyDescent="0.3">
      <c r="A78">
        <v>20260521</v>
      </c>
      <c r="B78" s="9">
        <v>-8.083689966714382E-3</v>
      </c>
      <c r="C78" s="9">
        <v>1.5936254980079691E-2</v>
      </c>
      <c r="D78" s="9">
        <v>-1.623376623376625E-3</v>
      </c>
      <c r="E78" s="9">
        <v>-2.6106696935300822E-2</v>
      </c>
      <c r="F78" s="9">
        <v>-9.8152424942262728E-3</v>
      </c>
      <c r="G78" s="9">
        <v>-2.1978021978022E-3</v>
      </c>
      <c r="H78" s="9">
        <v>-2.1190716448032311E-2</v>
      </c>
      <c r="I78" s="9">
        <v>-1.2875536480686711E-2</v>
      </c>
      <c r="J78" s="9">
        <v>0</v>
      </c>
      <c r="K78" s="9">
        <v>-1.8628912071535119E-2</v>
      </c>
      <c r="L78" s="9">
        <v>-1.9143576826196489E-2</v>
      </c>
      <c r="M78" s="9">
        <v>-1.3374805598755739E-2</v>
      </c>
      <c r="N78" s="9">
        <v>-2.57903494176372E-2</v>
      </c>
      <c r="O78" s="9">
        <v>4.766444232602589E-3</v>
      </c>
      <c r="P78" s="9">
        <v>-7.1197411003235591E-3</v>
      </c>
      <c r="Q78" s="9">
        <v>-3.1733116354760081E-2</v>
      </c>
      <c r="R78" s="9">
        <v>3.9062500000000026E-3</v>
      </c>
      <c r="S78" s="9">
        <v>-3.6723163841807793E-2</v>
      </c>
      <c r="T78" s="9">
        <v>-1.712328767123289E-2</v>
      </c>
      <c r="U78" s="9">
        <v>-4.890544946436888E-2</v>
      </c>
      <c r="V78" s="9">
        <v>-3.9404905508645068E-2</v>
      </c>
      <c r="W78" s="9">
        <v>-2.4372230428360519E-2</v>
      </c>
      <c r="X78" s="9">
        <v>9.3457943925233725E-3</v>
      </c>
      <c r="Y78" s="9">
        <v>-1.041666666666668E-2</v>
      </c>
      <c r="Z78" s="9">
        <v>5.7636887608069221E-3</v>
      </c>
      <c r="AA78" s="9">
        <v>1.1049723756906091E-2</v>
      </c>
      <c r="AB78" s="9">
        <v>8.9058524173028057E-3</v>
      </c>
      <c r="AC78" s="9">
        <v>-1.55844155844156E-2</v>
      </c>
      <c r="AD78" s="9">
        <v>1.801096319498836E-2</v>
      </c>
      <c r="AE78" s="9">
        <v>-2.9307282415630478E-2</v>
      </c>
      <c r="AF78" s="9">
        <v>-2.222222222222224E-2</v>
      </c>
      <c r="AG78" s="9">
        <v>-2.7243589743589772E-2</v>
      </c>
      <c r="AH78" s="9">
        <v>-2.6831785345717261E-2</v>
      </c>
      <c r="AI78" s="9">
        <v>-2.4799416484318038E-2</v>
      </c>
      <c r="AJ78" s="9">
        <v>-4.2658284687920857E-2</v>
      </c>
      <c r="AK78" s="9">
        <v>-4.0386303775241467E-2</v>
      </c>
      <c r="AL78" s="279">
        <v>-2.0399958195034641E-2</v>
      </c>
      <c r="AM78" s="279">
        <v>-2.0726391427606142E-2</v>
      </c>
      <c r="AN78" s="279">
        <v>-2.3461333590358919E-2</v>
      </c>
      <c r="AO78" s="279">
        <v>-1.89E-2</v>
      </c>
      <c r="AP78" s="279">
        <v>-1.1110734941076511E-2</v>
      </c>
      <c r="AQ78" s="279">
        <v>-1.393660708763675E-2</v>
      </c>
      <c r="AR78" s="279">
        <v>-2.7317665604974551E-2</v>
      </c>
      <c r="AS78" s="279">
        <v>-3.3876260953541397E-2</v>
      </c>
      <c r="AT78" s="279">
        <v>-3.6445683452282822E-2</v>
      </c>
      <c r="AU78" s="279">
        <v>-1.4E-2</v>
      </c>
      <c r="AV78" s="279">
        <v>-2.58E-2</v>
      </c>
      <c r="AW78" s="279"/>
      <c r="AX78" s="279">
        <v>-2.0199999999999999E-2</v>
      </c>
      <c r="AY78" s="279">
        <v>-1.9599999999999999E-2</v>
      </c>
      <c r="AZ78" s="279">
        <v>-1.6199999999999999E-2</v>
      </c>
      <c r="BA78" s="279">
        <v>-2.3400000000000001E-2</v>
      </c>
      <c r="BB78" s="279">
        <v>-2.4500000000000001E-2</v>
      </c>
      <c r="BD78" s="9">
        <f t="shared" si="7"/>
        <v>1.3676260953541398E-2</v>
      </c>
    </row>
    <row r="79" spans="1:56" hidden="1" x14ac:dyDescent="0.3">
      <c r="A79">
        <v>20260522</v>
      </c>
      <c r="B79" s="9">
        <v>-9.5877277085320222E-4</v>
      </c>
      <c r="C79" s="9">
        <v>1.176470588235295E-2</v>
      </c>
      <c r="D79" s="9">
        <v>1.869918699186985E-2</v>
      </c>
      <c r="E79" s="9">
        <v>1.165501165501167E-2</v>
      </c>
      <c r="F79" s="9">
        <v>2.1574344023323571E-2</v>
      </c>
      <c r="G79" s="9">
        <v>-2.2026431718061699E-2</v>
      </c>
      <c r="H79" s="9">
        <v>6.1855670103092841E-3</v>
      </c>
      <c r="I79" s="9">
        <v>-1.1594202898550581E-2</v>
      </c>
      <c r="J79" s="9">
        <v>-1.311475409836067E-2</v>
      </c>
      <c r="K79" s="9">
        <v>3.796507213363793E-3</v>
      </c>
      <c r="L79" s="9">
        <v>3.6979969183359038E-2</v>
      </c>
      <c r="M79" s="9">
        <v>-5.0441361916771796E-3</v>
      </c>
      <c r="N79" s="9">
        <v>2.561912894961479E-3</v>
      </c>
      <c r="O79" s="9">
        <v>-1.612903225806463E-2</v>
      </c>
      <c r="P79" s="9">
        <v>4.5632333767926308E-3</v>
      </c>
      <c r="Q79" s="9">
        <v>-8.4033613445378234E-3</v>
      </c>
      <c r="R79" s="9">
        <v>-2.5940337224383942E-3</v>
      </c>
      <c r="S79" s="9">
        <v>5.8651026392961929E-3</v>
      </c>
      <c r="T79" s="9">
        <v>-5.2264808362369394E-3</v>
      </c>
      <c r="U79" s="9">
        <v>2.0078354554358659E-2</v>
      </c>
      <c r="V79" s="9">
        <v>1.84177480117204E-2</v>
      </c>
      <c r="W79" s="9">
        <v>6.8130204390614074E-3</v>
      </c>
      <c r="X79" s="9">
        <v>-9.2592592592592674E-3</v>
      </c>
      <c r="Y79" s="9">
        <v>-6.3157894736842173E-3</v>
      </c>
      <c r="Z79" s="9">
        <v>-1.146131805157594E-2</v>
      </c>
      <c r="AA79" s="9">
        <v>-1.9125683060109311E-2</v>
      </c>
      <c r="AB79" s="9">
        <v>-1.513240857503154E-2</v>
      </c>
      <c r="AC79" s="9">
        <v>4.397537379067628E-3</v>
      </c>
      <c r="AD79" s="9">
        <v>3.07692307692308E-3</v>
      </c>
      <c r="AE79" s="9">
        <v>1.646843549862765E-2</v>
      </c>
      <c r="AF79" s="9">
        <v>-3.787878787878791E-3</v>
      </c>
      <c r="AG79" s="9">
        <v>-8.2372322899496703E-4</v>
      </c>
      <c r="AH79" s="9">
        <v>-2.1208907741251341E-3</v>
      </c>
      <c r="AI79" s="9">
        <v>1.495886312640241E-2</v>
      </c>
      <c r="AJ79" s="9">
        <v>2.67354596622889E-2</v>
      </c>
      <c r="AK79" s="9">
        <v>5.4894784995425487E-2</v>
      </c>
      <c r="AL79" s="279">
        <v>8.7368113571877001E-3</v>
      </c>
      <c r="AM79" s="279">
        <v>2.2956693230984891E-2</v>
      </c>
      <c r="AN79" s="279">
        <v>2.8388844369348711E-2</v>
      </c>
      <c r="AO79" s="279">
        <v>2.5999999999999999E-3</v>
      </c>
      <c r="AP79" s="279">
        <v>8.8872410113350969E-4</v>
      </c>
      <c r="AQ79" s="279">
        <v>1.2961829341568981E-2</v>
      </c>
      <c r="AR79" s="279">
        <v>1.8658722253174252E-2</v>
      </c>
      <c r="AS79" s="279">
        <v>2.1405215395201609E-2</v>
      </c>
      <c r="AT79" s="279">
        <v>2.242593961549464E-2</v>
      </c>
      <c r="AU79" s="279">
        <v>7.7999999999999996E-3</v>
      </c>
      <c r="AV79" s="279">
        <v>9.7999999999999997E-3</v>
      </c>
      <c r="AW79" s="279"/>
      <c r="AX79" s="279">
        <v>3.3E-3</v>
      </c>
      <c r="AY79" s="279">
        <v>5.7999999999999996E-3</v>
      </c>
      <c r="AZ79" s="279">
        <v>1.1999999999999999E-3</v>
      </c>
      <c r="BA79" s="279">
        <v>6.6E-3</v>
      </c>
      <c r="BB79" s="279">
        <v>4.1999999999999997E-3</v>
      </c>
      <c r="BD79" s="9">
        <f t="shared" si="7"/>
        <v>-1.8105215395201608E-2</v>
      </c>
    </row>
    <row r="80" spans="1:56" hidden="1" x14ac:dyDescent="0.3">
      <c r="A80">
        <v>20260525</v>
      </c>
      <c r="B80" s="9">
        <v>-1.3435700575815749E-2</v>
      </c>
      <c r="C80" s="9">
        <v>-5.8139534883721701E-3</v>
      </c>
      <c r="D80" s="9">
        <v>3.1923383878691182E-3</v>
      </c>
      <c r="E80" s="9">
        <v>-2.4193548387096791E-2</v>
      </c>
      <c r="F80" s="9">
        <v>8.5616438356163824E-3</v>
      </c>
      <c r="G80" s="9">
        <v>9.0090090090090176E-3</v>
      </c>
      <c r="H80" s="9">
        <v>-1.6393442622950831E-2</v>
      </c>
      <c r="I80" s="9">
        <v>-1.466275659824048E-3</v>
      </c>
      <c r="J80" s="9">
        <v>1.6611295681063142E-2</v>
      </c>
      <c r="K80" s="9">
        <v>-6.0514372163388867E-3</v>
      </c>
      <c r="L80" s="9">
        <v>2.97176820208013E-3</v>
      </c>
      <c r="M80" s="9">
        <v>9.1888466413180964E-3</v>
      </c>
      <c r="N80" s="9">
        <v>5.9625212947190098E-3</v>
      </c>
      <c r="O80" s="9">
        <v>7.7145612343298047E-3</v>
      </c>
      <c r="P80" s="9">
        <v>1.297858533419858E-3</v>
      </c>
      <c r="Q80" s="9">
        <v>3.2203389830508508E-2</v>
      </c>
      <c r="R80" s="9">
        <v>-2.6007802340702242E-3</v>
      </c>
      <c r="S80" s="9">
        <v>7.2886297376091739E-3</v>
      </c>
      <c r="T80" s="9">
        <v>-5.2539404553415114E-3</v>
      </c>
      <c r="U80" s="9">
        <v>1.056168987037916E-2</v>
      </c>
      <c r="V80" s="9">
        <v>-3.2881216605014419E-3</v>
      </c>
      <c r="W80" s="9">
        <v>2.1052631578947389E-2</v>
      </c>
      <c r="X80" s="9">
        <v>3.1152647975077911E-3</v>
      </c>
      <c r="Y80" s="9">
        <v>0</v>
      </c>
      <c r="Z80" s="9">
        <v>-1.449275362318826E-2</v>
      </c>
      <c r="AA80" s="9">
        <v>-8.3565459610027929E-3</v>
      </c>
      <c r="AB80" s="9">
        <v>-1.280409731113958E-2</v>
      </c>
      <c r="AC80" s="9">
        <v>2.5394045534150731E-2</v>
      </c>
      <c r="AD80" s="9">
        <v>-3.0674846625766898E-3</v>
      </c>
      <c r="AE80" s="9">
        <v>1.080108010801081E-2</v>
      </c>
      <c r="AF80" s="9">
        <v>1.774397972116605E-2</v>
      </c>
      <c r="AG80" s="9">
        <v>-2.4732069249793921E-2</v>
      </c>
      <c r="AH80" s="9">
        <v>-9.564293304994578E-3</v>
      </c>
      <c r="AI80" s="9">
        <v>1.4001473839351439E-2</v>
      </c>
      <c r="AJ80" s="9">
        <v>7.2635906806760991E-2</v>
      </c>
      <c r="AK80" s="9">
        <v>4.5099739809193448E-2</v>
      </c>
      <c r="AL80" s="279">
        <v>9.6451189294946855E-3</v>
      </c>
      <c r="AM80" s="279">
        <v>1.6625339000980961E-2</v>
      </c>
      <c r="AN80" s="279">
        <v>2.0987217982877719E-2</v>
      </c>
      <c r="AO80" s="279">
        <v>-7.9000000000000008E-3</v>
      </c>
      <c r="AP80" s="279">
        <v>1.5451210439452381E-2</v>
      </c>
      <c r="AQ80" s="279">
        <v>1.578940850707615E-2</v>
      </c>
      <c r="AR80" s="279">
        <v>1.480126945041004E-2</v>
      </c>
      <c r="AS80" s="279">
        <v>1.226856205778078E-2</v>
      </c>
      <c r="AT80" s="279">
        <v>-1.472379890357637E-2</v>
      </c>
      <c r="AU80" s="279">
        <v>1.8E-3</v>
      </c>
      <c r="AV80" s="279">
        <v>-5.0000000000000001E-3</v>
      </c>
      <c r="AW80" s="279"/>
      <c r="AX80" s="279">
        <v>-4.0000000000000002E-4</v>
      </c>
      <c r="AY80" s="279">
        <v>6.0000000000000001E-3</v>
      </c>
      <c r="AZ80" s="279">
        <v>-5.8999999999999999E-3</v>
      </c>
      <c r="BA80" s="279">
        <v>-9.9000000000000008E-3</v>
      </c>
      <c r="BB80" s="279">
        <v>-3.8E-3</v>
      </c>
      <c r="BD80" s="9">
        <f t="shared" si="7"/>
        <v>-1.266856205778078E-2</v>
      </c>
    </row>
    <row r="81" spans="1:56" hidden="1" x14ac:dyDescent="0.3">
      <c r="A81">
        <v>20260526</v>
      </c>
      <c r="B81" s="9">
        <v>1.945525291828796E-3</v>
      </c>
      <c r="C81" s="9">
        <v>-3.8986354775828501E-3</v>
      </c>
      <c r="D81" s="9">
        <v>-7.955449482895614E-3</v>
      </c>
      <c r="E81" s="9">
        <v>1.062573789846518E-2</v>
      </c>
      <c r="F81" s="9">
        <v>-1.0186757215619581E-2</v>
      </c>
      <c r="G81" s="9">
        <v>-8.9285714285714367E-3</v>
      </c>
      <c r="H81" s="9">
        <v>7.2916666666666746E-3</v>
      </c>
      <c r="I81" s="9">
        <v>-1.468428781204113E-3</v>
      </c>
      <c r="J81" s="9">
        <v>3.2679738562091539E-3</v>
      </c>
      <c r="K81" s="9">
        <v>7.6103500761035073E-3</v>
      </c>
      <c r="L81" s="9">
        <v>3.4567901234568037E-2</v>
      </c>
      <c r="M81" s="9">
        <v>3.1397174254313648E-4</v>
      </c>
      <c r="N81" s="9">
        <v>-4.2337002540221132E-3</v>
      </c>
      <c r="O81" s="9">
        <v>1.05263157894738E-2</v>
      </c>
      <c r="P81" s="9">
        <v>-1.9442644199610449E-3</v>
      </c>
      <c r="Q81" s="9">
        <v>-9.8522167487684817E-3</v>
      </c>
      <c r="R81" s="9">
        <v>5.2151238591916609E-3</v>
      </c>
      <c r="S81" s="9">
        <v>-9.4066570188132432E-3</v>
      </c>
      <c r="T81" s="9">
        <v>3.5211267605633838E-3</v>
      </c>
      <c r="U81" s="9">
        <v>-3.087885985748216E-2</v>
      </c>
      <c r="V81" s="9">
        <v>-9.0721649484535247E-3</v>
      </c>
      <c r="W81" s="9">
        <v>7.3637702503673774E-4</v>
      </c>
      <c r="X81" s="9">
        <v>-6.211180124223609E-3</v>
      </c>
      <c r="Y81" s="9">
        <v>-2.1186440677966119E-3</v>
      </c>
      <c r="Z81" s="9">
        <v>0</v>
      </c>
      <c r="AA81" s="9">
        <v>-1.1235955056179791E-2</v>
      </c>
      <c r="AB81" s="9">
        <v>-2.5940337224383942E-3</v>
      </c>
      <c r="AC81" s="9">
        <v>0</v>
      </c>
      <c r="AD81" s="9">
        <v>3.846153846153764E-3</v>
      </c>
      <c r="AE81" s="9">
        <v>-8.0142475512020462E-3</v>
      </c>
      <c r="AF81" s="9">
        <v>-6.2266500622665064E-3</v>
      </c>
      <c r="AG81" s="9">
        <v>-2.5359256128487861E-3</v>
      </c>
      <c r="AH81" s="9">
        <v>-1.180257510729615E-2</v>
      </c>
      <c r="AI81" s="9">
        <v>-2.0348837209302181E-2</v>
      </c>
      <c r="AJ81" s="9">
        <v>-1.149914821124348E-2</v>
      </c>
      <c r="AK81" s="9">
        <v>1.6597510373444E-3</v>
      </c>
      <c r="AL81" s="279">
        <v>-1.7326627763833409E-3</v>
      </c>
      <c r="AM81" s="279">
        <v>1.2331198156478071E-3</v>
      </c>
      <c r="AN81" s="279">
        <v>5.4476568950253667E-3</v>
      </c>
      <c r="AO81" s="279">
        <v>-2.47E-2</v>
      </c>
      <c r="AP81" s="279">
        <v>1.5792450357849919E-3</v>
      </c>
      <c r="AQ81" s="279">
        <v>5.3340612813281164E-3</v>
      </c>
      <c r="AR81" s="279">
        <v>-5.2012261184366448E-3</v>
      </c>
      <c r="AS81" s="279">
        <v>-1.2734984280589249E-2</v>
      </c>
      <c r="AT81" s="279">
        <v>-2.3482034516816588E-2</v>
      </c>
      <c r="AU81" s="279">
        <v>-6.7000000000000002E-3</v>
      </c>
      <c r="AV81" s="279">
        <v>-1.04E-2</v>
      </c>
      <c r="AW81" s="279"/>
      <c r="AX81" s="279">
        <v>-1.1299999999999999E-2</v>
      </c>
      <c r="AY81" s="279">
        <v>-1.18E-2</v>
      </c>
      <c r="AZ81" s="279">
        <v>-1.0999999999999999E-2</v>
      </c>
      <c r="BA81" s="279">
        <v>-1.5800000000000002E-2</v>
      </c>
      <c r="BB81" s="279">
        <v>-1.0800000000000001E-2</v>
      </c>
      <c r="BD81" s="9">
        <f t="shared" si="7"/>
        <v>1.43498428058925E-3</v>
      </c>
    </row>
    <row r="82" spans="1:56" hidden="1" x14ac:dyDescent="0.3">
      <c r="A82">
        <v>20260527</v>
      </c>
      <c r="B82" s="9">
        <v>3.8834951456310708E-3</v>
      </c>
      <c r="C82" s="9">
        <v>-3.1311154598825719E-2</v>
      </c>
      <c r="D82" s="9">
        <v>-3.5284683239775488E-2</v>
      </c>
      <c r="E82" s="9">
        <v>-1.7523364485981321E-2</v>
      </c>
      <c r="F82" s="9">
        <v>-1.943967981703832E-2</v>
      </c>
      <c r="G82" s="9">
        <v>2.0270270270270289E-2</v>
      </c>
      <c r="H82" s="9">
        <v>-1.4477766287487089E-2</v>
      </c>
      <c r="I82" s="9">
        <v>2.9411764705882379E-3</v>
      </c>
      <c r="J82" s="9">
        <v>-1.1400651465798059E-2</v>
      </c>
      <c r="K82" s="9">
        <v>-2.8700906344410901E-2</v>
      </c>
      <c r="L82" s="9">
        <v>-3.9140811455847392E-2</v>
      </c>
      <c r="M82" s="9">
        <v>-5.0219711236660436E-3</v>
      </c>
      <c r="N82" s="9">
        <v>-1.7006802721088451E-2</v>
      </c>
      <c r="O82" s="9">
        <v>-1.231060606060618E-2</v>
      </c>
      <c r="P82" s="9">
        <v>-2.07792207792208E-2</v>
      </c>
      <c r="Q82" s="9">
        <v>1.9900497512437831E-2</v>
      </c>
      <c r="R82" s="9">
        <v>-5.1880674448767884E-3</v>
      </c>
      <c r="S82" s="9">
        <v>-2.9218407596786001E-2</v>
      </c>
      <c r="T82" s="9">
        <v>-2.1052631578947191E-2</v>
      </c>
      <c r="U82" s="9">
        <v>2.4509803921568111E-3</v>
      </c>
      <c r="V82" s="9">
        <v>1.206824802330417E-2</v>
      </c>
      <c r="W82" s="9">
        <v>8.0941869021340113E-3</v>
      </c>
      <c r="X82" s="9">
        <v>-9.3750000000000083E-3</v>
      </c>
      <c r="Y82" s="9">
        <v>-1.0615711252653941E-3</v>
      </c>
      <c r="Z82" s="9">
        <v>5.8823529411764757E-3</v>
      </c>
      <c r="AA82" s="9">
        <v>-1.1363636363636369E-2</v>
      </c>
      <c r="AB82" s="9">
        <v>-3.9011703511053352E-3</v>
      </c>
      <c r="AC82" s="9">
        <v>1.110162254483339E-2</v>
      </c>
      <c r="AD82" s="9">
        <v>-1.99233716475096E-2</v>
      </c>
      <c r="AE82" s="9">
        <v>5.3859964093357316E-3</v>
      </c>
      <c r="AF82" s="9">
        <v>-2.2556390977443629E-2</v>
      </c>
      <c r="AG82" s="9">
        <v>-1.271186440677958E-2</v>
      </c>
      <c r="AH82" s="9">
        <v>-1.302931596091206E-2</v>
      </c>
      <c r="AI82" s="9">
        <v>-1.8545994065282002E-2</v>
      </c>
      <c r="AJ82" s="9">
        <v>-2.4127531236536E-2</v>
      </c>
      <c r="AK82" s="9">
        <v>-8.2850041425020782E-3</v>
      </c>
      <c r="AL82" s="279">
        <v>-1.24588064813467E-2</v>
      </c>
      <c r="AM82" s="279">
        <v>-8.7988027331545732E-3</v>
      </c>
      <c r="AN82" s="279">
        <v>6.6959085011233672E-4</v>
      </c>
      <c r="AO82" s="279">
        <v>-2.3800000000000002E-2</v>
      </c>
      <c r="AP82" s="279">
        <v>-1.3006321078501529E-2</v>
      </c>
      <c r="AQ82" s="279">
        <v>-8.0191614578375339E-3</v>
      </c>
      <c r="AR82" s="279">
        <v>-1.474120757594264E-2</v>
      </c>
      <c r="AS82" s="279">
        <v>-1.6200564205969391E-2</v>
      </c>
      <c r="AT82" s="279">
        <v>-2.621585476371598E-2</v>
      </c>
      <c r="AU82" s="279">
        <v>-1.0699999999999999E-2</v>
      </c>
      <c r="AV82" s="279">
        <v>-1.01E-2</v>
      </c>
      <c r="AW82" s="279"/>
      <c r="AX82" s="279">
        <v>-1.46E-2</v>
      </c>
      <c r="AY82" s="279">
        <v>-1.3899999999999999E-2</v>
      </c>
      <c r="AZ82" s="279">
        <v>-1.5599999999999999E-2</v>
      </c>
      <c r="BA82" s="279">
        <v>-1.89E-2</v>
      </c>
      <c r="BB82" s="279">
        <v>-1.7500000000000002E-2</v>
      </c>
      <c r="BD82" s="9">
        <f t="shared" si="7"/>
        <v>1.6005642059693913E-3</v>
      </c>
    </row>
    <row r="83" spans="1:56" hidden="1" x14ac:dyDescent="0.3">
      <c r="A83">
        <v>20260528</v>
      </c>
      <c r="B83" s="9">
        <v>7.7369439071566801E-3</v>
      </c>
      <c r="C83" s="9">
        <v>-1.010101010101018E-2</v>
      </c>
      <c r="D83" s="9">
        <v>3.3250207813798872E-3</v>
      </c>
      <c r="E83" s="9">
        <v>-9.5124851367419834E-3</v>
      </c>
      <c r="F83" s="9">
        <v>1.7492711370261759E-3</v>
      </c>
      <c r="G83" s="9">
        <v>-2.2075055187637992E-2</v>
      </c>
      <c r="H83" s="9">
        <v>-1.364113326337882E-2</v>
      </c>
      <c r="I83" s="9">
        <v>-1.7595307917888579E-2</v>
      </c>
      <c r="J83" s="9">
        <v>-1.647446457990117E-2</v>
      </c>
      <c r="K83" s="9">
        <v>3.110419906687405E-3</v>
      </c>
      <c r="L83" s="9">
        <v>-1.0928961748633779E-2</v>
      </c>
      <c r="M83" s="9">
        <v>0</v>
      </c>
      <c r="N83" s="9">
        <v>0</v>
      </c>
      <c r="O83" s="9">
        <v>-2.1093000958772791E-2</v>
      </c>
      <c r="P83" s="9">
        <v>-1.7904509283819571E-2</v>
      </c>
      <c r="Q83" s="9">
        <v>1.7073170731707239E-2</v>
      </c>
      <c r="R83" s="9">
        <v>-7.8226857887874913E-3</v>
      </c>
      <c r="S83" s="9">
        <v>9.0293453724605045E-3</v>
      </c>
      <c r="T83" s="9">
        <v>-1.075268817204302E-2</v>
      </c>
      <c r="U83" s="9">
        <v>1.418092909535448E-2</v>
      </c>
      <c r="V83" s="9">
        <v>5.7565789473685179E-3</v>
      </c>
      <c r="W83" s="9">
        <v>1.021897810218963E-2</v>
      </c>
      <c r="X83" s="9">
        <v>-1.2618296529968469E-2</v>
      </c>
      <c r="Y83" s="9">
        <v>-1.275239107332614E-2</v>
      </c>
      <c r="Z83" s="9">
        <v>-1.754385964912282E-2</v>
      </c>
      <c r="AA83" s="9">
        <v>-1.7241379310344689E-2</v>
      </c>
      <c r="AB83" s="9">
        <v>-2.219321148825067E-2</v>
      </c>
      <c r="AC83" s="9">
        <v>1.266891891891902E-2</v>
      </c>
      <c r="AD83" s="9">
        <v>-1.7982799061766939E-2</v>
      </c>
      <c r="AE83" s="9">
        <v>7.1428571428569501E-3</v>
      </c>
      <c r="AF83" s="9">
        <v>-1.025641025641027E-2</v>
      </c>
      <c r="AG83" s="9">
        <v>-6.8669527896995774E-3</v>
      </c>
      <c r="AH83" s="9">
        <v>-7.7007700770077084E-3</v>
      </c>
      <c r="AI83" s="9">
        <v>1.5873015873015969E-2</v>
      </c>
      <c r="AJ83" s="9">
        <v>1.280353200882998E-2</v>
      </c>
      <c r="AK83" s="9">
        <v>2.8404344193817901E-2</v>
      </c>
      <c r="AL83" s="279">
        <v>1.199078492532588E-3</v>
      </c>
      <c r="AM83" s="279">
        <v>7.9700593589287355E-3</v>
      </c>
      <c r="AN83" s="279">
        <v>1.9601124432833971E-2</v>
      </c>
      <c r="AO83" s="279">
        <v>2.5499999999999998E-2</v>
      </c>
      <c r="AP83" s="279">
        <v>-6.9929519489476608E-3</v>
      </c>
      <c r="AQ83" s="279">
        <v>1.2310899518373261E-3</v>
      </c>
      <c r="AR83" s="279">
        <v>3.7793664971668551E-3</v>
      </c>
      <c r="AS83" s="279">
        <v>1.0674315788365359E-2</v>
      </c>
      <c r="AT83" s="279">
        <v>4.5861977903552042E-3</v>
      </c>
      <c r="AU83" s="279">
        <v>1.0800000000000001E-2</v>
      </c>
      <c r="AV83" s="279">
        <v>1.2699999999999999E-2</v>
      </c>
      <c r="AW83" s="279"/>
      <c r="AX83" s="279">
        <v>5.1000000000000004E-3</v>
      </c>
      <c r="AY83" s="279">
        <v>-5.0000000000000001E-3</v>
      </c>
      <c r="AZ83" s="279">
        <v>-5.7999999999999996E-3</v>
      </c>
      <c r="BA83" s="279">
        <v>1.01E-2</v>
      </c>
      <c r="BB83" s="279">
        <v>1.4E-3</v>
      </c>
      <c r="BD83" s="9">
        <f t="shared" si="7"/>
        <v>-5.5743157883653589E-3</v>
      </c>
    </row>
    <row r="84" spans="1:56" hidden="1" x14ac:dyDescent="0.3">
      <c r="A84">
        <v>20260529</v>
      </c>
      <c r="B84" s="9">
        <v>-3.3589251439539911E-3</v>
      </c>
      <c r="C84" s="9">
        <v>-4.1496598639455748E-2</v>
      </c>
      <c r="D84" s="9">
        <v>-4.1425020712510391E-2</v>
      </c>
      <c r="E84" s="9">
        <v>-2.0408163265306142E-2</v>
      </c>
      <c r="F84" s="9">
        <v>2.9103608847497759E-3</v>
      </c>
      <c r="G84" s="9">
        <v>3.1602708803611768E-2</v>
      </c>
      <c r="H84" s="9">
        <v>0</v>
      </c>
      <c r="I84" s="9">
        <v>2.835820895522374E-2</v>
      </c>
      <c r="J84" s="9">
        <v>3.1825795644891151E-2</v>
      </c>
      <c r="K84" s="9">
        <v>-5.4263565891473778E-3</v>
      </c>
      <c r="L84" s="9">
        <v>-1.3058764439979919E-2</v>
      </c>
      <c r="M84" s="9">
        <v>1.1356466876971619E-2</v>
      </c>
      <c r="N84" s="9">
        <v>6.9204152249135011E-3</v>
      </c>
      <c r="O84" s="9">
        <v>1.175318315377083E-2</v>
      </c>
      <c r="P84" s="9">
        <v>-9.4530722484807636E-3</v>
      </c>
      <c r="Q84" s="9">
        <v>2.6378896882494118E-2</v>
      </c>
      <c r="R84" s="9">
        <v>1.9710906701708299E-2</v>
      </c>
      <c r="S84" s="9">
        <v>9.6942580164057594E-3</v>
      </c>
      <c r="T84" s="9">
        <v>5.4347826086956564E-3</v>
      </c>
      <c r="U84" s="9">
        <v>-6.7502410800384721E-3</v>
      </c>
      <c r="V84" s="9">
        <v>-4.6197874080130819E-2</v>
      </c>
      <c r="W84" s="9">
        <v>2.2398843930635941E-2</v>
      </c>
      <c r="X84" s="9">
        <v>6.3897763578274818E-3</v>
      </c>
      <c r="Y84" s="9">
        <v>2.5834230355220571E-2</v>
      </c>
      <c r="Z84" s="9">
        <v>2.3809523809523659E-2</v>
      </c>
      <c r="AA84" s="9">
        <v>2.0467836257309791E-2</v>
      </c>
      <c r="AB84" s="9">
        <v>2.403204272363153E-2</v>
      </c>
      <c r="AC84" s="9">
        <v>3.5029190992493783E-2</v>
      </c>
      <c r="AD84" s="9">
        <v>-1.5923566878980909E-2</v>
      </c>
      <c r="AE84" s="9">
        <v>-4.6985815602836843E-2</v>
      </c>
      <c r="AF84" s="9">
        <v>-3.1088082901554431E-2</v>
      </c>
      <c r="AG84" s="9">
        <v>-1.469317199654289E-2</v>
      </c>
      <c r="AH84" s="9">
        <v>1.108647450110866E-3</v>
      </c>
      <c r="AI84" s="9">
        <v>-4.4642857142857179E-2</v>
      </c>
      <c r="AJ84" s="9">
        <v>-5.8413251961639018E-2</v>
      </c>
      <c r="AK84" s="9">
        <v>-2.3558082859463959E-2</v>
      </c>
      <c r="AL84" s="279">
        <v>-7.3358307495469859E-3</v>
      </c>
      <c r="AM84" s="279">
        <v>-1.8078312231392338E-2</v>
      </c>
      <c r="AN84" s="279">
        <v>-2.1120609928304331E-2</v>
      </c>
      <c r="AO84" s="279">
        <v>-3.2399999999999998E-2</v>
      </c>
      <c r="AP84" s="279">
        <v>2.3647394301674822E-3</v>
      </c>
      <c r="AQ84" s="279">
        <v>-4.4955112853267533E-3</v>
      </c>
      <c r="AR84" s="279">
        <v>-2.3783384338278191E-2</v>
      </c>
      <c r="AS84" s="279">
        <v>-2.6512435019194341E-2</v>
      </c>
      <c r="AT84" s="279">
        <v>-2.5226795331879541E-2</v>
      </c>
      <c r="AU84" s="279">
        <v>-1.61E-2</v>
      </c>
      <c r="AV84" s="279">
        <v>-2.3E-3</v>
      </c>
      <c r="AW84" s="279"/>
      <c r="AX84" s="279">
        <v>-3.0000000000000001E-3</v>
      </c>
      <c r="AY84" s="279">
        <v>-6.7000000000000002E-3</v>
      </c>
      <c r="AZ84" s="279">
        <v>-2.3999999999999998E-3</v>
      </c>
      <c r="BA84" s="279">
        <v>-0.01</v>
      </c>
      <c r="BB84" s="279">
        <v>-7.4999999999999997E-3</v>
      </c>
      <c r="BD84" s="9">
        <f t="shared" si="7"/>
        <v>2.3512435019194342E-2</v>
      </c>
    </row>
    <row r="85" spans="1:56" x14ac:dyDescent="0.3">
      <c r="A85" s="295" t="s">
        <v>139</v>
      </c>
      <c r="B85" s="347">
        <f t="shared" ref="B85:AG85" si="8">SUM(B86:B106)</f>
        <v>-4.4715836997150191E-2</v>
      </c>
      <c r="C85" s="347">
        <f t="shared" si="8"/>
        <v>-5.262713477120079E-2</v>
      </c>
      <c r="D85" s="347">
        <f t="shared" si="8"/>
        <v>3.1512044316396516E-2</v>
      </c>
      <c r="E85" s="347">
        <f t="shared" si="8"/>
        <v>6.1337204225415096E-2</v>
      </c>
      <c r="F85" s="347">
        <f t="shared" si="8"/>
        <v>-0.12259024117488247</v>
      </c>
      <c r="G85" s="347">
        <f t="shared" si="8"/>
        <v>-0.14848496625310847</v>
      </c>
      <c r="H85" s="347">
        <f t="shared" si="8"/>
        <v>-0.1256784133733572</v>
      </c>
      <c r="I85" s="347">
        <f t="shared" si="8"/>
        <v>-0.11165236017669188</v>
      </c>
      <c r="J85" s="347">
        <f t="shared" si="8"/>
        <v>-0.12310780962452615</v>
      </c>
      <c r="K85" s="347">
        <f t="shared" si="8"/>
        <v>-0.11143579271341691</v>
      </c>
      <c r="L85" s="347">
        <f t="shared" si="8"/>
        <v>-4.5905236559842418E-2</v>
      </c>
      <c r="M85" s="347">
        <f t="shared" si="8"/>
        <v>-9.2963242233652044E-2</v>
      </c>
      <c r="N85" s="347">
        <f t="shared" si="8"/>
        <v>-3.0337838660542606E-2</v>
      </c>
      <c r="O85" s="347">
        <f t="shared" si="8"/>
        <v>9.2357815668180646E-2</v>
      </c>
      <c r="P85" s="347">
        <f t="shared" si="8"/>
        <v>-6.5958504434884095E-3</v>
      </c>
      <c r="Q85" s="347">
        <f t="shared" si="8"/>
        <v>-0.17641969256425188</v>
      </c>
      <c r="R85" s="347">
        <f t="shared" si="8"/>
        <v>-5.3888786493074561E-2</v>
      </c>
      <c r="S85" s="347">
        <f t="shared" si="8"/>
        <v>-0.13115557822400783</v>
      </c>
      <c r="T85" s="347">
        <f t="shared" si="8"/>
        <v>-0.10214150101070682</v>
      </c>
      <c r="U85" s="347">
        <f t="shared" si="8"/>
        <v>2.0299986390206286E-2</v>
      </c>
      <c r="V85" s="347">
        <f t="shared" si="8"/>
        <v>-2.0930146457082223E-2</v>
      </c>
      <c r="W85" s="347">
        <f t="shared" si="8"/>
        <v>-0.16213561054155978</v>
      </c>
      <c r="X85" s="347">
        <f t="shared" si="8"/>
        <v>-2.645288928716703E-2</v>
      </c>
      <c r="Y85" s="347">
        <f t="shared" si="8"/>
        <v>-7.9194015145528832E-2</v>
      </c>
      <c r="Z85" s="347">
        <f t="shared" si="8"/>
        <v>2.116277919814671E-2</v>
      </c>
      <c r="AA85" s="347">
        <f t="shared" si="8"/>
        <v>3.1304144925582957E-2</v>
      </c>
      <c r="AB85" s="347">
        <f t="shared" si="8"/>
        <v>5.3693985789111713E-2</v>
      </c>
      <c r="AC85" s="347">
        <f t="shared" si="8"/>
        <v>-0.18107915090608157</v>
      </c>
      <c r="AD85" s="347">
        <f t="shared" si="8"/>
        <v>-0.11625225598813541</v>
      </c>
      <c r="AE85" s="347">
        <f t="shared" si="8"/>
        <v>-2.6673445552498169E-2</v>
      </c>
      <c r="AF85" s="347">
        <f t="shared" si="8"/>
        <v>-8.1435411647671763E-2</v>
      </c>
      <c r="AG85" s="347">
        <f t="shared" si="8"/>
        <v>-3.2864089704479411E-2</v>
      </c>
      <c r="AH85" s="347">
        <f t="shared" ref="AH85:BB85" si="9">SUM(AH86:AH106)</f>
        <v>-9.4290918733269252E-2</v>
      </c>
      <c r="AI85" s="347">
        <f t="shared" si="9"/>
        <v>5.4958154735197662E-5</v>
      </c>
      <c r="AJ85" s="347">
        <f t="shared" si="9"/>
        <v>0.34593464688239123</v>
      </c>
      <c r="AK85" s="347">
        <f t="shared" si="9"/>
        <v>0.1659498730366829</v>
      </c>
      <c r="AL85" s="347">
        <f t="shared" si="9"/>
        <v>7.4269940313660809E-3</v>
      </c>
      <c r="AM85" s="347">
        <f t="shared" si="9"/>
        <v>4.4210028402612345E-2</v>
      </c>
      <c r="AN85" s="347">
        <f t="shared" si="9"/>
        <v>8.0634146473425136E-2</v>
      </c>
      <c r="AO85" s="347">
        <f t="shared" si="9"/>
        <v>1.0000000000000005E-2</v>
      </c>
      <c r="AP85" s="347">
        <f t="shared" si="9"/>
        <v>2.5338768183420277E-2</v>
      </c>
      <c r="AQ85" s="347">
        <f t="shared" si="9"/>
        <v>2.0322677424264059E-2</v>
      </c>
      <c r="AR85" s="347">
        <f t="shared" si="9"/>
        <v>8.0820343757852284E-2</v>
      </c>
      <c r="AS85" s="347">
        <f t="shared" si="9"/>
        <v>4.9635357350739831E-2</v>
      </c>
      <c r="AT85" s="347">
        <f t="shared" si="9"/>
        <v>-0.13064025973676369</v>
      </c>
      <c r="AU85" s="347">
        <f t="shared" si="9"/>
        <v>7.7999999999999979E-3</v>
      </c>
      <c r="AV85" s="347">
        <f t="shared" si="9"/>
        <v>-0.14259999999999998</v>
      </c>
      <c r="AW85" s="347">
        <f t="shared" si="9"/>
        <v>-2.9499999999999998E-2</v>
      </c>
      <c r="AX85" s="347">
        <f t="shared" si="9"/>
        <v>-0.10699999999999998</v>
      </c>
      <c r="AY85" s="347">
        <f t="shared" si="9"/>
        <v>-8.5100000000000023E-2</v>
      </c>
      <c r="AZ85" s="347">
        <f t="shared" si="9"/>
        <v>-0.12200000000000001</v>
      </c>
      <c r="BA85" s="347">
        <f t="shared" si="9"/>
        <v>-7.2099999999999997E-2</v>
      </c>
      <c r="BB85" s="347">
        <f t="shared" si="9"/>
        <v>-8.9099999999999999E-2</v>
      </c>
      <c r="BD85" s="9">
        <f t="shared" si="7"/>
        <v>-0.1566353573507398</v>
      </c>
    </row>
    <row r="86" spans="1:56" hidden="1" x14ac:dyDescent="0.3">
      <c r="A86">
        <v>20260601</v>
      </c>
      <c r="B86" s="9">
        <v>-1.9258545979778539E-3</v>
      </c>
      <c r="C86" s="9">
        <v>-7.8069552874379848E-3</v>
      </c>
      <c r="D86" s="9">
        <v>-1.382886776145204E-2</v>
      </c>
      <c r="E86" s="9">
        <v>1.470588235294119E-2</v>
      </c>
      <c r="F86" s="9">
        <v>-1.160766105629717E-2</v>
      </c>
      <c r="G86" s="9">
        <v>-2.188183807439827E-3</v>
      </c>
      <c r="H86" s="9">
        <v>1.914893617021278E-2</v>
      </c>
      <c r="I86" s="9">
        <v>2.902757619738754E-3</v>
      </c>
      <c r="J86" s="9">
        <v>1.623376623376625E-3</v>
      </c>
      <c r="K86" s="9">
        <v>7.0148090413095247E-3</v>
      </c>
      <c r="L86" s="9">
        <v>-8.1424936386768516E-3</v>
      </c>
      <c r="M86" s="9">
        <v>3.150343106674984E-2</v>
      </c>
      <c r="N86" s="9">
        <v>3.4364261168384909E-3</v>
      </c>
      <c r="O86" s="9">
        <v>1.936108422071638E-3</v>
      </c>
      <c r="P86" s="9">
        <v>3.4083162917518022E-3</v>
      </c>
      <c r="Q86" s="9">
        <v>6.6199376947040464E-2</v>
      </c>
      <c r="R86" s="9">
        <v>1.1597938144329909E-2</v>
      </c>
      <c r="S86" s="9">
        <v>2.215657311669048E-3</v>
      </c>
      <c r="T86" s="9">
        <v>1.2612612612612621E-2</v>
      </c>
      <c r="U86" s="9">
        <v>9.7087378640766005E-4</v>
      </c>
      <c r="V86" s="9">
        <v>-3.8576939562796138E-3</v>
      </c>
      <c r="W86" s="9">
        <v>9.1872791519433932E-3</v>
      </c>
      <c r="X86" s="9">
        <v>-6.3492063492063544E-3</v>
      </c>
      <c r="Y86" s="9">
        <v>7.345225603357825E-3</v>
      </c>
      <c r="Z86" s="9">
        <v>-1.162790697674404E-2</v>
      </c>
      <c r="AA86" s="9">
        <v>-1.146131805157594E-2</v>
      </c>
      <c r="AB86" s="9">
        <v>-1.303780964797915E-2</v>
      </c>
      <c r="AC86" s="9">
        <v>1.2892828364222231E-2</v>
      </c>
      <c r="AD86" s="9">
        <v>-4.8543689320388397E-3</v>
      </c>
      <c r="AE86" s="9">
        <v>-8.3720930232557191E-3</v>
      </c>
      <c r="AF86" s="9">
        <v>3.8770053475935873E-2</v>
      </c>
      <c r="AG86" s="9">
        <v>2.1052631578947389E-2</v>
      </c>
      <c r="AH86" s="9">
        <v>3.3222591362126283E-2</v>
      </c>
      <c r="AI86" s="9">
        <v>-1.1682242990654301E-2</v>
      </c>
      <c r="AJ86" s="9">
        <v>-5.277777777777793E-2</v>
      </c>
      <c r="AK86" s="9">
        <v>-3.8269550748752122E-2</v>
      </c>
      <c r="AL86" s="279">
        <v>-2.6616237797614292E-3</v>
      </c>
      <c r="AM86" s="279">
        <v>-1.507362057331134E-2</v>
      </c>
      <c r="AN86" s="279">
        <v>-2.1547537352483982E-2</v>
      </c>
      <c r="AO86" s="279">
        <v>4.4999999999999997E-3</v>
      </c>
      <c r="AP86" s="279">
        <v>-9.3670802007887084E-3</v>
      </c>
      <c r="AQ86" s="279">
        <v>-9.7842224262237355E-3</v>
      </c>
      <c r="AR86" s="279">
        <v>-1.0209640220298591E-2</v>
      </c>
      <c r="AS86" s="279">
        <v>-7.5642888020612947E-3</v>
      </c>
      <c r="AT86" s="279">
        <v>3.3910042728948868E-2</v>
      </c>
      <c r="AU86" s="279">
        <v>8.8999999999999999E-3</v>
      </c>
      <c r="AV86" s="279">
        <v>2.4500000000000001E-2</v>
      </c>
      <c r="AW86" s="279">
        <v>6.4999999999999997E-3</v>
      </c>
      <c r="AX86" s="279">
        <v>1.83E-2</v>
      </c>
      <c r="AY86" s="279">
        <v>2.8E-3</v>
      </c>
      <c r="AZ86" s="279">
        <v>1.84E-2</v>
      </c>
      <c r="BA86" s="279">
        <v>2.76E-2</v>
      </c>
      <c r="BB86" s="279">
        <v>2.3900000000000001E-2</v>
      </c>
      <c r="BD86" s="9">
        <f t="shared" si="7"/>
        <v>2.5864288802061295E-2</v>
      </c>
    </row>
    <row r="87" spans="1:56" hidden="1" x14ac:dyDescent="0.3">
      <c r="A87">
        <v>20260602</v>
      </c>
      <c r="B87" s="9">
        <v>-1.302460202604927E-2</v>
      </c>
      <c r="C87" s="9">
        <v>1.144492131616596E-2</v>
      </c>
      <c r="D87" s="9">
        <v>1.7528483786152509E-2</v>
      </c>
      <c r="E87" s="9">
        <v>6.0386473429951751E-3</v>
      </c>
      <c r="F87" s="9">
        <v>-1.5267175572519101E-2</v>
      </c>
      <c r="G87" s="9">
        <v>-1.754385964912282E-2</v>
      </c>
      <c r="H87" s="9">
        <v>-1.5657620041753671E-2</v>
      </c>
      <c r="I87" s="9">
        <v>-1.5918958031837769E-2</v>
      </c>
      <c r="J87" s="9">
        <v>-1.9448946515397102E-2</v>
      </c>
      <c r="K87" s="9">
        <v>-1.0835913312693511E-2</v>
      </c>
      <c r="L87" s="9">
        <v>3.3863519753719887E-2</v>
      </c>
      <c r="M87" s="9">
        <v>3.0238887208947378E-4</v>
      </c>
      <c r="N87" s="9">
        <v>-1.7123287671232891E-3</v>
      </c>
      <c r="O87" s="9">
        <v>1.932367149758456E-3</v>
      </c>
      <c r="P87" s="9">
        <v>1.7663043478260889E-2</v>
      </c>
      <c r="Q87" s="9">
        <v>-1.6070124178232299E-2</v>
      </c>
      <c r="R87" s="9">
        <v>6.3694267515923622E-3</v>
      </c>
      <c r="S87" s="9">
        <v>-1.8422991893883502E-2</v>
      </c>
      <c r="T87" s="9">
        <v>-2.1352313167259811E-2</v>
      </c>
      <c r="U87" s="9">
        <v>5.3346265761397291E-3</v>
      </c>
      <c r="V87" s="9">
        <v>5.5938037865750192E-3</v>
      </c>
      <c r="W87" s="9">
        <v>-4.9019607843136534E-3</v>
      </c>
      <c r="X87" s="9">
        <v>-1.277955271565496E-2</v>
      </c>
      <c r="Y87" s="9">
        <v>-9.3750000000000083E-3</v>
      </c>
      <c r="Z87" s="9">
        <v>-1.176470588235295E-2</v>
      </c>
      <c r="AA87" s="9">
        <v>-1.449275362318826E-2</v>
      </c>
      <c r="AB87" s="9">
        <v>-1.453104359313079E-2</v>
      </c>
      <c r="AC87" s="9">
        <v>-1.272871917263309E-2</v>
      </c>
      <c r="AD87" s="9">
        <v>1.6260162601626028E-2</v>
      </c>
      <c r="AE87" s="9">
        <v>-1.03189493433397E-2</v>
      </c>
      <c r="AF87" s="9">
        <v>-7.7220077220077291E-3</v>
      </c>
      <c r="AG87" s="9">
        <v>-2.6632302405498211E-2</v>
      </c>
      <c r="AH87" s="9">
        <v>-2.8938906752411599E-2</v>
      </c>
      <c r="AI87" s="9">
        <v>-1.57604412923562E-3</v>
      </c>
      <c r="AJ87" s="9">
        <v>1.6617790811339319E-2</v>
      </c>
      <c r="AK87" s="9">
        <v>5.7093425605536388E-2</v>
      </c>
      <c r="AL87" s="279">
        <v>4.2786378624555003E-3</v>
      </c>
      <c r="AM87" s="279">
        <v>1.6346937099259658E-2</v>
      </c>
      <c r="AN87" s="279">
        <v>2.65576597789439E-2</v>
      </c>
      <c r="AO87" s="279">
        <v>2E-3</v>
      </c>
      <c r="AP87" s="279">
        <v>9.1751479670278552E-3</v>
      </c>
      <c r="AQ87" s="279">
        <v>1.451288175374754E-2</v>
      </c>
      <c r="AR87" s="279">
        <v>5.7072020876430254E-3</v>
      </c>
      <c r="AS87" s="279">
        <v>4.7515382925774584E-3</v>
      </c>
      <c r="AT87" s="279">
        <v>-2.7566004174128949E-2</v>
      </c>
      <c r="AU87" s="279">
        <v>5.9999999999999995E-4</v>
      </c>
      <c r="AV87" s="279">
        <v>8.0999999999999996E-3</v>
      </c>
      <c r="AW87" s="279">
        <v>-5.0000000000000001E-3</v>
      </c>
      <c r="AX87" s="279">
        <v>-8.8000000000000005E-3</v>
      </c>
      <c r="AY87" s="279">
        <v>-1.55E-2</v>
      </c>
      <c r="AZ87" s="279">
        <v>-1.43E-2</v>
      </c>
      <c r="BA87" s="279">
        <v>-1.44E-2</v>
      </c>
      <c r="BB87" s="279">
        <v>-1.67E-2</v>
      </c>
      <c r="BD87" s="9">
        <f t="shared" si="7"/>
        <v>-1.3551538292577459E-2</v>
      </c>
    </row>
    <row r="88" spans="1:56" hidden="1" x14ac:dyDescent="0.3">
      <c r="A88">
        <v>20260603</v>
      </c>
      <c r="B88" s="9">
        <v>3.9100684261974619E-3</v>
      </c>
      <c r="C88" s="9">
        <v>7.0721357850078649E-4</v>
      </c>
      <c r="D88" s="9">
        <v>6.0292850990524508E-3</v>
      </c>
      <c r="E88" s="9">
        <v>-3.6014405762304961E-3</v>
      </c>
      <c r="F88" s="9">
        <v>-4.7704233750745419E-3</v>
      </c>
      <c r="G88" s="9">
        <v>-8.9285714285714367E-3</v>
      </c>
      <c r="H88" s="9">
        <v>-6.362672322375286E-3</v>
      </c>
      <c r="I88" s="9">
        <v>-1.470588235294119E-2</v>
      </c>
      <c r="J88" s="9">
        <v>-1.8181818181818198E-2</v>
      </c>
      <c r="K88" s="9">
        <v>-4.6948356807511782E-3</v>
      </c>
      <c r="L88" s="9">
        <v>8.4367245657567761E-3</v>
      </c>
      <c r="M88" s="9">
        <v>4.8367593712212867E-3</v>
      </c>
      <c r="N88" s="9">
        <v>-1.1149228130360119E-2</v>
      </c>
      <c r="O88" s="9">
        <v>-1.928640308582451E-3</v>
      </c>
      <c r="P88" s="9">
        <v>-4.0053404539385886E-3</v>
      </c>
      <c r="Q88" s="9">
        <v>3.9346696362286507E-2</v>
      </c>
      <c r="R88" s="9">
        <v>-8.8607594936708934E-3</v>
      </c>
      <c r="S88" s="9">
        <v>-1.2012012012012021E-2</v>
      </c>
      <c r="T88" s="9">
        <v>-1.272727272727274E-2</v>
      </c>
      <c r="U88" s="9">
        <v>9.1654606849976492E-3</v>
      </c>
      <c r="V88" s="9">
        <v>-6.8463842533162227E-3</v>
      </c>
      <c r="W88" s="9">
        <v>1.407459535538355E-3</v>
      </c>
      <c r="X88" s="9">
        <v>-1.2944983818770239E-2</v>
      </c>
      <c r="Y88" s="9">
        <v>-1.051524710830706E-2</v>
      </c>
      <c r="Z88" s="9">
        <v>-1.785714285714287E-2</v>
      </c>
      <c r="AA88" s="9">
        <v>-1.470588235294119E-2</v>
      </c>
      <c r="AB88" s="9">
        <v>-1.7426273458445059E-2</v>
      </c>
      <c r="AC88" s="9">
        <v>6.4464141821112056E-3</v>
      </c>
      <c r="AD88" s="9">
        <v>-1.2800000000000009E-2</v>
      </c>
      <c r="AE88" s="9">
        <v>9.4786729857819999E-3</v>
      </c>
      <c r="AF88" s="9">
        <v>-1.5564202334630361E-2</v>
      </c>
      <c r="AG88" s="9">
        <v>-7.943512797881639E-3</v>
      </c>
      <c r="AH88" s="9">
        <v>-1.6556291390728489E-2</v>
      </c>
      <c r="AI88" s="9">
        <v>4.7355958958168951E-3</v>
      </c>
      <c r="AJ88" s="9">
        <v>3.3653846153846083E-2</v>
      </c>
      <c r="AK88" s="9">
        <v>4.00981996726677E-2</v>
      </c>
      <c r="AL88" s="279">
        <v>2.177147958505099E-3</v>
      </c>
      <c r="AM88" s="279">
        <v>7.2849690817792453E-3</v>
      </c>
      <c r="AN88" s="279">
        <v>1.6547814267268261E-2</v>
      </c>
      <c r="AO88" s="279">
        <v>-4.7999999999999996E-3</v>
      </c>
      <c r="AP88" s="279">
        <v>2.2196585314575071E-4</v>
      </c>
      <c r="AQ88" s="279">
        <v>4.9343389712078337E-3</v>
      </c>
      <c r="AR88" s="279">
        <v>4.8935309835382908E-3</v>
      </c>
      <c r="AS88" s="279">
        <v>5.7124568906450303E-3</v>
      </c>
      <c r="AT88" s="279">
        <v>-1.488789144137188E-2</v>
      </c>
      <c r="AU88" s="279">
        <v>-3.0000000000000001E-3</v>
      </c>
      <c r="AV88" s="279">
        <v>-1.5100000000000001E-2</v>
      </c>
      <c r="AW88" s="279">
        <v>-2.8999999999999998E-3</v>
      </c>
      <c r="AX88" s="279">
        <v>-1.0999999999999999E-2</v>
      </c>
      <c r="AY88" s="279">
        <v>-1.2699999999999999E-2</v>
      </c>
      <c r="AZ88" s="279">
        <v>-1.6199999999999999E-2</v>
      </c>
      <c r="BA88" s="279">
        <v>-1.3100000000000001E-2</v>
      </c>
      <c r="BB88" s="279">
        <v>-1.0500000000000001E-2</v>
      </c>
      <c r="BD88" s="9">
        <f t="shared" si="7"/>
        <v>-1.671245689064503E-2</v>
      </c>
    </row>
    <row r="89" spans="1:56" hidden="1" x14ac:dyDescent="0.3">
      <c r="A89">
        <v>20260604</v>
      </c>
      <c r="B89" s="9">
        <v>-1.2171372930866561E-2</v>
      </c>
      <c r="C89" s="9">
        <v>9.1872791519433932E-3</v>
      </c>
      <c r="D89" s="9">
        <v>1.7123287671232891E-3</v>
      </c>
      <c r="E89" s="9">
        <v>-1.9277108433734959E-2</v>
      </c>
      <c r="F89" s="9">
        <v>1.6776512881965262E-2</v>
      </c>
      <c r="G89" s="9">
        <v>-2.4774774774774799E-2</v>
      </c>
      <c r="H89" s="9">
        <v>-1.3874066168623279E-2</v>
      </c>
      <c r="I89" s="9">
        <v>-1.6417910447761211E-2</v>
      </c>
      <c r="J89" s="9">
        <v>-1.346801346801348E-2</v>
      </c>
      <c r="K89" s="9">
        <v>-7.8616352201257931E-3</v>
      </c>
      <c r="L89" s="9">
        <v>-3.0511811023622069E-2</v>
      </c>
      <c r="M89" s="9">
        <v>9.0252707581230877E-4</v>
      </c>
      <c r="N89" s="9">
        <v>-6.0711188204684453E-3</v>
      </c>
      <c r="O89" s="9">
        <v>-1.2560386473429859E-2</v>
      </c>
      <c r="P89" s="9">
        <v>-4.6916890080428248E-3</v>
      </c>
      <c r="Q89" s="9">
        <v>2.142857142857145E-2</v>
      </c>
      <c r="R89" s="9">
        <v>-1.149425287356323E-2</v>
      </c>
      <c r="S89" s="9">
        <v>-7.5987841945288816E-3</v>
      </c>
      <c r="T89" s="9">
        <v>-2.2099447513812171E-2</v>
      </c>
      <c r="U89" s="9">
        <v>4.7801147227528201E-4</v>
      </c>
      <c r="V89" s="9">
        <v>-2.2834984920293139E-2</v>
      </c>
      <c r="W89" s="9">
        <v>-1.475755446240346E-2</v>
      </c>
      <c r="X89" s="9">
        <v>-1.311475409836067E-2</v>
      </c>
      <c r="Y89" s="9">
        <v>-1.3815090329436661E-2</v>
      </c>
      <c r="Z89" s="9">
        <v>-1.5151515151515169E-2</v>
      </c>
      <c r="AA89" s="9">
        <v>-1.1940298507462701E-2</v>
      </c>
      <c r="AB89" s="9">
        <v>-1.227830832196454E-2</v>
      </c>
      <c r="AC89" s="9">
        <v>-1.6813450760608591E-2</v>
      </c>
      <c r="AD89" s="9">
        <v>-7.2933549432738229E-3</v>
      </c>
      <c r="AE89" s="9">
        <v>9.3896713615033989E-4</v>
      </c>
      <c r="AF89" s="9">
        <v>-2.898550724637684E-2</v>
      </c>
      <c r="AG89" s="9">
        <v>-1.2455516014234891E-2</v>
      </c>
      <c r="AH89" s="9">
        <v>-1.7957351290684639E-2</v>
      </c>
      <c r="AI89" s="9">
        <v>3.9277297721917641E-3</v>
      </c>
      <c r="AJ89" s="9">
        <v>2.000000000000007E-2</v>
      </c>
      <c r="AK89" s="9">
        <v>7.0810385523211016E-3</v>
      </c>
      <c r="AL89" s="279">
        <v>-6.4136059632113754E-3</v>
      </c>
      <c r="AM89" s="279">
        <v>-2.746679180959089E-3</v>
      </c>
      <c r="AN89" s="279">
        <v>-8.2714303974278994E-3</v>
      </c>
      <c r="AO89" s="279">
        <v>-1.2800000000000001E-2</v>
      </c>
      <c r="AP89" s="279">
        <v>-1.012288264267693E-2</v>
      </c>
      <c r="AQ89" s="279">
        <v>-6.8970879416474697E-3</v>
      </c>
      <c r="AR89" s="279">
        <v>-6.471895525509174E-4</v>
      </c>
      <c r="AS89" s="279">
        <v>-1.492325274091477E-3</v>
      </c>
      <c r="AT89" s="279">
        <v>-1.8770209270221921E-2</v>
      </c>
      <c r="AU89" s="279">
        <v>-5.7999999999999996E-3</v>
      </c>
      <c r="AV89" s="279">
        <v>-2.1399999999999999E-2</v>
      </c>
      <c r="AW89" s="279">
        <v>-8.8000000000000005E-3</v>
      </c>
      <c r="AX89" s="279">
        <v>-2.01E-2</v>
      </c>
      <c r="AY89" s="279">
        <v>-1.8499999999999999E-2</v>
      </c>
      <c r="AZ89" s="279">
        <v>-2.1299999999999999E-2</v>
      </c>
      <c r="BA89" s="279">
        <v>-1.6500000000000001E-2</v>
      </c>
      <c r="BB89" s="279">
        <v>-2.0500000000000001E-2</v>
      </c>
      <c r="BD89" s="9">
        <f t="shared" si="7"/>
        <v>-1.8607674725908522E-2</v>
      </c>
    </row>
    <row r="90" spans="1:56" hidden="1" x14ac:dyDescent="0.3">
      <c r="A90">
        <v>20260605</v>
      </c>
      <c r="B90" s="9">
        <v>-9.8570724494825134E-3</v>
      </c>
      <c r="C90" s="9">
        <v>3.50140056022417E-3</v>
      </c>
      <c r="D90" s="9">
        <v>2.820512820512833E-2</v>
      </c>
      <c r="E90" s="9">
        <v>2.45700245700246E-3</v>
      </c>
      <c r="F90" s="9">
        <v>-9.4284030642310043E-3</v>
      </c>
      <c r="G90" s="9">
        <v>0</v>
      </c>
      <c r="H90" s="9">
        <v>-3.24675324675325E-3</v>
      </c>
      <c r="I90" s="9">
        <v>-1.5174506828528091E-3</v>
      </c>
      <c r="J90" s="9">
        <v>8.5324232081911335E-3</v>
      </c>
      <c r="K90" s="9">
        <v>1.584786053882727E-3</v>
      </c>
      <c r="L90" s="9">
        <v>-2.233502538071068E-2</v>
      </c>
      <c r="M90" s="9">
        <v>-1.8034265103696371E-3</v>
      </c>
      <c r="N90" s="9">
        <v>0</v>
      </c>
      <c r="O90" s="9">
        <v>-5.8708414872798492E-3</v>
      </c>
      <c r="P90" s="9">
        <v>-2.6936026936026959E-3</v>
      </c>
      <c r="Q90" s="9">
        <v>-2.447552447552442E-2</v>
      </c>
      <c r="R90" s="9">
        <v>1.291989664082688E-2</v>
      </c>
      <c r="S90" s="9">
        <v>-6.8912710566616528E-3</v>
      </c>
      <c r="T90" s="9">
        <v>-7.532956685499065E-3</v>
      </c>
      <c r="U90" s="9">
        <v>-1.8633540372670881E-2</v>
      </c>
      <c r="V90" s="9">
        <v>-3.262786596119923E-2</v>
      </c>
      <c r="W90" s="9">
        <v>-3.5663338088444962E-2</v>
      </c>
      <c r="X90" s="9">
        <v>-3.3222591362126281E-3</v>
      </c>
      <c r="Y90" s="9">
        <v>4.3103448275862103E-3</v>
      </c>
      <c r="Z90" s="9">
        <v>6.153846153846159E-3</v>
      </c>
      <c r="AA90" s="9">
        <v>-6.0422960725075581E-3</v>
      </c>
      <c r="AB90" s="9">
        <v>0</v>
      </c>
      <c r="AC90" s="9">
        <v>-4.0716612377850202E-2</v>
      </c>
      <c r="AD90" s="9">
        <v>8.1632653061215494E-4</v>
      </c>
      <c r="AE90" s="9">
        <v>-2.439024390243905E-2</v>
      </c>
      <c r="AF90" s="9">
        <v>-9.4979647218453277E-3</v>
      </c>
      <c r="AG90" s="9">
        <v>1.081081081081082E-2</v>
      </c>
      <c r="AH90" s="9">
        <v>-1.142857142857144E-3</v>
      </c>
      <c r="AI90" s="9">
        <v>-3.129890453834118E-3</v>
      </c>
      <c r="AJ90" s="9">
        <v>-4.6511627906976688E-2</v>
      </c>
      <c r="AK90" s="9">
        <v>-3.6718749999999953E-2</v>
      </c>
      <c r="AL90" s="279">
        <v>-7.4042684905863253E-3</v>
      </c>
      <c r="AM90" s="279">
        <v>-2.214783064533124E-2</v>
      </c>
      <c r="AN90" s="279">
        <v>-3.2025584487111847E-2</v>
      </c>
      <c r="AO90" s="279">
        <v>5.5899999999999998E-2</v>
      </c>
      <c r="AP90" s="279">
        <v>-8.8134638883096521E-3</v>
      </c>
      <c r="AQ90" s="279">
        <v>-1.790635029826218E-2</v>
      </c>
      <c r="AR90" s="279">
        <v>-1.2636907388810761E-2</v>
      </c>
      <c r="AS90" s="279">
        <v>-9.3980056044497013E-3</v>
      </c>
      <c r="AT90" s="279">
        <v>1.6774677166061121E-2</v>
      </c>
      <c r="AU90" s="279">
        <v>4.7000000000000002E-3</v>
      </c>
      <c r="AV90" s="279">
        <v>-8.9999999999999998E-4</v>
      </c>
      <c r="AW90" s="279">
        <v>4.0000000000000001E-3</v>
      </c>
      <c r="AX90" s="279">
        <v>1.0800000000000001E-2</v>
      </c>
      <c r="AY90" s="279">
        <v>5.4000000000000003E-3</v>
      </c>
      <c r="AZ90" s="279">
        <v>1.6799999999999999E-2</v>
      </c>
      <c r="BA90" s="279">
        <v>9.7999999999999997E-3</v>
      </c>
      <c r="BB90" s="279">
        <v>8.3999999999999995E-3</v>
      </c>
      <c r="BD90" s="9">
        <f t="shared" si="7"/>
        <v>2.0198005604449704E-2</v>
      </c>
    </row>
    <row r="91" spans="1:56" hidden="1" x14ac:dyDescent="0.3">
      <c r="A91">
        <v>20260608</v>
      </c>
      <c r="B91" s="9">
        <v>-8.9596814335489265E-3</v>
      </c>
      <c r="C91" s="9">
        <v>-1.535240753663644E-2</v>
      </c>
      <c r="D91" s="9">
        <v>4.9875311720698296E-3</v>
      </c>
      <c r="E91" s="9">
        <v>-3.0637254901960679E-2</v>
      </c>
      <c r="F91" s="9">
        <v>-6.5437239738251746E-3</v>
      </c>
      <c r="G91" s="9">
        <v>-1.8475750577367219E-2</v>
      </c>
      <c r="H91" s="9">
        <v>-2.388707926167212E-2</v>
      </c>
      <c r="I91" s="9">
        <v>-1.8237082066869321E-2</v>
      </c>
      <c r="J91" s="9">
        <v>-2.5380710659898501E-2</v>
      </c>
      <c r="K91" s="9">
        <v>-2.6898734177215219E-2</v>
      </c>
      <c r="L91" s="9">
        <v>-5.5036344755970863E-2</v>
      </c>
      <c r="M91" s="9">
        <v>-5.1189400782897763E-3</v>
      </c>
      <c r="N91" s="9">
        <v>-2.7050610820244261E-2</v>
      </c>
      <c r="O91" s="9">
        <v>-1.476377952755918E-2</v>
      </c>
      <c r="P91" s="9">
        <v>-8.1026333558406553E-3</v>
      </c>
      <c r="Q91" s="9">
        <v>-4.3010752688172078E-3</v>
      </c>
      <c r="R91" s="9">
        <v>6.3775510204081686E-3</v>
      </c>
      <c r="S91" s="9">
        <v>-2.6985350809560469E-2</v>
      </c>
      <c r="T91" s="9">
        <v>-9.4876660341556059E-3</v>
      </c>
      <c r="U91" s="9">
        <v>-2.6777020447906391E-2</v>
      </c>
      <c r="V91" s="9">
        <v>-3.463992707383777E-2</v>
      </c>
      <c r="W91" s="9">
        <v>-3.106508875739648E-2</v>
      </c>
      <c r="X91" s="9">
        <v>-2.3333333333333359E-2</v>
      </c>
      <c r="Y91" s="9">
        <v>-1.2875536480686711E-2</v>
      </c>
      <c r="Z91" s="9">
        <v>-1.5290519877675849E-2</v>
      </c>
      <c r="AA91" s="9">
        <v>-2.7355623100303979E-2</v>
      </c>
      <c r="AB91" s="9">
        <v>-2.3480662983425441E-2</v>
      </c>
      <c r="AC91" s="9">
        <v>-2.8013582342954091E-2</v>
      </c>
      <c r="AD91" s="9">
        <v>-1.386623164763451E-2</v>
      </c>
      <c r="AE91" s="9">
        <v>-5.0961538461538503E-2</v>
      </c>
      <c r="AF91" s="9">
        <v>-3.0136986301369888E-2</v>
      </c>
      <c r="AG91" s="9">
        <v>-2.3172905525846721E-2</v>
      </c>
      <c r="AH91" s="9">
        <v>-2.2883295194508029E-2</v>
      </c>
      <c r="AI91" s="9">
        <v>-4.2386185243328142E-2</v>
      </c>
      <c r="AJ91" s="9">
        <v>-4.5911047345767612E-2</v>
      </c>
      <c r="AK91" s="9">
        <v>-3.5685320356853227E-2</v>
      </c>
      <c r="AL91" s="279">
        <v>-1.6981773383359759E-2</v>
      </c>
      <c r="AM91" s="279">
        <v>-3.2224823209073702E-2</v>
      </c>
      <c r="AN91" s="279">
        <v>-3.6925720104044088E-2</v>
      </c>
      <c r="AO91" s="279">
        <v>1.3299999999999999E-2</v>
      </c>
      <c r="AP91" s="279">
        <v>-1.425495818715883E-2</v>
      </c>
      <c r="AQ91" s="279">
        <v>-2.1441979522184351E-2</v>
      </c>
      <c r="AR91" s="279">
        <v>-3.4866438471964051E-2</v>
      </c>
      <c r="AS91" s="279">
        <v>-3.1135709389910948E-2</v>
      </c>
      <c r="AT91" s="279">
        <v>-2.7909076208266031E-2</v>
      </c>
      <c r="AU91" s="279">
        <v>-1.1599999999999999E-2</v>
      </c>
      <c r="AV91" s="279">
        <v>-1.7999999999999999E-2</v>
      </c>
      <c r="AW91" s="279">
        <v>-2.63E-2</v>
      </c>
      <c r="AX91" s="279">
        <v>-2.3300000000000001E-2</v>
      </c>
      <c r="AY91" s="279">
        <v>-3.5000000000000003E-2</v>
      </c>
      <c r="AZ91" s="279">
        <v>-2.8000000000000001E-2</v>
      </c>
      <c r="BA91" s="279">
        <v>-2.24E-2</v>
      </c>
      <c r="BB91" s="279">
        <v>-2.69E-2</v>
      </c>
      <c r="BD91" s="9">
        <f t="shared" si="7"/>
        <v>7.835709389910947E-3</v>
      </c>
    </row>
    <row r="92" spans="1:56" hidden="1" x14ac:dyDescent="0.3">
      <c r="A92">
        <v>20260609</v>
      </c>
      <c r="B92" s="9">
        <v>-5.5248618784530992E-3</v>
      </c>
      <c r="C92" s="9">
        <v>1.204819277108427E-2</v>
      </c>
      <c r="D92" s="9">
        <v>1.075268817204293E-2</v>
      </c>
      <c r="E92" s="9">
        <v>1.6434892541087241E-2</v>
      </c>
      <c r="F92" s="9">
        <v>1.0778443113772469E-2</v>
      </c>
      <c r="G92" s="9">
        <v>-9.4117647058823608E-3</v>
      </c>
      <c r="H92" s="9">
        <v>0</v>
      </c>
      <c r="I92" s="9">
        <v>-3.0959752321981461E-3</v>
      </c>
      <c r="J92" s="9">
        <v>1.736111111111113E-3</v>
      </c>
      <c r="K92" s="9">
        <v>4.0650406504065982E-3</v>
      </c>
      <c r="L92" s="9">
        <v>2.692307692307689E-2</v>
      </c>
      <c r="M92" s="9">
        <v>-3.9346246973365317E-3</v>
      </c>
      <c r="N92" s="9">
        <v>8.071748878923873E-3</v>
      </c>
      <c r="O92" s="9">
        <v>3.9960039960040003E-3</v>
      </c>
      <c r="P92" s="9">
        <v>8.1688223281143699E-3</v>
      </c>
      <c r="Q92" s="9">
        <v>-2.0878329733621252E-2</v>
      </c>
      <c r="R92" s="9">
        <v>3.8022813688212958E-3</v>
      </c>
      <c r="S92" s="9">
        <v>7.9239302694127578E-4</v>
      </c>
      <c r="T92" s="9">
        <v>-1.915708812260538E-3</v>
      </c>
      <c r="U92" s="9">
        <v>3.8019009504752413E-2</v>
      </c>
      <c r="V92" s="9">
        <v>3.635505193578846E-2</v>
      </c>
      <c r="W92" s="9">
        <v>1.0687022900763369E-2</v>
      </c>
      <c r="X92" s="9">
        <v>-3.412969283276454E-3</v>
      </c>
      <c r="Y92" s="9">
        <v>-4.3478260869565253E-3</v>
      </c>
      <c r="Z92" s="9">
        <v>-6.211180124223609E-3</v>
      </c>
      <c r="AA92" s="9">
        <v>0</v>
      </c>
      <c r="AB92" s="9">
        <v>2.828854314002832E-3</v>
      </c>
      <c r="AC92" s="9">
        <v>1.2227074235807871E-2</v>
      </c>
      <c r="AD92" s="9">
        <v>4.135649296939531E-3</v>
      </c>
      <c r="AE92" s="9">
        <v>2.7355623100303979E-2</v>
      </c>
      <c r="AF92" s="9">
        <v>1.8361581920903969E-2</v>
      </c>
      <c r="AG92" s="9">
        <v>1.003649635036487E-2</v>
      </c>
      <c r="AH92" s="9">
        <v>1.6393442622950831E-2</v>
      </c>
      <c r="AI92" s="9">
        <v>1.229508196721322E-2</v>
      </c>
      <c r="AJ92" s="9">
        <v>5.7142857142857093E-2</v>
      </c>
      <c r="AK92" s="9">
        <v>5.4667788057190879E-2</v>
      </c>
      <c r="AL92" s="279">
        <v>1.2803352479631651E-2</v>
      </c>
      <c r="AM92" s="279">
        <v>3.0194930366589941E-2</v>
      </c>
      <c r="AN92" s="279">
        <v>3.9342276649916012E-2</v>
      </c>
      <c r="AO92" s="279">
        <v>1.6400000000000001E-2</v>
      </c>
      <c r="AP92" s="279">
        <v>6.2585906684323716E-3</v>
      </c>
      <c r="AQ92" s="279">
        <v>1.8706259880907041E-2</v>
      </c>
      <c r="AR92" s="279">
        <v>2.671274634257274E-2</v>
      </c>
      <c r="AS92" s="279">
        <v>2.938120672008989E-2</v>
      </c>
      <c r="AT92" s="279">
        <v>5.3595403625769757E-3</v>
      </c>
      <c r="AU92" s="279">
        <v>1.4999999999999999E-2</v>
      </c>
      <c r="AV92" s="279">
        <v>-2.8E-3</v>
      </c>
      <c r="AW92" s="279">
        <v>1.43E-2</v>
      </c>
      <c r="AX92" s="279">
        <v>5.5999999999999999E-3</v>
      </c>
      <c r="AY92" s="279">
        <v>6.4999999999999997E-3</v>
      </c>
      <c r="AZ92" s="279">
        <v>-2.7000000000000001E-3</v>
      </c>
      <c r="BA92" s="279">
        <v>6.8999999999999999E-3</v>
      </c>
      <c r="BB92" s="279">
        <v>2.3999999999999998E-3</v>
      </c>
      <c r="BD92" s="9">
        <f t="shared" si="7"/>
        <v>-2.378120672008989E-2</v>
      </c>
    </row>
    <row r="93" spans="1:56" hidden="1" x14ac:dyDescent="0.3">
      <c r="A93">
        <v>20260610</v>
      </c>
      <c r="B93" s="9">
        <v>1.2626262626262579E-2</v>
      </c>
      <c r="C93" s="9">
        <v>-3.8515406162464953E-2</v>
      </c>
      <c r="D93" s="9">
        <v>-4.0916530278232437E-2</v>
      </c>
      <c r="E93" s="9">
        <v>0</v>
      </c>
      <c r="F93" s="9">
        <v>-4.2061611374407552E-2</v>
      </c>
      <c r="G93" s="9">
        <v>1.187648456057008E-2</v>
      </c>
      <c r="H93" s="9">
        <v>-1.1123470522803121E-3</v>
      </c>
      <c r="I93" s="9">
        <v>9.3167701863354109E-3</v>
      </c>
      <c r="J93" s="9">
        <v>1.559792027729638E-2</v>
      </c>
      <c r="K93" s="9">
        <v>-8.097165991902841E-3</v>
      </c>
      <c r="L93" s="9">
        <v>-1.3911182450508311E-2</v>
      </c>
      <c r="M93" s="9">
        <v>-9.1157702825888191E-3</v>
      </c>
      <c r="N93" s="9">
        <v>0</v>
      </c>
      <c r="O93" s="9">
        <v>1.29353233830847E-2</v>
      </c>
      <c r="P93" s="9">
        <v>-1.350438892640109E-2</v>
      </c>
      <c r="Q93" s="9">
        <v>-4.0441176470588348E-2</v>
      </c>
      <c r="R93" s="9">
        <v>1.767676767676769E-2</v>
      </c>
      <c r="S93" s="9">
        <v>7.9176563737142673E-4</v>
      </c>
      <c r="T93" s="9">
        <v>5.7581573896353213E-3</v>
      </c>
      <c r="U93" s="9">
        <v>-2.7951807228915791E-2</v>
      </c>
      <c r="V93" s="9">
        <v>-3.3257403189066038E-2</v>
      </c>
      <c r="W93" s="9">
        <v>-2.2658610271903339E-2</v>
      </c>
      <c r="X93" s="9">
        <v>-3.4246575342465791E-3</v>
      </c>
      <c r="Y93" s="9">
        <v>7.6419213973799192E-3</v>
      </c>
      <c r="Z93" s="9">
        <v>1.562500000000001E-2</v>
      </c>
      <c r="AA93" s="9">
        <v>1.562500000000001E-2</v>
      </c>
      <c r="AB93" s="9">
        <v>1.6925246826516239E-2</v>
      </c>
      <c r="AC93" s="9">
        <v>-2.7610008628127718E-2</v>
      </c>
      <c r="AD93" s="9">
        <v>-2.5535420098846719E-2</v>
      </c>
      <c r="AE93" s="9">
        <v>-1.282051282051294E-2</v>
      </c>
      <c r="AF93" s="9">
        <v>-2.3578363384188651E-2</v>
      </c>
      <c r="AG93" s="9">
        <v>-1.4453477868112029E-2</v>
      </c>
      <c r="AH93" s="9">
        <v>-1.7281105990783429E-2</v>
      </c>
      <c r="AI93" s="9">
        <v>-1.0526315789473779E-2</v>
      </c>
      <c r="AJ93" s="9">
        <v>-4.26742532005685E-3</v>
      </c>
      <c r="AK93" s="9">
        <v>-3.6682615629984081E-2</v>
      </c>
      <c r="AL93" s="279">
        <v>-4.1907905450106961E-3</v>
      </c>
      <c r="AM93" s="279">
        <v>-2.0604844810072319E-2</v>
      </c>
      <c r="AN93" s="279">
        <v>-2.6997040953376801E-2</v>
      </c>
      <c r="AO93" s="279">
        <v>-3.1600000000000003E-2</v>
      </c>
      <c r="AP93" s="279">
        <v>2.6999388608129932E-3</v>
      </c>
      <c r="AQ93" s="279">
        <v>-1.108283937039572E-2</v>
      </c>
      <c r="AR93" s="279">
        <v>-1.3736881249786731E-2</v>
      </c>
      <c r="AS93" s="279">
        <v>-1.442225694453639E-2</v>
      </c>
      <c r="AT93" s="279">
        <v>-1.039962616205487E-2</v>
      </c>
      <c r="AU93" s="279">
        <v>-1.4800000000000001E-2</v>
      </c>
      <c r="AV93" s="279">
        <v>-2.5000000000000001E-2</v>
      </c>
      <c r="AW93" s="279">
        <v>-1.29E-2</v>
      </c>
      <c r="AX93" s="279">
        <v>-8.9999999999999993E-3</v>
      </c>
      <c r="AY93" s="279">
        <v>1.4E-3</v>
      </c>
      <c r="AZ93" s="279">
        <v>-5.7000000000000002E-3</v>
      </c>
      <c r="BA93" s="279">
        <v>-5.7000000000000002E-3</v>
      </c>
      <c r="BB93" s="279">
        <v>-8.0000000000000002E-3</v>
      </c>
      <c r="BD93" s="9">
        <f t="shared" si="7"/>
        <v>5.4222569445363904E-3</v>
      </c>
    </row>
    <row r="94" spans="1:56" hidden="1" x14ac:dyDescent="0.3">
      <c r="A94">
        <v>20260611</v>
      </c>
      <c r="B94" s="9">
        <v>7.4812967581048004E-3</v>
      </c>
      <c r="C94" s="9">
        <v>-1.6751638747268691E-2</v>
      </c>
      <c r="D94" s="9">
        <v>-3.4982935153583562E-2</v>
      </c>
      <c r="E94" s="9">
        <v>1.492537313432823E-2</v>
      </c>
      <c r="F94" s="9">
        <v>-1.607915893630181E-2</v>
      </c>
      <c r="G94" s="9">
        <v>-4.6948356807511782E-3</v>
      </c>
      <c r="H94" s="9">
        <v>8.9086859688196074E-3</v>
      </c>
      <c r="I94" s="9">
        <v>0</v>
      </c>
      <c r="J94" s="9">
        <v>-2.3890784982935179E-2</v>
      </c>
      <c r="K94" s="9">
        <v>-1.6326530612244909E-3</v>
      </c>
      <c r="L94" s="9">
        <v>2.0075963103635339E-2</v>
      </c>
      <c r="M94" s="9">
        <v>-3.0665440049074951E-4</v>
      </c>
      <c r="N94" s="9">
        <v>-1.7793594306049841E-3</v>
      </c>
      <c r="O94" s="9">
        <v>-9.8231827111984367E-3</v>
      </c>
      <c r="P94" s="9">
        <v>3.422313483915054E-3</v>
      </c>
      <c r="Q94" s="9">
        <v>3.8314176245211619E-3</v>
      </c>
      <c r="R94" s="9">
        <v>-4.9627791563275478E-3</v>
      </c>
      <c r="S94" s="9">
        <v>-3.164556962025319E-3</v>
      </c>
      <c r="T94" s="9">
        <v>-7.6335877862595486E-3</v>
      </c>
      <c r="U94" s="9">
        <v>-1.4377788795240411E-2</v>
      </c>
      <c r="V94" s="9">
        <v>-1.036757775683308E-2</v>
      </c>
      <c r="W94" s="9">
        <v>2.318392581143656E-3</v>
      </c>
      <c r="X94" s="9">
        <v>6.8728522336769828E-3</v>
      </c>
      <c r="Y94" s="9">
        <v>-8.6673889490790964E-3</v>
      </c>
      <c r="Z94" s="9">
        <v>0</v>
      </c>
      <c r="AA94" s="9">
        <v>-1.230769230769232E-2</v>
      </c>
      <c r="AB94" s="9">
        <v>-4.1608876560332913E-3</v>
      </c>
      <c r="AC94" s="9">
        <v>8.8731144631755984E-4</v>
      </c>
      <c r="AD94" s="9">
        <v>-1.4370245139476011E-2</v>
      </c>
      <c r="AE94" s="9">
        <v>-2.997002997002889E-3</v>
      </c>
      <c r="AF94" s="9">
        <v>-4.1193181818181712E-2</v>
      </c>
      <c r="AG94" s="9">
        <v>-3.8496791934005542E-2</v>
      </c>
      <c r="AH94" s="9">
        <v>-3.5169988276670609E-2</v>
      </c>
      <c r="AI94" s="9">
        <v>-2.4549918166938559E-3</v>
      </c>
      <c r="AJ94" s="9">
        <v>1.428571428571419E-2</v>
      </c>
      <c r="AK94" s="9">
        <v>-1.6556291390728489E-2</v>
      </c>
      <c r="AL94" s="279">
        <v>-1.555484212513927E-3</v>
      </c>
      <c r="AM94" s="279">
        <v>-6.8291906567430069E-3</v>
      </c>
      <c r="AN94" s="279">
        <v>-1.129681931040144E-2</v>
      </c>
      <c r="AO94" s="279">
        <v>-3.3399999999999999E-2</v>
      </c>
      <c r="AP94" s="279">
        <v>-1.5611312079244211E-3</v>
      </c>
      <c r="AQ94" s="279">
        <v>-5.5134015486272029E-3</v>
      </c>
      <c r="AR94" s="279">
        <v>-3.4828464368942152E-3</v>
      </c>
      <c r="AS94" s="279">
        <v>-4.7896965430230523E-3</v>
      </c>
      <c r="AT94" s="279">
        <v>-1.4008871896416209E-2</v>
      </c>
      <c r="AU94" s="279">
        <v>2.2000000000000001E-3</v>
      </c>
      <c r="AV94" s="279">
        <v>-1.5900000000000001E-2</v>
      </c>
      <c r="AW94" s="279">
        <v>-1.18E-2</v>
      </c>
      <c r="AX94" s="279">
        <v>-8.3999999999999995E-3</v>
      </c>
      <c r="AY94" s="279">
        <v>-1.37E-2</v>
      </c>
      <c r="AZ94" s="279">
        <v>-1.2500000000000001E-2</v>
      </c>
      <c r="BA94" s="279">
        <v>-8.3999999999999995E-3</v>
      </c>
      <c r="BB94" s="279">
        <v>-1.54E-2</v>
      </c>
      <c r="BD94" s="9">
        <f t="shared" si="7"/>
        <v>-3.6103034569769472E-3</v>
      </c>
    </row>
    <row r="95" spans="1:56" hidden="1" x14ac:dyDescent="0.3">
      <c r="A95">
        <v>20260612</v>
      </c>
      <c r="B95" s="9">
        <v>-1.485148514851542E-3</v>
      </c>
      <c r="C95" s="9">
        <v>1.4814814814814829E-3</v>
      </c>
      <c r="D95" s="9">
        <v>-9.7259062776303262E-3</v>
      </c>
      <c r="E95" s="9">
        <v>3.4313725490196109E-2</v>
      </c>
      <c r="F95" s="9">
        <v>1.3827781269641751E-2</v>
      </c>
      <c r="G95" s="9">
        <v>9.4339622641509517E-3</v>
      </c>
      <c r="H95" s="9">
        <v>1.324503311258279E-2</v>
      </c>
      <c r="I95" s="9">
        <v>1.0769230769230779E-2</v>
      </c>
      <c r="J95" s="9">
        <v>3.1468531468531499E-2</v>
      </c>
      <c r="K95" s="9">
        <v>2.6982829108748909E-2</v>
      </c>
      <c r="L95" s="9">
        <v>5.1063829787234088E-2</v>
      </c>
      <c r="M95" s="9">
        <v>1.31901840490798E-2</v>
      </c>
      <c r="N95" s="9">
        <v>8.021390374331458E-3</v>
      </c>
      <c r="O95" s="9">
        <v>3.6706349206349131E-2</v>
      </c>
      <c r="P95" s="9">
        <v>1.364256480218283E-3</v>
      </c>
      <c r="Q95" s="9">
        <v>6.1068702290076387E-3</v>
      </c>
      <c r="R95" s="9">
        <v>1.4962593516209349E-2</v>
      </c>
      <c r="S95" s="9">
        <v>1.349206349206342E-2</v>
      </c>
      <c r="T95" s="9">
        <v>1.3461538461538469E-2</v>
      </c>
      <c r="U95" s="9">
        <v>3.0181086519114721E-3</v>
      </c>
      <c r="V95" s="9">
        <v>1.476190476190462E-2</v>
      </c>
      <c r="W95" s="9">
        <v>1.002313030069401E-2</v>
      </c>
      <c r="X95" s="9">
        <v>1.7064846416382271E-2</v>
      </c>
      <c r="Y95" s="9">
        <v>1.6393442622950831E-2</v>
      </c>
      <c r="Z95" s="9">
        <v>2.1538461538461558E-2</v>
      </c>
      <c r="AA95" s="9">
        <v>2.4922118380062329E-2</v>
      </c>
      <c r="AB95" s="9">
        <v>2.506963788300838E-2</v>
      </c>
      <c r="AC95" s="9">
        <v>1.0638297872340439E-2</v>
      </c>
      <c r="AD95" s="9">
        <v>7.7186963979417834E-3</v>
      </c>
      <c r="AE95" s="9">
        <v>-2.0040080160320661E-3</v>
      </c>
      <c r="AF95" s="9">
        <v>1.3333333333333339E-2</v>
      </c>
      <c r="AG95" s="9">
        <v>1.3346043851286951E-2</v>
      </c>
      <c r="AH95" s="9">
        <v>8.5054678007290482E-3</v>
      </c>
      <c r="AI95" s="9">
        <v>2.2149302707136932E-2</v>
      </c>
      <c r="AJ95" s="9">
        <v>-1.126760563380283E-2</v>
      </c>
      <c r="AK95" s="9">
        <v>-5.0505050505050553E-3</v>
      </c>
      <c r="AL95" s="279">
        <v>1.116070544003479E-2</v>
      </c>
      <c r="AM95" s="279">
        <v>7.5025148162063309E-3</v>
      </c>
      <c r="AN95" s="279">
        <v>5.0133211028624159E-3</v>
      </c>
      <c r="AO95" s="279">
        <v>-7.7999999999999996E-3</v>
      </c>
      <c r="AP95" s="279">
        <v>1.576945795013843E-2</v>
      </c>
      <c r="AQ95" s="279">
        <v>1.162727860254466E-2</v>
      </c>
      <c r="AR95" s="279">
        <v>8.7638174220569364E-3</v>
      </c>
      <c r="AS95" s="279">
        <v>5.3120949867363158E-3</v>
      </c>
      <c r="AT95" s="279">
        <v>1.3121529686411559E-2</v>
      </c>
      <c r="AU95" s="279">
        <v>9.4999999999999998E-3</v>
      </c>
      <c r="AV95" s="279">
        <v>8.0000000000000002E-3</v>
      </c>
      <c r="AW95" s="279">
        <v>1.2E-2</v>
      </c>
      <c r="AX95" s="279">
        <v>1.44E-2</v>
      </c>
      <c r="AY95" s="279">
        <v>2.46E-2</v>
      </c>
      <c r="AZ95" s="279">
        <v>1.8800000000000001E-2</v>
      </c>
      <c r="BA95" s="279">
        <v>1.7899999999999999E-2</v>
      </c>
      <c r="BB95" s="279">
        <v>1.8100000000000002E-2</v>
      </c>
      <c r="BD95" s="9">
        <f t="shared" si="7"/>
        <v>9.0879050132636838E-3</v>
      </c>
    </row>
    <row r="96" spans="1:56" hidden="1" x14ac:dyDescent="0.3">
      <c r="A96">
        <v>20260615</v>
      </c>
      <c r="B96" s="9">
        <v>0</v>
      </c>
      <c r="C96" s="9">
        <v>3.2544378698224713E-2</v>
      </c>
      <c r="D96" s="9">
        <v>3.3928571428571259E-2</v>
      </c>
      <c r="E96" s="9">
        <v>2.60663507109005E-2</v>
      </c>
      <c r="F96" s="9">
        <v>2.97582145071296E-2</v>
      </c>
      <c r="G96" s="9">
        <v>-4.6728971962616862E-3</v>
      </c>
      <c r="H96" s="9">
        <v>7.6252723311546903E-3</v>
      </c>
      <c r="I96" s="9">
        <v>-4.5662100456621054E-3</v>
      </c>
      <c r="J96" s="9">
        <v>1.355932203389832E-2</v>
      </c>
      <c r="K96" s="9">
        <v>6.3694267515923622E-3</v>
      </c>
      <c r="L96" s="9">
        <v>4.4028340080971763E-2</v>
      </c>
      <c r="M96" s="9">
        <v>-1.6348773841961799E-2</v>
      </c>
      <c r="N96" s="9">
        <v>2.122015915119365E-2</v>
      </c>
      <c r="O96" s="9">
        <v>2.5837320574162811E-2</v>
      </c>
      <c r="P96" s="9">
        <v>2.724795640326978E-3</v>
      </c>
      <c r="Q96" s="9">
        <v>-4.5523520485584258E-2</v>
      </c>
      <c r="R96" s="9">
        <v>-1.4742014742014619E-2</v>
      </c>
      <c r="S96" s="9">
        <v>6.264682850430703E-3</v>
      </c>
      <c r="T96" s="9">
        <v>-3.7950664136622422E-3</v>
      </c>
      <c r="U96" s="9">
        <v>3.4603811434302988E-2</v>
      </c>
      <c r="V96" s="9">
        <v>3.0971374941342229E-2</v>
      </c>
      <c r="W96" s="9">
        <v>6.8702290076335087E-3</v>
      </c>
      <c r="X96" s="9">
        <v>-3.3557046979865801E-3</v>
      </c>
      <c r="Y96" s="9">
        <v>-2.1505376344086039E-3</v>
      </c>
      <c r="Z96" s="9">
        <v>-9.0361445783132613E-3</v>
      </c>
      <c r="AA96" s="9">
        <v>0</v>
      </c>
      <c r="AB96" s="9">
        <v>-5.4347826086956572E-3</v>
      </c>
      <c r="AC96" s="9">
        <v>8.7719298245614117E-3</v>
      </c>
      <c r="AD96" s="9">
        <v>1.5319148936170229E-2</v>
      </c>
      <c r="AE96" s="9">
        <v>2.208835341365464E-2</v>
      </c>
      <c r="AF96" s="9">
        <v>2.9239766081871212E-2</v>
      </c>
      <c r="AG96" s="9">
        <v>1.411100658513652E-2</v>
      </c>
      <c r="AH96" s="9">
        <v>1.4457831325301221E-2</v>
      </c>
      <c r="AI96" s="9">
        <v>1.605136436597112E-2</v>
      </c>
      <c r="AJ96" s="9">
        <v>5.9354226020892693E-2</v>
      </c>
      <c r="AK96" s="9">
        <v>7.0219966159052419E-2</v>
      </c>
      <c r="AL96" s="279">
        <v>1.6112734846694069E-2</v>
      </c>
      <c r="AM96" s="279">
        <v>3.7939172955897063E-2</v>
      </c>
      <c r="AN96" s="279">
        <v>5.3045215414871692E-2</v>
      </c>
      <c r="AO96" s="279">
        <v>1.7100000000000001E-2</v>
      </c>
      <c r="AP96" s="279">
        <v>1.6553007162728079E-2</v>
      </c>
      <c r="AQ96" s="279">
        <v>2.3944675268837999E-2</v>
      </c>
      <c r="AR96" s="279">
        <v>3.7075928150331193E-2</v>
      </c>
      <c r="AS96" s="279">
        <v>3.8820212466500553E-2</v>
      </c>
      <c r="AT96" s="279">
        <v>-6.16255223581582E-3</v>
      </c>
      <c r="AU96" s="279">
        <v>1.83E-2</v>
      </c>
      <c r="AV96" s="279">
        <v>6.7999999999999996E-3</v>
      </c>
      <c r="AW96" s="279">
        <v>2.3599999999999999E-2</v>
      </c>
      <c r="AX96" s="279">
        <v>3.8E-3</v>
      </c>
      <c r="AY96" s="279">
        <v>6.4999999999999997E-3</v>
      </c>
      <c r="AZ96" s="279">
        <v>3.2000000000000002E-3</v>
      </c>
      <c r="BA96" s="279">
        <v>6.6E-3</v>
      </c>
      <c r="BB96" s="279">
        <v>7.0000000000000001E-3</v>
      </c>
      <c r="BD96" s="9">
        <f t="shared" si="7"/>
        <v>-3.5020212466500555E-2</v>
      </c>
    </row>
    <row r="97" spans="1:56" hidden="1" x14ac:dyDescent="0.3">
      <c r="A97">
        <v>20260616</v>
      </c>
      <c r="B97" s="9">
        <v>-9.9157164105095679E-4</v>
      </c>
      <c r="C97" s="9">
        <v>1.4326647564469931E-3</v>
      </c>
      <c r="D97" s="9">
        <v>2.1588946459412901E-2</v>
      </c>
      <c r="E97" s="9">
        <v>-1.1547344110854511E-2</v>
      </c>
      <c r="F97" s="9">
        <v>-1.505117399157142E-2</v>
      </c>
      <c r="G97" s="9">
        <v>-1.643192488262912E-2</v>
      </c>
      <c r="H97" s="9">
        <v>-1.9459459459459479E-2</v>
      </c>
      <c r="I97" s="9">
        <v>-1.9877675840978611E-2</v>
      </c>
      <c r="J97" s="9">
        <v>-1.6722408026755869E-2</v>
      </c>
      <c r="K97" s="9">
        <v>-1.661392405063284E-2</v>
      </c>
      <c r="L97" s="9">
        <v>-6.7862336403297311E-3</v>
      </c>
      <c r="M97" s="9">
        <v>-1.6312711603570309E-2</v>
      </c>
      <c r="N97" s="9">
        <v>-6.9264069264069333E-3</v>
      </c>
      <c r="O97" s="9">
        <v>9.3283582089552317E-3</v>
      </c>
      <c r="P97" s="9">
        <v>6.7934782608703251E-4</v>
      </c>
      <c r="Q97" s="9">
        <v>-2.6232114467408519E-2</v>
      </c>
      <c r="R97" s="9">
        <v>-1.246882793017458E-2</v>
      </c>
      <c r="S97" s="9">
        <v>-2.023346303501947E-2</v>
      </c>
      <c r="T97" s="9">
        <v>-1.1428571428571441E-2</v>
      </c>
      <c r="U97" s="9">
        <v>3.5870092098885038E-2</v>
      </c>
      <c r="V97" s="9">
        <v>4.3695949021392837E-2</v>
      </c>
      <c r="W97" s="9">
        <v>-5.30705079605754E-3</v>
      </c>
      <c r="X97" s="9">
        <v>-1.346801346801348E-2</v>
      </c>
      <c r="Y97" s="9">
        <v>-1.400862068965518E-2</v>
      </c>
      <c r="Z97" s="9">
        <v>-1.8237082066869321E-2</v>
      </c>
      <c r="AA97" s="9">
        <v>-1.519756838905776E-2</v>
      </c>
      <c r="AB97" s="9">
        <v>-1.7759562841530071E-2</v>
      </c>
      <c r="AC97" s="9">
        <v>-6.9565217391304411E-3</v>
      </c>
      <c r="AD97" s="9">
        <v>-1.7602682313495498E-2</v>
      </c>
      <c r="AE97" s="9">
        <v>1.5717092337917501E-2</v>
      </c>
      <c r="AF97" s="9">
        <v>0</v>
      </c>
      <c r="AG97" s="9">
        <v>-1.391465677179974E-2</v>
      </c>
      <c r="AH97" s="9">
        <v>-8.3135391923990568E-3</v>
      </c>
      <c r="AI97" s="9">
        <v>7.8988941548174558E-4</v>
      </c>
      <c r="AJ97" s="9">
        <v>1.0309278350515519E-2</v>
      </c>
      <c r="AK97" s="9">
        <v>2.3715415019762869E-2</v>
      </c>
      <c r="AL97" s="279">
        <v>-1.118132871407354E-3</v>
      </c>
      <c r="AM97" s="279">
        <v>9.2804764115378552E-3</v>
      </c>
      <c r="AN97" s="279">
        <v>1.7207461940952531E-2</v>
      </c>
      <c r="AO97" s="279">
        <v>1.03E-2</v>
      </c>
      <c r="AP97" s="279">
        <v>-8.3925980952471047E-3</v>
      </c>
      <c r="AQ97" s="279">
        <v>-1.52903523347257E-3</v>
      </c>
      <c r="AR97" s="279">
        <v>1.2041695552192099E-2</v>
      </c>
      <c r="AS97" s="279">
        <v>1.4689223965592749E-2</v>
      </c>
      <c r="AT97" s="279">
        <v>1.4025353319286229E-3</v>
      </c>
      <c r="AU97" s="279">
        <v>7.7000000000000002E-3</v>
      </c>
      <c r="AV97" s="279">
        <v>1.01E-2</v>
      </c>
      <c r="AW97" s="279">
        <v>6.8999999999999999E-3</v>
      </c>
      <c r="AX97" s="279">
        <v>3.0999999999999999E-3</v>
      </c>
      <c r="AY97" s="279">
        <v>-8.9999999999999993E-3</v>
      </c>
      <c r="AZ97" s="279">
        <v>-9.1000000000000004E-3</v>
      </c>
      <c r="BA97" s="279">
        <v>1.5E-3</v>
      </c>
      <c r="BB97" s="279">
        <v>-3.3E-3</v>
      </c>
      <c r="BD97" s="9">
        <f t="shared" si="7"/>
        <v>-1.1589223965592749E-2</v>
      </c>
    </row>
    <row r="98" spans="1:56" hidden="1" x14ac:dyDescent="0.3">
      <c r="A98">
        <v>20260617</v>
      </c>
      <c r="B98" s="9">
        <v>6.4516129032257579E-3</v>
      </c>
      <c r="C98" s="9">
        <v>-2.1459227467810391E-3</v>
      </c>
      <c r="D98" s="9">
        <v>-2.5359256128487861E-3</v>
      </c>
      <c r="E98" s="9">
        <v>2.3364485981308431E-3</v>
      </c>
      <c r="F98" s="9">
        <v>8.5574572127139446E-3</v>
      </c>
      <c r="G98" s="9">
        <v>-1.431980906921242E-2</v>
      </c>
      <c r="H98" s="9">
        <v>-1.8743109151047429E-2</v>
      </c>
      <c r="I98" s="9">
        <v>-9.3603744149766063E-3</v>
      </c>
      <c r="J98" s="9">
        <v>-1.360544217687076E-2</v>
      </c>
      <c r="K98" s="9">
        <v>-1.9308125502815781E-2</v>
      </c>
      <c r="L98" s="9">
        <v>-1.9521717911176199E-3</v>
      </c>
      <c r="M98" s="9">
        <v>-1.126408010012517E-2</v>
      </c>
      <c r="N98" s="9">
        <v>2.789886660854406E-2</v>
      </c>
      <c r="O98" s="9">
        <v>-9.2421441774502024E-4</v>
      </c>
      <c r="P98" s="9">
        <v>-2.7155465037338789E-3</v>
      </c>
      <c r="Q98" s="9">
        <v>-2.448979591836737E-2</v>
      </c>
      <c r="R98" s="9">
        <v>-8.838383838383845E-3</v>
      </c>
      <c r="S98" s="9">
        <v>-1.588562351072281E-3</v>
      </c>
      <c r="T98" s="9">
        <v>-1.7341040462427761E-2</v>
      </c>
      <c r="U98" s="9">
        <v>1.403837154890086E-3</v>
      </c>
      <c r="V98" s="9">
        <v>1.308329699084025E-3</v>
      </c>
      <c r="W98" s="9">
        <v>-8.3841463414635071E-3</v>
      </c>
      <c r="X98" s="9">
        <v>3.412969283276454E-3</v>
      </c>
      <c r="Y98" s="9">
        <v>-1.420765027322405E-2</v>
      </c>
      <c r="Z98" s="9">
        <v>0</v>
      </c>
      <c r="AA98" s="9">
        <v>-3.0864197530864231E-3</v>
      </c>
      <c r="AB98" s="9">
        <v>-6.9541029207232331E-3</v>
      </c>
      <c r="AC98" s="9">
        <v>-1.0507880910683019E-2</v>
      </c>
      <c r="AD98" s="9">
        <v>-9.385665529010153E-3</v>
      </c>
      <c r="AE98" s="9">
        <v>-6.7698259187622028E-3</v>
      </c>
      <c r="AF98" s="9">
        <v>-2.840909090909094E-3</v>
      </c>
      <c r="AG98" s="9">
        <v>-1.7873941674506032E-2</v>
      </c>
      <c r="AH98" s="9">
        <v>-1.5568862275449119E-2</v>
      </c>
      <c r="AI98" s="9">
        <v>1.736385161799528E-2</v>
      </c>
      <c r="AJ98" s="9">
        <v>5.9006211180124217E-2</v>
      </c>
      <c r="AK98" s="9">
        <v>2.9343629343629371E-2</v>
      </c>
      <c r="AL98" s="279">
        <v>3.955187478066528E-3</v>
      </c>
      <c r="AM98" s="279">
        <v>1.3122674279517041E-2</v>
      </c>
      <c r="AN98" s="279">
        <v>1.562437392485674E-2</v>
      </c>
      <c r="AO98" s="279">
        <v>2.7000000000000001E-3</v>
      </c>
      <c r="AP98" s="279">
        <v>7.0282080970877079E-3</v>
      </c>
      <c r="AQ98" s="279">
        <v>9.6543735023233834E-3</v>
      </c>
      <c r="AR98" s="279">
        <v>1.399943511849297E-2</v>
      </c>
      <c r="AS98" s="279">
        <v>6.7154861969769509E-3</v>
      </c>
      <c r="AT98" s="279">
        <v>-2.127443649182785E-2</v>
      </c>
      <c r="AU98" s="279">
        <v>-4.1999999999999997E-3</v>
      </c>
      <c r="AV98" s="279">
        <v>-1.6400000000000001E-2</v>
      </c>
      <c r="AW98" s="279">
        <v>-8.9999999999999998E-4</v>
      </c>
      <c r="AX98" s="279">
        <v>-1.5100000000000001E-2</v>
      </c>
      <c r="AY98" s="279">
        <v>-7.4000000000000003E-3</v>
      </c>
      <c r="AZ98" s="279">
        <v>-1.7500000000000002E-2</v>
      </c>
      <c r="BA98" s="279">
        <v>-1.2999999999999999E-2</v>
      </c>
      <c r="BB98" s="279">
        <v>-1.32E-2</v>
      </c>
      <c r="BD98" s="9">
        <f t="shared" si="7"/>
        <v>-2.1815486196976951E-2</v>
      </c>
    </row>
    <row r="99" spans="1:56" hidden="1" x14ac:dyDescent="0.3">
      <c r="A99">
        <v>20260618</v>
      </c>
      <c r="B99" s="9">
        <v>-1.1834319526627231E-2</v>
      </c>
      <c r="C99" s="9">
        <v>1.003584229390682E-2</v>
      </c>
      <c r="D99" s="9">
        <v>2.7118644067796641E-2</v>
      </c>
      <c r="E99" s="9">
        <v>-1.981351981351983E-2</v>
      </c>
      <c r="F99" s="9">
        <v>-1.212121212121213E-3</v>
      </c>
      <c r="G99" s="9">
        <v>-2.179176755447931E-2</v>
      </c>
      <c r="H99" s="9">
        <v>-1.1235955056179791E-2</v>
      </c>
      <c r="I99" s="9">
        <v>-1.8897637795275611E-2</v>
      </c>
      <c r="J99" s="9">
        <v>-1.8965517241379331E-2</v>
      </c>
      <c r="K99" s="9">
        <v>0</v>
      </c>
      <c r="L99" s="9">
        <v>2.4449877750610731E-3</v>
      </c>
      <c r="M99" s="9">
        <v>-1.9620253164557049E-2</v>
      </c>
      <c r="N99" s="9">
        <v>-1.7811704834605709E-2</v>
      </c>
      <c r="O99" s="9">
        <v>-2.8677150786308898E-2</v>
      </c>
      <c r="P99" s="9">
        <v>-5.4458815520762472E-3</v>
      </c>
      <c r="Q99" s="9">
        <v>-3.2635983263598449E-2</v>
      </c>
      <c r="R99" s="9">
        <v>-2.4203821656050971E-2</v>
      </c>
      <c r="S99" s="9">
        <v>-1.1137629276053929E-2</v>
      </c>
      <c r="T99" s="9">
        <v>-1.5686274509803939E-2</v>
      </c>
      <c r="U99" s="9">
        <v>4.6728971962615821E-3</v>
      </c>
      <c r="V99" s="9">
        <v>-1.7421602787456459E-3</v>
      </c>
      <c r="W99" s="9">
        <v>-2.9976940814757821E-2</v>
      </c>
      <c r="X99" s="9">
        <v>6.8027210884353808E-3</v>
      </c>
      <c r="Y99" s="9">
        <v>-6.6518847006651954E-3</v>
      </c>
      <c r="Z99" s="9">
        <v>9.2879256965944356E-3</v>
      </c>
      <c r="AA99" s="9">
        <v>2.4767801857585169E-2</v>
      </c>
      <c r="AB99" s="9">
        <v>3.2212885154061663E-2</v>
      </c>
      <c r="AC99" s="9">
        <v>-3.4513274336283123E-2</v>
      </c>
      <c r="AD99" s="9">
        <v>0</v>
      </c>
      <c r="AE99" s="9">
        <v>-9.7370983446932909E-3</v>
      </c>
      <c r="AF99" s="9">
        <v>8.5470085470085548E-3</v>
      </c>
      <c r="AG99" s="9">
        <v>1.915708812260538E-3</v>
      </c>
      <c r="AH99" s="9">
        <v>6.0827250608272571E-3</v>
      </c>
      <c r="AI99" s="9">
        <v>7.757951900699084E-4</v>
      </c>
      <c r="AJ99" s="9">
        <v>3.9379974863845771E-2</v>
      </c>
      <c r="AK99" s="9">
        <v>3.7509377344336119E-2</v>
      </c>
      <c r="AL99" s="279">
        <v>-4.282978211698092E-3</v>
      </c>
      <c r="AM99" s="279">
        <v>9.4296688800103081E-3</v>
      </c>
      <c r="AN99" s="279">
        <v>2.048022964938245E-2</v>
      </c>
      <c r="AO99" s="279">
        <v>-1.18E-2</v>
      </c>
      <c r="AP99" s="279">
        <v>-1.948633925218352E-3</v>
      </c>
      <c r="AQ99" s="279">
        <v>2.0709390828460468E-3</v>
      </c>
      <c r="AR99" s="279">
        <v>5.332484224684954E-3</v>
      </c>
      <c r="AS99" s="279">
        <v>7.646234094949798E-3</v>
      </c>
      <c r="AT99" s="279">
        <v>-2.74746884313692E-3</v>
      </c>
      <c r="AU99" s="279">
        <v>-7.7000000000000002E-3</v>
      </c>
      <c r="AV99" s="279">
        <v>-1.44E-2</v>
      </c>
      <c r="AW99" s="279">
        <v>-1.9E-3</v>
      </c>
      <c r="AX99" s="279">
        <v>-8.2000000000000007E-3</v>
      </c>
      <c r="AY99" s="279">
        <v>-1.5E-3</v>
      </c>
      <c r="AZ99" s="279">
        <v>-5.7000000000000002E-3</v>
      </c>
      <c r="BA99" s="279">
        <v>-4.4999999999999997E-3</v>
      </c>
      <c r="BB99" s="279">
        <v>-1.0200000000000001E-2</v>
      </c>
      <c r="BD99" s="9">
        <f t="shared" si="7"/>
        <v>-1.5846234094949799E-2</v>
      </c>
    </row>
    <row r="100" spans="1:56" hidden="1" x14ac:dyDescent="0.3">
      <c r="A100">
        <v>20260622</v>
      </c>
      <c r="B100" s="9">
        <v>-7.4850299401197119E-3</v>
      </c>
      <c r="C100" s="9">
        <v>-1.7033356990773608E-2</v>
      </c>
      <c r="D100" s="9">
        <v>-1.5676567656765599E-2</v>
      </c>
      <c r="E100" s="9">
        <v>6.7776456599286633E-2</v>
      </c>
      <c r="F100" s="9">
        <v>1.3349514563106809E-2</v>
      </c>
      <c r="G100" s="9">
        <v>7.4257425742572944E-3</v>
      </c>
      <c r="H100" s="9">
        <v>2.0454545454545468E-2</v>
      </c>
      <c r="I100" s="9">
        <v>6.420545746388449E-3</v>
      </c>
      <c r="J100" s="9">
        <v>-1.757469244288227E-3</v>
      </c>
      <c r="K100" s="9">
        <v>1.066447908121403E-2</v>
      </c>
      <c r="L100" s="9">
        <v>5.1219512195121962E-2</v>
      </c>
      <c r="M100" s="9">
        <v>8.7153001936733816E-3</v>
      </c>
      <c r="N100" s="9">
        <v>1.295336787564778E-2</v>
      </c>
      <c r="O100" s="9">
        <v>7.7142857142857096E-2</v>
      </c>
      <c r="P100" s="9">
        <v>7.5290896646132092E-3</v>
      </c>
      <c r="Q100" s="9">
        <v>2.1626297577854791E-2</v>
      </c>
      <c r="R100" s="9">
        <v>6.5274151436031389E-3</v>
      </c>
      <c r="S100" s="9">
        <v>-1.6090104585679819E-3</v>
      </c>
      <c r="T100" s="9">
        <v>5.9760956175298856E-3</v>
      </c>
      <c r="U100" s="9">
        <v>5.0232558139534929E-2</v>
      </c>
      <c r="V100" s="9">
        <v>2.8795811518324731E-2</v>
      </c>
      <c r="W100" s="9">
        <v>4.754358161648182E-3</v>
      </c>
      <c r="X100" s="9">
        <v>3.378378378378382E-3</v>
      </c>
      <c r="Y100" s="9">
        <v>0</v>
      </c>
      <c r="Z100" s="9">
        <v>2.1472392638036832E-2</v>
      </c>
      <c r="AA100" s="9">
        <v>6.0422960725075581E-3</v>
      </c>
      <c r="AB100" s="9">
        <v>8.1411126187245671E-3</v>
      </c>
      <c r="AC100" s="9">
        <v>3.6663611365719551E-3</v>
      </c>
      <c r="AD100" s="9">
        <v>-7.7519379844962271E-3</v>
      </c>
      <c r="AE100" s="9">
        <v>2.5565388397246831E-2</v>
      </c>
      <c r="AF100" s="9">
        <v>3.813559322033902E-2</v>
      </c>
      <c r="AG100" s="9">
        <v>3.7284894837476032E-2</v>
      </c>
      <c r="AH100" s="9">
        <v>3.1438935912938358E-2</v>
      </c>
      <c r="AI100" s="9">
        <v>6.2015503875969052E-3</v>
      </c>
      <c r="AJ100" s="9">
        <v>2.861749294639266E-2</v>
      </c>
      <c r="AK100" s="9">
        <v>1.7353579175705E-2</v>
      </c>
      <c r="AL100" s="279">
        <v>1.7752362130517129E-2</v>
      </c>
      <c r="AM100" s="279">
        <v>2.1321526820413269E-2</v>
      </c>
      <c r="AN100" s="279">
        <v>2.516281432323933E-2</v>
      </c>
      <c r="AO100" s="279">
        <v>5.0000000000000001E-3</v>
      </c>
      <c r="AP100" s="279">
        <v>2.8648623917114022E-2</v>
      </c>
      <c r="AQ100" s="279">
        <v>2.3890890377790609E-2</v>
      </c>
      <c r="AR100" s="279">
        <v>2.2563146467983099E-2</v>
      </c>
      <c r="AS100" s="279">
        <v>1.079141956515014E-2</v>
      </c>
      <c r="AT100" s="279">
        <v>9.0696113566427327E-3</v>
      </c>
      <c r="AU100" s="279">
        <v>-4.0000000000000002E-4</v>
      </c>
      <c r="AV100" s="279">
        <v>-1.4999999999999999E-2</v>
      </c>
      <c r="AW100" s="279">
        <v>8.5000000000000006E-3</v>
      </c>
      <c r="AX100" s="279">
        <v>-2.9999999999999997E-4</v>
      </c>
      <c r="AY100" s="279">
        <v>6.9999999999999999E-4</v>
      </c>
      <c r="AZ100" s="279">
        <v>-1.1000000000000001E-3</v>
      </c>
      <c r="BA100" s="279">
        <v>9.1000000000000004E-3</v>
      </c>
      <c r="BB100" s="279">
        <v>1.09E-2</v>
      </c>
      <c r="BD100" s="9">
        <f t="shared" si="7"/>
        <v>-1.109141956515014E-2</v>
      </c>
    </row>
    <row r="101" spans="1:56" hidden="1" x14ac:dyDescent="0.3">
      <c r="A101">
        <v>20260623</v>
      </c>
      <c r="B101" s="9">
        <v>2.5138260432377552E-3</v>
      </c>
      <c r="C101" s="9">
        <v>-2.0938628158844699E-2</v>
      </c>
      <c r="D101" s="9">
        <v>-1.5088013411567489E-2</v>
      </c>
      <c r="E101" s="9">
        <v>-3.674832962138088E-2</v>
      </c>
      <c r="F101" s="9">
        <v>-3.6526946107784397E-2</v>
      </c>
      <c r="G101" s="9">
        <v>-1.9656019656019541E-2</v>
      </c>
      <c r="H101" s="9">
        <v>-2.3385300668151469E-2</v>
      </c>
      <c r="I101" s="9">
        <v>-1.5948963317384379E-2</v>
      </c>
      <c r="J101" s="9">
        <v>-1.7605633802816919E-3</v>
      </c>
      <c r="K101" s="9">
        <v>-2.5162337662337591E-2</v>
      </c>
      <c r="L101" s="9">
        <v>-8.306264501160085E-2</v>
      </c>
      <c r="M101" s="9">
        <v>-6.7199999999999708E-3</v>
      </c>
      <c r="N101" s="9">
        <v>-2.3017902813299351E-2</v>
      </c>
      <c r="O101" s="9">
        <v>0</v>
      </c>
      <c r="P101" s="9">
        <v>-1.494565217391306E-2</v>
      </c>
      <c r="Q101" s="9">
        <v>-1.354784081287046E-2</v>
      </c>
      <c r="R101" s="9">
        <v>9.0791180285343786E-3</v>
      </c>
      <c r="S101" s="9">
        <v>-6.4464141821112056E-3</v>
      </c>
      <c r="T101" s="9">
        <v>-3.9603960396039639E-3</v>
      </c>
      <c r="U101" s="9">
        <v>-2.9672276350752959E-2</v>
      </c>
      <c r="V101" s="9">
        <v>-4.1560644614079857E-2</v>
      </c>
      <c r="W101" s="9">
        <v>-1.104100946372241E-2</v>
      </c>
      <c r="X101" s="9">
        <v>3.3670033670033712E-3</v>
      </c>
      <c r="Y101" s="9">
        <v>8.9285714285714367E-3</v>
      </c>
      <c r="Z101" s="9">
        <v>0</v>
      </c>
      <c r="AA101" s="9">
        <v>9.0090090090090159E-3</v>
      </c>
      <c r="AB101" s="9">
        <v>1.211305518169584E-2</v>
      </c>
      <c r="AC101" s="9">
        <v>-1.187214611872137E-2</v>
      </c>
      <c r="AD101" s="9">
        <v>-2.4305555555555389E-2</v>
      </c>
      <c r="AE101" s="9">
        <v>-4.3144774688398793E-2</v>
      </c>
      <c r="AF101" s="9">
        <v>-2.5850340136054441E-2</v>
      </c>
      <c r="AG101" s="9">
        <v>-2.3963133640553021E-2</v>
      </c>
      <c r="AH101" s="9">
        <v>-3.2825322391559227E-2</v>
      </c>
      <c r="AI101" s="9">
        <v>-3.5439137134052417E-2</v>
      </c>
      <c r="AJ101" s="9">
        <v>-1.5673981191222579E-2</v>
      </c>
      <c r="AK101" s="9">
        <v>-4.6197583511016313E-2</v>
      </c>
      <c r="AL101" s="279">
        <v>-1.365461818449089E-2</v>
      </c>
      <c r="AM101" s="279">
        <v>-3.1656967475950551E-2</v>
      </c>
      <c r="AN101" s="279">
        <v>-3.8353444700545331E-2</v>
      </c>
      <c r="AO101" s="279">
        <v>7.7000000000000002E-3</v>
      </c>
      <c r="AP101" s="279">
        <v>-2.8488046914131801E-2</v>
      </c>
      <c r="AQ101" s="279">
        <v>-2.772357341148363E-2</v>
      </c>
      <c r="AR101" s="279">
        <v>-2.0317243111849959E-2</v>
      </c>
      <c r="AS101" s="279">
        <v>-2.093883196272902E-2</v>
      </c>
      <c r="AT101" s="279">
        <v>1.760372546646757E-2</v>
      </c>
      <c r="AU101" s="279">
        <v>-7.4000000000000003E-3</v>
      </c>
      <c r="AV101" s="279">
        <v>1.03E-2</v>
      </c>
      <c r="AW101" s="279">
        <v>-4.8999999999999998E-3</v>
      </c>
      <c r="AX101" s="279">
        <v>8.6999999999999994E-3</v>
      </c>
      <c r="AY101" s="279">
        <v>9.7000000000000003E-3</v>
      </c>
      <c r="AZ101" s="279">
        <v>1.9400000000000001E-2</v>
      </c>
      <c r="BA101" s="279">
        <v>5.4999999999999997E-3</v>
      </c>
      <c r="BB101" s="279">
        <v>2.3E-3</v>
      </c>
      <c r="BD101" s="9">
        <f t="shared" si="7"/>
        <v>2.9638831962729019E-2</v>
      </c>
    </row>
    <row r="102" spans="1:56" hidden="1" x14ac:dyDescent="0.3">
      <c r="A102">
        <v>20260624</v>
      </c>
      <c r="B102" s="9">
        <v>3.009027081243734E-3</v>
      </c>
      <c r="C102" s="9">
        <v>3.6873156342182101E-3</v>
      </c>
      <c r="D102" s="9">
        <v>9.3617021276594884E-3</v>
      </c>
      <c r="E102" s="9">
        <v>3.3526011560693673E-2</v>
      </c>
      <c r="F102" s="9">
        <v>-1.926662523306396E-2</v>
      </c>
      <c r="G102" s="9">
        <v>-2.2556390977443629E-2</v>
      </c>
      <c r="H102" s="9">
        <v>-1.3683010262257709E-2</v>
      </c>
      <c r="I102" s="9">
        <v>-1.4586709886547819E-2</v>
      </c>
      <c r="J102" s="9">
        <v>-2.1164021164020989E-2</v>
      </c>
      <c r="K102" s="9">
        <v>-2.4979184013323181E-3</v>
      </c>
      <c r="L102" s="9">
        <v>2.0242914979757098E-3</v>
      </c>
      <c r="M102" s="9">
        <v>-1.8041237113402081E-2</v>
      </c>
      <c r="N102" s="9">
        <v>3.490401396160562E-3</v>
      </c>
      <c r="O102" s="9">
        <v>-1.768346595932804E-2</v>
      </c>
      <c r="P102" s="9">
        <v>-9.6551724137931127E-3</v>
      </c>
      <c r="Q102" s="9">
        <v>-3.0901287553648099E-2</v>
      </c>
      <c r="R102" s="9">
        <v>-2.1850899742930609E-2</v>
      </c>
      <c r="S102" s="9">
        <v>-1.7031630170316409E-2</v>
      </c>
      <c r="T102" s="9">
        <v>-2.3856858846918509E-2</v>
      </c>
      <c r="U102" s="9">
        <v>-9.1282519397525332E-4</v>
      </c>
      <c r="V102" s="9">
        <v>4.4247787610620492E-3</v>
      </c>
      <c r="W102" s="9">
        <v>-1.9138755980861261E-2</v>
      </c>
      <c r="X102" s="9">
        <v>1.3422818791946321E-2</v>
      </c>
      <c r="Y102" s="9">
        <v>-1.3274336283185849E-2</v>
      </c>
      <c r="Z102" s="9">
        <v>2.4024024024024052E-2</v>
      </c>
      <c r="AA102" s="9">
        <v>2.083333333333335E-2</v>
      </c>
      <c r="AB102" s="9">
        <v>2.792553191489364E-2</v>
      </c>
      <c r="AC102" s="9">
        <v>-2.0332717190388191E-2</v>
      </c>
      <c r="AD102" s="9">
        <v>-1.1565836298932489E-2</v>
      </c>
      <c r="AE102" s="9">
        <v>0</v>
      </c>
      <c r="AF102" s="9">
        <v>-1.3966480446927391E-2</v>
      </c>
      <c r="AG102" s="9">
        <v>3.777148253068937E-3</v>
      </c>
      <c r="AH102" s="9">
        <v>-4.8484848484848528E-3</v>
      </c>
      <c r="AI102" s="9">
        <v>7.9872204472843517E-3</v>
      </c>
      <c r="AJ102" s="9">
        <v>5.5732484076433171E-2</v>
      </c>
      <c r="AK102" s="9">
        <v>3.3532041728762993E-2</v>
      </c>
      <c r="AL102" s="279">
        <v>1.1111108405209521E-3</v>
      </c>
      <c r="AM102" s="279">
        <v>1.243325427962297E-2</v>
      </c>
      <c r="AN102" s="279">
        <v>1.412871160065571E-2</v>
      </c>
      <c r="AO102" s="279">
        <v>1.15E-2</v>
      </c>
      <c r="AP102" s="279">
        <v>5.8315008603169738E-3</v>
      </c>
      <c r="AQ102" s="279">
        <v>4.8041564536712329E-3</v>
      </c>
      <c r="AR102" s="279">
        <v>1.776403843522182E-2</v>
      </c>
      <c r="AS102" s="279">
        <v>1.3069906713552759E-2</v>
      </c>
      <c r="AT102" s="279">
        <v>-3.6742723548123142E-2</v>
      </c>
      <c r="AU102" s="279">
        <v>1E-3</v>
      </c>
      <c r="AV102" s="279">
        <v>-2.3599999999999999E-2</v>
      </c>
      <c r="AW102" s="279">
        <v>-7.3000000000000001E-3</v>
      </c>
      <c r="AX102" s="279">
        <v>-2.6599999999999999E-2</v>
      </c>
      <c r="AY102" s="279">
        <v>-7.9000000000000008E-3</v>
      </c>
      <c r="AZ102" s="279">
        <v>-2.9100000000000001E-2</v>
      </c>
      <c r="BA102" s="279">
        <v>-2.9600000000000001E-2</v>
      </c>
      <c r="BB102" s="279">
        <v>-2.2700000000000001E-2</v>
      </c>
      <c r="BD102" s="9">
        <f t="shared" si="7"/>
        <v>-3.9669906713552756E-2</v>
      </c>
    </row>
    <row r="103" spans="1:56" hidden="1" x14ac:dyDescent="0.3">
      <c r="A103">
        <v>20260625</v>
      </c>
      <c r="B103" s="9">
        <v>-1.499999999999946E-3</v>
      </c>
      <c r="C103" s="9">
        <v>-8.0822924320351937E-3</v>
      </c>
      <c r="D103" s="9">
        <v>-5.0590219224283346E-3</v>
      </c>
      <c r="E103" s="9">
        <v>-3.3557046979865801E-3</v>
      </c>
      <c r="F103" s="9">
        <v>-8.8719898605830235E-3</v>
      </c>
      <c r="G103" s="9">
        <v>1.5384615384615399E-2</v>
      </c>
      <c r="H103" s="9">
        <v>-1.502890173410406E-2</v>
      </c>
      <c r="I103" s="9">
        <v>3.28947368421053E-3</v>
      </c>
      <c r="J103" s="9">
        <v>1.8018018018017831E-2</v>
      </c>
      <c r="K103" s="9">
        <v>-1.9198664440734481E-2</v>
      </c>
      <c r="L103" s="9">
        <v>-2.9292929292929318E-2</v>
      </c>
      <c r="M103" s="9">
        <v>-1.3779527559055199E-2</v>
      </c>
      <c r="N103" s="9">
        <v>-8.6956521739120875E-4</v>
      </c>
      <c r="O103" s="9">
        <v>3.4203420342034233E-2</v>
      </c>
      <c r="P103" s="9">
        <v>6.9637883008364352E-4</v>
      </c>
      <c r="Q103" s="9">
        <v>-1.6829052258635881E-2</v>
      </c>
      <c r="R103" s="9">
        <v>-1.0512483574244421E-2</v>
      </c>
      <c r="S103" s="9">
        <v>-8.2508250825082587E-3</v>
      </c>
      <c r="T103" s="9">
        <v>-8.1466395112016372E-3</v>
      </c>
      <c r="U103" s="9">
        <v>1.2334399269072699E-2</v>
      </c>
      <c r="V103" s="9">
        <v>4.8458149779736217E-3</v>
      </c>
      <c r="W103" s="9">
        <v>-1.869918699186985E-2</v>
      </c>
      <c r="X103" s="9">
        <v>0</v>
      </c>
      <c r="Y103" s="9">
        <v>-1.121076233183857E-2</v>
      </c>
      <c r="Z103" s="9">
        <v>0</v>
      </c>
      <c r="AA103" s="9">
        <v>8.7463556851310412E-3</v>
      </c>
      <c r="AB103" s="9">
        <v>6.4683053040103548E-3</v>
      </c>
      <c r="AC103" s="9">
        <v>-1.6981132075471712E-2</v>
      </c>
      <c r="AD103" s="9">
        <v>-4.5004500450044043E-3</v>
      </c>
      <c r="AE103" s="9">
        <v>1.0020040080160331E-2</v>
      </c>
      <c r="AF103" s="9">
        <v>-4.2492917847025526E-3</v>
      </c>
      <c r="AG103" s="9">
        <v>3.3866415804327407E-2</v>
      </c>
      <c r="AH103" s="9">
        <v>7.3081607795371564E-3</v>
      </c>
      <c r="AI103" s="9">
        <v>-1.584786053882727E-3</v>
      </c>
      <c r="AJ103" s="9">
        <v>4.600301659125184E-2</v>
      </c>
      <c r="AK103" s="9">
        <v>3.7490987743330963E-2</v>
      </c>
      <c r="AL103" s="279">
        <v>2.3031453875426472E-3</v>
      </c>
      <c r="AM103" s="279">
        <v>1.823918531310826E-2</v>
      </c>
      <c r="AN103" s="279">
        <v>2.8358804014843079E-2</v>
      </c>
      <c r="AO103" s="279">
        <v>-1.41E-2</v>
      </c>
      <c r="AP103" s="279">
        <v>1.1438447553853681E-2</v>
      </c>
      <c r="AQ103" s="279">
        <v>1.5594515094011319E-2</v>
      </c>
      <c r="AR103" s="279">
        <v>1.075137018940979E-2</v>
      </c>
      <c r="AS103" s="279">
        <v>3.688400709343257E-3</v>
      </c>
      <c r="AT103" s="279">
        <v>-2.2898968214231111E-2</v>
      </c>
      <c r="AU103" s="279">
        <v>-1.0999999999999999E-2</v>
      </c>
      <c r="AV103" s="279">
        <v>-3.61E-2</v>
      </c>
      <c r="AW103" s="279">
        <v>-1.0800000000000001E-2</v>
      </c>
      <c r="AX103" s="279">
        <v>-0.03</v>
      </c>
      <c r="AY103" s="279">
        <v>-1.0800000000000001E-2</v>
      </c>
      <c r="AZ103" s="279">
        <v>-1.6500000000000001E-2</v>
      </c>
      <c r="BA103" s="279">
        <v>-1.95E-2</v>
      </c>
      <c r="BB103" s="279">
        <v>-1.32E-2</v>
      </c>
      <c r="BD103" s="9">
        <f t="shared" si="7"/>
        <v>-3.3688400709343258E-2</v>
      </c>
    </row>
    <row r="104" spans="1:56" hidden="1" x14ac:dyDescent="0.3">
      <c r="A104">
        <v>20260626</v>
      </c>
      <c r="B104" s="9">
        <v>5.0075112669003543E-3</v>
      </c>
      <c r="C104" s="9">
        <v>-4.0740740740740848E-2</v>
      </c>
      <c r="D104" s="9">
        <v>-3.9830508474576212E-2</v>
      </c>
      <c r="E104" s="9">
        <v>-3.9281705948372651E-2</v>
      </c>
      <c r="F104" s="9">
        <v>-2.0460358056266E-2</v>
      </c>
      <c r="G104" s="9">
        <v>-2.0202020202020221E-2</v>
      </c>
      <c r="H104" s="9">
        <v>-1.760563380281692E-2</v>
      </c>
      <c r="I104" s="9">
        <v>-1.147540983606558E-2</v>
      </c>
      <c r="J104" s="9">
        <v>-2.4778761061946729E-2</v>
      </c>
      <c r="K104" s="9">
        <v>-3.148936170212778E-2</v>
      </c>
      <c r="L104" s="9">
        <v>-4.3184183142559819E-2</v>
      </c>
      <c r="M104" s="9">
        <v>-1.729873586160998E-2</v>
      </c>
      <c r="N104" s="9">
        <v>-1.8276762402088882E-2</v>
      </c>
      <c r="O104" s="9">
        <v>-3.6553524804177583E-2</v>
      </c>
      <c r="P104" s="9">
        <v>-1.6701461377870579E-2</v>
      </c>
      <c r="Q104" s="9">
        <v>-2.6126126126126251E-2</v>
      </c>
      <c r="R104" s="9">
        <v>-9.2961487383798232E-3</v>
      </c>
      <c r="S104" s="9">
        <v>-9.1514143094841086E-3</v>
      </c>
      <c r="T104" s="9">
        <v>4.1067761806981556E-3</v>
      </c>
      <c r="U104" s="9">
        <v>-5.9566787003610157E-2</v>
      </c>
      <c r="V104" s="9">
        <v>-4.2086804033318763E-2</v>
      </c>
      <c r="W104" s="9">
        <v>-4.142502071251131E-3</v>
      </c>
      <c r="X104" s="9">
        <v>-1.986754966887419E-2</v>
      </c>
      <c r="Y104" s="9">
        <v>-2.494331065759639E-2</v>
      </c>
      <c r="Z104" s="9">
        <v>-1.7595307917888579E-2</v>
      </c>
      <c r="AA104" s="9">
        <v>-2.890173410404611E-2</v>
      </c>
      <c r="AB104" s="9">
        <v>-3.2133676092545013E-2</v>
      </c>
      <c r="AC104" s="9">
        <v>-9.5969289827255357E-3</v>
      </c>
      <c r="AD104" s="9">
        <v>-2.9837251356238818E-2</v>
      </c>
      <c r="AE104" s="9">
        <v>-4.9603174603175754E-3</v>
      </c>
      <c r="AF104" s="9">
        <v>-5.2631578947368321E-2</v>
      </c>
      <c r="AG104" s="9">
        <v>-3.0027297543221039E-2</v>
      </c>
      <c r="AH104" s="9">
        <v>-3.3857315598548869E-2</v>
      </c>
      <c r="AI104" s="9">
        <v>-1.507936507936501E-2</v>
      </c>
      <c r="AJ104" s="9">
        <v>-9.733237202595578E-3</v>
      </c>
      <c r="AK104" s="9">
        <v>-5.5594162612925699E-2</v>
      </c>
      <c r="AL104" s="279">
        <v>-2.257518358577967E-2</v>
      </c>
      <c r="AM104" s="279">
        <v>-3.4376807994087127E-2</v>
      </c>
      <c r="AN104" s="279">
        <v>-4.0663414294958143E-2</v>
      </c>
      <c r="AO104" s="279">
        <v>-8.3999999999999995E-3</v>
      </c>
      <c r="AP104" s="279">
        <v>-2.3719408779642511E-2</v>
      </c>
      <c r="AQ104" s="279">
        <v>-3.025501065316584E-2</v>
      </c>
      <c r="AR104" s="279">
        <v>-2.623028476578473E-2</v>
      </c>
      <c r="AS104" s="279">
        <v>-2.5437892027120171E-2</v>
      </c>
      <c r="AT104" s="279">
        <v>-2.275646320262251E-2</v>
      </c>
      <c r="AU104" s="279">
        <v>-1.06E-2</v>
      </c>
      <c r="AV104" s="279">
        <v>-4.5999999999999999E-3</v>
      </c>
      <c r="AW104" s="279">
        <v>-2.81E-2</v>
      </c>
      <c r="AX104" s="279">
        <v>-2.07E-2</v>
      </c>
      <c r="AY104" s="279">
        <v>-3.4099999999999998E-2</v>
      </c>
      <c r="AZ104" s="279">
        <v>-2.0400000000000001E-2</v>
      </c>
      <c r="BA104" s="279">
        <v>-1.6299999999999999E-2</v>
      </c>
      <c r="BB104" s="279">
        <v>-4.1000000000000003E-3</v>
      </c>
      <c r="BD104" s="9">
        <f t="shared" si="7"/>
        <v>4.7378920271201712E-3</v>
      </c>
    </row>
    <row r="105" spans="1:56" hidden="1" x14ac:dyDescent="0.3">
      <c r="A105">
        <v>20260629</v>
      </c>
      <c r="B105" s="9">
        <v>4.9825610363721468E-4</v>
      </c>
      <c r="C105" s="9">
        <v>-3.0888030888030918E-3</v>
      </c>
      <c r="D105" s="9">
        <v>-5.2956751985878247E-3</v>
      </c>
      <c r="E105" s="9">
        <v>8.1775700934579518E-3</v>
      </c>
      <c r="F105" s="9">
        <v>-7.832898172323766E-3</v>
      </c>
      <c r="G105" s="9">
        <v>2.0618556701030941E-2</v>
      </c>
      <c r="H105" s="9">
        <v>8.3632019115890167E-3</v>
      </c>
      <c r="I105" s="9">
        <v>3.1509121061359897E-2</v>
      </c>
      <c r="J105" s="9">
        <v>0</v>
      </c>
      <c r="K105" s="9">
        <v>8.7873462214411325E-3</v>
      </c>
      <c r="L105" s="9">
        <v>1.3594344752583001E-2</v>
      </c>
      <c r="M105" s="9">
        <v>6.0934326337169246E-3</v>
      </c>
      <c r="N105" s="9">
        <v>1.0638297872340439E-2</v>
      </c>
      <c r="O105" s="9">
        <v>1.4453477868112029E-2</v>
      </c>
      <c r="P105" s="9">
        <v>1.2738853503184719E-2</v>
      </c>
      <c r="Q105" s="9">
        <v>1.5726179463459881E-2</v>
      </c>
      <c r="R105" s="9">
        <v>5.3619302949061707E-3</v>
      </c>
      <c r="S105" s="9">
        <v>-5.8774139378674362E-3</v>
      </c>
      <c r="T105" s="9">
        <v>3.4764826175869151E-2</v>
      </c>
      <c r="U105" s="9">
        <v>-1.199616122840687E-2</v>
      </c>
      <c r="V105" s="9">
        <v>1.1441647597253961E-2</v>
      </c>
      <c r="W105" s="9">
        <v>3.3277870216306192E-3</v>
      </c>
      <c r="X105" s="9">
        <v>5.067567567567572E-2</v>
      </c>
      <c r="Y105" s="9">
        <v>4.8837209302325622E-2</v>
      </c>
      <c r="Z105" s="9">
        <v>6.2686567164178988E-2</v>
      </c>
      <c r="AA105" s="9">
        <v>8.3333333333333232E-2</v>
      </c>
      <c r="AB105" s="9">
        <v>8.6321381142098197E-2</v>
      </c>
      <c r="AC105" s="9">
        <v>5.8139534883720981E-3</v>
      </c>
      <c r="AD105" s="9">
        <v>1.0251630941286231E-2</v>
      </c>
      <c r="AE105" s="9">
        <v>7.9760717846460698E-3</v>
      </c>
      <c r="AF105" s="9">
        <v>6.006006006006012E-3</v>
      </c>
      <c r="AG105" s="9">
        <v>2.3452157598498981E-2</v>
      </c>
      <c r="AH105" s="9">
        <v>1.00125156445557E-2</v>
      </c>
      <c r="AI105" s="9">
        <v>-5.6406124093473942E-3</v>
      </c>
      <c r="AJ105" s="9">
        <v>5.8973425555151053E-2</v>
      </c>
      <c r="AK105" s="9">
        <v>-1.471670345842533E-2</v>
      </c>
      <c r="AL105" s="279">
        <v>1.1580216350302319E-2</v>
      </c>
      <c r="AM105" s="279">
        <v>1.942128547187972E-3</v>
      </c>
      <c r="AN105" s="279">
        <v>5.3620837683577716E-3</v>
      </c>
      <c r="AO105" s="279">
        <v>-3.27E-2</v>
      </c>
      <c r="AP105" s="279">
        <v>2.8943385218291179E-2</v>
      </c>
      <c r="AQ105" s="279">
        <v>1.205777223342994E-2</v>
      </c>
      <c r="AR105" s="279">
        <v>1.350362753653234E-2</v>
      </c>
      <c r="AS105" s="279">
        <v>-4.0846805644702321E-4</v>
      </c>
      <c r="AT105" s="279">
        <v>2.351795283863208E-3</v>
      </c>
      <c r="AU105" s="279">
        <v>-1E-3</v>
      </c>
      <c r="AV105" s="279">
        <v>-9.7999999999999997E-3</v>
      </c>
      <c r="AW105" s="279">
        <v>1.2999999999999999E-3</v>
      </c>
      <c r="AX105" s="279">
        <v>1.0800000000000001E-2</v>
      </c>
      <c r="AY105" s="279">
        <v>2.4E-2</v>
      </c>
      <c r="AZ105" s="279">
        <v>7.7999999999999996E-3</v>
      </c>
      <c r="BA105" s="279">
        <v>6.7000000000000002E-3</v>
      </c>
      <c r="BB105" s="279">
        <v>5.4999999999999997E-3</v>
      </c>
      <c r="BD105" s="9">
        <f t="shared" si="7"/>
        <v>1.1208468056447023E-2</v>
      </c>
    </row>
    <row r="106" spans="1:56" hidden="1" x14ac:dyDescent="0.3">
      <c r="A106">
        <v>20260630</v>
      </c>
      <c r="B106" s="9">
        <v>-1.145418326693223E-2</v>
      </c>
      <c r="C106" s="9">
        <v>3.1758326878388962E-2</v>
      </c>
      <c r="D106" s="9">
        <v>5.3238686779059498E-2</v>
      </c>
      <c r="E106" s="9">
        <v>-1.158748551564312E-3</v>
      </c>
      <c r="F106" s="9">
        <v>-6.5789473684217897E-4</v>
      </c>
      <c r="G106" s="9">
        <v>-7.5757575757575829E-3</v>
      </c>
      <c r="H106" s="9">
        <v>-2.014218009478675E-2</v>
      </c>
      <c r="I106" s="9">
        <v>-1.1254019292604511E-2</v>
      </c>
      <c r="J106" s="9">
        <v>-1.4519056261343021E-2</v>
      </c>
      <c r="K106" s="9">
        <v>-2.613240418118373E-3</v>
      </c>
      <c r="L106" s="9">
        <v>-5.364806866952794E-3</v>
      </c>
      <c r="M106" s="9">
        <v>-1.8842530282637968E-2</v>
      </c>
      <c r="N106" s="9">
        <v>-1.140350877192974E-2</v>
      </c>
      <c r="O106" s="9">
        <v>2.6714158504006161E-3</v>
      </c>
      <c r="P106" s="9">
        <v>1.7470300489168349E-2</v>
      </c>
      <c r="Q106" s="9">
        <v>-2.8233151183970979E-2</v>
      </c>
      <c r="R106" s="9">
        <v>-2.133333333333336E-2</v>
      </c>
      <c r="S106" s="9">
        <v>1.689189189189191E-3</v>
      </c>
      <c r="T106" s="9">
        <v>-1.1857707509881431E-2</v>
      </c>
      <c r="U106" s="9">
        <v>1.408450704225348E-2</v>
      </c>
      <c r="V106" s="9">
        <v>2.6696832579185599E-2</v>
      </c>
      <c r="W106" s="9">
        <v>-4.975124378109457E-3</v>
      </c>
      <c r="X106" s="9">
        <v>-1.607717041800644E-2</v>
      </c>
      <c r="Y106" s="9">
        <v>-2.6607538802660782E-2</v>
      </c>
      <c r="Z106" s="9">
        <v>-1.685393258426968E-2</v>
      </c>
      <c r="AA106" s="9">
        <v>-1.6483516483516501E-2</v>
      </c>
      <c r="AB106" s="9">
        <v>-1.711491442542775E-2</v>
      </c>
      <c r="AC106" s="9">
        <v>-5.7803468208092526E-3</v>
      </c>
      <c r="AD106" s="9">
        <v>1.2915129151291531E-2</v>
      </c>
      <c r="AE106" s="9">
        <v>3.066271018793288E-2</v>
      </c>
      <c r="AF106" s="9">
        <v>2.238805970149256E-2</v>
      </c>
      <c r="AG106" s="9">
        <v>6.4161319890010246E-3</v>
      </c>
      <c r="AH106" s="9">
        <v>1.363073110284994E-2</v>
      </c>
      <c r="AI106" s="9">
        <v>3.7277147487844442E-2</v>
      </c>
      <c r="AJ106" s="9">
        <v>3.3001031282227603E-2</v>
      </c>
      <c r="AK106" s="9">
        <v>4.3315907393577338E-2</v>
      </c>
      <c r="AL106" s="279">
        <v>5.0308524849149144E-3</v>
      </c>
      <c r="AM106" s="279">
        <v>2.4833354097010801E-2</v>
      </c>
      <c r="AN106" s="279">
        <v>2.9884371637624769E-2</v>
      </c>
      <c r="AO106" s="279">
        <v>2.1000000000000001E-2</v>
      </c>
      <c r="AP106" s="279">
        <v>-5.6130208443045835E-4</v>
      </c>
      <c r="AQ106" s="279">
        <v>1.065809660840915E-2</v>
      </c>
      <c r="AR106" s="279">
        <v>2.3838752445132991E-2</v>
      </c>
      <c r="AS106" s="279">
        <v>2.4644651352994009E-2</v>
      </c>
      <c r="AT106" s="279">
        <v>-4.1094254314471088E-3</v>
      </c>
      <c r="AU106" s="279">
        <v>1.7399999999999999E-2</v>
      </c>
      <c r="AV106" s="279">
        <v>8.6E-3</v>
      </c>
      <c r="AW106" s="279">
        <v>1.4999999999999999E-2</v>
      </c>
      <c r="AX106" s="279">
        <v>-1E-3</v>
      </c>
      <c r="AY106" s="279">
        <v>-5.9999999999999995E-4</v>
      </c>
      <c r="AZ106" s="279">
        <v>-6.3E-3</v>
      </c>
      <c r="BA106" s="279">
        <v>-2.9999999999999997E-4</v>
      </c>
      <c r="BB106" s="279">
        <v>-2.8999999999999998E-3</v>
      </c>
      <c r="BD106" s="9">
        <f t="shared" si="7"/>
        <v>-2.564465135299401E-2</v>
      </c>
    </row>
    <row r="107" spans="1:56" x14ac:dyDescent="0.3">
      <c r="A107" s="295" t="s">
        <v>163</v>
      </c>
      <c r="B107" s="347">
        <f t="shared" ref="B107:AG107" si="10">SUM(B108:B130)</f>
        <v>5.5494289831097728E-2</v>
      </c>
      <c r="C107" s="347">
        <f t="shared" si="10"/>
        <v>-0.10728905968595459</v>
      </c>
      <c r="D107" s="347">
        <f t="shared" si="10"/>
        <v>-0.16783737363539306</v>
      </c>
      <c r="E107" s="347">
        <f t="shared" si="10"/>
        <v>-9.3067050925547096E-2</v>
      </c>
      <c r="F107" s="347">
        <f t="shared" si="10"/>
        <v>4.5293099982199617E-2</v>
      </c>
      <c r="G107" s="347">
        <f t="shared" si="10"/>
        <v>0.14755845931966463</v>
      </c>
      <c r="H107" s="347">
        <f t="shared" si="10"/>
        <v>5.997405324234719E-2</v>
      </c>
      <c r="I107" s="347">
        <f t="shared" si="10"/>
        <v>0.12862348953875938</v>
      </c>
      <c r="J107" s="347">
        <f t="shared" si="10"/>
        <v>6.7959178036776771E-2</v>
      </c>
      <c r="K107" s="347">
        <f t="shared" si="10"/>
        <v>3.2894211059853885E-2</v>
      </c>
      <c r="L107" s="347">
        <f t="shared" si="10"/>
        <v>-2.3925530907658192E-2</v>
      </c>
      <c r="M107" s="347">
        <f t="shared" si="10"/>
        <v>0.12722265073432973</v>
      </c>
      <c r="N107" s="347">
        <f t="shared" si="10"/>
        <v>-1.8032949730446664E-2</v>
      </c>
      <c r="O107" s="347">
        <f t="shared" si="10"/>
        <v>-1.3299717803893487E-2</v>
      </c>
      <c r="P107" s="347">
        <f t="shared" si="10"/>
        <v>-1.9562740935207535E-2</v>
      </c>
      <c r="Q107" s="347">
        <f t="shared" si="10"/>
        <v>0.12400601237989288</v>
      </c>
      <c r="R107" s="347">
        <f t="shared" si="10"/>
        <v>0.13195525077376904</v>
      </c>
      <c r="S107" s="347">
        <f t="shared" si="10"/>
        <v>5.3842571522012359E-3</v>
      </c>
      <c r="T107" s="347">
        <f t="shared" si="10"/>
        <v>9.0566398204740231E-2</v>
      </c>
      <c r="U107" s="347">
        <f t="shared" si="10"/>
        <v>-0.26262467069299505</v>
      </c>
      <c r="V107" s="347">
        <f t="shared" si="10"/>
        <v>-0.2362666240663947</v>
      </c>
      <c r="W107" s="347">
        <f t="shared" si="10"/>
        <v>3.3897344577732018E-2</v>
      </c>
      <c r="X107" s="347">
        <f t="shared" si="10"/>
        <v>8.0933552244476639E-2</v>
      </c>
      <c r="Y107" s="347">
        <f t="shared" si="10"/>
        <v>0.14744111518183536</v>
      </c>
      <c r="Z107" s="347">
        <f t="shared" si="10"/>
        <v>7.8753739344610968E-2</v>
      </c>
      <c r="AA107" s="347">
        <f t="shared" si="10"/>
        <v>7.9399287436029253E-2</v>
      </c>
      <c r="AB107" s="347">
        <f t="shared" si="10"/>
        <v>5.7392189041908223E-2</v>
      </c>
      <c r="AC107" s="347">
        <f t="shared" si="10"/>
        <v>4.1496326424508789E-2</v>
      </c>
      <c r="AD107" s="347">
        <f t="shared" si="10"/>
        <v>6.4516406203647486E-2</v>
      </c>
      <c r="AE107" s="347">
        <f t="shared" si="10"/>
        <v>-0.23710971504762335</v>
      </c>
      <c r="AF107" s="347">
        <f t="shared" si="10"/>
        <v>4.7087336877315651E-2</v>
      </c>
      <c r="AG107" s="347">
        <f t="shared" si="10"/>
        <v>2.5393489004133348E-2</v>
      </c>
      <c r="AH107" s="347">
        <f t="shared" ref="AH107:BB107" si="11">SUM(AH108:AH130)</f>
        <v>4.7272119041709061E-2</v>
      </c>
      <c r="AI107" s="347">
        <f t="shared" si="11"/>
        <v>-0.14878198111269914</v>
      </c>
      <c r="AJ107" s="347">
        <f t="shared" si="11"/>
        <v>-0.38379511956762097</v>
      </c>
      <c r="AK107" s="347">
        <f t="shared" si="11"/>
        <v>-0.38340428017367228</v>
      </c>
      <c r="AL107" s="347">
        <f t="shared" si="11"/>
        <v>-6.4183918781406002E-2</v>
      </c>
      <c r="AM107" s="347">
        <f t="shared" si="11"/>
        <v>-0.16857947684653665</v>
      </c>
      <c r="AN107" s="347">
        <f t="shared" si="11"/>
        <v>-0.24489494633501926</v>
      </c>
      <c r="AO107" s="347">
        <f t="shared" si="11"/>
        <v>-0.11500000000000002</v>
      </c>
      <c r="AP107" s="347">
        <f t="shared" si="11"/>
        <v>-2.0049313326493862E-2</v>
      </c>
      <c r="AQ107" s="347">
        <f t="shared" si="11"/>
        <v>-7.8210400964258825E-2</v>
      </c>
      <c r="AR107" s="347">
        <f t="shared" si="11"/>
        <v>-0.17830995272713118</v>
      </c>
      <c r="AS107" s="347">
        <f t="shared" si="11"/>
        <v>-0.21063371885830162</v>
      </c>
      <c r="AT107" s="347">
        <f t="shared" si="11"/>
        <v>1.7789418790823172E-2</v>
      </c>
      <c r="AU107" s="347">
        <f t="shared" si="11"/>
        <v>7.1999999999999911E-3</v>
      </c>
      <c r="AV107" s="347">
        <f t="shared" si="11"/>
        <v>-1.0899999999999993E-2</v>
      </c>
      <c r="AW107" s="347">
        <f t="shared" si="11"/>
        <v>-8.6400000000000005E-2</v>
      </c>
      <c r="AX107" s="347">
        <f t="shared" si="11"/>
        <v>6.5000000000000002E-2</v>
      </c>
      <c r="AY107" s="347">
        <f t="shared" si="11"/>
        <v>2.4999999999999994E-2</v>
      </c>
      <c r="AZ107" s="347">
        <f t="shared" si="11"/>
        <v>8.6200000000000027E-2</v>
      </c>
      <c r="BA107" s="347">
        <f t="shared" si="11"/>
        <v>4.1700000000000001E-2</v>
      </c>
      <c r="BB107" s="347">
        <f t="shared" si="11"/>
        <v>7.690000000000001E-2</v>
      </c>
      <c r="BD107" s="9">
        <f t="shared" si="7"/>
        <v>0.27563371885830162</v>
      </c>
    </row>
    <row r="108" spans="1:56" hidden="1" x14ac:dyDescent="0.3">
      <c r="A108">
        <v>20260701</v>
      </c>
      <c r="B108" s="9">
        <v>6.0453400503778388E-3</v>
      </c>
      <c r="C108" s="9">
        <v>6.006006006006012E-3</v>
      </c>
      <c r="D108" s="9">
        <v>2.5273799494523099E-3</v>
      </c>
      <c r="E108" s="9">
        <v>2.9002320185614879E-2</v>
      </c>
      <c r="F108" s="9">
        <v>3.291639236339774E-3</v>
      </c>
      <c r="G108" s="9">
        <v>1.272264631043258E-2</v>
      </c>
      <c r="H108" s="9">
        <v>2.5392986698911751E-2</v>
      </c>
      <c r="I108" s="9">
        <v>2.439024390243905E-2</v>
      </c>
      <c r="J108" s="9">
        <v>2.762430939226522E-2</v>
      </c>
      <c r="K108" s="9">
        <v>2.3580786026200801E-2</v>
      </c>
      <c r="L108" s="9">
        <v>-3.236245954692559E-3</v>
      </c>
      <c r="M108" s="9">
        <v>1.6117969821673579E-2</v>
      </c>
      <c r="N108" s="9">
        <v>1.952085181898848E-2</v>
      </c>
      <c r="O108" s="9">
        <v>4.4404973357016042E-2</v>
      </c>
      <c r="P108" s="9">
        <v>-6.868131868131113E-4</v>
      </c>
      <c r="Q108" s="9">
        <v>2.7179006560449991E-2</v>
      </c>
      <c r="R108" s="9">
        <v>4.0871934604904672E-3</v>
      </c>
      <c r="S108" s="9">
        <v>2.3608768971332229E-2</v>
      </c>
      <c r="T108" s="9">
        <v>5.4000000000000048E-2</v>
      </c>
      <c r="U108" s="9">
        <v>-3.0651340996168609E-2</v>
      </c>
      <c r="V108" s="9">
        <v>-4.6275892463640361E-2</v>
      </c>
      <c r="W108" s="9">
        <v>1.5833333333333439E-2</v>
      </c>
      <c r="X108" s="9">
        <v>2.6143790849673231E-2</v>
      </c>
      <c r="Y108" s="9">
        <v>3.5307517084282487E-2</v>
      </c>
      <c r="Z108" s="9">
        <v>2.5714285714285742E-2</v>
      </c>
      <c r="AA108" s="9">
        <v>3.3519553072625732E-2</v>
      </c>
      <c r="AB108" s="9">
        <v>4.3532338308457617E-2</v>
      </c>
      <c r="AC108" s="9">
        <v>1.550387596899226E-2</v>
      </c>
      <c r="AD108" s="9">
        <v>4.5537340619306857E-3</v>
      </c>
      <c r="AE108" s="9">
        <v>-1.7274472168905961E-2</v>
      </c>
      <c r="AF108" s="9">
        <v>3.0656934306569201E-2</v>
      </c>
      <c r="AG108" s="9">
        <v>4.5537340619306857E-3</v>
      </c>
      <c r="AH108" s="9">
        <v>7.334963325183381E-3</v>
      </c>
      <c r="AI108" s="9">
        <v>8.5937499999999209E-3</v>
      </c>
      <c r="AJ108" s="9">
        <v>-2.063227953410976E-2</v>
      </c>
      <c r="AK108" s="9">
        <v>-4.5096635647816713E-2</v>
      </c>
      <c r="AL108" s="279">
        <v>4.4080483646310757E-3</v>
      </c>
      <c r="AM108" s="279">
        <v>-5.3310098509400366E-3</v>
      </c>
      <c r="AN108" s="279">
        <v>-1.8880206654275158E-2</v>
      </c>
      <c r="AO108" s="279">
        <v>1.0999999999999999E-2</v>
      </c>
      <c r="AP108" s="279">
        <v>-1.392352049005105E-3</v>
      </c>
      <c r="AQ108" s="279">
        <v>-4.1079978383081021E-3</v>
      </c>
      <c r="AR108" s="279">
        <v>-2.7087779175259078E-4</v>
      </c>
      <c r="AS108" s="279">
        <v>7.5874601267272379E-3</v>
      </c>
      <c r="AT108" s="279">
        <v>3.2171567879665422E-2</v>
      </c>
      <c r="AU108" s="279">
        <v>8.0999999999999996E-3</v>
      </c>
      <c r="AV108" s="279">
        <v>2.9899999999999999E-2</v>
      </c>
      <c r="AW108" s="279">
        <v>1.9699999999999999E-2</v>
      </c>
      <c r="AX108" s="279">
        <v>3.1300000000000001E-2</v>
      </c>
      <c r="AY108" s="279">
        <v>2.5100000000000001E-2</v>
      </c>
      <c r="AZ108" s="279">
        <v>2.75E-2</v>
      </c>
      <c r="BA108" s="279">
        <v>2.86E-2</v>
      </c>
      <c r="BB108" s="279">
        <v>2.86E-2</v>
      </c>
      <c r="BD108" s="9"/>
    </row>
    <row r="109" spans="1:56" hidden="1" x14ac:dyDescent="0.3">
      <c r="A109">
        <v>20260702</v>
      </c>
      <c r="B109" s="9">
        <v>3.4551827741612279E-2</v>
      </c>
      <c r="C109" s="9">
        <v>-7.462686567165014E-4</v>
      </c>
      <c r="D109" s="9">
        <v>-1.8487394957983211E-2</v>
      </c>
      <c r="E109" s="9">
        <v>-9.019165727170245E-3</v>
      </c>
      <c r="F109" s="9">
        <v>1.3123359580052511E-2</v>
      </c>
      <c r="G109" s="9">
        <v>-5.0251256281407079E-3</v>
      </c>
      <c r="H109" s="9">
        <v>3.5377358490566069E-3</v>
      </c>
      <c r="I109" s="9">
        <v>-3.1746031746031772E-3</v>
      </c>
      <c r="J109" s="9">
        <v>-7.1684587813620141E-3</v>
      </c>
      <c r="K109" s="9">
        <v>3.412969283276454E-3</v>
      </c>
      <c r="L109" s="9">
        <v>1.7316017316017208E-2</v>
      </c>
      <c r="M109" s="9">
        <v>1.0124873439081951E-2</v>
      </c>
      <c r="N109" s="9">
        <v>-2.088772845953004E-2</v>
      </c>
      <c r="O109" s="9">
        <v>-2.2108843537414991E-2</v>
      </c>
      <c r="P109" s="9">
        <v>-8.2474226804123783E-3</v>
      </c>
      <c r="Q109" s="9">
        <v>6.3868613138685169E-3</v>
      </c>
      <c r="R109" s="9">
        <v>1.492537313432837E-2</v>
      </c>
      <c r="S109" s="9">
        <v>-1.97693574958814E-2</v>
      </c>
      <c r="T109" s="9">
        <v>5.6925996204933637E-3</v>
      </c>
      <c r="U109" s="9">
        <v>-3.9525691699604779E-2</v>
      </c>
      <c r="V109" s="9">
        <v>-3.096118299445479E-2</v>
      </c>
      <c r="W109" s="9">
        <v>-9.0237899917966526E-3</v>
      </c>
      <c r="X109" s="9">
        <v>-9.5541401273885433E-3</v>
      </c>
      <c r="Y109" s="9">
        <v>7.7007700770077084E-3</v>
      </c>
      <c r="Z109" s="9">
        <v>-5.5710306406685289E-3</v>
      </c>
      <c r="AA109" s="9">
        <v>-5.40540540540541E-3</v>
      </c>
      <c r="AB109" s="9">
        <v>1.191895113230037E-3</v>
      </c>
      <c r="AC109" s="9">
        <v>-9.5419847328244364E-3</v>
      </c>
      <c r="AD109" s="9">
        <v>8.1595648232095364E-3</v>
      </c>
      <c r="AE109" s="9">
        <v>-4.3945312500000028E-2</v>
      </c>
      <c r="AF109" s="9">
        <v>-1.8413597733711061E-2</v>
      </c>
      <c r="AG109" s="9">
        <v>-2.719854941069712E-3</v>
      </c>
      <c r="AH109" s="9">
        <v>7.2815533980582596E-3</v>
      </c>
      <c r="AI109" s="9">
        <v>-2.711076684740505E-2</v>
      </c>
      <c r="AJ109" s="9">
        <v>-8.2568807339449504E-2</v>
      </c>
      <c r="AK109" s="9">
        <v>-8.3958020989505319E-2</v>
      </c>
      <c r="AL109" s="279">
        <v>-2.0314241284685789E-2</v>
      </c>
      <c r="AM109" s="279">
        <v>-3.8485821540439148E-2</v>
      </c>
      <c r="AN109" s="279">
        <v>-5.7137653462876248E-2</v>
      </c>
      <c r="AO109" s="279">
        <v>1E-3</v>
      </c>
      <c r="AP109" s="279">
        <v>-2.44417199287159E-2</v>
      </c>
      <c r="AQ109" s="279">
        <v>-2.9579098757848889E-2</v>
      </c>
      <c r="AR109" s="279">
        <v>-3.7076053172617397E-2</v>
      </c>
      <c r="AS109" s="279">
        <v>-2.830984281196788E-2</v>
      </c>
      <c r="AT109" s="279">
        <v>1.37359700694817E-3</v>
      </c>
      <c r="AU109" s="279">
        <v>-3.0000000000000001E-3</v>
      </c>
      <c r="AV109" s="279">
        <v>2.2599999999999999E-2</v>
      </c>
      <c r="AW109" s="279">
        <v>-1.0999999999999999E-2</v>
      </c>
      <c r="AX109" s="279">
        <v>7.4999999999999997E-3</v>
      </c>
      <c r="AY109" s="279">
        <v>-4.0000000000000001E-3</v>
      </c>
      <c r="AZ109" s="279">
        <v>0.01</v>
      </c>
      <c r="BA109" s="279">
        <v>-4.0000000000000002E-4</v>
      </c>
      <c r="BB109" s="279">
        <v>-4.0000000000000002E-4</v>
      </c>
      <c r="BD109" s="9"/>
    </row>
    <row r="110" spans="1:56" hidden="1" x14ac:dyDescent="0.3">
      <c r="A110">
        <v>20260703</v>
      </c>
      <c r="B110" s="9">
        <v>-4.8402710551785568E-4</v>
      </c>
      <c r="C110" s="9">
        <v>5.4518297236743812E-2</v>
      </c>
      <c r="D110" s="9">
        <v>6.5924657534246728E-2</v>
      </c>
      <c r="E110" s="9">
        <v>-1.2514220705347001E-2</v>
      </c>
      <c r="F110" s="9">
        <v>4.0155440414507811E-2</v>
      </c>
      <c r="G110" s="9">
        <v>0</v>
      </c>
      <c r="H110" s="9">
        <v>0</v>
      </c>
      <c r="I110" s="9">
        <v>0</v>
      </c>
      <c r="J110" s="9">
        <v>0</v>
      </c>
      <c r="K110" s="9">
        <v>4.2517006802722072E-3</v>
      </c>
      <c r="L110" s="9">
        <v>6.3829787234042611E-3</v>
      </c>
      <c r="M110" s="9">
        <v>1.035750083528237E-2</v>
      </c>
      <c r="N110" s="9">
        <v>1.2444444444444459E-2</v>
      </c>
      <c r="O110" s="9">
        <v>4.3478260869566224E-3</v>
      </c>
      <c r="P110" s="9">
        <v>2.8413028413028361E-2</v>
      </c>
      <c r="Q110" s="9">
        <v>1.0879419764279251E-2</v>
      </c>
      <c r="R110" s="9">
        <v>-1.3368983957219259E-3</v>
      </c>
      <c r="S110" s="9">
        <v>0</v>
      </c>
      <c r="T110" s="9">
        <v>-5.6603773584905709E-3</v>
      </c>
      <c r="U110" s="9">
        <v>5.6584362139918323E-3</v>
      </c>
      <c r="V110" s="9">
        <v>6.676204101096918E-3</v>
      </c>
      <c r="W110" s="9">
        <v>8.2781456953651665E-4</v>
      </c>
      <c r="X110" s="9">
        <v>1.607717041800644E-2</v>
      </c>
      <c r="Y110" s="9">
        <v>1.2008733624454161E-2</v>
      </c>
      <c r="Z110" s="9">
        <v>1.680672268907565E-2</v>
      </c>
      <c r="AA110" s="9">
        <v>2.1739130434782629E-2</v>
      </c>
      <c r="AB110" s="9">
        <v>2.6190476190476219E-2</v>
      </c>
      <c r="AC110" s="9">
        <v>1.926782273603085E-3</v>
      </c>
      <c r="AD110" s="9">
        <v>5.0359712230215667E-2</v>
      </c>
      <c r="AE110" s="9">
        <v>-2.2471910112359571E-2</v>
      </c>
      <c r="AF110" s="9">
        <v>-2.886002886002889E-3</v>
      </c>
      <c r="AG110" s="9">
        <v>-4.5454545454546502E-3</v>
      </c>
      <c r="AH110" s="9">
        <v>-1.8072289156626519E-2</v>
      </c>
      <c r="AI110" s="9">
        <v>3.582802547770695E-2</v>
      </c>
      <c r="AJ110" s="9">
        <v>-1.4074074074074169E-2</v>
      </c>
      <c r="AK110" s="9">
        <v>1.6366612111292981E-2</v>
      </c>
      <c r="AL110" s="279">
        <v>3.6583894776346581E-3</v>
      </c>
      <c r="AM110" s="279">
        <v>6.3683405371121786E-3</v>
      </c>
      <c r="AN110" s="279">
        <v>6.6241452846241852E-4</v>
      </c>
      <c r="AO110" s="279">
        <v>1.7100000000000001E-2</v>
      </c>
      <c r="AP110" s="279">
        <v>6.5266478863953703E-3</v>
      </c>
      <c r="AQ110" s="279">
        <v>6.2086372076861638E-3</v>
      </c>
      <c r="AR110" s="279">
        <v>5.8757379652771306E-3</v>
      </c>
      <c r="AS110" s="279">
        <v>-5.2692452257510028E-4</v>
      </c>
      <c r="AT110" s="279">
        <v>2.2218039965562059E-2</v>
      </c>
      <c r="AU110" s="279">
        <v>8.3000000000000001E-3</v>
      </c>
      <c r="AV110" s="279">
        <v>2.2800000000000001E-2</v>
      </c>
      <c r="AW110" s="279">
        <v>1.01E-2</v>
      </c>
      <c r="AX110" s="279">
        <v>1.9400000000000001E-2</v>
      </c>
      <c r="AY110" s="279">
        <v>8.8000000000000005E-3</v>
      </c>
      <c r="AZ110" s="279">
        <v>2.6700000000000002E-2</v>
      </c>
      <c r="BA110" s="279">
        <v>2.29E-2</v>
      </c>
      <c r="BB110" s="279">
        <v>1.24E-2</v>
      </c>
      <c r="BD110" s="9"/>
    </row>
    <row r="111" spans="1:56" hidden="1" x14ac:dyDescent="0.3">
      <c r="A111">
        <v>20260706</v>
      </c>
      <c r="B111" s="9">
        <v>2.9055690072639251E-2</v>
      </c>
      <c r="C111" s="9">
        <v>-3.045325779036822E-2</v>
      </c>
      <c r="D111" s="9">
        <v>-3.8554216867469911E-2</v>
      </c>
      <c r="E111" s="9">
        <v>-8.0645161290322648E-3</v>
      </c>
      <c r="F111" s="9">
        <v>-1.867995018680021E-3</v>
      </c>
      <c r="G111" s="9">
        <v>1.262626262626264E-2</v>
      </c>
      <c r="H111" s="9">
        <v>5.8754406580493589E-3</v>
      </c>
      <c r="I111" s="9">
        <v>1.910828025477709E-2</v>
      </c>
      <c r="J111" s="9">
        <v>7.2202166064982004E-3</v>
      </c>
      <c r="K111" s="9">
        <v>-9.3141405588485354E-3</v>
      </c>
      <c r="L111" s="9">
        <v>-1.4270613107822371E-2</v>
      </c>
      <c r="M111" s="9">
        <v>2.149470899470898E-2</v>
      </c>
      <c r="N111" s="9">
        <v>-8.7796312554872767E-3</v>
      </c>
      <c r="O111" s="9">
        <v>4.3290043290042362E-3</v>
      </c>
      <c r="P111" s="9">
        <v>-6.0646900269541084E-3</v>
      </c>
      <c r="Q111" s="9">
        <v>4.2152466367712943E-2</v>
      </c>
      <c r="R111" s="9">
        <v>1.7402945113788499E-2</v>
      </c>
      <c r="S111" s="9">
        <v>5.8823529411765694E-3</v>
      </c>
      <c r="T111" s="9">
        <v>3.7950664136622417E-2</v>
      </c>
      <c r="U111" s="9">
        <v>-1.892583120204611E-2</v>
      </c>
      <c r="V111" s="9">
        <v>9.4741828517279944E-4</v>
      </c>
      <c r="W111" s="9">
        <v>-6.6170388751033964E-3</v>
      </c>
      <c r="X111" s="9">
        <v>3.164556962025319E-3</v>
      </c>
      <c r="Y111" s="9">
        <v>1.1866235167205931E-2</v>
      </c>
      <c r="Z111" s="9">
        <v>1.101928374655649E-2</v>
      </c>
      <c r="AA111" s="9">
        <v>1.0638297872340439E-2</v>
      </c>
      <c r="AB111" s="9">
        <v>9.28074245939676E-3</v>
      </c>
      <c r="AC111" s="9">
        <v>-5.7692307692307748E-3</v>
      </c>
      <c r="AD111" s="9">
        <v>-3.4246575342465791E-3</v>
      </c>
      <c r="AE111" s="9">
        <v>-2.1943573667711502E-2</v>
      </c>
      <c r="AF111" s="9">
        <v>-2.3154848046309559E-2</v>
      </c>
      <c r="AG111" s="9">
        <v>5.4794520547945258E-3</v>
      </c>
      <c r="AH111" s="9">
        <v>-7.3619631901839198E-3</v>
      </c>
      <c r="AI111" s="9">
        <v>-1.306687163720208E-2</v>
      </c>
      <c r="AJ111" s="9">
        <v>2.2539444027048191E-3</v>
      </c>
      <c r="AK111" s="9">
        <v>-3.2206119162640927E-2</v>
      </c>
      <c r="AL111" s="279">
        <v>-5.9468652400818968E-4</v>
      </c>
      <c r="AM111" s="279">
        <v>-1.1585586417319171E-2</v>
      </c>
      <c r="AN111" s="279">
        <v>-1.7680364901513389E-2</v>
      </c>
      <c r="AO111" s="279">
        <v>-3.2500000000000001E-2</v>
      </c>
      <c r="AP111" s="279">
        <v>9.1036928198335153E-3</v>
      </c>
      <c r="AQ111" s="279">
        <v>-3.6347310113264342E-5</v>
      </c>
      <c r="AR111" s="279">
        <v>-1.0763223647641941E-2</v>
      </c>
      <c r="AS111" s="279">
        <v>-1.7189435908940561E-2</v>
      </c>
      <c r="AT111" s="279">
        <v>-1.197234385300916E-2</v>
      </c>
      <c r="AU111" s="279">
        <v>-5.9999999999999995E-4</v>
      </c>
      <c r="AV111" s="279">
        <v>-1.0500000000000001E-2</v>
      </c>
      <c r="AW111" s="279">
        <v>-1.2200000000000001E-2</v>
      </c>
      <c r="AX111" s="279">
        <v>-8.3000000000000001E-3</v>
      </c>
      <c r="AY111" s="279">
        <v>8.0000000000000004E-4</v>
      </c>
      <c r="AZ111" s="279">
        <v>-3.0000000000000001E-3</v>
      </c>
      <c r="BA111" s="279">
        <v>-1.5299999999999999E-2</v>
      </c>
      <c r="BB111" s="279">
        <v>8.0000000000000004E-4</v>
      </c>
      <c r="BD111" s="9"/>
    </row>
    <row r="112" spans="1:56" hidden="1" x14ac:dyDescent="0.3">
      <c r="A112">
        <v>20260707</v>
      </c>
      <c r="B112" s="9">
        <v>1.2235294117646969E-2</v>
      </c>
      <c r="C112" s="9">
        <v>-2.4835646457268101E-2</v>
      </c>
      <c r="D112" s="9">
        <v>-1.837928153717629E-2</v>
      </c>
      <c r="E112" s="9">
        <v>-2.555168408826948E-2</v>
      </c>
      <c r="F112" s="9">
        <v>-2.4953212726138512E-3</v>
      </c>
      <c r="G112" s="9">
        <v>-2.7431421446384059E-2</v>
      </c>
      <c r="H112" s="9">
        <v>-2.5700934579439279E-2</v>
      </c>
      <c r="I112" s="9">
        <v>-1.562500000000001E-2</v>
      </c>
      <c r="J112" s="9">
        <v>-2.6881720430107552E-2</v>
      </c>
      <c r="K112" s="9">
        <v>-1.3675213675213691E-2</v>
      </c>
      <c r="L112" s="9">
        <v>-3.3243967828418257E-2</v>
      </c>
      <c r="M112" s="9">
        <v>-1.4567821301392021E-2</v>
      </c>
      <c r="N112" s="9">
        <v>-2.4800708591674069E-2</v>
      </c>
      <c r="O112" s="9">
        <v>-3.1896551724137863E-2</v>
      </c>
      <c r="P112" s="9">
        <v>-2.2372881355932302E-2</v>
      </c>
      <c r="Q112" s="9">
        <v>-2.9259896729776271E-2</v>
      </c>
      <c r="R112" s="9">
        <v>-1.315789473684212E-3</v>
      </c>
      <c r="S112" s="9">
        <v>-2.1720969089390169E-2</v>
      </c>
      <c r="T112" s="9">
        <v>-1.279707495429617E-2</v>
      </c>
      <c r="U112" s="9">
        <v>-3.1803962460896743E-2</v>
      </c>
      <c r="V112" s="9">
        <v>-1.845716990061531E-2</v>
      </c>
      <c r="W112" s="9">
        <v>-1.915070774354715E-2</v>
      </c>
      <c r="X112" s="9">
        <v>-3.4700315457413283E-2</v>
      </c>
      <c r="Y112" s="9">
        <v>-2.5586353944562809E-2</v>
      </c>
      <c r="Z112" s="9">
        <v>-3.5422343324250712E-2</v>
      </c>
      <c r="AA112" s="9">
        <v>-4.4736842105263207E-2</v>
      </c>
      <c r="AB112" s="9">
        <v>-4.4827586206896593E-2</v>
      </c>
      <c r="AC112" s="9">
        <v>-2.224371373307556E-2</v>
      </c>
      <c r="AD112" s="9">
        <v>-1.9759450171821229E-2</v>
      </c>
      <c r="AE112" s="9">
        <v>-9.6153846153846229E-3</v>
      </c>
      <c r="AF112" s="9">
        <v>-2.518518518518521E-2</v>
      </c>
      <c r="AG112" s="9">
        <v>1.907356948228895E-2</v>
      </c>
      <c r="AH112" s="9">
        <v>-1.23609394313968E-3</v>
      </c>
      <c r="AI112" s="9">
        <v>-3.1152647975077909E-2</v>
      </c>
      <c r="AJ112" s="9">
        <v>1.499250374812595E-3</v>
      </c>
      <c r="AK112" s="9">
        <v>-2.495840266222871E-3</v>
      </c>
      <c r="AL112" s="279">
        <v>-1.2620538557738941E-2</v>
      </c>
      <c r="AM112" s="279">
        <v>-1.243362435784329E-2</v>
      </c>
      <c r="AN112" s="279">
        <v>-9.3577640129050722E-3</v>
      </c>
      <c r="AO112" s="279">
        <v>-7.9000000000000008E-3</v>
      </c>
      <c r="AP112" s="279">
        <v>-1.219823466709755E-2</v>
      </c>
      <c r="AQ112" s="279">
        <v>-1.027175145466799E-2</v>
      </c>
      <c r="AR112" s="279">
        <v>-1.6454016317398418E-2</v>
      </c>
      <c r="AS112" s="279">
        <v>-2.015901134515553E-2</v>
      </c>
      <c r="AT112" s="279">
        <v>-3.0362983070225901E-2</v>
      </c>
      <c r="AU112" s="279">
        <v>-1.06E-2</v>
      </c>
      <c r="AV112" s="279">
        <v>-4.5199999999999997E-2</v>
      </c>
      <c r="AW112" s="279">
        <v>-2.47E-2</v>
      </c>
      <c r="AX112" s="279">
        <v>-3.7100000000000001E-2</v>
      </c>
      <c r="AY112" s="279">
        <v>-3.2300000000000002E-2</v>
      </c>
      <c r="AZ112" s="279">
        <v>-2.7900000000000001E-2</v>
      </c>
      <c r="BA112" s="279">
        <v>-2.6100000000000002E-2</v>
      </c>
      <c r="BB112" s="279">
        <v>-2.1100000000000001E-2</v>
      </c>
      <c r="BD112" s="9"/>
    </row>
    <row r="113" spans="1:56" hidden="1" x14ac:dyDescent="0.3">
      <c r="A113">
        <v>20260708</v>
      </c>
      <c r="B113" s="9">
        <v>1.3482101348210301E-2</v>
      </c>
      <c r="C113" s="9">
        <v>-4.4194756554307067E-2</v>
      </c>
      <c r="D113" s="9">
        <v>-4.765957446808515E-2</v>
      </c>
      <c r="E113" s="9">
        <v>-4.0524433849821122E-2</v>
      </c>
      <c r="F113" s="9">
        <v>-4.0650406504065012E-2</v>
      </c>
      <c r="G113" s="9">
        <v>0</v>
      </c>
      <c r="H113" s="9">
        <v>-1.3189448441247011E-2</v>
      </c>
      <c r="I113" s="9">
        <v>-7.936507936507943E-3</v>
      </c>
      <c r="J113" s="9">
        <v>7.3664825046040588E-3</v>
      </c>
      <c r="K113" s="9">
        <v>-1.386481802426345E-2</v>
      </c>
      <c r="L113" s="9">
        <v>-2.9395452024403738E-2</v>
      </c>
      <c r="M113" s="9">
        <v>1.182654402102498E-2</v>
      </c>
      <c r="N113" s="9">
        <v>-4.5413260672115289E-3</v>
      </c>
      <c r="O113" s="9">
        <v>-1.068566340160286E-2</v>
      </c>
      <c r="P113" s="9">
        <v>-1.6643550624133169E-2</v>
      </c>
      <c r="Q113" s="9">
        <v>1.152482269503557E-2</v>
      </c>
      <c r="R113" s="9">
        <v>1.449275362318842E-2</v>
      </c>
      <c r="S113" s="9">
        <v>5.123825789923148E-3</v>
      </c>
      <c r="T113" s="9">
        <v>-2.5925925925925949E-2</v>
      </c>
      <c r="U113" s="9">
        <v>-3.4464189553042569E-2</v>
      </c>
      <c r="V113" s="9">
        <v>-3.8090646094503251E-2</v>
      </c>
      <c r="W113" s="9">
        <v>-2.5466893039048318E-3</v>
      </c>
      <c r="X113" s="9">
        <v>-6.5359477124183078E-3</v>
      </c>
      <c r="Y113" s="9">
        <v>6.5645514223194824E-3</v>
      </c>
      <c r="Z113" s="9">
        <v>-1.412429378531075E-2</v>
      </c>
      <c r="AA113" s="9">
        <v>-2.2038567493112969E-2</v>
      </c>
      <c r="AB113" s="9">
        <v>-2.286401925391084E-2</v>
      </c>
      <c r="AC113" s="9">
        <v>-1.9782393669634051E-3</v>
      </c>
      <c r="AD113" s="9">
        <v>-2.3663453111305799E-2</v>
      </c>
      <c r="AE113" s="9">
        <v>-3.020496224379722E-2</v>
      </c>
      <c r="AF113" s="9">
        <v>3.3434650455927077E-2</v>
      </c>
      <c r="AG113" s="9">
        <v>-1.6934046345811169E-2</v>
      </c>
      <c r="AH113" s="9">
        <v>0</v>
      </c>
      <c r="AI113" s="9">
        <v>-2.009646302250797E-2</v>
      </c>
      <c r="AJ113" s="9">
        <v>2.245508982035847E-3</v>
      </c>
      <c r="AK113" s="9">
        <v>-7.5062552126773296E-3</v>
      </c>
      <c r="AL113" s="279">
        <v>-4.8506917512376882E-3</v>
      </c>
      <c r="AM113" s="279">
        <v>-1.874425866217062E-2</v>
      </c>
      <c r="AN113" s="279">
        <v>-1.7013620211319021E-2</v>
      </c>
      <c r="AO113" s="279">
        <v>-2.5899999999999999E-2</v>
      </c>
      <c r="AP113" s="279">
        <v>-3.5771403890705647E-4</v>
      </c>
      <c r="AQ113" s="279">
        <v>-7.6640843092468163E-3</v>
      </c>
      <c r="AR113" s="279">
        <v>-1.395833343127131E-2</v>
      </c>
      <c r="AS113" s="279">
        <v>-2.2157015511327378E-2</v>
      </c>
      <c r="AT113" s="279">
        <v>-1.051826653030246E-2</v>
      </c>
      <c r="AU113" s="279">
        <v>-5.3E-3</v>
      </c>
      <c r="AV113" s="279">
        <v>1.37E-2</v>
      </c>
      <c r="AW113" s="279">
        <v>-1.6899999999999998E-2</v>
      </c>
      <c r="AX113" s="279">
        <v>-1E-3</v>
      </c>
      <c r="AY113" s="279">
        <v>-7.3000000000000001E-3</v>
      </c>
      <c r="AZ113" s="279">
        <v>-3.3999999999999998E-3</v>
      </c>
      <c r="BA113" s="279">
        <v>-4.4000000000000003E-3</v>
      </c>
      <c r="BB113" s="279">
        <v>-4.0000000000000001E-3</v>
      </c>
      <c r="BD113" s="9"/>
    </row>
    <row r="114" spans="1:56" hidden="1" x14ac:dyDescent="0.3">
      <c r="A114">
        <v>20260709</v>
      </c>
      <c r="B114" s="9">
        <v>-1.055045871559639E-2</v>
      </c>
      <c r="C114" s="9">
        <v>7.8369905956112915E-3</v>
      </c>
      <c r="D114" s="9">
        <v>2.5022341376228802E-2</v>
      </c>
      <c r="E114" s="9">
        <v>-4.9689440993788874E-3</v>
      </c>
      <c r="F114" s="9">
        <v>-1.303780964797915E-3</v>
      </c>
      <c r="G114" s="9">
        <v>-1.7948717948717961E-2</v>
      </c>
      <c r="H114" s="9">
        <v>-4.8602673147023134E-3</v>
      </c>
      <c r="I114" s="9">
        <v>-1.120000000000001E-2</v>
      </c>
      <c r="J114" s="9">
        <v>-2.0109689213893979E-2</v>
      </c>
      <c r="K114" s="9">
        <v>-2.196836555360274E-2</v>
      </c>
      <c r="L114" s="9">
        <v>-2.857142857142796E-3</v>
      </c>
      <c r="M114" s="9">
        <v>-1.2987012987013E-2</v>
      </c>
      <c r="N114" s="9">
        <v>6.3868613138685169E-3</v>
      </c>
      <c r="O114" s="9">
        <v>1.8901890189018819E-2</v>
      </c>
      <c r="P114" s="9">
        <v>1.269393511988718E-2</v>
      </c>
      <c r="Q114" s="9">
        <v>-1.928133216476776E-2</v>
      </c>
      <c r="R114" s="9">
        <v>-1.1688311688311699E-2</v>
      </c>
      <c r="S114" s="9">
        <v>1.019541206457095E-2</v>
      </c>
      <c r="T114" s="9">
        <v>-5.7034220532319437E-3</v>
      </c>
      <c r="U114" s="9">
        <v>1.2827663134411671E-2</v>
      </c>
      <c r="V114" s="9">
        <v>2.4060150375939868E-2</v>
      </c>
      <c r="W114" s="9">
        <v>-2.5531914893617991E-3</v>
      </c>
      <c r="X114" s="9">
        <v>9.8684210526315888E-3</v>
      </c>
      <c r="Y114" s="9">
        <v>-1.0869565217391311E-3</v>
      </c>
      <c r="Z114" s="9">
        <v>2.0057306590257899E-2</v>
      </c>
      <c r="AA114" s="9">
        <v>1.9718309859154948E-2</v>
      </c>
      <c r="AB114" s="9">
        <v>2.0935960591132889E-2</v>
      </c>
      <c r="AC114" s="9">
        <v>-1.982160555004958E-3</v>
      </c>
      <c r="AD114" s="9">
        <v>-8.9766606822272172E-4</v>
      </c>
      <c r="AE114" s="9">
        <v>1.557285873192437E-2</v>
      </c>
      <c r="AF114" s="9">
        <v>2.4999999999999859E-2</v>
      </c>
      <c r="AG114" s="9">
        <v>-9.0661831368983668E-4</v>
      </c>
      <c r="AH114" s="9">
        <v>8.6633663366335323E-3</v>
      </c>
      <c r="AI114" s="9">
        <v>1.9688269073010679E-2</v>
      </c>
      <c r="AJ114" s="9">
        <v>9.8581030619865659E-2</v>
      </c>
      <c r="AK114" s="9">
        <v>7.7310924369747971E-2</v>
      </c>
      <c r="AL114" s="279">
        <v>1.6547440365863451E-2</v>
      </c>
      <c r="AM114" s="279">
        <v>3.072334640585872E-2</v>
      </c>
      <c r="AN114" s="279">
        <v>4.4943439493559889E-2</v>
      </c>
      <c r="AO114" s="279">
        <v>4.4000000000000003E-3</v>
      </c>
      <c r="AP114" s="279">
        <v>2.5659244834194989E-2</v>
      </c>
      <c r="AQ114" s="279">
        <v>2.5397463250183969E-2</v>
      </c>
      <c r="AR114" s="279">
        <v>3.1319007582818532E-2</v>
      </c>
      <c r="AS114" s="279">
        <v>2.2446319295193719E-2</v>
      </c>
      <c r="AT114" s="279">
        <v>-3.5902176411986282E-3</v>
      </c>
      <c r="AU114" s="279">
        <v>6.7999999999999996E-3</v>
      </c>
      <c r="AV114" s="279">
        <v>-4.1999999999999997E-3</v>
      </c>
      <c r="AW114" s="279">
        <v>7.7999999999999996E-3</v>
      </c>
      <c r="AX114" s="279">
        <v>-1.4E-3</v>
      </c>
      <c r="AY114" s="279">
        <v>-5.8999999999999999E-3</v>
      </c>
      <c r="AZ114" s="279">
        <v>-1.11E-2</v>
      </c>
      <c r="BA114" s="279">
        <v>-8.9999999999999998E-4</v>
      </c>
      <c r="BB114" s="279">
        <v>-8.8000000000000005E-3</v>
      </c>
      <c r="BD114" s="9"/>
    </row>
    <row r="115" spans="1:56" hidden="1" x14ac:dyDescent="0.3">
      <c r="A115">
        <v>20260710</v>
      </c>
      <c r="B115" s="9">
        <v>-6.0268891979600838E-3</v>
      </c>
      <c r="C115" s="9">
        <v>7.7760497667185126E-3</v>
      </c>
      <c r="D115" s="9">
        <v>8.7183958151690485E-4</v>
      </c>
      <c r="E115" s="9">
        <v>-1.872659176029964E-2</v>
      </c>
      <c r="F115" s="9">
        <v>7.18015665796338E-3</v>
      </c>
      <c r="G115" s="9">
        <v>3.6553524804177583E-2</v>
      </c>
      <c r="H115" s="9">
        <v>8.5470085470085548E-3</v>
      </c>
      <c r="I115" s="9">
        <v>2.2653721682847919E-2</v>
      </c>
      <c r="J115" s="9">
        <v>2.052238805970151E-2</v>
      </c>
      <c r="K115" s="9">
        <v>1.2578616352201271E-2</v>
      </c>
      <c r="L115" s="9">
        <v>6.303724928366704E-3</v>
      </c>
      <c r="M115" s="9">
        <v>1.6447368421052279E-3</v>
      </c>
      <c r="N115" s="9">
        <v>9.066183136899374E-3</v>
      </c>
      <c r="O115" s="9">
        <v>-1.943462897526484E-2</v>
      </c>
      <c r="P115" s="9">
        <v>3.4818941504179079E-3</v>
      </c>
      <c r="Q115" s="9">
        <v>0</v>
      </c>
      <c r="R115" s="9">
        <v>7.8843626806833177E-3</v>
      </c>
      <c r="S115" s="9">
        <v>2.2708158116063849E-2</v>
      </c>
      <c r="T115" s="9">
        <v>2.1032504780114741E-2</v>
      </c>
      <c r="U115" s="9">
        <v>-1.211453744493393E-2</v>
      </c>
      <c r="V115" s="9">
        <v>-3.083700440528642E-2</v>
      </c>
      <c r="W115" s="9">
        <v>9.3856655290103421E-3</v>
      </c>
      <c r="X115" s="9">
        <v>2.9315960912052141E-2</v>
      </c>
      <c r="Y115" s="9">
        <v>1.7410228509249202E-2</v>
      </c>
      <c r="Z115" s="9">
        <v>1.966292134831462E-2</v>
      </c>
      <c r="AA115" s="9">
        <v>3.8674033149171297E-2</v>
      </c>
      <c r="AB115" s="9">
        <v>3.1363088057901112E-2</v>
      </c>
      <c r="AC115" s="9">
        <v>1.4895729890764769E-2</v>
      </c>
      <c r="AD115" s="9">
        <v>1.4375561545372881E-2</v>
      </c>
      <c r="AE115" s="9">
        <v>-1.7524644030668141E-2</v>
      </c>
      <c r="AF115" s="9">
        <v>1.5781922525107621E-2</v>
      </c>
      <c r="AG115" s="9">
        <v>2.4500907441016261E-2</v>
      </c>
      <c r="AH115" s="9">
        <v>2.8220858895705549E-2</v>
      </c>
      <c r="AI115" s="9">
        <v>3.0571198712791479E-2</v>
      </c>
      <c r="AJ115" s="9">
        <v>-6.9340584636301897E-2</v>
      </c>
      <c r="AK115" s="9">
        <v>-4.6021840873634902E-2</v>
      </c>
      <c r="AL115" s="279">
        <v>-1.001499286030684E-2</v>
      </c>
      <c r="AM115" s="279">
        <v>-2.2862930904042011E-2</v>
      </c>
      <c r="AN115" s="279">
        <v>-4.3662270474100887E-2</v>
      </c>
      <c r="AO115" s="279">
        <v>-2.0000000000000001E-4</v>
      </c>
      <c r="AP115" s="279">
        <v>-1.3441867901911731E-2</v>
      </c>
      <c r="AQ115" s="279">
        <v>-1.9589882765933962E-2</v>
      </c>
      <c r="AR115" s="279">
        <v>-1.7198655184739949E-2</v>
      </c>
      <c r="AS115" s="279">
        <v>-1.226125974493962E-2</v>
      </c>
      <c r="AT115" s="279">
        <v>2.3799669670016149E-2</v>
      </c>
      <c r="AU115" s="279">
        <v>-1E-3</v>
      </c>
      <c r="AV115" s="279">
        <v>8.3000000000000001E-3</v>
      </c>
      <c r="AW115" s="279">
        <v>7.3000000000000001E-3</v>
      </c>
      <c r="AX115" s="279">
        <v>2.0799999999999999E-2</v>
      </c>
      <c r="AY115" s="279">
        <v>1.55E-2</v>
      </c>
      <c r="AZ115" s="279">
        <v>1.6899999999999998E-2</v>
      </c>
      <c r="BA115" s="279">
        <v>1.6E-2</v>
      </c>
      <c r="BB115" s="279">
        <v>1.6500000000000001E-2</v>
      </c>
      <c r="BD115" s="9"/>
    </row>
    <row r="116" spans="1:56" hidden="1" x14ac:dyDescent="0.3">
      <c r="A116">
        <v>20260713</v>
      </c>
      <c r="B116" s="9">
        <v>2.8917910447761111E-2</v>
      </c>
      <c r="C116" s="9">
        <v>-4.7067901234567847E-2</v>
      </c>
      <c r="D116" s="9">
        <v>-6.0975609756097428E-2</v>
      </c>
      <c r="E116" s="9">
        <v>-4.3256997455470778E-2</v>
      </c>
      <c r="F116" s="9">
        <v>-3.5644847699287073E-2</v>
      </c>
      <c r="G116" s="9">
        <v>-1.007556675062973E-2</v>
      </c>
      <c r="H116" s="9">
        <v>-9.6852300242130842E-3</v>
      </c>
      <c r="I116" s="9">
        <v>-1.5822784810126599E-3</v>
      </c>
      <c r="J116" s="9">
        <v>-2.74223034734918E-2</v>
      </c>
      <c r="K116" s="9">
        <v>-2.0408163265306041E-2</v>
      </c>
      <c r="L116" s="9">
        <v>-4.3849658314350767E-2</v>
      </c>
      <c r="M116" s="9">
        <v>6.8965517241379006E-3</v>
      </c>
      <c r="N116" s="9">
        <v>-2.336028751123093E-2</v>
      </c>
      <c r="O116" s="9">
        <v>-1.081081081081082E-2</v>
      </c>
      <c r="P116" s="9">
        <v>-9.021512838306817E-3</v>
      </c>
      <c r="Q116" s="9">
        <v>8.9365504915112776E-4</v>
      </c>
      <c r="R116" s="9">
        <v>1.5645371577574979E-2</v>
      </c>
      <c r="S116" s="9">
        <v>-3.1250000000000028E-2</v>
      </c>
      <c r="T116" s="9">
        <v>-3.7453183520599282E-3</v>
      </c>
      <c r="U116" s="9">
        <v>-5.6856187290969952E-2</v>
      </c>
      <c r="V116" s="9">
        <v>-4.4949494949494927E-2</v>
      </c>
      <c r="W116" s="9">
        <v>-1.6060862214708479E-2</v>
      </c>
      <c r="X116" s="9">
        <v>-1.5822784810126601E-2</v>
      </c>
      <c r="Y116" s="9">
        <v>4.171122994652398E-2</v>
      </c>
      <c r="Z116" s="9">
        <v>-8.2644628099173625E-3</v>
      </c>
      <c r="AA116" s="9">
        <v>-1.3297872340425549E-2</v>
      </c>
      <c r="AB116" s="9">
        <v>-8.1871345029239841E-3</v>
      </c>
      <c r="AC116" s="9">
        <v>-1.5655577299412929E-2</v>
      </c>
      <c r="AD116" s="9">
        <v>-3.4543844109831641E-2</v>
      </c>
      <c r="AE116" s="9">
        <v>-5.3511705685618777E-2</v>
      </c>
      <c r="AF116" s="9">
        <v>-2.401129943502827E-2</v>
      </c>
      <c r="AG116" s="9">
        <v>-4.8715677590788257E-2</v>
      </c>
      <c r="AH116" s="9">
        <v>-4.6539379474940253E-2</v>
      </c>
      <c r="AI116" s="9">
        <v>-6.9476971116315359E-2</v>
      </c>
      <c r="AJ116" s="9">
        <v>-5.624543462381297E-2</v>
      </c>
      <c r="AK116" s="9">
        <v>-5.2330335241210182E-2</v>
      </c>
      <c r="AL116" s="279">
        <v>-2.0611802024041989E-2</v>
      </c>
      <c r="AM116" s="279">
        <v>-3.4812719359167223E-2</v>
      </c>
      <c r="AN116" s="279">
        <v>-3.1023352922700101E-2</v>
      </c>
      <c r="AO116" s="279">
        <v>-6.7799999999999999E-2</v>
      </c>
      <c r="AP116" s="279">
        <v>-1.4323130954958871E-2</v>
      </c>
      <c r="AQ116" s="279">
        <v>-1.7864046233392109E-2</v>
      </c>
      <c r="AR116" s="279">
        <v>-4.3018314620310819E-2</v>
      </c>
      <c r="AS116" s="279">
        <v>-5.0065818459126048E-2</v>
      </c>
      <c r="AT116" s="279">
        <v>-3.5833472231677703E-2</v>
      </c>
      <c r="AU116" s="279">
        <v>-1.7500000000000002E-2</v>
      </c>
      <c r="AV116" s="279">
        <v>-2.8899999999999999E-2</v>
      </c>
      <c r="AW116" s="279">
        <v>-4.2000000000000003E-2</v>
      </c>
      <c r="AX116" s="279">
        <v>-2.69E-2</v>
      </c>
      <c r="AY116" s="279">
        <v>-1.4500000000000001E-2</v>
      </c>
      <c r="AZ116" s="279">
        <v>-2.3300000000000001E-2</v>
      </c>
      <c r="BA116" s="279">
        <v>-2.8000000000000001E-2</v>
      </c>
      <c r="BB116" s="279">
        <v>-1.2699999999999999E-2</v>
      </c>
      <c r="BD116" s="9"/>
    </row>
    <row r="117" spans="1:56" hidden="1" x14ac:dyDescent="0.3">
      <c r="A117">
        <v>20260714</v>
      </c>
      <c r="B117" s="9">
        <v>-1.3599274705349571E-3</v>
      </c>
      <c r="C117" s="9">
        <v>4.0485829959513303E-3</v>
      </c>
      <c r="D117" s="9">
        <v>7.4211502782931416E-3</v>
      </c>
      <c r="E117" s="9">
        <v>3.1914893617021302E-2</v>
      </c>
      <c r="F117" s="9">
        <v>1.881720430107529E-2</v>
      </c>
      <c r="G117" s="9">
        <v>7.6335877862595486E-3</v>
      </c>
      <c r="H117" s="9">
        <v>1.466992665036676E-2</v>
      </c>
      <c r="I117" s="9">
        <v>1.584786053882727E-3</v>
      </c>
      <c r="J117" s="9">
        <v>9.3984962406015119E-3</v>
      </c>
      <c r="K117" s="9">
        <v>1.9927536231883869E-2</v>
      </c>
      <c r="L117" s="9">
        <v>5.6581298391899931E-2</v>
      </c>
      <c r="M117" s="9">
        <v>2.34833659491194E-2</v>
      </c>
      <c r="N117" s="9">
        <v>1.0119595216191459E-2</v>
      </c>
      <c r="O117" s="9">
        <v>5.4644808743169442E-3</v>
      </c>
      <c r="P117" s="9">
        <v>8.4033613445378234E-3</v>
      </c>
      <c r="Q117" s="9">
        <v>4.1071428571428412E-2</v>
      </c>
      <c r="R117" s="9">
        <v>2.5673940949935831E-3</v>
      </c>
      <c r="S117" s="9">
        <v>7.6400679117148733E-3</v>
      </c>
      <c r="T117" s="9">
        <v>-1.8796992481203019E-3</v>
      </c>
      <c r="U117" s="9">
        <v>2.5413711583924439E-2</v>
      </c>
      <c r="V117" s="9">
        <v>2.4325753569539948E-2</v>
      </c>
      <c r="W117" s="9">
        <v>1.116838487972519E-2</v>
      </c>
      <c r="X117" s="9">
        <v>2.572347266881031E-2</v>
      </c>
      <c r="Y117" s="9">
        <v>1.232032854209447E-2</v>
      </c>
      <c r="Z117" s="9">
        <v>1.9444444444444459E-2</v>
      </c>
      <c r="AA117" s="9">
        <v>3.7735849056603807E-2</v>
      </c>
      <c r="AB117" s="9">
        <v>3.5377358490566072E-2</v>
      </c>
      <c r="AC117" s="9">
        <v>1.5904572564612338E-2</v>
      </c>
      <c r="AD117" s="9">
        <v>9.174311926605512E-3</v>
      </c>
      <c r="AE117" s="9">
        <v>5.8892815076560714E-3</v>
      </c>
      <c r="AF117" s="9">
        <v>-2.4602026049203911E-2</v>
      </c>
      <c r="AG117" s="9">
        <v>-1.6759776536312859E-2</v>
      </c>
      <c r="AH117" s="9">
        <v>-1.8773466833541939E-2</v>
      </c>
      <c r="AI117" s="9">
        <v>-2.8523489932885931E-2</v>
      </c>
      <c r="AJ117" s="9">
        <v>1.2383900928792581E-2</v>
      </c>
      <c r="AK117" s="9">
        <v>6.5573770491803338E-2</v>
      </c>
      <c r="AL117" s="279">
        <v>1.362672639387773E-2</v>
      </c>
      <c r="AM117" s="279">
        <v>2.7681770451392151E-2</v>
      </c>
      <c r="AN117" s="279">
        <v>3.4274101608774803E-2</v>
      </c>
      <c r="AO117" s="279">
        <v>2.2499999999999999E-2</v>
      </c>
      <c r="AP117" s="279">
        <v>1.454238449423796E-2</v>
      </c>
      <c r="AQ117" s="279">
        <v>2.153583637373151E-2</v>
      </c>
      <c r="AR117" s="279">
        <v>1.6931806941262381E-2</v>
      </c>
      <c r="AS117" s="279">
        <v>1.7626167314662919E-2</v>
      </c>
      <c r="AT117" s="279">
        <v>2.5001521766125238E-2</v>
      </c>
      <c r="AU117" s="279">
        <v>1.29E-2</v>
      </c>
      <c r="AV117" s="279">
        <v>7.4999999999999997E-3</v>
      </c>
      <c r="AW117" s="279">
        <v>1.4999999999999999E-2</v>
      </c>
      <c r="AX117" s="279">
        <v>1.4999999999999999E-2</v>
      </c>
      <c r="AY117" s="279">
        <v>1.2699999999999999E-2</v>
      </c>
      <c r="AZ117" s="279">
        <v>1.9199999999999998E-2</v>
      </c>
      <c r="BA117" s="279">
        <v>1.7000000000000001E-2</v>
      </c>
      <c r="BB117" s="279">
        <v>2.0400000000000001E-2</v>
      </c>
      <c r="BD117" s="9"/>
    </row>
    <row r="118" spans="1:56" hidden="1" x14ac:dyDescent="0.3">
      <c r="A118">
        <v>20260715</v>
      </c>
      <c r="B118" s="9">
        <v>1.2709940989559699E-2</v>
      </c>
      <c r="C118" s="9">
        <v>3.2258064516129071E-3</v>
      </c>
      <c r="D118" s="9">
        <v>-3.683241252302029E-3</v>
      </c>
      <c r="E118" s="9">
        <v>-3.8659793814433021E-3</v>
      </c>
      <c r="F118" s="9">
        <v>7.2559366754616746E-3</v>
      </c>
      <c r="G118" s="9">
        <v>5.0505050505050407E-2</v>
      </c>
      <c r="H118" s="9">
        <v>1.3253012048192779E-2</v>
      </c>
      <c r="I118" s="9">
        <v>3.7974683544303833E-2</v>
      </c>
      <c r="J118" s="9">
        <v>2.7932960893854771E-2</v>
      </c>
      <c r="K118" s="9">
        <v>1.6873889875666188E-2</v>
      </c>
      <c r="L118" s="9">
        <v>-1.9729425028184849E-2</v>
      </c>
      <c r="M118" s="9">
        <v>1.497769279796053E-2</v>
      </c>
      <c r="N118" s="9">
        <v>3.6429872495446301E-3</v>
      </c>
      <c r="O118" s="9">
        <v>2.355072463768098E-2</v>
      </c>
      <c r="P118" s="9">
        <v>1.111111111111112E-2</v>
      </c>
      <c r="Q118" s="9">
        <v>1.7152658662092639E-2</v>
      </c>
      <c r="R118" s="9">
        <v>1.1523687580025621E-2</v>
      </c>
      <c r="S118" s="9">
        <v>6.7396798652064084E-3</v>
      </c>
      <c r="T118" s="9">
        <v>2.4482109227871959E-2</v>
      </c>
      <c r="U118" s="9">
        <v>-2.1902017291066299E-2</v>
      </c>
      <c r="V118" s="9">
        <v>-9.8089829633454459E-3</v>
      </c>
      <c r="W118" s="9">
        <v>1.019541206457095E-2</v>
      </c>
      <c r="X118" s="9">
        <v>4.0752351097178723E-2</v>
      </c>
      <c r="Y118" s="9">
        <v>2.231237322515215E-2</v>
      </c>
      <c r="Z118" s="9">
        <v>3.2697547683923738E-2</v>
      </c>
      <c r="AA118" s="9">
        <v>4.6753246753246797E-2</v>
      </c>
      <c r="AB118" s="9">
        <v>3.8724373576309833E-2</v>
      </c>
      <c r="AC118" s="9">
        <v>5.8708414872798492E-3</v>
      </c>
      <c r="AD118" s="9">
        <v>2.2727272727272641E-2</v>
      </c>
      <c r="AE118" s="9">
        <v>-4.6838407494145242E-3</v>
      </c>
      <c r="AF118" s="9">
        <v>1.186943620178043E-2</v>
      </c>
      <c r="AG118" s="9">
        <v>5.7765151515151457E-2</v>
      </c>
      <c r="AH118" s="9">
        <v>4.0816326530612138E-2</v>
      </c>
      <c r="AI118" s="9">
        <v>-1.2953367875647581E-2</v>
      </c>
      <c r="AJ118" s="9">
        <v>-5.8103975535168252E-2</v>
      </c>
      <c r="AK118" s="9">
        <v>-2.914979757085023E-2</v>
      </c>
      <c r="AL118" s="279">
        <v>-2.9108982169963912E-3</v>
      </c>
      <c r="AM118" s="279">
        <v>-9.7470530731590989E-3</v>
      </c>
      <c r="AN118" s="279">
        <v>-1.205698472944489E-2</v>
      </c>
      <c r="AO118" s="279">
        <v>3.8999999999999998E-3</v>
      </c>
      <c r="AP118" s="279">
        <v>3.8966650234322749E-3</v>
      </c>
      <c r="AQ118" s="279">
        <v>-2.0263308552775868E-3</v>
      </c>
      <c r="AR118" s="279">
        <v>-1.550995186285836E-2</v>
      </c>
      <c r="AS118" s="279">
        <v>-1.353814950253761E-2</v>
      </c>
      <c r="AT118" s="279">
        <v>1.301131278042016E-2</v>
      </c>
      <c r="AU118" s="279">
        <v>-2.7000000000000001E-3</v>
      </c>
      <c r="AV118" s="279">
        <v>1E-4</v>
      </c>
      <c r="AW118" s="279">
        <v>4.0000000000000002E-4</v>
      </c>
      <c r="AX118" s="279">
        <v>2.18E-2</v>
      </c>
      <c r="AY118" s="279">
        <v>2.1899999999999999E-2</v>
      </c>
      <c r="AZ118" s="279">
        <v>1.5800000000000002E-2</v>
      </c>
      <c r="BA118" s="279">
        <v>1.4200000000000001E-2</v>
      </c>
      <c r="BB118" s="279">
        <v>1.8700000000000001E-2</v>
      </c>
      <c r="BD118" s="9"/>
    </row>
    <row r="119" spans="1:56" hidden="1" x14ac:dyDescent="0.3">
      <c r="A119">
        <v>20260716</v>
      </c>
      <c r="B119" s="9">
        <v>-3.7203047960555687E-2</v>
      </c>
      <c r="C119" s="9">
        <v>-6.4308681672025783E-3</v>
      </c>
      <c r="D119" s="9">
        <v>-1.5711645101663702E-2</v>
      </c>
      <c r="E119" s="9">
        <v>-3.1047865459249702E-2</v>
      </c>
      <c r="F119" s="9">
        <v>-1.1132940406024829E-2</v>
      </c>
      <c r="G119" s="9">
        <v>9.6153846153846246E-3</v>
      </c>
      <c r="H119" s="9">
        <v>-7.1343638525564867E-3</v>
      </c>
      <c r="I119" s="9">
        <v>1.371951219512196E-2</v>
      </c>
      <c r="J119" s="9">
        <v>5.4347826086956564E-3</v>
      </c>
      <c r="K119" s="9">
        <v>-9.6069868995634234E-3</v>
      </c>
      <c r="L119" s="9">
        <v>-8.0506037952846523E-3</v>
      </c>
      <c r="M119" s="9">
        <v>-1.224489795918372E-2</v>
      </c>
      <c r="N119" s="9">
        <v>-1.6333938294010902E-2</v>
      </c>
      <c r="O119" s="9">
        <v>-1.5044247787610539E-2</v>
      </c>
      <c r="P119" s="9">
        <v>-1.785714285714287E-2</v>
      </c>
      <c r="Q119" s="9">
        <v>-2.2765598650927411E-2</v>
      </c>
      <c r="R119" s="9">
        <v>-1.012658227848102E-2</v>
      </c>
      <c r="S119" s="9">
        <v>1.255230125523004E-2</v>
      </c>
      <c r="T119" s="9">
        <v>1.6544117647058841E-2</v>
      </c>
      <c r="U119" s="9">
        <v>-3.7124337065409643E-2</v>
      </c>
      <c r="V119" s="9">
        <v>-2.971845672575597E-2</v>
      </c>
      <c r="W119" s="9">
        <v>-1.42977291841885E-2</v>
      </c>
      <c r="X119" s="9">
        <v>3.0120481927710871E-3</v>
      </c>
      <c r="Y119" s="9">
        <v>2.1825396825396848E-2</v>
      </c>
      <c r="Z119" s="9">
        <v>-2.6385224274406362E-3</v>
      </c>
      <c r="AA119" s="9">
        <v>-4.9627791563275478E-3</v>
      </c>
      <c r="AB119" s="9">
        <v>-3.28947368421053E-3</v>
      </c>
      <c r="AC119" s="9">
        <v>-1.6536964980544869E-2</v>
      </c>
      <c r="AD119" s="9">
        <v>1.066666666666668E-2</v>
      </c>
      <c r="AE119" s="9">
        <v>-2.8235294117647081E-2</v>
      </c>
      <c r="AF119" s="9">
        <v>7.3313782991202402E-3</v>
      </c>
      <c r="AG119" s="9">
        <v>2.6857654431513998E-3</v>
      </c>
      <c r="AH119" s="9">
        <v>1.470588235294119E-2</v>
      </c>
      <c r="AI119" s="9">
        <v>-2.0122484689413741E-2</v>
      </c>
      <c r="AJ119" s="9">
        <v>-5.9253246753246717E-2</v>
      </c>
      <c r="AK119" s="9">
        <v>-2.335279399499585E-2</v>
      </c>
      <c r="AL119" s="279">
        <v>-1.8496765832957882E-2</v>
      </c>
      <c r="AM119" s="279">
        <v>-1.9672361530237999E-2</v>
      </c>
      <c r="AN119" s="279">
        <v>-2.95020847876734E-2</v>
      </c>
      <c r="AO119" s="279">
        <v>-2.6499999999999999E-2</v>
      </c>
      <c r="AP119" s="279">
        <v>-2.1216755924194679E-2</v>
      </c>
      <c r="AQ119" s="279">
        <v>-1.8456738063956681E-2</v>
      </c>
      <c r="AR119" s="279">
        <v>-2.3554898946054999E-2</v>
      </c>
      <c r="AS119" s="279">
        <v>-2.3800690523920209E-2</v>
      </c>
      <c r="AT119" s="279">
        <v>9.4396891940628121E-3</v>
      </c>
      <c r="AU119" s="279">
        <v>-4.7000000000000002E-3</v>
      </c>
      <c r="AV119" s="279">
        <v>2E-3</v>
      </c>
      <c r="AW119" s="279">
        <v>-8.8000000000000005E-3</v>
      </c>
      <c r="AX119" s="279">
        <v>1.41E-2</v>
      </c>
      <c r="AY119" s="279">
        <v>6.7000000000000002E-3</v>
      </c>
      <c r="AZ119" s="279">
        <v>0.01</v>
      </c>
      <c r="BA119" s="279">
        <v>9.4000000000000004E-3</v>
      </c>
      <c r="BB119" s="279">
        <v>3.5000000000000001E-3</v>
      </c>
      <c r="BD119" s="9"/>
    </row>
    <row r="120" spans="1:56" hidden="1" x14ac:dyDescent="0.3">
      <c r="A120">
        <v>20260717</v>
      </c>
      <c r="B120" s="9">
        <v>-1.163873370577277E-2</v>
      </c>
      <c r="C120" s="9">
        <v>-4.9352750809061451E-2</v>
      </c>
      <c r="D120" s="9">
        <v>-6.1032863849765209E-2</v>
      </c>
      <c r="E120" s="9">
        <v>0</v>
      </c>
      <c r="F120" s="9">
        <v>-2.9139072847682149E-2</v>
      </c>
      <c r="G120" s="9">
        <v>-1.666666666666668E-2</v>
      </c>
      <c r="H120" s="9">
        <v>-1.7964071856287438E-2</v>
      </c>
      <c r="I120" s="9">
        <v>-1.8045112781954899E-2</v>
      </c>
      <c r="J120" s="9">
        <v>-2.162162162162164E-2</v>
      </c>
      <c r="K120" s="9">
        <v>-1.499118165784824E-2</v>
      </c>
      <c r="L120" s="9">
        <v>-5.159420289855083E-2</v>
      </c>
      <c r="M120" s="9">
        <v>-3.4965034965035351E-3</v>
      </c>
      <c r="N120" s="9">
        <v>-2.67527675276754E-2</v>
      </c>
      <c r="O120" s="9">
        <v>-1.4375561545372881E-2</v>
      </c>
      <c r="P120" s="9">
        <v>-2.6573426573426599E-2</v>
      </c>
      <c r="Q120" s="9">
        <v>-1.8119068162208912E-2</v>
      </c>
      <c r="R120" s="9">
        <v>8.9514066496163766E-3</v>
      </c>
      <c r="S120" s="9">
        <v>-4.3801652892561931E-2</v>
      </c>
      <c r="T120" s="9">
        <v>-2.7124773960217018E-2</v>
      </c>
      <c r="U120" s="9">
        <v>-4.5899632802937552E-2</v>
      </c>
      <c r="V120" s="9">
        <v>-4.5674368619022007E-2</v>
      </c>
      <c r="W120" s="9">
        <v>1.87713310580205E-2</v>
      </c>
      <c r="X120" s="9">
        <v>-4.5045045045045078E-2</v>
      </c>
      <c r="Y120" s="9">
        <v>-3.3009708737864109E-2</v>
      </c>
      <c r="Z120" s="9">
        <v>-3.703703703703707E-2</v>
      </c>
      <c r="AA120" s="9">
        <v>-6.4837905236907786E-2</v>
      </c>
      <c r="AB120" s="9">
        <v>-7.2607260726072667E-2</v>
      </c>
      <c r="AC120" s="9">
        <v>2.1760633036597449E-2</v>
      </c>
      <c r="AD120" s="9">
        <v>-3.2541776605101068E-2</v>
      </c>
      <c r="AE120" s="9">
        <v>-3.5108958837772299E-2</v>
      </c>
      <c r="AF120" s="9">
        <v>-4.3668122270742391E-2</v>
      </c>
      <c r="AG120" s="9">
        <v>-5.2678571428571568E-2</v>
      </c>
      <c r="AH120" s="9">
        <v>-5.5555555555555483E-2</v>
      </c>
      <c r="AI120" s="9">
        <v>-5.1785714285714317E-2</v>
      </c>
      <c r="AJ120" s="9">
        <v>-7.6790336496980124E-2</v>
      </c>
      <c r="AK120" s="9">
        <v>-9.9914602903501265E-2</v>
      </c>
      <c r="AL120" s="279">
        <v>-3.0459974247974191E-2</v>
      </c>
      <c r="AM120" s="279">
        <v>-5.3957145765823597E-2</v>
      </c>
      <c r="AN120" s="279">
        <v>-7.1450283645821733E-2</v>
      </c>
      <c r="AO120" s="279">
        <v>-2.3099999999999999E-2</v>
      </c>
      <c r="AP120" s="279">
        <v>-2.6323517157360601E-2</v>
      </c>
      <c r="AQ120" s="279">
        <v>-3.6041745815362063E-2</v>
      </c>
      <c r="AR120" s="279">
        <v>-5.5545495636819188E-2</v>
      </c>
      <c r="AS120" s="279">
        <v>-6.0767867236949942E-2</v>
      </c>
      <c r="AT120" s="279">
        <v>-4.4129528510386783E-2</v>
      </c>
      <c r="AU120" s="279">
        <v>-1.18E-2</v>
      </c>
      <c r="AV120" s="279">
        <v>-3.7999999999999999E-2</v>
      </c>
      <c r="AW120" s="279">
        <v>-4.6600000000000003E-2</v>
      </c>
      <c r="AX120" s="279">
        <v>-3.5400000000000001E-2</v>
      </c>
      <c r="AY120" s="279">
        <v>-4.4400000000000002E-2</v>
      </c>
      <c r="AZ120" s="279">
        <v>-2.63E-2</v>
      </c>
      <c r="BA120" s="279">
        <v>-2.53E-2</v>
      </c>
      <c r="BB120" s="279">
        <v>-2.24E-2</v>
      </c>
      <c r="BD120" s="9"/>
    </row>
    <row r="121" spans="1:56" hidden="1" x14ac:dyDescent="0.3">
      <c r="A121">
        <v>20260720</v>
      </c>
      <c r="B121" s="9">
        <v>2.6848798869524231E-2</v>
      </c>
      <c r="C121" s="9">
        <v>-2.6382978723404369E-2</v>
      </c>
      <c r="D121" s="9">
        <v>-3.3000000000000029E-2</v>
      </c>
      <c r="E121" s="9">
        <v>-1.068090787716957E-2</v>
      </c>
      <c r="F121" s="9">
        <v>6.1391541609823463E-3</v>
      </c>
      <c r="G121" s="9">
        <v>4.6004842615012149E-2</v>
      </c>
      <c r="H121" s="9">
        <v>6.0975609756097624E-3</v>
      </c>
      <c r="I121" s="9">
        <v>3.5222052067381347E-2</v>
      </c>
      <c r="J121" s="9">
        <v>1.1049723756906091E-2</v>
      </c>
      <c r="K121" s="9">
        <v>2.6857654431513998E-3</v>
      </c>
      <c r="L121" s="9">
        <v>-6.7237163814180311E-3</v>
      </c>
      <c r="M121" s="9">
        <v>3.4130781499202623E-2</v>
      </c>
      <c r="N121" s="9">
        <v>4.7393364928911049E-3</v>
      </c>
      <c r="O121" s="9">
        <v>1.9143117593436759E-2</v>
      </c>
      <c r="P121" s="9">
        <v>-1.5086206896551661E-2</v>
      </c>
      <c r="Q121" s="9">
        <v>6.5905096660808599E-2</v>
      </c>
      <c r="R121" s="9">
        <v>2.4081115335868208E-2</v>
      </c>
      <c r="S121" s="9">
        <v>-9.5073465859983764E-3</v>
      </c>
      <c r="T121" s="9">
        <v>1.115241635687733E-2</v>
      </c>
      <c r="U121" s="9">
        <v>-2.5657472738935239E-3</v>
      </c>
      <c r="V121" s="9">
        <v>-2.7590090090090051E-2</v>
      </c>
      <c r="W121" s="9">
        <v>3.7688442211055398E-2</v>
      </c>
      <c r="X121" s="9">
        <v>2.5157232704402541E-2</v>
      </c>
      <c r="Y121" s="9">
        <v>9.0361445783131503E-3</v>
      </c>
      <c r="Z121" s="9">
        <v>3.2967032967033003E-2</v>
      </c>
      <c r="AA121" s="9">
        <v>2.6666666666666689E-2</v>
      </c>
      <c r="AB121" s="9">
        <v>3.2028469750889708E-2</v>
      </c>
      <c r="AC121" s="9">
        <v>4.6466602129719307E-2</v>
      </c>
      <c r="AD121" s="9">
        <v>9.0909090909090974E-3</v>
      </c>
      <c r="AE121" s="9">
        <v>-1.5056461731493109E-2</v>
      </c>
      <c r="AF121" s="9">
        <v>3.0441400304414029E-2</v>
      </c>
      <c r="AG121" s="9">
        <v>1.319509896324224E-2</v>
      </c>
      <c r="AH121" s="9">
        <v>1.0230179028133E-2</v>
      </c>
      <c r="AI121" s="9">
        <v>-6.5913370998117874E-3</v>
      </c>
      <c r="AJ121" s="9">
        <v>-2.8037383177570121E-2</v>
      </c>
      <c r="AK121" s="9">
        <v>-3.4155597722960181E-2</v>
      </c>
      <c r="AL121" s="279">
        <v>8.5348504511636343E-3</v>
      </c>
      <c r="AM121" s="279">
        <v>-7.0511013447260521E-3</v>
      </c>
      <c r="AN121" s="279">
        <v>4.2208112278081487E-3</v>
      </c>
      <c r="AO121" s="279">
        <v>-2.9000000000000001E-2</v>
      </c>
      <c r="AP121" s="279">
        <v>3.0124544192022481E-2</v>
      </c>
      <c r="AQ121" s="279">
        <v>1.5284687117404281E-2</v>
      </c>
      <c r="AR121" s="279">
        <v>-1.3634912360158249E-2</v>
      </c>
      <c r="AS121" s="279">
        <v>-2.8267384635817319E-2</v>
      </c>
      <c r="AT121" s="279">
        <v>-3.7865867084150129E-2</v>
      </c>
      <c r="AU121" s="279">
        <v>-4.4000000000000003E-3</v>
      </c>
      <c r="AV121" s="279">
        <v>-0.05</v>
      </c>
      <c r="AW121" s="279">
        <v>-2.07E-2</v>
      </c>
      <c r="AX121" s="279">
        <v>-2.3E-2</v>
      </c>
      <c r="AY121" s="279">
        <v>-6.8999999999999999E-3</v>
      </c>
      <c r="AZ121" s="279">
        <v>-1.4999999999999999E-2</v>
      </c>
      <c r="BA121" s="279">
        <v>-1.7000000000000001E-2</v>
      </c>
      <c r="BB121" s="279">
        <v>4.8999999999999998E-3</v>
      </c>
      <c r="BD121" s="9"/>
    </row>
    <row r="122" spans="1:56" hidden="1" x14ac:dyDescent="0.3">
      <c r="A122">
        <v>20260721</v>
      </c>
      <c r="B122" s="9">
        <v>7.7981651376146342E-3</v>
      </c>
      <c r="C122" s="9">
        <v>3.2342657342657469E-2</v>
      </c>
      <c r="D122" s="9">
        <v>4.5501551189245017E-2</v>
      </c>
      <c r="E122" s="9">
        <v>2.5641025641025661E-2</v>
      </c>
      <c r="F122" s="9">
        <v>2.7118644067796481E-2</v>
      </c>
      <c r="G122" s="9">
        <v>-1.620370370370372E-2</v>
      </c>
      <c r="H122" s="9">
        <v>0</v>
      </c>
      <c r="I122" s="9">
        <v>-1.035502958579883E-2</v>
      </c>
      <c r="J122" s="9">
        <v>-1.821493624772315E-3</v>
      </c>
      <c r="K122" s="9">
        <v>1.785714285714287E-3</v>
      </c>
      <c r="L122" s="9">
        <v>5.2307692307692277E-2</v>
      </c>
      <c r="M122" s="9">
        <v>-1.1412708204811821E-2</v>
      </c>
      <c r="N122" s="9">
        <v>2.1698113207547082E-2</v>
      </c>
      <c r="O122" s="9">
        <v>4.4722719141322836E-3</v>
      </c>
      <c r="P122" s="9">
        <v>2.4799416484318038E-2</v>
      </c>
      <c r="Q122" s="9">
        <v>-1.813685078318221E-2</v>
      </c>
      <c r="R122" s="9">
        <v>-2.22772277227723E-2</v>
      </c>
      <c r="S122" s="9">
        <v>-1.745200698080281E-3</v>
      </c>
      <c r="T122" s="9">
        <v>-1.2867647058823539E-2</v>
      </c>
      <c r="U122" s="9">
        <v>3.7942122186495293E-2</v>
      </c>
      <c r="V122" s="9">
        <v>5.2692530399536752E-2</v>
      </c>
      <c r="W122" s="9">
        <v>-4.8426150121065412E-3</v>
      </c>
      <c r="X122" s="9">
        <v>6.1349693251533796E-3</v>
      </c>
      <c r="Y122" s="9">
        <v>-2.9850746268655641E-3</v>
      </c>
      <c r="Z122" s="9">
        <v>0</v>
      </c>
      <c r="AA122" s="9">
        <v>1.2987012987013E-2</v>
      </c>
      <c r="AB122" s="9">
        <v>1.034482758620691E-2</v>
      </c>
      <c r="AC122" s="9">
        <v>-7.4005550416281294E-3</v>
      </c>
      <c r="AD122" s="9">
        <v>6.3063063063062124E-3</v>
      </c>
      <c r="AE122" s="9">
        <v>3.8216560509554028E-2</v>
      </c>
      <c r="AF122" s="9">
        <v>2.363367799113723E-2</v>
      </c>
      <c r="AG122" s="9">
        <v>1.5813953488372209E-2</v>
      </c>
      <c r="AH122" s="9">
        <v>1.3924050632911401E-2</v>
      </c>
      <c r="AI122" s="9">
        <v>3.3175355450237101E-2</v>
      </c>
      <c r="AJ122" s="9">
        <v>9.9999999999999867E-2</v>
      </c>
      <c r="AK122" s="9">
        <v>8.8408644400785927E-2</v>
      </c>
      <c r="AL122" s="279">
        <v>1.7934973728235659E-2</v>
      </c>
      <c r="AM122" s="279">
        <v>4.805657215197684E-2</v>
      </c>
      <c r="AN122" s="279">
        <v>7.0537120306049625E-2</v>
      </c>
      <c r="AO122" s="279">
        <v>3.2399999999999998E-2</v>
      </c>
      <c r="AP122" s="279">
        <v>2.0927935601281641E-2</v>
      </c>
      <c r="AQ122" s="279">
        <v>3.0643250003642691E-2</v>
      </c>
      <c r="AR122" s="279">
        <v>5.252718377971622E-2</v>
      </c>
      <c r="AS122" s="279">
        <v>4.2278814852035947E-2</v>
      </c>
      <c r="AT122" s="279">
        <v>-9.2646075955505284E-3</v>
      </c>
      <c r="AU122" s="279">
        <v>1.7999999999999999E-2</v>
      </c>
      <c r="AV122" s="279">
        <v>-1.38E-2</v>
      </c>
      <c r="AW122" s="279">
        <v>2.1700000000000001E-2</v>
      </c>
      <c r="AX122" s="279">
        <v>-9.4000000000000004E-3</v>
      </c>
      <c r="AY122" s="279">
        <v>-2.5000000000000001E-3</v>
      </c>
      <c r="AZ122" s="279">
        <v>-7.0000000000000001E-3</v>
      </c>
      <c r="BA122" s="279">
        <v>0</v>
      </c>
      <c r="BB122" s="279">
        <v>-6.6E-3</v>
      </c>
      <c r="BD122" s="9"/>
    </row>
    <row r="123" spans="1:56" hidden="1" x14ac:dyDescent="0.3">
      <c r="A123">
        <v>20260722</v>
      </c>
      <c r="B123" s="9">
        <v>7.2826581702321418E-3</v>
      </c>
      <c r="C123" s="9">
        <v>-1.354784081287046E-2</v>
      </c>
      <c r="D123" s="9">
        <v>-1.780415430267053E-2</v>
      </c>
      <c r="E123" s="9">
        <v>1.7105263157894748E-2</v>
      </c>
      <c r="F123" s="9">
        <v>-2.6402640264026429E-3</v>
      </c>
      <c r="G123" s="9">
        <v>1.176470588235295E-2</v>
      </c>
      <c r="H123" s="9">
        <v>1.4545454545454559E-2</v>
      </c>
      <c r="I123" s="9">
        <v>5.9790732436472392E-3</v>
      </c>
      <c r="J123" s="9">
        <v>9.1240875912408839E-3</v>
      </c>
      <c r="K123" s="9">
        <v>6.2388591800355579E-3</v>
      </c>
      <c r="L123" s="9">
        <v>3.3918128654970792E-2</v>
      </c>
      <c r="M123" s="9">
        <v>1.497659906396257E-2</v>
      </c>
      <c r="N123" s="9">
        <v>3.6934441366574368E-3</v>
      </c>
      <c r="O123" s="9">
        <v>-8.0142475512020462E-3</v>
      </c>
      <c r="P123" s="9">
        <v>-5.6939501779359478E-3</v>
      </c>
      <c r="Q123" s="9">
        <v>2.7707808564231669E-2</v>
      </c>
      <c r="R123" s="9">
        <v>1.139240506329115E-2</v>
      </c>
      <c r="S123" s="9">
        <v>1.223776223776225E-2</v>
      </c>
      <c r="T123" s="9">
        <v>1.862197392923651E-3</v>
      </c>
      <c r="U123" s="9">
        <v>-2.292441140024792E-2</v>
      </c>
      <c r="V123" s="9">
        <v>-1.430143014301432E-2</v>
      </c>
      <c r="W123" s="9">
        <v>1.7031630170316229E-2</v>
      </c>
      <c r="X123" s="9">
        <v>-3.0487804878048812E-3</v>
      </c>
      <c r="Y123" s="9">
        <v>-9.9800399201607965E-4</v>
      </c>
      <c r="Z123" s="9">
        <v>2.6595744680851089E-3</v>
      </c>
      <c r="AA123" s="9">
        <v>0</v>
      </c>
      <c r="AB123" s="9">
        <v>1.1376564277588181E-3</v>
      </c>
      <c r="AC123" s="9">
        <v>1.58434296365332E-2</v>
      </c>
      <c r="AD123" s="9">
        <v>-1.16383169203222E-2</v>
      </c>
      <c r="AE123" s="9">
        <v>6.1349693251533813E-3</v>
      </c>
      <c r="AF123" s="9">
        <v>-8.6580086580085053E-3</v>
      </c>
      <c r="AG123" s="9">
        <v>-4.029304029304033E-2</v>
      </c>
      <c r="AH123" s="9">
        <v>-2.6217228464419502E-2</v>
      </c>
      <c r="AI123" s="9">
        <v>-6.4220183486239603E-3</v>
      </c>
      <c r="AJ123" s="9">
        <v>6.9930069930070008E-3</v>
      </c>
      <c r="AK123" s="9">
        <v>-4.2418772563177033E-2</v>
      </c>
      <c r="AL123" s="279">
        <v>6.9007420879014961E-4</v>
      </c>
      <c r="AM123" s="279">
        <v>-1.4221142447328351E-2</v>
      </c>
      <c r="AN123" s="279">
        <v>-3.2348779927340733E-2</v>
      </c>
      <c r="AO123" s="279">
        <v>-4.3E-3</v>
      </c>
      <c r="AP123" s="279">
        <v>5.7953879413398966E-3</v>
      </c>
      <c r="AQ123" s="279">
        <v>-4.6389191153245347E-3</v>
      </c>
      <c r="AR123" s="279">
        <v>-6.2746903831085747E-3</v>
      </c>
      <c r="AS123" s="279">
        <v>-1.3925992818321801E-2</v>
      </c>
      <c r="AT123" s="279">
        <v>-1.9636215672137251E-2</v>
      </c>
      <c r="AU123" s="279">
        <v>-5.4000000000000003E-3</v>
      </c>
      <c r="AV123" s="279">
        <v>-5.3E-3</v>
      </c>
      <c r="AW123" s="279">
        <v>-8.8999999999999999E-3</v>
      </c>
      <c r="AX123" s="279">
        <v>-8.0000000000000002E-3</v>
      </c>
      <c r="AY123" s="279">
        <v>-6.3E-3</v>
      </c>
      <c r="AZ123" s="279">
        <v>-1.4200000000000001E-2</v>
      </c>
      <c r="BA123" s="279">
        <v>-1.2699999999999999E-2</v>
      </c>
      <c r="BB123" s="279">
        <v>-8.3000000000000001E-3</v>
      </c>
      <c r="BD123" s="9"/>
    </row>
    <row r="124" spans="1:56" hidden="1" x14ac:dyDescent="0.3">
      <c r="A124">
        <v>20260723</v>
      </c>
      <c r="B124" s="9">
        <v>1.355625847266146E-2</v>
      </c>
      <c r="C124" s="9">
        <v>8.5836909871244704E-3</v>
      </c>
      <c r="D124" s="9">
        <v>-3.021148036253779E-3</v>
      </c>
      <c r="E124" s="9">
        <v>2.328589909443728E-2</v>
      </c>
      <c r="F124" s="9">
        <v>2.6472534745201878E-2</v>
      </c>
      <c r="G124" s="9">
        <v>-1.16279069767442E-2</v>
      </c>
      <c r="H124" s="9">
        <v>2.2700119474313041E-2</v>
      </c>
      <c r="I124" s="9">
        <v>-4.4576523031203599E-3</v>
      </c>
      <c r="J124" s="9">
        <v>7.233273056057872E-3</v>
      </c>
      <c r="K124" s="9">
        <v>2.745792736935334E-2</v>
      </c>
      <c r="L124" s="9">
        <v>3.054298642533939E-2</v>
      </c>
      <c r="M124" s="9">
        <v>8.3000307408545009E-3</v>
      </c>
      <c r="N124" s="9">
        <v>4.599816007359812E-3</v>
      </c>
      <c r="O124" s="9">
        <v>1.256732495511651E-2</v>
      </c>
      <c r="P124" s="9">
        <v>-3.5790980672871261E-3</v>
      </c>
      <c r="Q124" s="9">
        <v>1.1437908496732039E-2</v>
      </c>
      <c r="R124" s="9">
        <v>5.0062578222778518E-3</v>
      </c>
      <c r="S124" s="9">
        <v>-8.6355785837641632E-4</v>
      </c>
      <c r="T124" s="9">
        <v>5.5762081784386667E-3</v>
      </c>
      <c r="U124" s="9">
        <v>5.1997463538364028E-2</v>
      </c>
      <c r="V124" s="9">
        <v>3.850446428571426E-2</v>
      </c>
      <c r="W124" s="9">
        <v>6.3795853269537533E-3</v>
      </c>
      <c r="X124" s="9">
        <v>-6.1162079510703416E-3</v>
      </c>
      <c r="Y124" s="9">
        <v>-7.9920079920078897E-3</v>
      </c>
      <c r="Z124" s="9">
        <v>0</v>
      </c>
      <c r="AA124" s="9">
        <v>-5.1282051282051334E-3</v>
      </c>
      <c r="AB124" s="9">
        <v>-3.409090909090912E-3</v>
      </c>
      <c r="AC124" s="9">
        <v>8.2568807339448592E-3</v>
      </c>
      <c r="AD124" s="9">
        <v>1.358695652173904E-2</v>
      </c>
      <c r="AE124" s="9">
        <v>2.317073170731709E-2</v>
      </c>
      <c r="AF124" s="9">
        <v>-1.455604075691413E-2</v>
      </c>
      <c r="AG124" s="9">
        <v>-2.0992366412213762E-2</v>
      </c>
      <c r="AH124" s="9">
        <v>-1.410256410256411E-2</v>
      </c>
      <c r="AI124" s="9">
        <v>1.662049861495846E-2</v>
      </c>
      <c r="AJ124" s="9">
        <v>-3.99305555555554E-2</v>
      </c>
      <c r="AK124" s="9">
        <v>-3.770028275212067E-3</v>
      </c>
      <c r="AL124" s="279">
        <v>2.5195796054547459E-3</v>
      </c>
      <c r="AM124" s="279">
        <v>4.3997343088616374E-3</v>
      </c>
      <c r="AN124" s="279">
        <v>2.4639642114967319E-3</v>
      </c>
      <c r="AO124" s="279">
        <v>5.0000000000000001E-4</v>
      </c>
      <c r="AP124" s="279">
        <v>-4.1044156109883738E-3</v>
      </c>
      <c r="AQ124" s="279">
        <v>2.280568908456022E-3</v>
      </c>
      <c r="AR124" s="279">
        <v>-2.2384747941796958E-3</v>
      </c>
      <c r="AS124" s="279">
        <v>5.131823072201616E-3</v>
      </c>
      <c r="AT124" s="279">
        <v>3.6563403049537847E-2</v>
      </c>
      <c r="AU124" s="279">
        <v>5.5999999999999999E-3</v>
      </c>
      <c r="AV124" s="279">
        <v>3.04E-2</v>
      </c>
      <c r="AW124" s="279">
        <v>1.44E-2</v>
      </c>
      <c r="AX124" s="279">
        <v>2.9100000000000001E-2</v>
      </c>
      <c r="AY124" s="279">
        <v>7.3000000000000001E-3</v>
      </c>
      <c r="AZ124" s="279">
        <v>2.5000000000000001E-2</v>
      </c>
      <c r="BA124" s="279">
        <v>2.53E-2</v>
      </c>
      <c r="BB124" s="279">
        <v>1.9400000000000001E-2</v>
      </c>
      <c r="BD124" s="9"/>
    </row>
    <row r="125" spans="1:56" hidden="1" x14ac:dyDescent="0.3">
      <c r="A125">
        <v>20260724</v>
      </c>
      <c r="B125" s="9">
        <v>2.0954079358002749E-2</v>
      </c>
      <c r="C125" s="9">
        <v>-3.148936170212778E-2</v>
      </c>
      <c r="D125" s="9">
        <v>-3.4343434343434377E-2</v>
      </c>
      <c r="E125" s="9">
        <v>-3.1605562579013931E-2</v>
      </c>
      <c r="F125" s="9">
        <v>-1.9342359767891702E-2</v>
      </c>
      <c r="G125" s="9">
        <v>-2.117647058823531E-2</v>
      </c>
      <c r="H125" s="9">
        <v>-3.0373831775700959E-2</v>
      </c>
      <c r="I125" s="9">
        <v>-2.0895522388059719E-2</v>
      </c>
      <c r="J125" s="9">
        <v>-3.4111310592459629E-2</v>
      </c>
      <c r="K125" s="9">
        <v>-2.8448275862068901E-2</v>
      </c>
      <c r="L125" s="9">
        <v>-4.774972557628978E-2</v>
      </c>
      <c r="M125" s="9">
        <v>-1.7378048780487789E-2</v>
      </c>
      <c r="N125" s="9">
        <v>-2.0146520146520169E-2</v>
      </c>
      <c r="O125" s="9">
        <v>-2.5709219858155961E-2</v>
      </c>
      <c r="P125" s="9">
        <v>-2.2988505747126301E-2</v>
      </c>
      <c r="Q125" s="9">
        <v>-4.3618739903069498E-2</v>
      </c>
      <c r="R125" s="9">
        <v>1.245330012453301E-3</v>
      </c>
      <c r="S125" s="9">
        <v>-2.9386343993085592E-2</v>
      </c>
      <c r="T125" s="9">
        <v>-2.9574861367837359E-2</v>
      </c>
      <c r="U125" s="9">
        <v>-3.616636528028936E-2</v>
      </c>
      <c r="V125" s="9">
        <v>-2.7404621171413179E-2</v>
      </c>
      <c r="W125" s="9">
        <v>-3.8827258320126727E-2</v>
      </c>
      <c r="X125" s="9">
        <v>-3.0769230769230799E-2</v>
      </c>
      <c r="Y125" s="9">
        <v>-2.9204431017119861E-2</v>
      </c>
      <c r="Z125" s="9">
        <v>-3.1830238726790479E-2</v>
      </c>
      <c r="AA125" s="9">
        <v>-3.8659793814433033E-2</v>
      </c>
      <c r="AB125" s="9">
        <v>-4.3329532497149409E-2</v>
      </c>
      <c r="AC125" s="9">
        <v>-4.0946314831665102E-2</v>
      </c>
      <c r="AD125" s="9">
        <v>-2.412868632707767E-2</v>
      </c>
      <c r="AE125" s="9">
        <v>-3.3373063170440899E-2</v>
      </c>
      <c r="AF125" s="9">
        <v>-5.0221565731166963E-2</v>
      </c>
      <c r="AG125" s="9">
        <v>-3.1189083820662791E-2</v>
      </c>
      <c r="AH125" s="9">
        <v>-3.3810143042912903E-2</v>
      </c>
      <c r="AI125" s="9">
        <v>-2.179836512261582E-2</v>
      </c>
      <c r="AJ125" s="9">
        <v>6.3291139240505383E-3</v>
      </c>
      <c r="AK125" s="9">
        <v>-2.8382213812677418E-2</v>
      </c>
      <c r="AL125" s="279">
        <v>-1.614206852754237E-2</v>
      </c>
      <c r="AM125" s="279">
        <v>-2.4685020721063169E-2</v>
      </c>
      <c r="AN125" s="279">
        <v>-2.6471646082248151E-2</v>
      </c>
      <c r="AO125" s="279">
        <v>-4.0300000000000002E-2</v>
      </c>
      <c r="AP125" s="279">
        <v>-7.5283732787785078E-3</v>
      </c>
      <c r="AQ125" s="279">
        <v>-1.6668795825382599E-2</v>
      </c>
      <c r="AR125" s="279">
        <v>-2.6066876036776401E-2</v>
      </c>
      <c r="AS125" s="279">
        <v>-2.776834132443888E-2</v>
      </c>
      <c r="AT125" s="279">
        <v>-2.3264846953086182E-2</v>
      </c>
      <c r="AU125" s="279">
        <v>-7.3000000000000001E-3</v>
      </c>
      <c r="AV125" s="279">
        <v>-1.41E-2</v>
      </c>
      <c r="AW125" s="279">
        <v>-2.8199999999999999E-2</v>
      </c>
      <c r="AX125" s="279">
        <v>-2.4199999999999999E-2</v>
      </c>
      <c r="AY125" s="279">
        <v>-2.6700000000000002E-2</v>
      </c>
      <c r="AZ125" s="279">
        <v>-2.75E-2</v>
      </c>
      <c r="BA125" s="279">
        <v>-2.2100000000000002E-2</v>
      </c>
      <c r="BB125" s="279">
        <v>-2.75E-2</v>
      </c>
      <c r="BD125" s="9"/>
    </row>
    <row r="126" spans="1:56" hidden="1" x14ac:dyDescent="0.3">
      <c r="A126">
        <v>20260727</v>
      </c>
      <c r="B126" s="9">
        <v>-1.572052401746726E-2</v>
      </c>
      <c r="C126" s="9">
        <v>1.9332161687170491E-2</v>
      </c>
      <c r="D126" s="9">
        <v>2.3012552301255249E-2</v>
      </c>
      <c r="E126" s="9">
        <v>2.219321148825067E-2</v>
      </c>
      <c r="F126" s="9">
        <v>1.249178172255104E-2</v>
      </c>
      <c r="G126" s="9">
        <v>9.6153846153846246E-3</v>
      </c>
      <c r="H126" s="9">
        <v>1.4457831325301221E-2</v>
      </c>
      <c r="I126" s="9">
        <v>1.0670731707317079E-2</v>
      </c>
      <c r="J126" s="9">
        <v>3.1598513011152442E-2</v>
      </c>
      <c r="K126" s="9">
        <v>1.8633540372670721E-2</v>
      </c>
      <c r="L126" s="9">
        <v>2.363112391930831E-2</v>
      </c>
      <c r="M126" s="9">
        <v>2.7924294135899291E-3</v>
      </c>
      <c r="N126" s="9">
        <v>1.8691588785046741E-2</v>
      </c>
      <c r="O126" s="9">
        <v>4.5495905368517888E-3</v>
      </c>
      <c r="P126" s="9">
        <v>1.9852941176470521E-2</v>
      </c>
      <c r="Q126" s="9">
        <v>2.5337837837838802E-3</v>
      </c>
      <c r="R126" s="9">
        <v>1.243781094527364E-3</v>
      </c>
      <c r="S126" s="9">
        <v>1.9590382902938571E-2</v>
      </c>
      <c r="T126" s="9">
        <v>1.1428571428571441E-2</v>
      </c>
      <c r="U126" s="9">
        <v>3.0644152595372069E-2</v>
      </c>
      <c r="V126" s="9">
        <v>3.7569060773480573E-2</v>
      </c>
      <c r="W126" s="9">
        <v>6.5952184666117119E-3</v>
      </c>
      <c r="X126" s="9">
        <v>2.5396825396825421E-2</v>
      </c>
      <c r="Y126" s="9">
        <v>3.1120331950207501E-2</v>
      </c>
      <c r="Z126" s="9">
        <v>8.2191780821917887E-3</v>
      </c>
      <c r="AA126" s="9">
        <v>3.2171581769437033E-2</v>
      </c>
      <c r="AB126" s="9">
        <v>2.3837902264600742E-2</v>
      </c>
      <c r="AC126" s="9">
        <v>8.5388994307399393E-3</v>
      </c>
      <c r="AD126" s="9">
        <v>1.831501831501833E-2</v>
      </c>
      <c r="AE126" s="9">
        <v>2.342786683107264E-2</v>
      </c>
      <c r="AF126" s="9">
        <v>2.488335925349924E-2</v>
      </c>
      <c r="AG126" s="9">
        <v>3.0181086519114719E-2</v>
      </c>
      <c r="AH126" s="9">
        <v>2.9609690444145392E-2</v>
      </c>
      <c r="AI126" s="9">
        <v>2.5069637883008481E-2</v>
      </c>
      <c r="AJ126" s="9">
        <v>9.8831985624439535E-3</v>
      </c>
      <c r="AK126" s="9">
        <v>3.018500486854931E-2</v>
      </c>
      <c r="AL126" s="279">
        <v>1.1548194404171E-2</v>
      </c>
      <c r="AM126" s="279">
        <v>2.7154932092796302E-2</v>
      </c>
      <c r="AN126" s="279">
        <v>3.157747919342007E-2</v>
      </c>
      <c r="AO126" s="279">
        <v>2.35E-2</v>
      </c>
      <c r="AP126" s="279">
        <v>-2.0003071359035308E-3</v>
      </c>
      <c r="AQ126" s="279">
        <v>1.145041977186575E-2</v>
      </c>
      <c r="AR126" s="279">
        <v>2.4944133585018211E-2</v>
      </c>
      <c r="AS126" s="279">
        <v>3.3319315184356997E-2</v>
      </c>
      <c r="AT126" s="279">
        <v>3.3804585980062508E-2</v>
      </c>
      <c r="AU126" s="279">
        <v>1.6799999999999999E-2</v>
      </c>
      <c r="AV126" s="279">
        <v>2.7300000000000001E-2</v>
      </c>
      <c r="AW126" s="279">
        <v>2.93E-2</v>
      </c>
      <c r="AX126" s="279">
        <v>3.1699999999999999E-2</v>
      </c>
      <c r="AY126" s="279">
        <v>3.9E-2</v>
      </c>
      <c r="AZ126" s="279">
        <v>0.04</v>
      </c>
      <c r="BA126" s="279">
        <v>2.2100000000000002E-2</v>
      </c>
      <c r="BB126" s="279">
        <v>2.1000000000000001E-2</v>
      </c>
      <c r="BD126" s="9"/>
    </row>
    <row r="127" spans="1:56" hidden="1" x14ac:dyDescent="0.3">
      <c r="A127">
        <v>20260728</v>
      </c>
      <c r="B127" s="9">
        <v>-5.9006211180124217E-2</v>
      </c>
      <c r="C127" s="9">
        <v>-1.2931034482758541E-2</v>
      </c>
      <c r="D127" s="9">
        <v>-2.351738241308796E-2</v>
      </c>
      <c r="E127" s="9">
        <v>-1.149425287356323E-2</v>
      </c>
      <c r="F127" s="9">
        <v>-1.3636363636363721E-2</v>
      </c>
      <c r="G127" s="9">
        <v>2.3809523809523829E-2</v>
      </c>
      <c r="H127" s="9">
        <v>4.7505938242280331E-3</v>
      </c>
      <c r="I127" s="9">
        <v>1.508295625942686E-2</v>
      </c>
      <c r="J127" s="9">
        <v>5.40540540540541E-3</v>
      </c>
      <c r="K127" s="9">
        <v>-1.7421602787456459E-3</v>
      </c>
      <c r="L127" s="9">
        <v>-2.2522522522522539E-2</v>
      </c>
      <c r="M127" s="9">
        <v>0</v>
      </c>
      <c r="N127" s="9">
        <v>-4.5871559633028566E-3</v>
      </c>
      <c r="O127" s="9">
        <v>-1.721014492753635E-2</v>
      </c>
      <c r="P127" s="9">
        <v>1.4419610670511911E-3</v>
      </c>
      <c r="Q127" s="9">
        <v>-1.095197978096051E-2</v>
      </c>
      <c r="R127" s="9">
        <v>1.6149068322981242E-2</v>
      </c>
      <c r="S127" s="9">
        <v>1.2227074235807871E-2</v>
      </c>
      <c r="T127" s="9">
        <v>1.883239171374766E-3</v>
      </c>
      <c r="U127" s="9">
        <v>-4.1868932038834933E-2</v>
      </c>
      <c r="V127" s="9">
        <v>-4.7923322683705999E-2</v>
      </c>
      <c r="W127" s="9">
        <v>-4.0950040950041896E-3</v>
      </c>
      <c r="X127" s="9">
        <v>-9.2879256965944356E-3</v>
      </c>
      <c r="Y127" s="9">
        <v>-9.0543259557344137E-3</v>
      </c>
      <c r="Z127" s="9">
        <v>-5.4347826086956572E-3</v>
      </c>
      <c r="AA127" s="9">
        <v>-1.8181818181818198E-2</v>
      </c>
      <c r="AB127" s="9">
        <v>-2.3282887077997701E-2</v>
      </c>
      <c r="AC127" s="9">
        <v>-8.4666039510817477E-3</v>
      </c>
      <c r="AD127" s="9">
        <v>1.7985611510791381E-3</v>
      </c>
      <c r="AE127" s="9">
        <v>-2.0481927710843392E-2</v>
      </c>
      <c r="AF127" s="9">
        <v>-3.0349013657056168E-3</v>
      </c>
      <c r="AG127" s="9">
        <v>-3.9062500000000026E-3</v>
      </c>
      <c r="AH127" s="9">
        <v>7.8431372549019676E-3</v>
      </c>
      <c r="AI127" s="9">
        <v>-2.445652173913055E-2</v>
      </c>
      <c r="AJ127" s="9">
        <v>-7.3843416370106912E-2</v>
      </c>
      <c r="AK127" s="9">
        <v>-9.7353497164461344E-2</v>
      </c>
      <c r="AL127" s="279">
        <v>-1.1645268768572241E-2</v>
      </c>
      <c r="AM127" s="279">
        <v>-4.516668987251854E-2</v>
      </c>
      <c r="AN127" s="279">
        <v>-7.3453869583464573E-2</v>
      </c>
      <c r="AO127" s="279">
        <v>-5.9999999999999995E-4</v>
      </c>
      <c r="AP127" s="279">
        <v>-9.228106256981913E-3</v>
      </c>
      <c r="AQ127" s="279">
        <v>-2.8262767290167329E-2</v>
      </c>
      <c r="AR127" s="279">
        <v>-3.5899408310081649E-2</v>
      </c>
      <c r="AS127" s="279">
        <v>-2.8014265191176699E-2</v>
      </c>
      <c r="AT127" s="279">
        <v>7.3456473872596604E-3</v>
      </c>
      <c r="AU127" s="279">
        <v>-1.34E-2</v>
      </c>
      <c r="AV127" s="279">
        <v>9.4999999999999998E-3</v>
      </c>
      <c r="AW127" s="279">
        <v>-1.15E-2</v>
      </c>
      <c r="AX127" s="279">
        <v>7.4999999999999997E-3</v>
      </c>
      <c r="AY127" s="279">
        <v>-3.5999999999999999E-3</v>
      </c>
      <c r="AZ127" s="279">
        <v>4.0000000000000001E-3</v>
      </c>
      <c r="BA127" s="279">
        <v>-1.4E-3</v>
      </c>
      <c r="BB127" s="279">
        <v>3.3999999999999998E-3</v>
      </c>
      <c r="BD127" s="9"/>
    </row>
    <row r="128" spans="1:56" hidden="1" x14ac:dyDescent="0.3">
      <c r="A128">
        <v>20260729</v>
      </c>
      <c r="B128" s="9">
        <v>4.2432814710041946E-3</v>
      </c>
      <c r="C128" s="9">
        <v>1.484716157205232E-2</v>
      </c>
      <c r="D128" s="9">
        <v>6.2827225130890106E-3</v>
      </c>
      <c r="E128" s="9">
        <v>1.421188630490957E-2</v>
      </c>
      <c r="F128" s="9">
        <v>2.5674786043449731E-2</v>
      </c>
      <c r="G128" s="9">
        <v>1.395348837209304E-2</v>
      </c>
      <c r="H128" s="9">
        <v>1.4184397163120579E-2</v>
      </c>
      <c r="I128" s="9">
        <v>8.9153046062407197E-3</v>
      </c>
      <c r="J128" s="9">
        <v>1.6129032258064328E-2</v>
      </c>
      <c r="K128" s="9">
        <v>2.1815008726003612E-2</v>
      </c>
      <c r="L128" s="9">
        <v>1.8433179723502321E-2</v>
      </c>
      <c r="M128" s="9">
        <v>1.268564356435641E-2</v>
      </c>
      <c r="N128" s="9">
        <v>4.6082949308756827E-3</v>
      </c>
      <c r="O128" s="9">
        <v>1.9354838709677542E-2</v>
      </c>
      <c r="P128" s="9">
        <v>1.0799136069114401E-2</v>
      </c>
      <c r="Q128" s="9">
        <v>2.2146507666098832E-2</v>
      </c>
      <c r="R128" s="9">
        <v>1.222493887530563E-3</v>
      </c>
      <c r="S128" s="9">
        <v>1.6393442622950741E-2</v>
      </c>
      <c r="T128" s="9">
        <v>7.5187969924812104E-3</v>
      </c>
      <c r="U128" s="9">
        <v>1.456618112729584E-2</v>
      </c>
      <c r="V128" s="9">
        <v>1.118568232662193E-3</v>
      </c>
      <c r="W128" s="9">
        <v>1.3980263157894839E-2</v>
      </c>
      <c r="X128" s="9">
        <v>1.875000000000002E-2</v>
      </c>
      <c r="Y128" s="9">
        <v>1.319796954314722E-2</v>
      </c>
      <c r="Z128" s="9">
        <v>1.9125683060109311E-2</v>
      </c>
      <c r="AA128" s="9">
        <v>1.5873015873015889E-2</v>
      </c>
      <c r="AB128" s="9">
        <v>1.3110846245530409E-2</v>
      </c>
      <c r="AC128" s="9">
        <v>1.5180265654648971E-2</v>
      </c>
      <c r="AD128" s="9">
        <v>2.1543985637342729E-2</v>
      </c>
      <c r="AE128" s="9">
        <v>3.6900369003690071E-3</v>
      </c>
      <c r="AF128" s="9">
        <v>1.8264840182648422E-2</v>
      </c>
      <c r="AG128" s="9">
        <v>5.9803921568627391E-2</v>
      </c>
      <c r="AH128" s="9">
        <v>3.1128404669260729E-2</v>
      </c>
      <c r="AI128" s="9">
        <v>1.57845868152276E-2</v>
      </c>
      <c r="AJ128" s="9">
        <v>-1.344860710854948E-2</v>
      </c>
      <c r="AK128" s="9">
        <v>1.0471204188481689E-3</v>
      </c>
      <c r="AL128" s="279">
        <v>3.9739701545767909E-3</v>
      </c>
      <c r="AM128" s="279">
        <v>1.1011615375049581E-2</v>
      </c>
      <c r="AN128" s="279">
        <v>1.5529255822760799E-2</v>
      </c>
      <c r="AO128" s="279">
        <v>8.5000000000000006E-3</v>
      </c>
      <c r="AP128" s="279">
        <v>-2.7425377282810559E-3</v>
      </c>
      <c r="AQ128" s="279">
        <v>6.7270041096193153E-3</v>
      </c>
      <c r="AR128" s="279">
        <v>1.089205746864387E-2</v>
      </c>
      <c r="AS128" s="279">
        <v>9.8075424307271664E-3</v>
      </c>
      <c r="AT128" s="279">
        <v>2.1015691325497451E-2</v>
      </c>
      <c r="AU128" s="279">
        <v>1.01E-2</v>
      </c>
      <c r="AV128" s="279">
        <v>1.41E-2</v>
      </c>
      <c r="AW128" s="279">
        <v>1.26E-2</v>
      </c>
      <c r="AX128" s="279">
        <v>1.9E-2</v>
      </c>
      <c r="AY128" s="279">
        <v>1.9599999999999999E-2</v>
      </c>
      <c r="AZ128" s="279">
        <v>2.63E-2</v>
      </c>
      <c r="BA128" s="279">
        <v>1.77E-2</v>
      </c>
      <c r="BB128" s="279">
        <v>2.1999999999999999E-2</v>
      </c>
      <c r="BD128" s="9"/>
    </row>
    <row r="129" spans="1:56" hidden="1" x14ac:dyDescent="0.3">
      <c r="A129">
        <v>20260730</v>
      </c>
      <c r="B129" s="9">
        <v>-1.9718309859154841E-2</v>
      </c>
      <c r="C129" s="9">
        <v>-4.3029259896728862E-3</v>
      </c>
      <c r="D129" s="9">
        <v>-2.7055150884495231E-2</v>
      </c>
      <c r="E129" s="9">
        <v>-3.8216560509554171E-3</v>
      </c>
      <c r="F129" s="9">
        <v>-1.283697047496792E-3</v>
      </c>
      <c r="G129" s="9">
        <v>3.6697247706422048E-2</v>
      </c>
      <c r="H129" s="9">
        <v>1.04895104895105E-2</v>
      </c>
      <c r="I129" s="9">
        <v>2.9455081001472611E-2</v>
      </c>
      <c r="J129" s="9">
        <v>8.8183421516754932E-3</v>
      </c>
      <c r="K129" s="9">
        <v>3.4158838599487652E-3</v>
      </c>
      <c r="L129" s="9">
        <v>-1.187782805429859E-2</v>
      </c>
      <c r="M129" s="9">
        <v>1.191567369385875E-2</v>
      </c>
      <c r="N129" s="9">
        <v>-5.5045871559633074E-3</v>
      </c>
      <c r="O129" s="9">
        <v>0</v>
      </c>
      <c r="P129" s="9">
        <v>-7.122507122506339E-4</v>
      </c>
      <c r="Q129" s="9">
        <v>8.3333333333342674E-4</v>
      </c>
      <c r="R129" s="9">
        <v>2.5641025641025661E-2</v>
      </c>
      <c r="S129" s="9">
        <v>-3.395585738539902E-3</v>
      </c>
      <c r="T129" s="9">
        <v>9.3283582089552317E-3</v>
      </c>
      <c r="U129" s="9">
        <v>-2.684144818976289E-2</v>
      </c>
      <c r="V129" s="9">
        <v>-2.6815642458100589E-2</v>
      </c>
      <c r="W129" s="9">
        <v>0</v>
      </c>
      <c r="X129" s="9">
        <v>-3.0674846625766898E-3</v>
      </c>
      <c r="Y129" s="9">
        <v>6.0120240480961984E-3</v>
      </c>
      <c r="Z129" s="9">
        <v>8.0428954423592564E-3</v>
      </c>
      <c r="AA129" s="9">
        <v>-1.3020833333333341E-2</v>
      </c>
      <c r="AB129" s="9">
        <v>-2.3529411764705899E-2</v>
      </c>
      <c r="AC129" s="9">
        <v>1.8691588785046741E-3</v>
      </c>
      <c r="AD129" s="9">
        <v>1.1423550087873571E-2</v>
      </c>
      <c r="AE129" s="9">
        <v>-1.470588235294105E-2</v>
      </c>
      <c r="AF129" s="9">
        <v>1.49476831091181E-3</v>
      </c>
      <c r="AG129" s="9">
        <v>-1.2025901942645609E-2</v>
      </c>
      <c r="AH129" s="9">
        <v>0</v>
      </c>
      <c r="AI129" s="9">
        <v>-1.919561243144436E-2</v>
      </c>
      <c r="AJ129" s="9">
        <v>-6.7185978578383598E-2</v>
      </c>
      <c r="AK129" s="9">
        <v>-7.8451882845188239E-2</v>
      </c>
      <c r="AL129" s="279">
        <v>-6.2104198832484197E-3</v>
      </c>
      <c r="AM129" s="279">
        <v>-2.7282705784848021E-2</v>
      </c>
      <c r="AN129" s="279">
        <v>-3.968338672671342E-2</v>
      </c>
      <c r="AO129" s="279">
        <v>-1.43E-2</v>
      </c>
      <c r="AP129" s="279">
        <v>3.8718257621806929E-3</v>
      </c>
      <c r="AQ129" s="279">
        <v>-1.0986722060613061E-2</v>
      </c>
      <c r="AR129" s="279">
        <v>-2.856423683305756E-2</v>
      </c>
      <c r="AS129" s="279">
        <v>-2.7417078647821429E-2</v>
      </c>
      <c r="AT129" s="279">
        <v>-1.1088703930334501E-2</v>
      </c>
      <c r="AU129" s="279">
        <v>-5.4000000000000003E-3</v>
      </c>
      <c r="AV129" s="279">
        <v>-1.6E-2</v>
      </c>
      <c r="AW129" s="279">
        <v>-1.8599999999999998E-2</v>
      </c>
      <c r="AX129" s="279">
        <v>0</v>
      </c>
      <c r="AY129" s="279">
        <v>8.0000000000000002E-3</v>
      </c>
      <c r="AZ129" s="279">
        <v>4.4000000000000003E-3</v>
      </c>
      <c r="BA129" s="279">
        <v>1.6999999999999999E-3</v>
      </c>
      <c r="BB129" s="279">
        <v>8.9999999999999993E-3</v>
      </c>
      <c r="BD129" s="9"/>
    </row>
    <row r="130" spans="1:56" hidden="1" x14ac:dyDescent="0.3">
      <c r="A130">
        <v>20260731</v>
      </c>
      <c r="B130" s="9">
        <v>-4.7892720306508127E-4</v>
      </c>
      <c r="C130" s="9">
        <v>2.592912705272258E-2</v>
      </c>
      <c r="D130" s="9">
        <v>5.8823529411764643E-2</v>
      </c>
      <c r="E130" s="9">
        <v>-1.278772378516625E-3</v>
      </c>
      <c r="F130" s="9">
        <v>1.6709511568123409E-2</v>
      </c>
      <c r="G130" s="9">
        <v>2.2123893805309752E-3</v>
      </c>
      <c r="H130" s="9">
        <v>1.038062283737025E-2</v>
      </c>
      <c r="I130" s="9">
        <v>-2.86123032904149E-3</v>
      </c>
      <c r="J130" s="9">
        <v>1.223776223776225E-2</v>
      </c>
      <c r="K130" s="9">
        <v>4.2553191489360792E-3</v>
      </c>
      <c r="L130" s="9">
        <v>2.575844304522034E-2</v>
      </c>
      <c r="M130" s="9">
        <v>-2.4154589371980701E-3</v>
      </c>
      <c r="N130" s="9">
        <v>1.8450184501845029E-2</v>
      </c>
      <c r="O130" s="9">
        <v>9.0415913200713361E-4</v>
      </c>
      <c r="P130" s="9">
        <v>1.4967925873128941E-2</v>
      </c>
      <c r="Q130" s="9">
        <v>-1.6652789342214841E-3</v>
      </c>
      <c r="R130" s="9">
        <v>-4.7619047619047667E-3</v>
      </c>
      <c r="S130" s="9">
        <v>1.192504258943783E-2</v>
      </c>
      <c r="T130" s="9">
        <v>7.3937153419593414E-3</v>
      </c>
      <c r="U130" s="9">
        <v>1.7960230917254669E-2</v>
      </c>
      <c r="V130" s="9">
        <v>1.6647531572904661E-2</v>
      </c>
      <c r="W130" s="9">
        <v>4.0551500405514133E-3</v>
      </c>
      <c r="X130" s="9">
        <v>1.5384615384615399E-2</v>
      </c>
      <c r="Y130" s="9">
        <v>8.9641434262947173E-3</v>
      </c>
      <c r="Z130" s="9">
        <v>2.6595744680851089E-3</v>
      </c>
      <c r="AA130" s="9">
        <v>1.3192612137203181E-2</v>
      </c>
      <c r="AB130" s="9">
        <v>1.566265060240965E-2</v>
      </c>
      <c r="AC130" s="9">
        <v>0</v>
      </c>
      <c r="AD130" s="9">
        <v>1.303214596003467E-2</v>
      </c>
      <c r="AE130" s="9">
        <v>1.492537313432823E-2</v>
      </c>
      <c r="AF130" s="9">
        <v>6.2686567164178988E-2</v>
      </c>
      <c r="AG130" s="9">
        <v>4.4007490636704047E-2</v>
      </c>
      <c r="AH130" s="9">
        <v>6.9182389937106833E-2</v>
      </c>
      <c r="AI130" s="9">
        <v>1.863932898415659E-2</v>
      </c>
      <c r="AJ130" s="9">
        <v>3.5490605427974983E-2</v>
      </c>
      <c r="AK130" s="9">
        <v>4.4267877412031822E-2</v>
      </c>
      <c r="AL130" s="279">
        <v>7.2461825435060348E-3</v>
      </c>
      <c r="AM130" s="279">
        <v>2.2063383462042278E-2</v>
      </c>
      <c r="AN130" s="279">
        <v>3.0618735395045029E-2</v>
      </c>
      <c r="AO130" s="279">
        <v>3.2599999999999997E-2</v>
      </c>
      <c r="AP130" s="279">
        <v>-1.1986092483278049E-3</v>
      </c>
      <c r="AQ130" s="279">
        <v>8.4569599887464406E-3</v>
      </c>
      <c r="AR130" s="279">
        <v>2.522853927895953E-2</v>
      </c>
      <c r="AS130" s="279">
        <v>2.533791705080873E-2</v>
      </c>
      <c r="AT130" s="279">
        <v>2.9571745857724919E-2</v>
      </c>
      <c r="AU130" s="279">
        <v>1.37E-2</v>
      </c>
      <c r="AV130" s="279">
        <v>2.69E-2</v>
      </c>
      <c r="AW130" s="279">
        <v>2.5399999999999999E-2</v>
      </c>
      <c r="AX130" s="279">
        <v>2.2499999999999999E-2</v>
      </c>
      <c r="AY130" s="279">
        <v>1.4E-2</v>
      </c>
      <c r="AZ130" s="279">
        <v>1.9099999999999999E-2</v>
      </c>
      <c r="BA130" s="279">
        <v>2.0400000000000001E-2</v>
      </c>
      <c r="BB130" s="279">
        <v>8.0999999999999996E-3</v>
      </c>
      <c r="BD130" s="9"/>
    </row>
    <row r="131" spans="1:56" x14ac:dyDescent="0.3">
      <c r="A131" s="295" t="s">
        <v>189</v>
      </c>
      <c r="B131" s="347">
        <f t="shared" ref="B131:AG131" si="12">SUM(B132:B152)</f>
        <v>0.10119990955162486</v>
      </c>
      <c r="C131" s="347">
        <f t="shared" si="12"/>
        <v>2.6903784016223418E-2</v>
      </c>
      <c r="D131" s="347">
        <f t="shared" si="12"/>
        <v>2.5752389838604561E-2</v>
      </c>
      <c r="E131" s="347">
        <f t="shared" si="12"/>
        <v>6.4838351155103266E-2</v>
      </c>
      <c r="F131" s="347">
        <f t="shared" si="12"/>
        <v>-3.9106985814077663E-2</v>
      </c>
      <c r="G131" s="347">
        <f t="shared" si="12"/>
        <v>-7.6483837072613095E-2</v>
      </c>
      <c r="H131" s="347">
        <f t="shared" si="12"/>
        <v>9.614717310649451E-2</v>
      </c>
      <c r="I131" s="347">
        <f t="shared" si="12"/>
        <v>-4.433456654260988E-2</v>
      </c>
      <c r="J131" s="347">
        <f t="shared" si="12"/>
        <v>-2.3444025766297571E-2</v>
      </c>
      <c r="K131" s="347">
        <f t="shared" si="12"/>
        <v>4.575357322754544E-3</v>
      </c>
      <c r="L131" s="347">
        <f t="shared" si="12"/>
        <v>9.2890418917407694E-2</v>
      </c>
      <c r="M131" s="347">
        <f t="shared" si="12"/>
        <v>5.5265365804491665E-2</v>
      </c>
      <c r="N131" s="347">
        <f t="shared" si="12"/>
        <v>1.080080573609195E-2</v>
      </c>
      <c r="O131" s="347">
        <f t="shared" si="12"/>
        <v>-9.7826288898516687E-4</v>
      </c>
      <c r="P131" s="347">
        <f t="shared" si="12"/>
        <v>1.6666484026792314E-2</v>
      </c>
      <c r="Q131" s="347">
        <f t="shared" si="12"/>
        <v>0.14244398844103209</v>
      </c>
      <c r="R131" s="347">
        <f t="shared" si="12"/>
        <v>-7.3707913673506514E-3</v>
      </c>
      <c r="S131" s="347">
        <f t="shared" si="12"/>
        <v>2.9842471042403756E-2</v>
      </c>
      <c r="T131" s="347">
        <f t="shared" si="12"/>
        <v>2.7322892629705268E-2</v>
      </c>
      <c r="U131" s="347">
        <f t="shared" si="12"/>
        <v>5.4033509292951733E-2</v>
      </c>
      <c r="V131" s="347">
        <f t="shared" si="12"/>
        <v>3.7593629012535608E-2</v>
      </c>
      <c r="W131" s="347">
        <f t="shared" si="12"/>
        <v>-3.3941045176619063E-2</v>
      </c>
      <c r="X131" s="347">
        <f t="shared" si="12"/>
        <v>3.116129270858712E-2</v>
      </c>
      <c r="Y131" s="347">
        <f t="shared" si="12"/>
        <v>-5.492248420754231E-2</v>
      </c>
      <c r="Z131" s="347">
        <f t="shared" si="12"/>
        <v>8.7890883893088079E-4</v>
      </c>
      <c r="AA131" s="347">
        <f t="shared" si="12"/>
        <v>2.9036279995171738E-2</v>
      </c>
      <c r="AB131" s="347">
        <f t="shared" si="12"/>
        <v>1.2997186654494387E-2</v>
      </c>
      <c r="AC131" s="347">
        <f t="shared" si="12"/>
        <v>-3.4459983036740707E-2</v>
      </c>
      <c r="AD131" s="347">
        <f t="shared" si="12"/>
        <v>-4.7466850058829432E-2</v>
      </c>
      <c r="AE131" s="347">
        <f t="shared" si="12"/>
        <v>2.4932100796851139E-2</v>
      </c>
      <c r="AF131" s="347">
        <f t="shared" si="12"/>
        <v>-2.3197669736417396E-2</v>
      </c>
      <c r="AG131" s="347">
        <f t="shared" si="12"/>
        <v>-1.1877017622860513E-2</v>
      </c>
      <c r="AH131" s="347">
        <f t="shared" ref="AH131:BB131" si="13">SUM(AH132:AH152)</f>
        <v>-7.3550544238248014E-3</v>
      </c>
      <c r="AI131" s="347">
        <f t="shared" si="13"/>
        <v>4.676307270150145E-2</v>
      </c>
      <c r="AJ131" s="347">
        <f t="shared" si="13"/>
        <v>7.7910324213351145E-2</v>
      </c>
      <c r="AK131" s="347">
        <f t="shared" si="13"/>
        <v>0.14452789407307332</v>
      </c>
      <c r="AL131" s="347">
        <f t="shared" si="13"/>
        <v>4.0212971360634626E-2</v>
      </c>
      <c r="AM131" s="347">
        <f t="shared" si="13"/>
        <v>3.4626483763911017E-2</v>
      </c>
      <c r="AN131" s="347">
        <f t="shared" si="13"/>
        <v>3.3489482687812849E-2</v>
      </c>
      <c r="AO131" s="347">
        <f t="shared" si="13"/>
        <v>-1.3900000000000011E-2</v>
      </c>
      <c r="AP131" s="347">
        <f t="shared" si="13"/>
        <v>5.4476104860165641E-3</v>
      </c>
      <c r="AQ131" s="347">
        <f t="shared" si="13"/>
        <v>9.0704857573485013E-3</v>
      </c>
      <c r="AR131" s="347">
        <f t="shared" si="13"/>
        <v>6.2413845990989376E-2</v>
      </c>
      <c r="AS131" s="347">
        <f t="shared" si="13"/>
        <v>9.7238562312471299E-2</v>
      </c>
      <c r="AT131" s="347">
        <f t="shared" si="13"/>
        <v>0.16429001257297188</v>
      </c>
      <c r="AU131" s="347">
        <f t="shared" si="13"/>
        <v>1.0999999999999977E-3</v>
      </c>
      <c r="AV131" s="347">
        <f t="shared" si="13"/>
        <v>9.3399999999999983E-2</v>
      </c>
      <c r="AW131" s="347">
        <f t="shared" si="13"/>
        <v>8.1400000000000028E-2</v>
      </c>
      <c r="AX131" s="347">
        <f t="shared" si="13"/>
        <v>9.0100000000000013E-2</v>
      </c>
      <c r="AY131" s="347">
        <f t="shared" si="13"/>
        <v>2.4900000000000002E-2</v>
      </c>
      <c r="AZ131" s="347">
        <f t="shared" si="13"/>
        <v>9.4E-2</v>
      </c>
      <c r="BA131" s="347">
        <f t="shared" si="13"/>
        <v>7.2199999999999986E-2</v>
      </c>
      <c r="BB131" s="347">
        <f t="shared" si="13"/>
        <v>2.6599999999999999E-2</v>
      </c>
      <c r="BD131" s="9">
        <f>AX131-AS131</f>
        <v>-7.138562312471286E-3</v>
      </c>
    </row>
    <row r="132" spans="1:56" hidden="1" x14ac:dyDescent="0.3">
      <c r="A132">
        <v>20260803</v>
      </c>
      <c r="B132" s="9">
        <v>3.3540967896500589E-3</v>
      </c>
      <c r="C132" s="9">
        <v>4.212299915753912E-3</v>
      </c>
      <c r="D132" s="9">
        <v>1.1111111111111009E-2</v>
      </c>
      <c r="E132" s="9">
        <v>-3.8412291933418732E-3</v>
      </c>
      <c r="F132" s="9">
        <v>-4.4247787610620206E-3</v>
      </c>
      <c r="G132" s="9">
        <v>-1.1037527593818991E-2</v>
      </c>
      <c r="H132" s="9">
        <v>1.0273972602739739E-2</v>
      </c>
      <c r="I132" s="9">
        <v>-1.004304160688667E-2</v>
      </c>
      <c r="J132" s="9">
        <v>3.4542314335060482E-3</v>
      </c>
      <c r="K132" s="9">
        <v>1.101694915254248E-2</v>
      </c>
      <c r="L132" s="9">
        <v>-7.8125000000000069E-3</v>
      </c>
      <c r="M132" s="9">
        <v>-5.7506053268764181E-3</v>
      </c>
      <c r="N132" s="9">
        <v>2.717391304347728E-3</v>
      </c>
      <c r="O132" s="9">
        <v>-1.806684733514003E-3</v>
      </c>
      <c r="P132" s="9">
        <v>-1.1235955056179791E-2</v>
      </c>
      <c r="Q132" s="9">
        <v>-1.918265221017525E-2</v>
      </c>
      <c r="R132" s="9">
        <v>-5.9808612440191448E-3</v>
      </c>
      <c r="S132" s="9">
        <v>5.0505050505050553E-3</v>
      </c>
      <c r="T132" s="9">
        <v>7.3394495412844101E-3</v>
      </c>
      <c r="U132" s="9">
        <v>1.701323251417778E-2</v>
      </c>
      <c r="V132" s="9">
        <v>-3.9525691699604151E-3</v>
      </c>
      <c r="W132" s="9">
        <v>1.130856219709209E-2</v>
      </c>
      <c r="X132" s="9">
        <v>-6.0606060606060667E-3</v>
      </c>
      <c r="Y132" s="9">
        <v>-2.9615004935833089E-3</v>
      </c>
      <c r="Z132" s="9">
        <v>-7.9575596816976197E-3</v>
      </c>
      <c r="AA132" s="9">
        <v>-1.041666666666668E-2</v>
      </c>
      <c r="AB132" s="9">
        <v>-1.660735468564652E-2</v>
      </c>
      <c r="AC132" s="9">
        <v>1.305970149253733E-2</v>
      </c>
      <c r="AD132" s="9">
        <v>-6.0034305317323289E-3</v>
      </c>
      <c r="AE132" s="9">
        <v>1.9607843137254919E-2</v>
      </c>
      <c r="AF132" s="9">
        <v>2.8089887640449459E-3</v>
      </c>
      <c r="AG132" s="9">
        <v>1.1659192825112019E-2</v>
      </c>
      <c r="AH132" s="9">
        <v>3.5294117647058859E-3</v>
      </c>
      <c r="AI132" s="9">
        <v>7.319304666056731E-3</v>
      </c>
      <c r="AJ132" s="9">
        <v>-7.1572580645161241E-2</v>
      </c>
      <c r="AK132" s="9">
        <v>-1.630434782608697E-2</v>
      </c>
      <c r="AL132" s="9">
        <v>-5.8970915871618661E-3</v>
      </c>
      <c r="AM132" s="9">
        <v>-9.6208537786114465E-3</v>
      </c>
      <c r="AN132" s="9">
        <v>-1.2383656044144001E-2</v>
      </c>
      <c r="AO132" s="9">
        <v>-6.6E-3</v>
      </c>
      <c r="AP132" s="9">
        <v>-1.228648835241726E-2</v>
      </c>
      <c r="AQ132" s="9">
        <v>-9.8118716349798896E-3</v>
      </c>
      <c r="AR132" s="9">
        <v>-1.0603504010216151E-2</v>
      </c>
      <c r="AS132" s="9">
        <v>6.034762743469265E-4</v>
      </c>
      <c r="AT132" s="9">
        <v>3.6182598998742571E-2</v>
      </c>
      <c r="AU132" s="9">
        <v>-2.0999999999999999E-3</v>
      </c>
      <c r="AV132" s="9">
        <v>2.52E-2</v>
      </c>
      <c r="AW132" s="9">
        <v>7.7999999999999996E-3</v>
      </c>
      <c r="AX132" s="9">
        <v>2.1999999999999999E-2</v>
      </c>
      <c r="AY132" s="9">
        <v>1.43E-2</v>
      </c>
      <c r="AZ132" s="9">
        <v>2.1100000000000001E-2</v>
      </c>
      <c r="BA132" s="9">
        <v>2.7E-2</v>
      </c>
      <c r="BB132" s="9">
        <v>1.52E-2</v>
      </c>
    </row>
    <row r="133" spans="1:56" hidden="1" x14ac:dyDescent="0.3">
      <c r="A133">
        <v>20260804</v>
      </c>
      <c r="B133" s="9">
        <v>5.2531041069723604E-3</v>
      </c>
      <c r="C133" s="9">
        <v>1.1744966442953029E-2</v>
      </c>
      <c r="D133" s="9">
        <v>2.4975024975025111E-2</v>
      </c>
      <c r="E133" s="9">
        <v>6.4267352185090037E-3</v>
      </c>
      <c r="F133" s="9">
        <v>-1.333333333333328E-2</v>
      </c>
      <c r="G133" s="9">
        <v>-1.562500000000001E-2</v>
      </c>
      <c r="H133" s="9">
        <v>-1.2429378531073461E-2</v>
      </c>
      <c r="I133" s="9">
        <v>-1.59420289855071E-2</v>
      </c>
      <c r="J133" s="9">
        <v>-1.204819277108435E-2</v>
      </c>
      <c r="K133" s="9">
        <v>-1.2573344509639669E-2</v>
      </c>
      <c r="L133" s="9">
        <v>1.743532058492684E-2</v>
      </c>
      <c r="M133" s="9">
        <v>-1.461187214611873E-2</v>
      </c>
      <c r="N133" s="9">
        <v>-3.6133694670280069E-3</v>
      </c>
      <c r="O133" s="9">
        <v>-9.0497737556551126E-4</v>
      </c>
      <c r="P133" s="9">
        <v>1.420454545454547E-3</v>
      </c>
      <c r="Q133" s="9">
        <v>-3.40136054421769E-3</v>
      </c>
      <c r="R133" s="9">
        <v>-2.406738868832721E-2</v>
      </c>
      <c r="S133" s="9">
        <v>-6.7001675041876109E-3</v>
      </c>
      <c r="T133" s="9">
        <v>-1.6393442622950831E-2</v>
      </c>
      <c r="U133" s="9">
        <v>1.9826517967781791E-2</v>
      </c>
      <c r="V133" s="9">
        <v>2.3809523809523829E-2</v>
      </c>
      <c r="W133" s="9">
        <v>-6.3897763578274818E-3</v>
      </c>
      <c r="X133" s="9">
        <v>1.8292682926829281E-2</v>
      </c>
      <c r="Y133" s="9">
        <v>-2.9702970297030831E-3</v>
      </c>
      <c r="Z133" s="9">
        <v>2.4064171122994669E-2</v>
      </c>
      <c r="AA133" s="9">
        <v>3.1578947368421081E-2</v>
      </c>
      <c r="AB133" s="9">
        <v>3.3775633293124281E-2</v>
      </c>
      <c r="AC133" s="9">
        <v>-9.2081031307550722E-3</v>
      </c>
      <c r="AD133" s="9">
        <v>-1.2942191544434959E-2</v>
      </c>
      <c r="AE133" s="9">
        <v>1.201923076923078E-2</v>
      </c>
      <c r="AF133" s="9">
        <v>1.9607843137254919E-2</v>
      </c>
      <c r="AG133" s="9">
        <v>2.5709219858156149E-2</v>
      </c>
      <c r="AH133" s="9">
        <v>3.1652989449003549E-2</v>
      </c>
      <c r="AI133" s="9">
        <v>1.362397820163499E-2</v>
      </c>
      <c r="AJ133" s="9">
        <v>5.2117263843648128E-2</v>
      </c>
      <c r="AK133" s="9">
        <v>8.9502762430939187E-2</v>
      </c>
      <c r="AL133" s="9">
        <v>3.3130751985149731E-3</v>
      </c>
      <c r="AM133" s="9">
        <v>3.2526135293037189E-2</v>
      </c>
      <c r="AN133" s="9">
        <v>5.6445210720312493E-2</v>
      </c>
      <c r="AO133" s="9">
        <v>1.6199999999999999E-2</v>
      </c>
      <c r="AP133" s="9">
        <v>-2.904275430941114E-3</v>
      </c>
      <c r="AQ133" s="9">
        <v>1.271185060325611E-2</v>
      </c>
      <c r="AR133" s="9">
        <v>2.6025251526666151E-2</v>
      </c>
      <c r="AS133" s="9">
        <v>2.8167119976677261E-2</v>
      </c>
      <c r="AT133" s="9">
        <v>1.552954548889242E-2</v>
      </c>
      <c r="AU133" s="9">
        <v>1.2699999999999999E-2</v>
      </c>
      <c r="AV133" s="9">
        <v>8.2000000000000007E-3</v>
      </c>
      <c r="AW133" s="9">
        <v>1.9900000000000001E-2</v>
      </c>
      <c r="AX133" s="9">
        <v>1.6999999999999999E-3</v>
      </c>
      <c r="AY133" s="9">
        <v>2.7000000000000001E-3</v>
      </c>
      <c r="AZ133" s="9">
        <v>5.0000000000000001E-4</v>
      </c>
      <c r="BA133" s="9">
        <v>3.5999999999999999E-3</v>
      </c>
      <c r="BB133" s="9">
        <v>-5.3E-3</v>
      </c>
    </row>
    <row r="134" spans="1:56" hidden="1" x14ac:dyDescent="0.3">
      <c r="A134">
        <v>20260805</v>
      </c>
      <c r="B134" s="9">
        <v>-3.8004750593824258E-3</v>
      </c>
      <c r="C134" s="9">
        <v>1.9900497512437831E-2</v>
      </c>
      <c r="D134" s="9">
        <v>2.6315789473684129E-2</v>
      </c>
      <c r="E134" s="9">
        <v>3.1928480204342302E-2</v>
      </c>
      <c r="F134" s="9">
        <v>1.415701415701417E-2</v>
      </c>
      <c r="G134" s="9">
        <v>-9.070294784580506E-3</v>
      </c>
      <c r="H134" s="9">
        <v>5.7208237986270073E-3</v>
      </c>
      <c r="I134" s="9">
        <v>-7.3637702503681936E-3</v>
      </c>
      <c r="J134" s="9">
        <v>0</v>
      </c>
      <c r="K134" s="9">
        <v>3.395585738539902E-3</v>
      </c>
      <c r="L134" s="9">
        <v>5.1962410171365443E-2</v>
      </c>
      <c r="M134" s="9">
        <v>-2.7803521779425069E-3</v>
      </c>
      <c r="N134" s="9">
        <v>1.1786038077969289E-2</v>
      </c>
      <c r="O134" s="9">
        <v>4.5289855072462798E-3</v>
      </c>
      <c r="P134" s="9">
        <v>9.9290780141844063E-3</v>
      </c>
      <c r="Q134" s="9">
        <v>1.706484641638227E-3</v>
      </c>
      <c r="R134" s="9">
        <v>-1.233045622688041E-2</v>
      </c>
      <c r="S134" s="9">
        <v>1.770657672849927E-2</v>
      </c>
      <c r="T134" s="9">
        <v>3.7037037037037069E-3</v>
      </c>
      <c r="U134" s="9">
        <v>2.369380315917384E-2</v>
      </c>
      <c r="V134" s="9">
        <v>2.7685492801771901E-2</v>
      </c>
      <c r="W134" s="9">
        <v>-9.646302250803868E-3</v>
      </c>
      <c r="X134" s="9">
        <v>8.9820359281437192E-3</v>
      </c>
      <c r="Y134" s="9">
        <v>-1.2909632571995931E-2</v>
      </c>
      <c r="Z134" s="9">
        <v>1.044386422976502E-2</v>
      </c>
      <c r="AA134" s="9">
        <v>7.6530612244898027E-3</v>
      </c>
      <c r="AB134" s="9">
        <v>1.050175029171529E-2</v>
      </c>
      <c r="AC134" s="9">
        <v>-7.4349442379182222E-3</v>
      </c>
      <c r="AD134" s="9">
        <v>4.3706293706294724E-3</v>
      </c>
      <c r="AE134" s="9">
        <v>1.5439429928741109E-2</v>
      </c>
      <c r="AF134" s="9">
        <v>2.6098901098901131E-2</v>
      </c>
      <c r="AG134" s="9">
        <v>-8.6430423509084868E-4</v>
      </c>
      <c r="AH134" s="9">
        <v>1.136363636363637E-3</v>
      </c>
      <c r="AI134" s="9">
        <v>1.792114695340483E-2</v>
      </c>
      <c r="AJ134" s="9">
        <v>6.6047471620226977E-2</v>
      </c>
      <c r="AK134" s="9">
        <v>1.6227180527383381E-2</v>
      </c>
      <c r="AL134" s="9">
        <v>1.468877909418065E-2</v>
      </c>
      <c r="AM134" s="9">
        <v>1.8615835992542101E-2</v>
      </c>
      <c r="AN134" s="9">
        <v>1.323518199948061E-2</v>
      </c>
      <c r="AO134" s="9">
        <v>2.3699999999999999E-2</v>
      </c>
      <c r="AP134" s="9">
        <v>1.5768989070990821E-2</v>
      </c>
      <c r="AQ134" s="9">
        <v>1.243765934278504E-2</v>
      </c>
      <c r="AR134" s="9">
        <v>2.6515917805709052E-2</v>
      </c>
      <c r="AS134" s="9">
        <v>2.9378984730862361E-2</v>
      </c>
      <c r="AT134" s="9">
        <v>3.6314621496462631E-3</v>
      </c>
      <c r="AU134" s="9">
        <v>1.1299999999999999E-2</v>
      </c>
      <c r="AV134" s="9">
        <v>7.7999999999999996E-3</v>
      </c>
      <c r="AW134" s="9">
        <v>1.9900000000000001E-2</v>
      </c>
      <c r="AX134" s="9">
        <v>2E-3</v>
      </c>
      <c r="AY134" s="9">
        <v>-1.6999999999999999E-3</v>
      </c>
      <c r="AZ134" s="9">
        <v>1E-3</v>
      </c>
      <c r="BA134" s="9">
        <v>3.8E-3</v>
      </c>
      <c r="BB134" s="9">
        <v>-2.8999999999999998E-3</v>
      </c>
    </row>
    <row r="135" spans="1:56" hidden="1" x14ac:dyDescent="0.3">
      <c r="A135">
        <v>20260806</v>
      </c>
      <c r="B135" s="9">
        <v>1.0491177873152241E-2</v>
      </c>
      <c r="C135" s="9">
        <v>-7.3170731707316236E-3</v>
      </c>
      <c r="D135" s="9">
        <v>-5.6980056980057026E-3</v>
      </c>
      <c r="E135" s="9">
        <v>1.237623762376225E-2</v>
      </c>
      <c r="F135" s="9">
        <v>-9.5177664974620078E-3</v>
      </c>
      <c r="G135" s="9">
        <v>-6.8649885583524093E-3</v>
      </c>
      <c r="H135" s="9">
        <v>1.137656427758818E-2</v>
      </c>
      <c r="I135" s="9">
        <v>-7.418397626112766E-3</v>
      </c>
      <c r="J135" s="9">
        <v>-5.2264808362369394E-3</v>
      </c>
      <c r="K135" s="9">
        <v>-7.6142131979694584E-3</v>
      </c>
      <c r="L135" s="9">
        <v>7.3568050446663228E-3</v>
      </c>
      <c r="M135" s="9">
        <v>1.8587360594795418E-2</v>
      </c>
      <c r="N135" s="9">
        <v>-8.9605734767035108E-4</v>
      </c>
      <c r="O135" s="9">
        <v>-1.1722272317402979E-2</v>
      </c>
      <c r="P135" s="9">
        <v>-3.5112359550561051E-3</v>
      </c>
      <c r="Q135" s="9">
        <v>5.8773424190800831E-2</v>
      </c>
      <c r="R135" s="9">
        <v>4.9937578027465712E-3</v>
      </c>
      <c r="S135" s="9">
        <v>0</v>
      </c>
      <c r="T135" s="9">
        <v>-3.6900369003690071E-3</v>
      </c>
      <c r="U135" s="9">
        <v>-5.3412462908012572E-3</v>
      </c>
      <c r="V135" s="9">
        <v>-1.400862068965518E-2</v>
      </c>
      <c r="W135" s="9">
        <v>-8.9285714285713465E-3</v>
      </c>
      <c r="X135" s="9">
        <v>-1.7804154302670641E-2</v>
      </c>
      <c r="Y135" s="9">
        <v>-7.0422535211267668E-3</v>
      </c>
      <c r="Z135" s="9">
        <v>-2.0671834625323009E-2</v>
      </c>
      <c r="AA135" s="9">
        <v>-1.772151898734179E-2</v>
      </c>
      <c r="AB135" s="9">
        <v>-1.385681293302542E-2</v>
      </c>
      <c r="AC135" s="9">
        <v>-8.4269662921349422E-3</v>
      </c>
      <c r="AD135" s="9">
        <v>-1.218450826805919E-2</v>
      </c>
      <c r="AE135" s="9">
        <v>-1.169590643274855E-2</v>
      </c>
      <c r="AF135" s="9">
        <v>-1.204819277108435E-2</v>
      </c>
      <c r="AG135" s="9">
        <v>-1.8166089965397841E-2</v>
      </c>
      <c r="AH135" s="9">
        <v>-1.8161180476731001E-2</v>
      </c>
      <c r="AI135" s="9">
        <v>-8.8028169014074816E-4</v>
      </c>
      <c r="AJ135" s="9">
        <v>1.3552758954501471E-2</v>
      </c>
      <c r="AK135" s="9">
        <v>1.197604790419163E-2</v>
      </c>
      <c r="AL135" s="9">
        <v>5.6523644876922312E-3</v>
      </c>
      <c r="AM135" s="9">
        <v>-2.4093904215155629E-3</v>
      </c>
      <c r="AN135" s="9">
        <v>-5.5394364527827956E-3</v>
      </c>
      <c r="AO135" s="9">
        <v>3.0999999999999999E-3</v>
      </c>
      <c r="AP135" s="9">
        <v>-1.3434047077646031E-3</v>
      </c>
      <c r="AQ135" s="9">
        <v>-1.4695517860612529E-3</v>
      </c>
      <c r="AR135" s="9">
        <v>2.580838233638734E-3</v>
      </c>
      <c r="AS135" s="9">
        <v>4.9882637879805529E-3</v>
      </c>
      <c r="AT135" s="9">
        <v>1.2096989434578719E-2</v>
      </c>
      <c r="AU135" s="9">
        <v>-1.8E-3</v>
      </c>
      <c r="AV135" s="9">
        <v>9.1000000000000004E-3</v>
      </c>
      <c r="AW135" s="9">
        <v>3.7000000000000002E-3</v>
      </c>
      <c r="AX135" s="9">
        <v>3.5999999999999999E-3</v>
      </c>
      <c r="AY135" s="9">
        <v>-1.0200000000000001E-2</v>
      </c>
      <c r="AZ135" s="9">
        <v>0</v>
      </c>
      <c r="BA135" s="9">
        <v>1.1999999999999999E-3</v>
      </c>
      <c r="BB135" s="9">
        <v>-2.0999999999999999E-3</v>
      </c>
    </row>
    <row r="136" spans="1:56" hidden="1" x14ac:dyDescent="0.3">
      <c r="A136">
        <v>20260807</v>
      </c>
      <c r="B136" s="9">
        <v>2.8315243039168389E-3</v>
      </c>
      <c r="C136" s="9">
        <v>5.7330057330056477E-3</v>
      </c>
      <c r="D136" s="9">
        <v>1.0506208213944721E-2</v>
      </c>
      <c r="E136" s="9">
        <v>9.7799511002445074E-3</v>
      </c>
      <c r="F136" s="9">
        <v>1.921844971172398E-3</v>
      </c>
      <c r="G136" s="9">
        <v>2.3041474654377902E-3</v>
      </c>
      <c r="H136" s="9">
        <v>-6.7491563554555748E-3</v>
      </c>
      <c r="I136" s="9">
        <v>4.4843049327354294E-3</v>
      </c>
      <c r="J136" s="9">
        <v>-5.2539404553415114E-3</v>
      </c>
      <c r="K136" s="9">
        <v>-5.9676044330776784E-3</v>
      </c>
      <c r="L136" s="9">
        <v>3.547209181012001E-2</v>
      </c>
      <c r="M136" s="9">
        <v>-1.824817518248109E-3</v>
      </c>
      <c r="N136" s="9">
        <v>8.9686098654718561E-4</v>
      </c>
      <c r="O136" s="9">
        <v>0</v>
      </c>
      <c r="P136" s="9">
        <v>-7.0472163495427194E-4</v>
      </c>
      <c r="Q136" s="9">
        <v>-7.2405470635560094E-3</v>
      </c>
      <c r="R136" s="9">
        <v>-8.6956521739130505E-3</v>
      </c>
      <c r="S136" s="9">
        <v>0</v>
      </c>
      <c r="T136" s="9">
        <v>0</v>
      </c>
      <c r="U136" s="9">
        <v>1.312649164677806E-2</v>
      </c>
      <c r="V136" s="9">
        <v>2.185792349726778E-2</v>
      </c>
      <c r="W136" s="9">
        <v>-8.1900081900091056E-4</v>
      </c>
      <c r="X136" s="9">
        <v>4.5317220543806533E-2</v>
      </c>
      <c r="Y136" s="9">
        <v>1.6210739614994831E-2</v>
      </c>
      <c r="Z136" s="9">
        <v>4.4854881266490808E-2</v>
      </c>
      <c r="AA136" s="9">
        <v>5.9278350515463818E-2</v>
      </c>
      <c r="AB136" s="9">
        <v>6.5573770491803338E-2</v>
      </c>
      <c r="AC136" s="9">
        <v>0</v>
      </c>
      <c r="AD136" s="9">
        <v>-2.643171806167501E-3</v>
      </c>
      <c r="AE136" s="9">
        <v>2.485207100591719E-2</v>
      </c>
      <c r="AF136" s="9">
        <v>-1.084010840108402E-2</v>
      </c>
      <c r="AG136" s="9">
        <v>-3.524229074889871E-3</v>
      </c>
      <c r="AH136" s="9">
        <v>2.3121387283237009E-3</v>
      </c>
      <c r="AI136" s="9">
        <v>1.6740088105726789E-2</v>
      </c>
      <c r="AJ136" s="9">
        <v>3.4383954154727829E-2</v>
      </c>
      <c r="AK136" s="9">
        <v>2.8599605522682359E-2</v>
      </c>
      <c r="AL136" s="9">
        <v>1.017474833040714E-2</v>
      </c>
      <c r="AM136" s="9">
        <v>1.423714327022014E-2</v>
      </c>
      <c r="AN136" s="9">
        <v>1.3527432329415549E-2</v>
      </c>
      <c r="AO136" s="9">
        <v>1.01E-2</v>
      </c>
      <c r="AP136" s="9">
        <v>1.379706760132662E-2</v>
      </c>
      <c r="AQ136" s="9">
        <v>9.2719040442368686E-3</v>
      </c>
      <c r="AR136" s="9">
        <v>1.925616918162287E-2</v>
      </c>
      <c r="AS136" s="9">
        <v>1.980011752324733E-2</v>
      </c>
      <c r="AT136" s="9">
        <v>2.2667409549896301E-3</v>
      </c>
      <c r="AU136" s="9">
        <v>1E-4</v>
      </c>
      <c r="AV136" s="9">
        <v>-3.8E-3</v>
      </c>
      <c r="AW136" s="9">
        <v>1.18E-2</v>
      </c>
      <c r="AX136" s="9">
        <v>1.5E-3</v>
      </c>
      <c r="AY136" s="9">
        <v>1.4200000000000001E-2</v>
      </c>
      <c r="AZ136" s="9">
        <v>4.0000000000000001E-3</v>
      </c>
      <c r="BA136" s="9">
        <v>-2E-3</v>
      </c>
      <c r="BB136" s="9">
        <v>-3.7000000000000002E-3</v>
      </c>
    </row>
    <row r="137" spans="1:56" hidden="1" x14ac:dyDescent="0.3">
      <c r="A137">
        <v>20260810</v>
      </c>
      <c r="B137" s="9">
        <v>3.7647058823529452E-3</v>
      </c>
      <c r="C137" s="9">
        <v>0</v>
      </c>
      <c r="D137" s="9">
        <v>-1.134215500945181E-2</v>
      </c>
      <c r="E137" s="9">
        <v>1.9370460048426168E-2</v>
      </c>
      <c r="F137" s="9">
        <v>1.7263427109974371E-2</v>
      </c>
      <c r="G137" s="9">
        <v>2.2988505747126461E-2</v>
      </c>
      <c r="H137" s="9">
        <v>1.585503963759911E-2</v>
      </c>
      <c r="I137" s="9">
        <v>2.6785714285714139E-2</v>
      </c>
      <c r="J137" s="9">
        <v>1.4084507042253541E-2</v>
      </c>
      <c r="K137" s="9">
        <v>1.372212692967411E-2</v>
      </c>
      <c r="L137" s="9">
        <v>1.6624685138538889E-2</v>
      </c>
      <c r="M137" s="9">
        <v>1.127361365021326E-2</v>
      </c>
      <c r="N137" s="9">
        <v>8.0645161290321642E-3</v>
      </c>
      <c r="O137" s="9">
        <v>2.737226277372164E-3</v>
      </c>
      <c r="P137" s="9">
        <v>6.3469675599436672E-3</v>
      </c>
      <c r="Q137" s="9">
        <v>2.2690437601296621E-2</v>
      </c>
      <c r="R137" s="9">
        <v>6.2656641604010082E-3</v>
      </c>
      <c r="S137" s="9">
        <v>1.657000828500416E-2</v>
      </c>
      <c r="T137" s="9">
        <v>3.3333333333333361E-2</v>
      </c>
      <c r="U137" s="9">
        <v>4.7114252061248568E-3</v>
      </c>
      <c r="V137" s="9">
        <v>-3.208556149732623E-3</v>
      </c>
      <c r="W137" s="9">
        <v>6.5573770491803339E-3</v>
      </c>
      <c r="X137" s="9">
        <v>2.0231213872832391E-2</v>
      </c>
      <c r="Y137" s="9">
        <v>2.991026919242387E-3</v>
      </c>
      <c r="Z137" s="9">
        <v>2.2727272727272749E-2</v>
      </c>
      <c r="AA137" s="9">
        <v>1.7031630170316319E-2</v>
      </c>
      <c r="AB137" s="9">
        <v>9.8901098901098983E-3</v>
      </c>
      <c r="AC137" s="9">
        <v>4.7214353163362753E-3</v>
      </c>
      <c r="AD137" s="9">
        <v>9.717314487632616E-3</v>
      </c>
      <c r="AE137" s="9">
        <v>-4.6189376443418056E-3</v>
      </c>
      <c r="AF137" s="9">
        <v>-2.7397260273972629E-3</v>
      </c>
      <c r="AG137" s="9">
        <v>1.945181255526085E-2</v>
      </c>
      <c r="AH137" s="9">
        <v>1.3840830449827E-2</v>
      </c>
      <c r="AI137" s="9">
        <v>1.559792027729638E-2</v>
      </c>
      <c r="AJ137" s="9">
        <v>-1.846722068328718E-3</v>
      </c>
      <c r="AK137" s="9">
        <v>-2.3010546500479411E-2</v>
      </c>
      <c r="AL137" s="9">
        <v>6.7401651304290142E-3</v>
      </c>
      <c r="AM137" s="9">
        <v>4.1582669566996461E-4</v>
      </c>
      <c r="AN137" s="9">
        <v>-7.2695921210535787E-3</v>
      </c>
      <c r="AO137" s="9">
        <v>-0.01</v>
      </c>
      <c r="AP137" s="9">
        <v>2.4689706609594261E-3</v>
      </c>
      <c r="AQ137" s="9">
        <v>1.6163599596715099E-3</v>
      </c>
      <c r="AR137" s="9">
        <v>6.3687222944502518E-3</v>
      </c>
      <c r="AS137" s="9">
        <v>7.0800445027350634E-3</v>
      </c>
      <c r="AT137" s="9">
        <v>3.2730729348230098E-2</v>
      </c>
      <c r="AU137" s="9">
        <v>-2E-3</v>
      </c>
      <c r="AV137" s="9">
        <v>1.0200000000000001E-2</v>
      </c>
      <c r="AW137" s="9">
        <v>1.0699999999999999E-2</v>
      </c>
      <c r="AX137" s="9">
        <v>2.5700000000000001E-2</v>
      </c>
      <c r="AY137" s="9">
        <v>0.02</v>
      </c>
      <c r="AZ137" s="9">
        <v>2.53E-2</v>
      </c>
      <c r="BA137" s="9">
        <v>1.67E-2</v>
      </c>
      <c r="BB137" s="9">
        <v>2.01E-2</v>
      </c>
    </row>
    <row r="138" spans="1:56" hidden="1" x14ac:dyDescent="0.3">
      <c r="A138">
        <v>20260811</v>
      </c>
      <c r="B138" s="9">
        <v>-4.2194092827003739E-3</v>
      </c>
      <c r="C138" s="9">
        <v>7.3289902280131262E-3</v>
      </c>
      <c r="D138" s="9">
        <v>1.0516252390057259E-2</v>
      </c>
      <c r="E138" s="9">
        <v>-2.7315914489311189E-2</v>
      </c>
      <c r="F138" s="9">
        <v>-1.571338780641101E-2</v>
      </c>
      <c r="G138" s="9">
        <v>-8.988764044943828E-3</v>
      </c>
      <c r="H138" s="9">
        <v>-2.1181716833890769E-2</v>
      </c>
      <c r="I138" s="9">
        <v>-1.3043478260869421E-2</v>
      </c>
      <c r="J138" s="9">
        <v>-1.215277777777779E-2</v>
      </c>
      <c r="K138" s="9">
        <v>-1.6074450084602291E-2</v>
      </c>
      <c r="L138" s="9">
        <v>-4.7571853320118873E-2</v>
      </c>
      <c r="M138" s="9">
        <v>-3.0129557095510059E-3</v>
      </c>
      <c r="N138" s="9">
        <v>-5.3333333333333392E-3</v>
      </c>
      <c r="O138" s="9">
        <v>-5.4595086442220239E-3</v>
      </c>
      <c r="P138" s="9">
        <v>3.5038542396635549E-3</v>
      </c>
      <c r="Q138" s="9">
        <v>-7.9239302694145174E-4</v>
      </c>
      <c r="R138" s="9">
        <v>-3.735990037359904E-3</v>
      </c>
      <c r="S138" s="9">
        <v>-5.7049714751427191E-3</v>
      </c>
      <c r="T138" s="9">
        <v>-1.075268817204302E-2</v>
      </c>
      <c r="U138" s="9">
        <v>-1.113716295427896E-2</v>
      </c>
      <c r="V138" s="9">
        <v>1.448497854077248E-2</v>
      </c>
      <c r="W138" s="9">
        <v>4.8859934853420243E-3</v>
      </c>
      <c r="X138" s="9">
        <v>-5.6657223796034049E-3</v>
      </c>
      <c r="Y138" s="9">
        <v>-2.9821073558649238E-3</v>
      </c>
      <c r="Z138" s="9">
        <v>-4.9382716049382758E-3</v>
      </c>
      <c r="AA138" s="9">
        <v>4.7846889952153152E-3</v>
      </c>
      <c r="AB138" s="9">
        <v>3.2644178454842251E-3</v>
      </c>
      <c r="AC138" s="9">
        <v>4.6992481203006519E-3</v>
      </c>
      <c r="AD138" s="9">
        <v>-4.374453193350932E-3</v>
      </c>
      <c r="AE138" s="9">
        <v>6.9605568445475696E-3</v>
      </c>
      <c r="AF138" s="9">
        <v>-2.7472527472527501E-3</v>
      </c>
      <c r="AG138" s="9">
        <v>-1.7346053772766708E-2</v>
      </c>
      <c r="AH138" s="9">
        <v>-1.023890784982936E-2</v>
      </c>
      <c r="AI138" s="9">
        <v>-2.047781569965872E-2</v>
      </c>
      <c r="AJ138" s="9">
        <v>-1.0175763182238571E-2</v>
      </c>
      <c r="AK138" s="9">
        <v>-1.9627085377821409E-3</v>
      </c>
      <c r="AL138" s="9">
        <v>-8.1936795144651065E-3</v>
      </c>
      <c r="AM138" s="9">
        <v>-4.0175847386595782E-3</v>
      </c>
      <c r="AN138" s="9">
        <v>3.3783932778734971E-3</v>
      </c>
      <c r="AO138" s="9">
        <v>-8.6E-3</v>
      </c>
      <c r="AP138" s="9">
        <v>-1.2738275309807231E-2</v>
      </c>
      <c r="AQ138" s="9">
        <v>-8.1319006172871858E-3</v>
      </c>
      <c r="AR138" s="9">
        <v>-7.8956307524342649E-3</v>
      </c>
      <c r="AS138" s="9">
        <v>-4.6355790268273181E-3</v>
      </c>
      <c r="AT138" s="9">
        <v>-2.6186325962347231E-3</v>
      </c>
      <c r="AU138" s="9">
        <v>-6.7000000000000002E-3</v>
      </c>
      <c r="AV138" s="9">
        <v>4.0000000000000001E-3</v>
      </c>
      <c r="AW138" s="9">
        <v>-5.3E-3</v>
      </c>
      <c r="AX138" s="9">
        <v>-1.5E-3</v>
      </c>
      <c r="AY138" s="9">
        <v>-3.8E-3</v>
      </c>
      <c r="AZ138" s="9">
        <v>-5.0000000000000001E-3</v>
      </c>
      <c r="BA138" s="9">
        <v>-4.3E-3</v>
      </c>
      <c r="BB138" s="9">
        <v>-8.3999999999999995E-3</v>
      </c>
    </row>
    <row r="139" spans="1:56" hidden="1" x14ac:dyDescent="0.3">
      <c r="A139">
        <v>20260812</v>
      </c>
      <c r="B139" s="9">
        <v>-3.7664783427495329E-3</v>
      </c>
      <c r="C139" s="9">
        <v>5.6588520614388798E-3</v>
      </c>
      <c r="D139" s="9">
        <v>-4.7303689687794642E-3</v>
      </c>
      <c r="E139" s="9">
        <v>0</v>
      </c>
      <c r="F139" s="9">
        <v>4.4699872286078513E-3</v>
      </c>
      <c r="G139" s="9">
        <v>1.1337868480725641E-2</v>
      </c>
      <c r="H139" s="9">
        <v>0</v>
      </c>
      <c r="I139" s="9">
        <v>2.9368575624082261E-3</v>
      </c>
      <c r="J139" s="9">
        <v>7.0298769771529072E-3</v>
      </c>
      <c r="K139" s="9">
        <v>8.5984522785898607E-3</v>
      </c>
      <c r="L139" s="9">
        <v>9.365244536940695E-3</v>
      </c>
      <c r="M139" s="9">
        <v>-1.813236627379942E-3</v>
      </c>
      <c r="N139" s="9">
        <v>6.2555853440571007E-3</v>
      </c>
      <c r="O139" s="9">
        <v>3.659652333028366E-3</v>
      </c>
      <c r="P139" s="9">
        <v>-1.396648044692739E-3</v>
      </c>
      <c r="Q139" s="9">
        <v>-1.0309278350515391E-2</v>
      </c>
      <c r="R139" s="9">
        <v>0</v>
      </c>
      <c r="S139" s="9">
        <v>4.1803278688524542E-2</v>
      </c>
      <c r="T139" s="9">
        <v>1.811594202898552E-3</v>
      </c>
      <c r="U139" s="9">
        <v>1.185536455246E-2</v>
      </c>
      <c r="V139" s="9">
        <v>1.4278159703860351E-2</v>
      </c>
      <c r="W139" s="9">
        <v>-5.672609400324065E-3</v>
      </c>
      <c r="X139" s="9">
        <v>-2.8490028490028522E-3</v>
      </c>
      <c r="Y139" s="9">
        <v>-5.9820538384844418E-3</v>
      </c>
      <c r="Z139" s="9">
        <v>-4.9627791563275478E-3</v>
      </c>
      <c r="AA139" s="9">
        <v>-2.3809523809523829E-3</v>
      </c>
      <c r="AB139" s="9">
        <v>-3.2537960954446879E-3</v>
      </c>
      <c r="AC139" s="9">
        <v>-6.5481758652945702E-3</v>
      </c>
      <c r="AD139" s="9">
        <v>2.6362038664324381E-3</v>
      </c>
      <c r="AE139" s="9">
        <v>1.612903225806453E-2</v>
      </c>
      <c r="AF139" s="9">
        <v>-6.8870523415978024E-3</v>
      </c>
      <c r="AG139" s="9">
        <v>6.1782877316856966E-3</v>
      </c>
      <c r="AH139" s="9">
        <v>6.896551724137937E-3</v>
      </c>
      <c r="AI139" s="9">
        <v>6.9686411149825853E-3</v>
      </c>
      <c r="AJ139" s="9">
        <v>1.682242990654207E-2</v>
      </c>
      <c r="AK139" s="9">
        <v>3.0481809242871329E-2</v>
      </c>
      <c r="AL139" s="9">
        <v>3.1982721303233132E-3</v>
      </c>
      <c r="AM139" s="9">
        <v>1.0869066386898701E-2</v>
      </c>
      <c r="AN139" s="9">
        <v>1.491041270563997E-2</v>
      </c>
      <c r="AO139" s="9">
        <v>2.3999999999999998E-3</v>
      </c>
      <c r="AP139" s="9">
        <v>2.8860767615870998E-3</v>
      </c>
      <c r="AQ139" s="9">
        <v>5.816622492998828E-3</v>
      </c>
      <c r="AR139" s="9">
        <v>9.7609939530888951E-3</v>
      </c>
      <c r="AS139" s="9">
        <v>1.242760502402691E-2</v>
      </c>
      <c r="AT139" s="9">
        <v>1.139981912625867E-2</v>
      </c>
      <c r="AU139" s="9">
        <v>-3.3999999999999998E-3</v>
      </c>
      <c r="AV139" s="9">
        <v>1.1599999999999999E-2</v>
      </c>
      <c r="AW139" s="9">
        <v>1.14E-2</v>
      </c>
      <c r="AX139" s="9">
        <v>8.6E-3</v>
      </c>
      <c r="AY139" s="9">
        <v>5.1000000000000004E-3</v>
      </c>
      <c r="AZ139" s="9">
        <v>8.9999999999999993E-3</v>
      </c>
      <c r="BA139" s="9">
        <v>6.0000000000000001E-3</v>
      </c>
      <c r="BB139" s="9">
        <v>5.5999999999999999E-3</v>
      </c>
    </row>
    <row r="140" spans="1:56" hidden="1" x14ac:dyDescent="0.3">
      <c r="A140">
        <v>20260813</v>
      </c>
      <c r="B140" s="9">
        <v>4.7258979206048143E-3</v>
      </c>
      <c r="C140" s="9">
        <v>-1.1254019292604511E-2</v>
      </c>
      <c r="D140" s="9">
        <v>-1.7110266159695828E-2</v>
      </c>
      <c r="E140" s="9">
        <v>-2.1978021978021858E-2</v>
      </c>
      <c r="F140" s="9">
        <v>-1.7164653528289841E-2</v>
      </c>
      <c r="G140" s="9">
        <v>6.7264573991031454E-3</v>
      </c>
      <c r="H140" s="9">
        <v>-1.366742596810935E-2</v>
      </c>
      <c r="I140" s="9">
        <v>1.4641288433382151E-3</v>
      </c>
      <c r="J140" s="9">
        <v>-1.0471204188481679E-2</v>
      </c>
      <c r="K140" s="9">
        <v>-1.6197783461210681E-2</v>
      </c>
      <c r="L140" s="9">
        <v>-3.6597938144329871E-2</v>
      </c>
      <c r="M140" s="9">
        <v>-9.0826521344231931E-3</v>
      </c>
      <c r="N140" s="9">
        <v>-1.154529307282407E-2</v>
      </c>
      <c r="O140" s="9">
        <v>3.6463081130355549E-3</v>
      </c>
      <c r="P140" s="9">
        <v>-4.1958041958042001E-3</v>
      </c>
      <c r="Q140" s="9">
        <v>-6.4102564102564161E-3</v>
      </c>
      <c r="R140" s="9">
        <v>3.7500000000000029E-3</v>
      </c>
      <c r="S140" s="9">
        <v>-2.4390243902438959E-2</v>
      </c>
      <c r="T140" s="9">
        <v>-3.616636528028936E-3</v>
      </c>
      <c r="U140" s="9">
        <v>-8.7873462214411967E-3</v>
      </c>
      <c r="V140" s="9">
        <v>-4.6923879040666827E-3</v>
      </c>
      <c r="W140" s="9">
        <v>3.259983700081502E-3</v>
      </c>
      <c r="X140" s="9">
        <v>1.4285714285714299E-2</v>
      </c>
      <c r="Y140" s="9">
        <v>9.0270812437312012E-3</v>
      </c>
      <c r="Z140" s="9">
        <v>0</v>
      </c>
      <c r="AA140" s="9">
        <v>1.431980906921242E-2</v>
      </c>
      <c r="AB140" s="9">
        <v>1.0881392818280751E-2</v>
      </c>
      <c r="AC140" s="9">
        <v>5.6497175141242981E-3</v>
      </c>
      <c r="AD140" s="9">
        <v>-1.1393514460999231E-2</v>
      </c>
      <c r="AE140" s="9">
        <v>-2.1541950113378699E-2</v>
      </c>
      <c r="AF140" s="9">
        <v>-1.525658807212207E-2</v>
      </c>
      <c r="AG140" s="9">
        <v>-1.403508771929806E-2</v>
      </c>
      <c r="AH140" s="9">
        <v>-1.940639269406394E-2</v>
      </c>
      <c r="AI140" s="9">
        <v>-6.9204152249135011E-3</v>
      </c>
      <c r="AJ140" s="9">
        <v>-1.8382352941176489E-2</v>
      </c>
      <c r="AK140" s="9">
        <v>-2.8625954198474371E-3</v>
      </c>
      <c r="AL140" s="9">
        <v>-4.9941279684797921E-3</v>
      </c>
      <c r="AM140" s="9">
        <v>-8.6710053744754653E-3</v>
      </c>
      <c r="AN140" s="9">
        <v>-4.45306229756508E-3</v>
      </c>
      <c r="AO140" s="9">
        <v>-1.6199999999999999E-2</v>
      </c>
      <c r="AP140" s="9">
        <v>-3.4932114069463412E-3</v>
      </c>
      <c r="AQ140" s="9">
        <v>-5.7485135635527004E-3</v>
      </c>
      <c r="AR140" s="9">
        <v>-9.5619808310680732E-3</v>
      </c>
      <c r="AS140" s="9">
        <v>-9.9851598390292909E-3</v>
      </c>
      <c r="AT140" s="9">
        <v>-1.261229276224032E-2</v>
      </c>
      <c r="AU140" s="9">
        <v>-1.21E-2</v>
      </c>
      <c r="AV140" s="9">
        <v>-8.6E-3</v>
      </c>
      <c r="AW140" s="9">
        <v>-0.01</v>
      </c>
      <c r="AX140" s="9">
        <v>-1.2800000000000001E-2</v>
      </c>
      <c r="AY140" s="9">
        <v>-1.6999999999999999E-3</v>
      </c>
      <c r="AZ140" s="9">
        <v>-8.9999999999999993E-3</v>
      </c>
      <c r="BA140" s="9">
        <v>-1.2E-2</v>
      </c>
      <c r="BB140" s="9">
        <v>-4.4999999999999997E-3</v>
      </c>
    </row>
    <row r="141" spans="1:56" hidden="1" x14ac:dyDescent="0.3">
      <c r="A141">
        <v>20260814</v>
      </c>
      <c r="B141" s="9">
        <v>6.1147695202257296E-3</v>
      </c>
      <c r="C141" s="9">
        <v>-4.0650406504064178E-3</v>
      </c>
      <c r="D141" s="9">
        <v>2.901353965183648E-3</v>
      </c>
      <c r="E141" s="9">
        <v>1.248439450686643E-3</v>
      </c>
      <c r="F141" s="9">
        <v>-3.8809831824062131E-3</v>
      </c>
      <c r="G141" s="9">
        <v>-1.7817371937639211E-2</v>
      </c>
      <c r="H141" s="9">
        <v>-1.1547344110854511E-2</v>
      </c>
      <c r="I141" s="9">
        <v>-1.6081871345029249E-2</v>
      </c>
      <c r="J141" s="9">
        <v>-1.2345679012345489E-2</v>
      </c>
      <c r="K141" s="9">
        <v>5.1993067590987924E-3</v>
      </c>
      <c r="L141" s="9">
        <v>1.123595505617973E-2</v>
      </c>
      <c r="M141" s="9">
        <v>7.0271921784294793E-3</v>
      </c>
      <c r="N141" s="9">
        <v>8.984725965859048E-4</v>
      </c>
      <c r="O141" s="9">
        <v>-1.271571298819256E-2</v>
      </c>
      <c r="P141" s="9">
        <v>-1.404494382022473E-3</v>
      </c>
      <c r="Q141" s="9">
        <v>1.612903225806453E-2</v>
      </c>
      <c r="R141" s="9">
        <v>-7.4719800747198072E-3</v>
      </c>
      <c r="S141" s="9">
        <v>-1.209677419354831E-2</v>
      </c>
      <c r="T141" s="9">
        <v>-1.4519056261343021E-2</v>
      </c>
      <c r="U141" s="9">
        <v>1.300236406619387E-2</v>
      </c>
      <c r="V141" s="9">
        <v>-1.04766893661603E-3</v>
      </c>
      <c r="W141" s="9">
        <v>-1.6246953696181982E-2</v>
      </c>
      <c r="X141" s="9">
        <v>-1.126760563380283E-2</v>
      </c>
      <c r="Y141" s="9">
        <v>-8.9463220675944418E-3</v>
      </c>
      <c r="Z141" s="9">
        <v>-1.496259351620949E-2</v>
      </c>
      <c r="AA141" s="9">
        <v>-9.4117647058823608E-3</v>
      </c>
      <c r="AB141" s="9">
        <v>-1.1840688912809479E-2</v>
      </c>
      <c r="AC141" s="9">
        <v>-1.872659176029964E-2</v>
      </c>
      <c r="AD141" s="9">
        <v>-8.8652482269501662E-3</v>
      </c>
      <c r="AE141" s="9">
        <v>2.3174971031286228E-3</v>
      </c>
      <c r="AF141" s="9">
        <v>2.816901408450707E-3</v>
      </c>
      <c r="AG141" s="9">
        <v>2.0462633451957209E-2</v>
      </c>
      <c r="AH141" s="9">
        <v>1.1641443538998851E-3</v>
      </c>
      <c r="AI141" s="9">
        <v>3.4843205574912931E-3</v>
      </c>
      <c r="AJ141" s="9">
        <v>8.4269662921347341E-3</v>
      </c>
      <c r="AK141" s="9">
        <v>2.775119617224894E-2</v>
      </c>
      <c r="AL141" s="9">
        <v>5.3858386820327463E-5</v>
      </c>
      <c r="AM141" s="9">
        <v>4.539415120536584E-3</v>
      </c>
      <c r="AN141" s="9">
        <v>1.122501877417534E-2</v>
      </c>
      <c r="AO141" s="9">
        <v>-9.4000000000000004E-3</v>
      </c>
      <c r="AP141" s="9">
        <v>-4.0958348374265071E-3</v>
      </c>
      <c r="AQ141" s="9">
        <v>4.1387656088153342E-4</v>
      </c>
      <c r="AR141" s="9">
        <v>2.7542106734102329E-3</v>
      </c>
      <c r="AS141" s="9">
        <v>6.9888587130851158E-3</v>
      </c>
      <c r="AT141" s="9">
        <v>3.380895477397782E-3</v>
      </c>
      <c r="AU141" s="9">
        <v>-6.9999999999999999E-4</v>
      </c>
      <c r="AV141" s="9">
        <v>8.0000000000000004E-4</v>
      </c>
      <c r="AW141" s="9">
        <v>1.4E-3</v>
      </c>
      <c r="AX141" s="9">
        <v>-1.9E-3</v>
      </c>
      <c r="AY141" s="9">
        <v>-7.3000000000000001E-3</v>
      </c>
      <c r="AZ141" s="9">
        <v>1E-3</v>
      </c>
      <c r="BA141" s="9">
        <v>-5.9999999999999995E-4</v>
      </c>
      <c r="BB141" s="9">
        <v>-4.7000000000000002E-3</v>
      </c>
    </row>
    <row r="142" spans="1:56" hidden="1" x14ac:dyDescent="0.3">
      <c r="A142">
        <v>20260817</v>
      </c>
      <c r="B142" s="9">
        <v>4.6750818139318518E-3</v>
      </c>
      <c r="C142" s="9">
        <v>2.0408163265306051E-2</v>
      </c>
      <c r="D142" s="9">
        <v>2.3143683702989418E-2</v>
      </c>
      <c r="E142" s="9">
        <v>1.745635910224427E-2</v>
      </c>
      <c r="F142" s="9">
        <v>1.363636363636358E-2</v>
      </c>
      <c r="G142" s="9">
        <v>-2.494331065759639E-2</v>
      </c>
      <c r="H142" s="9">
        <v>3.738317757009349E-2</v>
      </c>
      <c r="I142" s="9">
        <v>-8.9153046062407197E-3</v>
      </c>
      <c r="J142" s="9">
        <v>1.785714285714287E-3</v>
      </c>
      <c r="K142" s="9">
        <v>8.6206896551724223E-3</v>
      </c>
      <c r="L142" s="9">
        <v>3.0687830687830719E-2</v>
      </c>
      <c r="M142" s="9">
        <v>2.4271844660194199E-3</v>
      </c>
      <c r="N142" s="9">
        <v>1.077199281867126E-2</v>
      </c>
      <c r="O142" s="9">
        <v>5.5197792088316506E-3</v>
      </c>
      <c r="P142" s="9">
        <v>9.8452883263009938E-3</v>
      </c>
      <c r="Q142" s="9">
        <v>-3.96825396825406E-3</v>
      </c>
      <c r="R142" s="9">
        <v>-1.254705144291093E-3</v>
      </c>
      <c r="S142" s="9">
        <v>6.5306122448979646E-3</v>
      </c>
      <c r="T142" s="9">
        <v>1.8416206261510149E-3</v>
      </c>
      <c r="U142" s="9">
        <v>2.6254375729288171E-2</v>
      </c>
      <c r="V142" s="9">
        <v>2.51704247509177E-2</v>
      </c>
      <c r="W142" s="9">
        <v>-3.3030553261767172E-3</v>
      </c>
      <c r="X142" s="9">
        <v>5.6980056980057026E-3</v>
      </c>
      <c r="Y142" s="9">
        <v>-2.0060180541624892E-3</v>
      </c>
      <c r="Z142" s="9">
        <v>1.5189873417721531E-2</v>
      </c>
      <c r="AA142" s="9">
        <v>4.7505938242280331E-3</v>
      </c>
      <c r="AB142" s="9">
        <v>9.8039215686274595E-3</v>
      </c>
      <c r="AC142" s="9">
        <v>-1.9083969465648869E-3</v>
      </c>
      <c r="AD142" s="9">
        <v>8.9445438282645673E-3</v>
      </c>
      <c r="AE142" s="9">
        <v>2.427745664739887E-2</v>
      </c>
      <c r="AF142" s="9">
        <v>1.404494382022473E-3</v>
      </c>
      <c r="AG142" s="9">
        <v>-2.0052310374890941E-2</v>
      </c>
      <c r="AH142" s="9">
        <v>-9.3023255813953574E-3</v>
      </c>
      <c r="AI142" s="9">
        <v>1.7361111111111129E-2</v>
      </c>
      <c r="AJ142" s="9">
        <v>5.1067780872794753E-2</v>
      </c>
      <c r="AK142" s="9">
        <v>4.0037243947858403E-2</v>
      </c>
      <c r="AL142" s="9">
        <v>1.4126330440415591E-2</v>
      </c>
      <c r="AM142" s="9">
        <v>2.4380440439143419E-2</v>
      </c>
      <c r="AN142" s="9">
        <v>3.1398622726881688E-2</v>
      </c>
      <c r="AO142" s="9">
        <v>1.9099999999999999E-2</v>
      </c>
      <c r="AP142" s="9">
        <v>1.004194603254718E-2</v>
      </c>
      <c r="AQ142" s="9">
        <v>1.6120664028936839E-2</v>
      </c>
      <c r="AR142" s="9">
        <v>2.431847603752928E-2</v>
      </c>
      <c r="AS142" s="9">
        <v>2.5555649937836478E-2</v>
      </c>
      <c r="AT142" s="9">
        <v>2.150354752377168E-2</v>
      </c>
      <c r="AU142" s="9">
        <v>1.0999999999999999E-2</v>
      </c>
      <c r="AV142" s="9">
        <v>5.3E-3</v>
      </c>
      <c r="AW142" s="9">
        <v>1.8599999999999998E-2</v>
      </c>
      <c r="AX142" s="9">
        <v>1.26E-2</v>
      </c>
      <c r="AY142" s="9">
        <v>-5.0000000000000001E-4</v>
      </c>
      <c r="AZ142" s="9">
        <v>1.6E-2</v>
      </c>
      <c r="BA142" s="9">
        <v>1.2800000000000001E-2</v>
      </c>
      <c r="BB142" s="9">
        <v>6.4000000000000003E-3</v>
      </c>
    </row>
    <row r="143" spans="1:56" hidden="1" x14ac:dyDescent="0.3">
      <c r="A143">
        <v>20260818</v>
      </c>
      <c r="B143" s="9">
        <v>2.605863192182413E-2</v>
      </c>
      <c r="C143" s="9">
        <v>2.3999999999999131E-3</v>
      </c>
      <c r="D143" s="9">
        <v>1.319509896324224E-2</v>
      </c>
      <c r="E143" s="9">
        <v>2.4509803921568649E-3</v>
      </c>
      <c r="F143" s="9">
        <v>-1.2812299807815511E-3</v>
      </c>
      <c r="G143" s="9">
        <v>6.9767441860465176E-3</v>
      </c>
      <c r="H143" s="9">
        <v>7.7702702702702645E-2</v>
      </c>
      <c r="I143" s="9">
        <v>5.9970014992503798E-3</v>
      </c>
      <c r="J143" s="9">
        <v>-5.3475935828877054E-3</v>
      </c>
      <c r="K143" s="9">
        <v>4.2735042735043728E-3</v>
      </c>
      <c r="L143" s="9">
        <v>-7.7002053388089851E-3</v>
      </c>
      <c r="M143" s="9">
        <v>1.0895883777239721E-2</v>
      </c>
      <c r="N143" s="9">
        <v>-4.4404973357015046E-3</v>
      </c>
      <c r="O143" s="9">
        <v>-1.463860933211346E-2</v>
      </c>
      <c r="P143" s="9">
        <v>4.8746518105850399E-3</v>
      </c>
      <c r="Q143" s="9">
        <v>1.115537848605579E-2</v>
      </c>
      <c r="R143" s="9">
        <v>7.5376884422110628E-3</v>
      </c>
      <c r="S143" s="9">
        <v>0</v>
      </c>
      <c r="T143" s="9">
        <v>2.3897058823529431E-2</v>
      </c>
      <c r="U143" s="9">
        <v>-5.6850483229106243E-3</v>
      </c>
      <c r="V143" s="9">
        <v>-7.6726342710998078E-3</v>
      </c>
      <c r="W143" s="9">
        <v>-4.142502071251131E-3</v>
      </c>
      <c r="X143" s="9">
        <v>0</v>
      </c>
      <c r="Y143" s="9">
        <v>-1.1055276381909561E-2</v>
      </c>
      <c r="Z143" s="9">
        <v>0</v>
      </c>
      <c r="AA143" s="9">
        <v>-4.72813238770686E-3</v>
      </c>
      <c r="AB143" s="9">
        <v>-8.6299892125134923E-3</v>
      </c>
      <c r="AC143" s="9">
        <v>-7.6481835564053604E-3</v>
      </c>
      <c r="AD143" s="9">
        <v>1.773049645390073E-3</v>
      </c>
      <c r="AE143" s="9">
        <v>4.5146726862302523E-3</v>
      </c>
      <c r="AF143" s="9">
        <v>-7.0126227208976216E-3</v>
      </c>
      <c r="AG143" s="9">
        <v>-1.334519572953748E-2</v>
      </c>
      <c r="AH143" s="9">
        <v>-1.643192488262912E-2</v>
      </c>
      <c r="AI143" s="9">
        <v>-2.559726962457245E-3</v>
      </c>
      <c r="AJ143" s="9">
        <v>0</v>
      </c>
      <c r="AK143" s="9">
        <v>-1.43240823634736E-2</v>
      </c>
      <c r="AL143" s="9">
        <v>1.9207543512441551E-3</v>
      </c>
      <c r="AM143" s="9">
        <v>-5.561302941254502E-3</v>
      </c>
      <c r="AN143" s="9">
        <v>-9.2489432930222444E-3</v>
      </c>
      <c r="AO143" s="9">
        <v>2.6700000000000002E-2</v>
      </c>
      <c r="AP143" s="9">
        <v>-1.5995385365442721E-3</v>
      </c>
      <c r="AQ143" s="9">
        <v>-3.2238312728401211E-3</v>
      </c>
      <c r="AR143" s="9">
        <v>-9.120375591305152E-4</v>
      </c>
      <c r="AS143" s="9">
        <v>-2.8134440826953181E-3</v>
      </c>
      <c r="AT143" s="9">
        <v>-2.3624253785743611E-4</v>
      </c>
      <c r="AU143" s="9">
        <v>-4.5999999999999999E-3</v>
      </c>
      <c r="AV143" s="9">
        <v>-6.8999999999999999E-3</v>
      </c>
      <c r="AW143" s="9">
        <v>-2.9999999999999997E-4</v>
      </c>
      <c r="AX143" s="9">
        <v>0</v>
      </c>
      <c r="AY143" s="9">
        <v>-3.5000000000000001E-3</v>
      </c>
      <c r="AZ143" s="9">
        <v>-3.8E-3</v>
      </c>
      <c r="BA143" s="9">
        <v>-6.3E-3</v>
      </c>
      <c r="BB143" s="9">
        <v>-5.5999999999999999E-3</v>
      </c>
    </row>
    <row r="144" spans="1:56" hidden="1" x14ac:dyDescent="0.3">
      <c r="A144">
        <v>20260819</v>
      </c>
      <c r="B144" s="9">
        <v>4.081632653061178E-3</v>
      </c>
      <c r="C144" s="9">
        <v>-5.6664006384676738E-2</v>
      </c>
      <c r="D144" s="9">
        <v>-7.9069767441860436E-2</v>
      </c>
      <c r="E144" s="9">
        <v>-1.955990220048888E-2</v>
      </c>
      <c r="F144" s="9">
        <v>-3.0788967286722289E-2</v>
      </c>
      <c r="G144" s="9">
        <v>-1.8475750577367219E-2</v>
      </c>
      <c r="H144" s="9">
        <v>-2.7168234064785701E-2</v>
      </c>
      <c r="I144" s="9">
        <v>-1.043219076005962E-2</v>
      </c>
      <c r="J144" s="9">
        <v>-1.433691756272403E-2</v>
      </c>
      <c r="K144" s="9">
        <v>-2.042553191489363E-2</v>
      </c>
      <c r="L144" s="9">
        <v>-3.5695809622348647E-2</v>
      </c>
      <c r="M144" s="9">
        <v>5.988023952095814E-3</v>
      </c>
      <c r="N144" s="9">
        <v>-2.8545941123996461E-2</v>
      </c>
      <c r="O144" s="9">
        <v>-1.392757660167122E-2</v>
      </c>
      <c r="P144" s="9">
        <v>-1.940401940401942E-2</v>
      </c>
      <c r="Q144" s="9">
        <v>3.1520882584712409E-3</v>
      </c>
      <c r="R144" s="9">
        <v>1.6209476309226811E-2</v>
      </c>
      <c r="S144" s="9">
        <v>-2.0275750202757611E-2</v>
      </c>
      <c r="T144" s="9">
        <v>-2.5134649910233411E-2</v>
      </c>
      <c r="U144" s="9">
        <v>-5.0886220697541562E-2</v>
      </c>
      <c r="V144" s="9">
        <v>-5.3608247422680347E-2</v>
      </c>
      <c r="W144" s="9">
        <v>-1.081530782029942E-2</v>
      </c>
      <c r="X144" s="9">
        <v>-2.5495750708215321E-2</v>
      </c>
      <c r="Y144" s="9">
        <v>-1.016260162601627E-2</v>
      </c>
      <c r="Z144" s="9">
        <v>-1.246882793017458E-2</v>
      </c>
      <c r="AA144" s="9">
        <v>-2.6128266033254181E-2</v>
      </c>
      <c r="AB144" s="9">
        <v>-2.3939064200217651E-2</v>
      </c>
      <c r="AC144" s="9">
        <v>-9.6339113680154222E-3</v>
      </c>
      <c r="AD144" s="9">
        <v>-2.4778761061946729E-2</v>
      </c>
      <c r="AE144" s="9">
        <v>-5.0561797752809043E-2</v>
      </c>
      <c r="AF144" s="9">
        <v>-4.2372881355932077E-2</v>
      </c>
      <c r="AG144" s="9">
        <v>-3.5166816952209128E-2</v>
      </c>
      <c r="AH144" s="9">
        <v>-4.1766109785202767E-2</v>
      </c>
      <c r="AI144" s="9">
        <v>-5.2181351582549128E-2</v>
      </c>
      <c r="AJ144" s="9">
        <v>-7.6855123674911638E-2</v>
      </c>
      <c r="AK144" s="9">
        <v>-8.0835603996366925E-2</v>
      </c>
      <c r="AL144" s="9">
        <v>-2.402864543653821E-2</v>
      </c>
      <c r="AM144" s="9">
        <v>-5.0083617712429487E-2</v>
      </c>
      <c r="AN144" s="9">
        <v>-6.2627659379246983E-2</v>
      </c>
      <c r="AO144" s="9">
        <v>-4.9000000000000002E-2</v>
      </c>
      <c r="AP144" s="9">
        <v>-1.5348143180826669E-2</v>
      </c>
      <c r="AQ144" s="9">
        <v>-2.9014626689629869E-2</v>
      </c>
      <c r="AR144" s="9">
        <v>-4.8148700725042501E-2</v>
      </c>
      <c r="AS144" s="9">
        <v>-5.3888414294351143E-2</v>
      </c>
      <c r="AT144" s="9">
        <v>-3.1293833172453232E-2</v>
      </c>
      <c r="AU144" s="9">
        <v>-1.5299999999999999E-2</v>
      </c>
      <c r="AV144" s="9">
        <v>-2.4799999999999999E-2</v>
      </c>
      <c r="AW144" s="9">
        <v>-4.2599999999999999E-2</v>
      </c>
      <c r="AX144" s="9">
        <v>-2.4500000000000001E-2</v>
      </c>
      <c r="AY144" s="9">
        <v>-3.0200000000000001E-2</v>
      </c>
      <c r="AZ144" s="9">
        <v>-1.6E-2</v>
      </c>
      <c r="BA144" s="9">
        <v>-2.5100000000000001E-2</v>
      </c>
      <c r="BB144" s="9">
        <v>-1.7999999999999999E-2</v>
      </c>
    </row>
    <row r="145" spans="1:56" hidden="1" x14ac:dyDescent="0.3">
      <c r="A145">
        <v>20260820</v>
      </c>
      <c r="B145" s="9">
        <v>-9.0334236675690145E-4</v>
      </c>
      <c r="C145" s="9">
        <v>2.5380710659899438E-3</v>
      </c>
      <c r="D145" s="9">
        <v>-2.0202020202020219E-3</v>
      </c>
      <c r="E145" s="9">
        <v>6.2344139650872881E-3</v>
      </c>
      <c r="F145" s="9">
        <v>4.6326935804104023E-3</v>
      </c>
      <c r="G145" s="9">
        <v>2.3529411764705902E-3</v>
      </c>
      <c r="H145" s="9">
        <v>0</v>
      </c>
      <c r="I145" s="9">
        <v>7.5301204819277169E-3</v>
      </c>
      <c r="J145" s="9">
        <v>1.8181818181818191E-2</v>
      </c>
      <c r="K145" s="9">
        <v>7.8192875760207618E-3</v>
      </c>
      <c r="L145" s="9">
        <v>1.072961373390547E-2</v>
      </c>
      <c r="M145" s="9">
        <v>6.5476190476191198E-3</v>
      </c>
      <c r="N145" s="9">
        <v>1.1937557392102959E-2</v>
      </c>
      <c r="O145" s="9">
        <v>9.416195856872785E-4</v>
      </c>
      <c r="P145" s="9">
        <v>2.1201413427561072E-3</v>
      </c>
      <c r="Q145" s="9">
        <v>-3.9277297721915898E-3</v>
      </c>
      <c r="R145" s="9">
        <v>3.680981595092028E-3</v>
      </c>
      <c r="S145" s="9">
        <v>9.1059602649007625E-3</v>
      </c>
      <c r="T145" s="9">
        <v>1.2891344383057101E-2</v>
      </c>
      <c r="U145" s="9">
        <v>7.2289156626506104E-3</v>
      </c>
      <c r="V145" s="9">
        <v>-3.267973856209153E-3</v>
      </c>
      <c r="W145" s="9">
        <v>-1.682085786375107E-3</v>
      </c>
      <c r="X145" s="9">
        <v>4.360465116279074E-2</v>
      </c>
      <c r="Y145" s="9">
        <v>2.2587268993839851E-2</v>
      </c>
      <c r="Z145" s="9">
        <v>1.0101010101010111E-2</v>
      </c>
      <c r="AA145" s="9">
        <v>6.0975609756097622E-2</v>
      </c>
      <c r="AB145" s="9">
        <v>4.2363433667781537E-2</v>
      </c>
      <c r="AC145" s="9">
        <v>9.7276264591428978E-4</v>
      </c>
      <c r="AD145" s="9">
        <v>9.0744101633393904E-3</v>
      </c>
      <c r="AE145" s="9">
        <v>4.733727810650892E-3</v>
      </c>
      <c r="AF145" s="9">
        <v>1.4749262536873169E-3</v>
      </c>
      <c r="AG145" s="9">
        <v>9.3457943925233725E-3</v>
      </c>
      <c r="AH145" s="9">
        <v>1.2453300124532871E-2</v>
      </c>
      <c r="AI145" s="9">
        <v>-9.9277978339351262E-3</v>
      </c>
      <c r="AJ145" s="9">
        <v>-5.7416267942583792E-3</v>
      </c>
      <c r="AK145" s="9">
        <v>1.08695652173912E-2</v>
      </c>
      <c r="AL145" s="9">
        <v>2.3877484258253922E-3</v>
      </c>
      <c r="AM145" s="9">
        <v>5.9488414451968289E-3</v>
      </c>
      <c r="AN145" s="9">
        <v>6.3612047008587917E-3</v>
      </c>
      <c r="AO145" s="9">
        <v>-5.9999999999999995E-4</v>
      </c>
      <c r="AP145" s="9">
        <v>-4.8778356708720598E-3</v>
      </c>
      <c r="AQ145" s="9">
        <v>8.8380247543155366E-4</v>
      </c>
      <c r="AR145" s="9">
        <v>8.600858025021316E-3</v>
      </c>
      <c r="AS145" s="9">
        <v>9.5786795258007949E-3</v>
      </c>
      <c r="AT145" s="9">
        <v>2.3690628644011232E-2</v>
      </c>
      <c r="AU145" s="9">
        <v>4.0000000000000002E-4</v>
      </c>
      <c r="AV145" s="9">
        <v>1.7000000000000001E-2</v>
      </c>
      <c r="AW145" s="9">
        <v>1.26E-2</v>
      </c>
      <c r="AX145" s="9">
        <v>2.4299999999999999E-2</v>
      </c>
      <c r="AY145" s="9">
        <v>3.0700000000000002E-2</v>
      </c>
      <c r="AZ145" s="9">
        <v>2.1999999999999999E-2</v>
      </c>
      <c r="BA145" s="9">
        <v>1.7100000000000001E-2</v>
      </c>
      <c r="BB145" s="9">
        <v>1.8499999999999999E-2</v>
      </c>
    </row>
    <row r="146" spans="1:56" hidden="1" x14ac:dyDescent="0.3">
      <c r="A146">
        <v>20260821</v>
      </c>
      <c r="B146" s="9">
        <v>-2.2151898734177389E-2</v>
      </c>
      <c r="C146" s="9">
        <v>6.7510548523206796E-3</v>
      </c>
      <c r="D146" s="9">
        <v>6.0728744939271308E-3</v>
      </c>
      <c r="E146" s="9">
        <v>4.9566294919454806E-3</v>
      </c>
      <c r="F146" s="9">
        <v>4.6113306982871506E-3</v>
      </c>
      <c r="G146" s="9">
        <v>-1.643192488262912E-2</v>
      </c>
      <c r="H146" s="9">
        <v>-3.6519871106337302E-2</v>
      </c>
      <c r="I146" s="9">
        <v>-1.49476831091181E-2</v>
      </c>
      <c r="J146" s="9">
        <v>-1.071428571428572E-2</v>
      </c>
      <c r="K146" s="9">
        <v>8.6206896551733786E-4</v>
      </c>
      <c r="L146" s="9">
        <v>3.2908704883227211E-2</v>
      </c>
      <c r="M146" s="9">
        <v>1.478415138970991E-3</v>
      </c>
      <c r="N146" s="9">
        <v>-5.4446460980036339E-3</v>
      </c>
      <c r="O146" s="9">
        <v>0</v>
      </c>
      <c r="P146" s="9">
        <v>0</v>
      </c>
      <c r="Q146" s="9">
        <v>7.0977917981071741E-3</v>
      </c>
      <c r="R146" s="9">
        <v>-3.6674816625916901E-3</v>
      </c>
      <c r="S146" s="9">
        <v>-9.0237899917966526E-3</v>
      </c>
      <c r="T146" s="9">
        <v>-1.6363636363636379E-2</v>
      </c>
      <c r="U146" s="9">
        <v>8.9712918660287827E-3</v>
      </c>
      <c r="V146" s="9">
        <v>2.6229508196721211E-2</v>
      </c>
      <c r="W146" s="9">
        <v>-5.0547598989048063E-3</v>
      </c>
      <c r="X146" s="9">
        <v>-2.7855153203342649E-2</v>
      </c>
      <c r="Y146" s="9">
        <v>-3.8152610441767112E-2</v>
      </c>
      <c r="Z146" s="9">
        <v>-3.000000000000003E-2</v>
      </c>
      <c r="AA146" s="9">
        <v>-4.5977011494252908E-2</v>
      </c>
      <c r="AB146" s="9">
        <v>-4.4919786096256721E-2</v>
      </c>
      <c r="AC146" s="9">
        <v>-4.8590864917394498E-3</v>
      </c>
      <c r="AD146" s="9">
        <v>-5.3956834532374147E-3</v>
      </c>
      <c r="AE146" s="9">
        <v>3.533568904593643E-3</v>
      </c>
      <c r="AF146" s="9">
        <v>-5.8910162002945559E-3</v>
      </c>
      <c r="AG146" s="9">
        <v>-6.4814814814815906E-3</v>
      </c>
      <c r="AH146" s="9">
        <v>-4.9200492004918732E-3</v>
      </c>
      <c r="AI146" s="9">
        <v>9.1157702825888868E-3</v>
      </c>
      <c r="AJ146" s="9">
        <v>2.8873917228105042E-3</v>
      </c>
      <c r="AK146" s="9">
        <v>2.6392961876832981E-2</v>
      </c>
      <c r="AL146" s="9">
        <v>3.7953532027521208E-4</v>
      </c>
      <c r="AM146" s="9">
        <v>8.6874623374875292E-3</v>
      </c>
      <c r="AN146" s="9">
        <v>1.430042261833419E-2</v>
      </c>
      <c r="AO146" s="9">
        <v>-5.7000000000000002E-3</v>
      </c>
      <c r="AP146" s="9">
        <v>7.3039792909304949E-4</v>
      </c>
      <c r="AQ146" s="9">
        <v>5.6926677916282042E-3</v>
      </c>
      <c r="AR146" s="9">
        <v>5.0105727096709659E-4</v>
      </c>
      <c r="AS146" s="9">
        <v>1.584393959296987E-3</v>
      </c>
      <c r="AT146" s="9">
        <v>8.3292298121581437E-4</v>
      </c>
      <c r="AU146" s="9">
        <v>-5.0000000000000001E-4</v>
      </c>
      <c r="AV146" s="9">
        <v>1.37E-2</v>
      </c>
      <c r="AW146" s="9">
        <v>-1.9E-3</v>
      </c>
      <c r="AX146" s="9">
        <v>-8.3000000000000001E-3</v>
      </c>
      <c r="AY146" s="9">
        <v>-1.6500000000000001E-2</v>
      </c>
      <c r="AZ146" s="9">
        <v>-5.0000000000000001E-3</v>
      </c>
      <c r="BA146" s="9">
        <v>-5.0000000000000001E-4</v>
      </c>
      <c r="BB146" s="9">
        <v>-5.8999999999999999E-3</v>
      </c>
    </row>
    <row r="147" spans="1:56" hidden="1" x14ac:dyDescent="0.3">
      <c r="A147">
        <v>20260824</v>
      </c>
      <c r="B147" s="9">
        <v>9.7087378640778339E-3</v>
      </c>
      <c r="C147" s="9">
        <v>-1.173512154233027E-2</v>
      </c>
      <c r="D147" s="9">
        <v>-2.8169014084507071E-2</v>
      </c>
      <c r="E147" s="9">
        <v>-1.849568434032061E-2</v>
      </c>
      <c r="F147" s="9">
        <v>-1.967213114754086E-2</v>
      </c>
      <c r="G147" s="9">
        <v>4.7732696897374747E-3</v>
      </c>
      <c r="H147" s="9">
        <v>8.9186176142697967E-3</v>
      </c>
      <c r="I147" s="9">
        <v>1.5174506828528091E-3</v>
      </c>
      <c r="J147" s="9">
        <v>-1.8050541516245501E-3</v>
      </c>
      <c r="K147" s="9">
        <v>9.4745908699396201E-3</v>
      </c>
      <c r="L147" s="9">
        <v>1.5416238437821761E-3</v>
      </c>
      <c r="M147" s="9">
        <v>1.5648066135222891E-2</v>
      </c>
      <c r="N147" s="9">
        <v>-9.1240875912418958E-4</v>
      </c>
      <c r="O147" s="9">
        <v>3.762935089369712E-3</v>
      </c>
      <c r="P147" s="9">
        <v>-7.7574047954865298E-3</v>
      </c>
      <c r="Q147" s="9">
        <v>2.4275646045419059E-2</v>
      </c>
      <c r="R147" s="9">
        <v>1.472392638036811E-2</v>
      </c>
      <c r="S147" s="9">
        <v>-1.6556291390728489E-2</v>
      </c>
      <c r="T147" s="9">
        <v>-5.5452865064695061E-3</v>
      </c>
      <c r="U147" s="9">
        <v>-1.8375815056313059E-2</v>
      </c>
      <c r="V147" s="9">
        <v>-1.1182108626198039E-2</v>
      </c>
      <c r="W147" s="9">
        <v>7.6206604572395401E-3</v>
      </c>
      <c r="X147" s="9">
        <v>-2.8653295128939701E-2</v>
      </c>
      <c r="Y147" s="9">
        <v>-1.6701461377870579E-2</v>
      </c>
      <c r="Z147" s="9">
        <v>-3.0927835051546421E-2</v>
      </c>
      <c r="AA147" s="9">
        <v>-5.5421686746987872E-2</v>
      </c>
      <c r="AB147" s="9">
        <v>-4.8152295632698808E-2</v>
      </c>
      <c r="AC147" s="9">
        <v>8.7890624999998994E-3</v>
      </c>
      <c r="AD147" s="9">
        <v>-3.616636528028936E-3</v>
      </c>
      <c r="AE147" s="9">
        <v>-1.1737089201877949E-2</v>
      </c>
      <c r="AF147" s="9">
        <v>-2.370370370370373E-2</v>
      </c>
      <c r="AG147" s="9">
        <v>-1.0251630941286021E-2</v>
      </c>
      <c r="AH147" s="9">
        <v>-1.977750309023487E-2</v>
      </c>
      <c r="AI147" s="9">
        <v>-1.535682023486893E-2</v>
      </c>
      <c r="AJ147" s="9">
        <v>-3.0710172744721719E-2</v>
      </c>
      <c r="AK147" s="9">
        <v>-4.4761904761904912E-2</v>
      </c>
      <c r="AL147" s="9">
        <v>-5.9395631930017762E-3</v>
      </c>
      <c r="AM147" s="9">
        <v>-2.1276946425365959E-2</v>
      </c>
      <c r="AN147" s="9">
        <v>-3.2065866853265353E-2</v>
      </c>
      <c r="AO147" s="9">
        <v>-2.0199999999999999E-2</v>
      </c>
      <c r="AP147" s="9">
        <v>-4.419902148325567E-3</v>
      </c>
      <c r="AQ147" s="9">
        <v>-1.207399172312861E-2</v>
      </c>
      <c r="AR147" s="9">
        <v>-1.747417635590439E-2</v>
      </c>
      <c r="AS147" s="9">
        <v>-1.4511594879320751E-2</v>
      </c>
      <c r="AT147" s="9">
        <v>-9.7083152674652777E-3</v>
      </c>
      <c r="AU147" s="9">
        <v>-4.1000000000000003E-3</v>
      </c>
      <c r="AV147" s="9">
        <v>-9.7999999999999997E-3</v>
      </c>
      <c r="AW147" s="9">
        <v>-1.24E-2</v>
      </c>
      <c r="AX147" s="9">
        <v>-7.1999999999999998E-3</v>
      </c>
      <c r="AY147" s="9">
        <v>-1.2E-2</v>
      </c>
      <c r="AZ147" s="9">
        <v>-4.7999999999999996E-3</v>
      </c>
      <c r="BA147" s="9">
        <v>-5.7999999999999996E-3</v>
      </c>
      <c r="BB147" s="9">
        <v>-5.0000000000000001E-4</v>
      </c>
    </row>
    <row r="148" spans="1:56" hidden="1" x14ac:dyDescent="0.3">
      <c r="A148">
        <v>20260825</v>
      </c>
      <c r="B148" s="9">
        <v>2.28937728937724E-3</v>
      </c>
      <c r="C148" s="9">
        <v>1.7811704834605521E-2</v>
      </c>
      <c r="D148" s="9">
        <v>1.8633540372670829E-2</v>
      </c>
      <c r="E148" s="9">
        <v>-1.3819095477386949E-2</v>
      </c>
      <c r="F148" s="9">
        <v>4.6822742474915682E-3</v>
      </c>
      <c r="G148" s="9">
        <v>2.375296912114017E-3</v>
      </c>
      <c r="H148" s="9">
        <v>1.8784530386740349E-2</v>
      </c>
      <c r="I148" s="9">
        <v>6.0606060606060667E-3</v>
      </c>
      <c r="J148" s="9">
        <v>1.627486437613021E-2</v>
      </c>
      <c r="K148" s="9">
        <v>-2.559726962457245E-3</v>
      </c>
      <c r="L148" s="9">
        <v>-2.719343252950239E-2</v>
      </c>
      <c r="M148" s="9">
        <v>-9.0116279069767848E-3</v>
      </c>
      <c r="N148" s="9">
        <v>9.1324200913242091E-3</v>
      </c>
      <c r="O148" s="9">
        <v>0</v>
      </c>
      <c r="P148" s="9">
        <v>1.6346837242359569E-2</v>
      </c>
      <c r="Q148" s="9">
        <v>-3.8226299694190482E-3</v>
      </c>
      <c r="R148" s="9">
        <v>-7.2551390568319296E-3</v>
      </c>
      <c r="S148" s="9">
        <v>1.8518518518518531E-2</v>
      </c>
      <c r="T148" s="9">
        <v>1.4869888475836439E-2</v>
      </c>
      <c r="U148" s="9">
        <v>9.0579710144928285E-3</v>
      </c>
      <c r="V148" s="9">
        <v>3.2310177705977411E-3</v>
      </c>
      <c r="W148" s="9">
        <v>5.0420168067226937E-3</v>
      </c>
      <c r="X148" s="9">
        <v>2.3598820058996901E-2</v>
      </c>
      <c r="Y148" s="9">
        <v>1.8046709129511691E-2</v>
      </c>
      <c r="Z148" s="9">
        <v>1.8617021276595761E-2</v>
      </c>
      <c r="AA148" s="9">
        <v>3.0612244897959211E-2</v>
      </c>
      <c r="AB148" s="9">
        <v>2.117647058823531E-2</v>
      </c>
      <c r="AC148" s="9">
        <v>1.936108422071638E-3</v>
      </c>
      <c r="AD148" s="9">
        <v>9.9818511796732293E-3</v>
      </c>
      <c r="AE148" s="9">
        <v>-4.7505938242280331E-3</v>
      </c>
      <c r="AF148" s="9">
        <v>6.0698027314112354E-3</v>
      </c>
      <c r="AG148" s="9">
        <v>1.6007532956685409E-2</v>
      </c>
      <c r="AH148" s="9">
        <v>1.7654476670870129E-2</v>
      </c>
      <c r="AI148" s="9">
        <v>4.5871559633026554E-3</v>
      </c>
      <c r="AJ148" s="9">
        <v>-1.980198019801982E-3</v>
      </c>
      <c r="AK148" s="9">
        <v>2.991026919242387E-3</v>
      </c>
      <c r="AL148" s="9">
        <v>1.9157096018350311E-3</v>
      </c>
      <c r="AM148" s="9">
        <v>-3.5102132839023238E-3</v>
      </c>
      <c r="AN148" s="9">
        <v>-1.0014787791548961E-2</v>
      </c>
      <c r="AO148" s="9">
        <v>9.1000000000000004E-3</v>
      </c>
      <c r="AP148" s="9">
        <v>1.638600767799088E-3</v>
      </c>
      <c r="AQ148" s="9">
        <v>-2.4310746624135412E-3</v>
      </c>
      <c r="AR148" s="9">
        <v>-7.9673866492337977E-4</v>
      </c>
      <c r="AS148" s="9">
        <v>4.8065872076182327E-3</v>
      </c>
      <c r="AT148" s="9">
        <v>2.984889687018975E-2</v>
      </c>
      <c r="AU148" s="9">
        <v>1.03E-2</v>
      </c>
      <c r="AV148" s="9">
        <v>1.37E-2</v>
      </c>
      <c r="AW148" s="9">
        <v>1.2200000000000001E-2</v>
      </c>
      <c r="AX148" s="9">
        <v>2.1899999999999999E-2</v>
      </c>
      <c r="AY148" s="9">
        <v>1.4800000000000001E-2</v>
      </c>
      <c r="AZ148" s="9">
        <v>2.1000000000000001E-2</v>
      </c>
      <c r="BA148" s="9">
        <v>1.9199999999999998E-2</v>
      </c>
      <c r="BB148" s="9">
        <v>1.67E-2</v>
      </c>
    </row>
    <row r="149" spans="1:56" hidden="1" x14ac:dyDescent="0.3">
      <c r="A149">
        <v>20260826</v>
      </c>
      <c r="B149" s="9">
        <v>2.0100502512562832E-2</v>
      </c>
      <c r="C149" s="9">
        <v>0</v>
      </c>
      <c r="D149" s="9">
        <v>-3.0487804878048812E-3</v>
      </c>
      <c r="E149" s="9">
        <v>1.7834394904458619E-2</v>
      </c>
      <c r="F149" s="9">
        <v>6.6577896138474688E-4</v>
      </c>
      <c r="G149" s="9">
        <v>2.3696682464455E-3</v>
      </c>
      <c r="H149" s="9">
        <v>7.5921908893709393E-3</v>
      </c>
      <c r="I149" s="9">
        <v>1.506024096385544E-3</v>
      </c>
      <c r="J149" s="9">
        <v>8.8967971530247211E-3</v>
      </c>
      <c r="K149" s="9">
        <v>1.6253207869974251E-2</v>
      </c>
      <c r="L149" s="9">
        <v>2.5316455696202559E-2</v>
      </c>
      <c r="M149" s="9">
        <v>9.0935758286888064E-3</v>
      </c>
      <c r="N149" s="9">
        <v>9.9547511312218281E-3</v>
      </c>
      <c r="O149" s="9">
        <v>2.7179006560449991E-2</v>
      </c>
      <c r="P149" s="9">
        <v>3.496503496503578E-3</v>
      </c>
      <c r="Q149" s="9">
        <v>3.8372985418266429E-3</v>
      </c>
      <c r="R149" s="9">
        <v>9.7442143727162096E-3</v>
      </c>
      <c r="S149" s="9">
        <v>1.322314049586778E-2</v>
      </c>
      <c r="T149" s="9">
        <v>1.831501831501833E-3</v>
      </c>
      <c r="U149" s="9">
        <v>7.1813285457809767E-3</v>
      </c>
      <c r="V149" s="9">
        <v>1.3955984970477739E-2</v>
      </c>
      <c r="W149" s="9">
        <v>1.086956521739141E-2</v>
      </c>
      <c r="X149" s="9">
        <v>-5.7636887608069221E-3</v>
      </c>
      <c r="Y149" s="9">
        <v>6.2565172054223211E-3</v>
      </c>
      <c r="Z149" s="9">
        <v>2.610966057441255E-3</v>
      </c>
      <c r="AA149" s="9">
        <v>0</v>
      </c>
      <c r="AB149" s="9">
        <v>0</v>
      </c>
      <c r="AC149" s="9">
        <v>1.2560386473430069E-2</v>
      </c>
      <c r="AD149" s="9">
        <v>2.695417789757514E-3</v>
      </c>
      <c r="AE149" s="9">
        <v>1.551312649164679E-2</v>
      </c>
      <c r="AF149" s="9">
        <v>4.5248868778280582E-3</v>
      </c>
      <c r="AG149" s="9">
        <v>-2.7803521779424401E-3</v>
      </c>
      <c r="AH149" s="9">
        <v>-3.7174721189591111E-3</v>
      </c>
      <c r="AI149" s="9">
        <v>5.4794520547945258E-3</v>
      </c>
      <c r="AJ149" s="9">
        <v>8.9285714285713257E-3</v>
      </c>
      <c r="AK149" s="9">
        <v>3.9761431411530846E-3</v>
      </c>
      <c r="AL149" s="9">
        <v>5.9335972098846683E-3</v>
      </c>
      <c r="AM149" s="9">
        <v>6.9444203968173444E-3</v>
      </c>
      <c r="AN149" s="9">
        <v>5.1120598437387589E-3</v>
      </c>
      <c r="AO149" s="9">
        <v>4.4999999999999997E-3</v>
      </c>
      <c r="AP149" s="9">
        <v>1.0285664406311691E-2</v>
      </c>
      <c r="AQ149" s="9">
        <v>8.5149866004924409E-3</v>
      </c>
      <c r="AR149" s="9">
        <v>7.7289828719908187E-3</v>
      </c>
      <c r="AS149" s="9">
        <v>2.281023219000092E-3</v>
      </c>
      <c r="AT149" s="9">
        <v>3.5447816189510028E-4</v>
      </c>
      <c r="AU149" s="9">
        <v>2.7000000000000001E-3</v>
      </c>
      <c r="AV149" s="9">
        <v>8.6E-3</v>
      </c>
      <c r="AW149" s="9">
        <v>2.5000000000000001E-3</v>
      </c>
      <c r="AX149" s="9">
        <v>5.7999999999999996E-3</v>
      </c>
      <c r="AY149" s="9">
        <v>6.7999999999999996E-3</v>
      </c>
      <c r="AZ149" s="9">
        <v>-3.5999999999999999E-3</v>
      </c>
      <c r="BA149" s="9">
        <v>-4.0000000000000002E-4</v>
      </c>
      <c r="BB149" s="9">
        <v>5.3E-3</v>
      </c>
    </row>
    <row r="150" spans="1:56" hidden="1" x14ac:dyDescent="0.3">
      <c r="A150">
        <v>20260827</v>
      </c>
      <c r="B150" s="9">
        <v>2.015226153157184E-2</v>
      </c>
      <c r="C150" s="9">
        <v>1.416666666666677E-2</v>
      </c>
      <c r="D150" s="9">
        <v>1.9367991845056082E-2</v>
      </c>
      <c r="E150" s="9">
        <v>2.6282853566958579E-2</v>
      </c>
      <c r="F150" s="9">
        <v>7.9840319361277525E-3</v>
      </c>
      <c r="G150" s="9">
        <v>-4.72813238770686E-3</v>
      </c>
      <c r="H150" s="9">
        <v>3.6598493003229191E-2</v>
      </c>
      <c r="I150" s="9">
        <v>0</v>
      </c>
      <c r="J150" s="9">
        <v>-3.5273368606701968E-3</v>
      </c>
      <c r="K150" s="9">
        <v>-3.3670033670033712E-3</v>
      </c>
      <c r="L150" s="9">
        <v>1.183127572016468E-2</v>
      </c>
      <c r="M150" s="9">
        <v>4.0697674418605336E-3</v>
      </c>
      <c r="N150" s="9">
        <v>-8.9605734767035108E-4</v>
      </c>
      <c r="O150" s="9">
        <v>9.1240875912408839E-3</v>
      </c>
      <c r="P150" s="9">
        <v>2.0905923344946981E-3</v>
      </c>
      <c r="Q150" s="9">
        <v>2.522935779816507E-2</v>
      </c>
      <c r="R150" s="9">
        <v>-1.206272617611581E-2</v>
      </c>
      <c r="S150" s="9">
        <v>6.5252854812398097E-3</v>
      </c>
      <c r="T150" s="9">
        <v>1.0968921389396719E-2</v>
      </c>
      <c r="U150" s="9">
        <v>6.5359477124182401E-3</v>
      </c>
      <c r="V150" s="9">
        <v>-8.9994706193752792E-3</v>
      </c>
      <c r="W150" s="9">
        <v>-1.6542597187758491E-3</v>
      </c>
      <c r="X150" s="9">
        <v>2.8985507246376838E-3</v>
      </c>
      <c r="Y150" s="9">
        <v>8.2901554404145161E-3</v>
      </c>
      <c r="Z150" s="9">
        <v>5.2083333333333382E-3</v>
      </c>
      <c r="AA150" s="9">
        <v>7.4257425742572944E-3</v>
      </c>
      <c r="AB150" s="9">
        <v>8.0645161290322648E-3</v>
      </c>
      <c r="AC150" s="9">
        <v>-3.8167938931297752E-3</v>
      </c>
      <c r="AD150" s="9">
        <v>1.792114695340504E-3</v>
      </c>
      <c r="AE150" s="9">
        <v>-5.8754406580493589E-3</v>
      </c>
      <c r="AF150" s="9">
        <v>1.9519519519519531E-2</v>
      </c>
      <c r="AG150" s="9">
        <v>1.858736059479556E-3</v>
      </c>
      <c r="AH150" s="9">
        <v>6.2189054726368206E-3</v>
      </c>
      <c r="AI150" s="9">
        <v>1.8165304268846522E-2</v>
      </c>
      <c r="AJ150" s="9">
        <v>4.5231071779744392E-2</v>
      </c>
      <c r="AK150" s="9">
        <v>3.9603960396039639E-2</v>
      </c>
      <c r="AL150" s="9">
        <v>1.125820857794313E-2</v>
      </c>
      <c r="AM150" s="9">
        <v>1.4994657305331231E-2</v>
      </c>
      <c r="AN150" s="9">
        <v>1.7122607128853329E-2</v>
      </c>
      <c r="AO150" s="9">
        <v>6.4999999999999997E-3</v>
      </c>
      <c r="AP150" s="9">
        <v>8.6838482755914412E-3</v>
      </c>
      <c r="AQ150" s="9">
        <v>8.6006709516199438E-3</v>
      </c>
      <c r="AR150" s="9">
        <v>2.262272803610053E-2</v>
      </c>
      <c r="AS150" s="9">
        <v>2.4954878736230899E-2</v>
      </c>
      <c r="AT150" s="9">
        <v>-8.5130931555359201E-4</v>
      </c>
      <c r="AU150" s="9">
        <v>8.5000000000000006E-3</v>
      </c>
      <c r="AV150" s="9">
        <v>2.9999999999999997E-4</v>
      </c>
      <c r="AW150" s="9">
        <v>1.4E-2</v>
      </c>
      <c r="AX150" s="9">
        <v>8.0000000000000004E-4</v>
      </c>
      <c r="AY150" s="9">
        <v>7.6E-3</v>
      </c>
      <c r="AZ150" s="9">
        <v>2.2000000000000001E-3</v>
      </c>
      <c r="BA150" s="9">
        <v>4.5999999999999999E-3</v>
      </c>
      <c r="BB150" s="9">
        <v>-8.0000000000000004E-4</v>
      </c>
    </row>
    <row r="151" spans="1:56" hidden="1" x14ac:dyDescent="0.3">
      <c r="A151">
        <v>20260828</v>
      </c>
      <c r="B151" s="9">
        <v>-7.4626865671641373E-3</v>
      </c>
      <c r="C151" s="9">
        <v>-1.068200493015622E-2</v>
      </c>
      <c r="D151" s="9">
        <v>-1.0000000000000011E-2</v>
      </c>
      <c r="E151" s="9">
        <v>1.8292682926829281E-2</v>
      </c>
      <c r="F151" s="9">
        <v>-1.320132013201321E-3</v>
      </c>
      <c r="G151" s="9">
        <v>4.7505938242280331E-3</v>
      </c>
      <c r="H151" s="9">
        <v>1.7653167185877481E-2</v>
      </c>
      <c r="I151" s="9">
        <v>9.0225563909774511E-3</v>
      </c>
      <c r="J151" s="9">
        <v>8.8495575221239024E-3</v>
      </c>
      <c r="K151" s="9">
        <v>1.0979729729729829E-2</v>
      </c>
      <c r="L151" s="9">
        <v>7.6258261311641599E-3</v>
      </c>
      <c r="M151" s="9">
        <v>2.026635784597474E-3</v>
      </c>
      <c r="N151" s="9">
        <v>3.5874439461883439E-3</v>
      </c>
      <c r="O151" s="9">
        <v>-1.808318264014468E-3</v>
      </c>
      <c r="P151" s="9">
        <v>-4.1724617524339404E-3</v>
      </c>
      <c r="Q151" s="9">
        <v>6.7114093959732444E-3</v>
      </c>
      <c r="R151" s="9">
        <v>-2.4420024420024442E-3</v>
      </c>
      <c r="S151" s="9">
        <v>5.6726094003242446E-3</v>
      </c>
      <c r="T151" s="9">
        <v>1.084990958408681E-2</v>
      </c>
      <c r="U151" s="9">
        <v>-9.4451003541912715E-3</v>
      </c>
      <c r="V151" s="9">
        <v>-1.4423076923077E-2</v>
      </c>
      <c r="W151" s="9">
        <v>-2.485501242750716E-3</v>
      </c>
      <c r="X151" s="9">
        <v>-1.1560693641618351E-2</v>
      </c>
      <c r="Y151" s="9">
        <v>-1.027749229188079E-3</v>
      </c>
      <c r="Z151" s="9">
        <v>-7.7720207253886078E-3</v>
      </c>
      <c r="AA151" s="9">
        <v>-2.2113022113022001E-2</v>
      </c>
      <c r="AB151" s="9">
        <v>-1.4857142857142871E-2</v>
      </c>
      <c r="AC151" s="9">
        <v>-2.873563218390913E-3</v>
      </c>
      <c r="AD151" s="9">
        <v>8.9445438282637741E-4</v>
      </c>
      <c r="AE151" s="9">
        <v>0</v>
      </c>
      <c r="AF151" s="9">
        <v>8.836524300441833E-3</v>
      </c>
      <c r="AG151" s="9">
        <v>9.276437847865397E-4</v>
      </c>
      <c r="AH151" s="9">
        <v>1.23609394313968E-3</v>
      </c>
      <c r="AI151" s="9">
        <v>1.784121320249779E-3</v>
      </c>
      <c r="AJ151" s="9">
        <v>-2.2577610536218269E-2</v>
      </c>
      <c r="AK151" s="9">
        <v>-1.3333333333333339E-2</v>
      </c>
      <c r="AL151" s="9">
        <v>-1.110052113307161E-3</v>
      </c>
      <c r="AM151" s="9">
        <v>-6.8200881493755876E-3</v>
      </c>
      <c r="AN151" s="9">
        <v>-1.409426908565352E-2</v>
      </c>
      <c r="AO151" s="9">
        <v>-1.04E-2</v>
      </c>
      <c r="AP151" s="9">
        <v>-2.3828195651654162E-3</v>
      </c>
      <c r="AQ151" s="9">
        <v>-4.5571139696393894E-3</v>
      </c>
      <c r="AR151" s="9">
        <v>-6.4023046625572124E-3</v>
      </c>
      <c r="AS151" s="9">
        <v>-3.6099700696176629E-3</v>
      </c>
      <c r="AT151" s="9">
        <v>1.217829588097423E-2</v>
      </c>
      <c r="AU151" s="9">
        <v>-1.9E-3</v>
      </c>
      <c r="AV151" s="9">
        <v>7.4999999999999997E-3</v>
      </c>
      <c r="AW151" s="9">
        <v>4.0000000000000002E-4</v>
      </c>
      <c r="AX151" s="9">
        <v>1.2200000000000001E-2</v>
      </c>
      <c r="AY151" s="9">
        <v>2.8E-3</v>
      </c>
      <c r="AZ151" s="9">
        <v>9.1000000000000004E-3</v>
      </c>
      <c r="BA151" s="9">
        <v>8.0999999999999996E-3</v>
      </c>
      <c r="BB151" s="9">
        <v>5.3E-3</v>
      </c>
    </row>
    <row r="152" spans="1:56" hidden="1" x14ac:dyDescent="0.3">
      <c r="A152">
        <v>20260831</v>
      </c>
      <c r="B152" s="9">
        <v>1.9902697921273738E-2</v>
      </c>
      <c r="C152" s="9">
        <v>9.9667774086378835E-3</v>
      </c>
      <c r="D152" s="9">
        <v>2.0202020202020221E-2</v>
      </c>
      <c r="E152" s="9">
        <v>-4.790419161676651E-3</v>
      </c>
      <c r="F152" s="9">
        <v>3.9656311962987479E-3</v>
      </c>
      <c r="G152" s="9">
        <v>-9.45626477541372E-3</v>
      </c>
      <c r="H152" s="9">
        <v>-2.2448979591836751E-2</v>
      </c>
      <c r="I152" s="9">
        <v>-7.451564828614015E-3</v>
      </c>
      <c r="J152" s="9">
        <v>-8.7719298245614117E-3</v>
      </c>
      <c r="K152" s="9">
        <v>-1.0860484544695169E-2</v>
      </c>
      <c r="L152" s="9">
        <v>-1.463168516649844E-2</v>
      </c>
      <c r="M152" s="9">
        <v>8.0901473562554251E-3</v>
      </c>
      <c r="N152" s="9">
        <v>-3.5746201966041142E-3</v>
      </c>
      <c r="O152" s="9">
        <v>9.0579710144917563E-4</v>
      </c>
      <c r="P152" s="9">
        <v>1.047486033519562E-2</v>
      </c>
      <c r="Q152" s="9">
        <v>2.0740740740740591E-2</v>
      </c>
      <c r="R152" s="9">
        <v>1.4687882496940041E-2</v>
      </c>
      <c r="S152" s="9">
        <v>-1.6116035455278011E-2</v>
      </c>
      <c r="T152" s="9">
        <v>0</v>
      </c>
      <c r="U152" s="9">
        <v>-4.7675804529201471E-3</v>
      </c>
      <c r="V152" s="9">
        <v>-7.0460704607045533E-3</v>
      </c>
      <c r="W152" s="9">
        <v>-6.6445182724252554E-3</v>
      </c>
      <c r="X152" s="9">
        <v>-8.77192982456141E-3</v>
      </c>
      <c r="Y152" s="9">
        <v>-1.543209876543211E-2</v>
      </c>
      <c r="Z152" s="9">
        <v>-1.8276762402088791E-2</v>
      </c>
      <c r="AA152" s="9">
        <v>-1.5075376884422131E-2</v>
      </c>
      <c r="AB152" s="9">
        <v>-1.6241299303944329E-2</v>
      </c>
      <c r="AC152" s="9">
        <v>-5.7636887608069221E-3</v>
      </c>
      <c r="AD152" s="9">
        <v>-7.1492403932082284E-3</v>
      </c>
      <c r="AE152" s="9">
        <v>-1.4184397163120579E-2</v>
      </c>
      <c r="AF152" s="9">
        <v>1.3138686131386711E-2</v>
      </c>
      <c r="AG152" s="9">
        <v>1.8535681186283608E-2</v>
      </c>
      <c r="AH152" s="9">
        <v>3.8271604938271503E-2</v>
      </c>
      <c r="AI152" s="9">
        <v>1.6918967052537759E-2</v>
      </c>
      <c r="AJ152" s="9">
        <v>1.828681424446596E-2</v>
      </c>
      <c r="AK152" s="9">
        <v>1.3513513513513519E-2</v>
      </c>
      <c r="AL152" s="9">
        <v>8.6329844877977152E-3</v>
      </c>
      <c r="AM152" s="9">
        <v>4.4382419066198902E-3</v>
      </c>
      <c r="AN152" s="9">
        <v>4.1701891805311642E-3</v>
      </c>
      <c r="AO152" s="9">
        <v>1.4E-3</v>
      </c>
      <c r="AP152" s="9">
        <v>4.6357781268471874E-3</v>
      </c>
      <c r="AQ152" s="9">
        <v>3.4518968249421921E-3</v>
      </c>
      <c r="AR152" s="9">
        <v>7.1747136420706363E-3</v>
      </c>
      <c r="AS152" s="9">
        <v>8.4870413855677659E-3</v>
      </c>
      <c r="AT152" s="9">
        <v>1.5983087183982489E-2</v>
      </c>
      <c r="AU152" s="9">
        <v>-6.9999999999999999E-4</v>
      </c>
      <c r="AV152" s="9">
        <v>4.3E-3</v>
      </c>
      <c r="AW152" s="9">
        <v>7.0000000000000001E-3</v>
      </c>
      <c r="AX152" s="9">
        <v>3.5999999999999999E-3</v>
      </c>
      <c r="AY152" s="9">
        <v>-6.7000000000000002E-3</v>
      </c>
      <c r="AZ152" s="9">
        <v>8.9999999999999993E-3</v>
      </c>
      <c r="BA152" s="9">
        <v>9.1000000000000004E-3</v>
      </c>
      <c r="BB152" s="9">
        <v>-4.1000000000000003E-3</v>
      </c>
    </row>
    <row r="153" spans="1:56" x14ac:dyDescent="0.3">
      <c r="A153" s="295" t="s">
        <v>210</v>
      </c>
      <c r="B153" s="347">
        <f t="shared" ref="B153:AG153" si="14">SUM(B154:B174)</f>
        <v>-1.3673031700880089E-2</v>
      </c>
      <c r="C153" s="347">
        <f t="shared" si="14"/>
        <v>-6.3942535271119622E-2</v>
      </c>
      <c r="D153" s="347">
        <f t="shared" si="14"/>
        <v>-8.0921337522899553E-2</v>
      </c>
      <c r="E153" s="347">
        <f t="shared" si="14"/>
        <v>-0.11371481040695752</v>
      </c>
      <c r="F153" s="347">
        <f t="shared" si="14"/>
        <v>-7.9218776098859453E-2</v>
      </c>
      <c r="G153" s="347">
        <f t="shared" si="14"/>
        <v>-2.8255807423415089E-3</v>
      </c>
      <c r="H153" s="347">
        <f t="shared" si="14"/>
        <v>-4.5206848954740655E-2</v>
      </c>
      <c r="I153" s="347">
        <f t="shared" si="14"/>
        <v>-1.0764811729856064E-2</v>
      </c>
      <c r="J153" s="347">
        <f t="shared" si="14"/>
        <v>-3.8252710614629842E-2</v>
      </c>
      <c r="K153" s="347">
        <f t="shared" si="14"/>
        <v>-4.7945069589155988E-2</v>
      </c>
      <c r="L153" s="347">
        <f t="shared" si="14"/>
        <v>-0.13861834594016018</v>
      </c>
      <c r="M153" s="347">
        <f t="shared" si="14"/>
        <v>-3.4371885290881844E-2</v>
      </c>
      <c r="N153" s="347">
        <f t="shared" si="14"/>
        <v>-4.0188565360842247E-2</v>
      </c>
      <c r="O153" s="347">
        <f t="shared" si="14"/>
        <v>-6.9738181889503828E-2</v>
      </c>
      <c r="P153" s="347">
        <f t="shared" si="14"/>
        <v>-3.5989806728768503E-2</v>
      </c>
      <c r="Q153" s="347">
        <f t="shared" si="14"/>
        <v>-8.9576459459814822E-2</v>
      </c>
      <c r="R153" s="347">
        <f t="shared" si="14"/>
        <v>2.9442385191428971E-2</v>
      </c>
      <c r="S153" s="347">
        <f t="shared" si="14"/>
        <v>6.6795181822759508E-2</v>
      </c>
      <c r="T153" s="347">
        <f t="shared" si="14"/>
        <v>-2.8724009487454304E-2</v>
      </c>
      <c r="U153" s="347">
        <f t="shared" si="14"/>
        <v>-7.1804315450967465E-2</v>
      </c>
      <c r="V153" s="347">
        <f t="shared" si="14"/>
        <v>-9.1399590717789386E-2</v>
      </c>
      <c r="W153" s="347">
        <f t="shared" si="14"/>
        <v>5.4206541712965746E-3</v>
      </c>
      <c r="X153" s="347">
        <f t="shared" si="14"/>
        <v>3.084491364958707E-2</v>
      </c>
      <c r="Y153" s="347">
        <f t="shared" si="14"/>
        <v>-1.9872428994423E-2</v>
      </c>
      <c r="Z153" s="347">
        <f t="shared" si="14"/>
        <v>3.3267327902012388E-2</v>
      </c>
      <c r="AA153" s="347">
        <f t="shared" si="14"/>
        <v>4.8175498932908817E-2</v>
      </c>
      <c r="AB153" s="347">
        <f t="shared" si="14"/>
        <v>3.1165959745492251E-2</v>
      </c>
      <c r="AC153" s="347">
        <f t="shared" si="14"/>
        <v>-1.4240184963278833E-3</v>
      </c>
      <c r="AD153" s="347">
        <f t="shared" si="14"/>
        <v>-3.8608333950199046E-2</v>
      </c>
      <c r="AE153" s="347">
        <f t="shared" si="14"/>
        <v>-7.0180069576577159E-2</v>
      </c>
      <c r="AF153" s="347">
        <f t="shared" si="14"/>
        <v>-8.7055416203609765E-2</v>
      </c>
      <c r="AG153" s="347">
        <f t="shared" si="14"/>
        <v>-5.4772439522663779E-2</v>
      </c>
      <c r="AH153" s="347">
        <f t="shared" ref="AH153:BD153" si="15">SUM(AH154:AH174)</f>
        <v>-5.9597821148866519E-2</v>
      </c>
      <c r="AI153" s="347">
        <f t="shared" si="15"/>
        <v>-3.5157588266547891E-2</v>
      </c>
      <c r="AJ153" s="347">
        <f t="shared" si="15"/>
        <v>-9.6993493746950543E-2</v>
      </c>
      <c r="AK153" s="347">
        <f t="shared" si="15"/>
        <v>-7.7258578855063625E-2</v>
      </c>
      <c r="AL153" s="347">
        <f t="shared" si="15"/>
        <v>-3.6312500435218172E-2</v>
      </c>
      <c r="AM153" s="347">
        <f t="shared" si="15"/>
        <v>-8.2106330782669559E-2</v>
      </c>
      <c r="AN153" s="347">
        <f t="shared" si="15"/>
        <v>-8.9247645610386533E-2</v>
      </c>
      <c r="AO153" s="347">
        <f t="shared" si="15"/>
        <v>-2.1400000000000002E-2</v>
      </c>
      <c r="AP153" s="347">
        <f t="shared" si="15"/>
        <v>-3.8971256425222561E-2</v>
      </c>
      <c r="AQ153" s="347">
        <f t="shared" si="15"/>
        <v>-5.8807773533795474E-2</v>
      </c>
      <c r="AR153" s="347">
        <f t="shared" si="15"/>
        <v>-6.5606816724101E-2</v>
      </c>
      <c r="AS153" s="347">
        <f t="shared" si="15"/>
        <v>-6.0555354451330881E-2</v>
      </c>
      <c r="AT153" s="347">
        <f t="shared" si="15"/>
        <v>1.7398714008283418E-2</v>
      </c>
      <c r="AU153" s="347">
        <f t="shared" si="15"/>
        <v>-4.9499999999999988E-2</v>
      </c>
      <c r="AV153" s="347">
        <f t="shared" si="15"/>
        <v>-1.6300000000000002E-2</v>
      </c>
      <c r="AW153" s="347">
        <f t="shared" si="15"/>
        <v>-2.5299999999999996E-2</v>
      </c>
      <c r="AX153" s="347">
        <f t="shared" si="15"/>
        <v>-2.8999999999999998E-3</v>
      </c>
      <c r="AY153" s="347">
        <f t="shared" si="15"/>
        <v>-4.2999999999999965E-3</v>
      </c>
      <c r="AZ153" s="347">
        <f t="shared" si="15"/>
        <v>1.3499999999999989E-2</v>
      </c>
      <c r="BA153" s="347">
        <f t="shared" si="15"/>
        <v>1.7300000000000003E-2</v>
      </c>
      <c r="BB153" s="347">
        <f t="shared" si="15"/>
        <v>-2.0000000000000052E-3</v>
      </c>
      <c r="BC153" s="347">
        <f t="shared" si="15"/>
        <v>0</v>
      </c>
      <c r="BD153" s="347">
        <f t="shared" si="15"/>
        <v>0</v>
      </c>
    </row>
    <row r="154" spans="1:56" x14ac:dyDescent="0.3">
      <c r="A154">
        <v>20260901</v>
      </c>
      <c r="B154" s="9">
        <v>2.645273200346919E-2</v>
      </c>
      <c r="C154" s="9">
        <v>-3.28947368421053E-3</v>
      </c>
      <c r="D154" s="9">
        <v>-1.0891089108910901E-2</v>
      </c>
      <c r="E154" s="9">
        <v>-7.2202166064982013E-3</v>
      </c>
      <c r="F154" s="9">
        <v>7.8999341672152806E-3</v>
      </c>
      <c r="G154" s="9">
        <v>2.3866348448687371E-2</v>
      </c>
      <c r="H154" s="9">
        <v>6.0542797494780851E-2</v>
      </c>
      <c r="I154" s="9">
        <v>1.2012012012012021E-2</v>
      </c>
      <c r="J154" s="9">
        <v>1.238938053097347E-2</v>
      </c>
      <c r="K154" s="9">
        <v>7.6013513513514524E-3</v>
      </c>
      <c r="L154" s="9">
        <v>-9.2165898617511607E-3</v>
      </c>
      <c r="M154" s="9">
        <v>-2.0063055316708722E-3</v>
      </c>
      <c r="N154" s="9">
        <v>0</v>
      </c>
      <c r="O154" s="9">
        <v>7.2398190045248932E-3</v>
      </c>
      <c r="P154" s="9">
        <v>-2.764340013821703E-3</v>
      </c>
      <c r="Q154" s="9">
        <v>-2.6124818577648631E-2</v>
      </c>
      <c r="R154" s="9">
        <v>2.0506634499396881E-2</v>
      </c>
      <c r="S154" s="9">
        <v>-1.638001638001639E-3</v>
      </c>
      <c r="T154" s="9">
        <v>1.431127012522343E-2</v>
      </c>
      <c r="U154" s="9">
        <v>-8.982035928143655E-3</v>
      </c>
      <c r="V154" s="9">
        <v>-1.746724890829696E-2</v>
      </c>
      <c r="W154" s="9">
        <v>1.3377926421404691E-2</v>
      </c>
      <c r="X154" s="9">
        <v>5.8997050147492694E-3</v>
      </c>
      <c r="Y154" s="9">
        <v>9.4043887147335515E-3</v>
      </c>
      <c r="Z154" s="9">
        <v>5.3191489361702187E-3</v>
      </c>
      <c r="AA154" s="9">
        <v>2.5510204081632668E-3</v>
      </c>
      <c r="AB154" s="9">
        <v>1.179245283018869E-3</v>
      </c>
      <c r="AC154" s="9">
        <v>1.352657004830919E-2</v>
      </c>
      <c r="AD154" s="9">
        <v>1.170117011701181E-2</v>
      </c>
      <c r="AE154" s="9">
        <v>-9.5923261390887388E-3</v>
      </c>
      <c r="AF154" s="9">
        <v>1.440922190201731E-3</v>
      </c>
      <c r="AG154" s="9">
        <v>2.7297543221111139E-3</v>
      </c>
      <c r="AH154" s="9">
        <v>1.189060642092748E-2</v>
      </c>
      <c r="AI154" s="9">
        <v>-8.7565674255682131E-4</v>
      </c>
      <c r="AJ154" s="9">
        <v>-2.6465028355387551E-2</v>
      </c>
      <c r="AK154" s="9">
        <v>-2.0952380952380969E-2</v>
      </c>
      <c r="AL154" s="9">
        <v>-1.6080834899948649E-3</v>
      </c>
      <c r="AM154" s="9">
        <v>-1.0176453799500509E-2</v>
      </c>
      <c r="AN154" s="9">
        <v>-1.315949342204174E-2</v>
      </c>
      <c r="AO154" s="9">
        <v>1.34E-2</v>
      </c>
      <c r="AP154" s="9">
        <v>1.682670044400881E-3</v>
      </c>
      <c r="AQ154" s="9">
        <v>-2.9505397305044341E-3</v>
      </c>
      <c r="AR154" s="9">
        <v>-1.1768138198480681E-2</v>
      </c>
      <c r="AS154" s="9">
        <v>-1.0173565862960809E-2</v>
      </c>
      <c r="AT154" s="9">
        <v>1.1344447864383E-2</v>
      </c>
      <c r="AU154" s="9">
        <v>-4.5999999999999999E-3</v>
      </c>
      <c r="AV154" s="9">
        <v>7.7000000000000002E-3</v>
      </c>
      <c r="AW154" s="9">
        <v>2.8999999999999998E-3</v>
      </c>
      <c r="AX154" s="9">
        <v>1.46E-2</v>
      </c>
      <c r="AY154" s="9">
        <v>1.26E-2</v>
      </c>
      <c r="AZ154" s="9">
        <v>1.1599999999999999E-2</v>
      </c>
      <c r="BA154" s="9">
        <v>8.6999999999999994E-3</v>
      </c>
      <c r="BB154" s="9">
        <v>1.34E-2</v>
      </c>
    </row>
    <row r="155" spans="1:56" x14ac:dyDescent="0.3">
      <c r="A155">
        <v>20260902</v>
      </c>
      <c r="B155" s="9">
        <v>-9.7169412758766928E-3</v>
      </c>
      <c r="C155" s="9">
        <v>-4.1254125412540374E-3</v>
      </c>
      <c r="D155" s="9">
        <v>-1.8018018018018039E-2</v>
      </c>
      <c r="E155" s="9">
        <v>-2.787878787878777E-2</v>
      </c>
      <c r="F155" s="9">
        <v>-2.5473546701502241E-2</v>
      </c>
      <c r="G155" s="9">
        <v>-1.3986013986014E-2</v>
      </c>
      <c r="H155" s="9">
        <v>-5.8070866141732333E-2</v>
      </c>
      <c r="I155" s="9">
        <v>-8.9020771513353188E-3</v>
      </c>
      <c r="J155" s="9">
        <v>-6.9930069930070008E-3</v>
      </c>
      <c r="K155" s="9">
        <v>-1.9279128248114109E-2</v>
      </c>
      <c r="L155" s="9">
        <v>-2.5322997416020759E-2</v>
      </c>
      <c r="M155" s="9">
        <v>-1.550832854681225E-2</v>
      </c>
      <c r="N155" s="9">
        <v>-1.2556053811659199E-2</v>
      </c>
      <c r="O155" s="9">
        <v>-2.0664869721473411E-2</v>
      </c>
      <c r="P155" s="9">
        <v>-9.7020097020097101E-3</v>
      </c>
      <c r="Q155" s="9">
        <v>-2.906110283159475E-2</v>
      </c>
      <c r="R155" s="9">
        <v>-2.36406619385343E-3</v>
      </c>
      <c r="S155" s="9">
        <v>-9.0237899917966526E-3</v>
      </c>
      <c r="T155" s="9">
        <v>-1.2345679012345489E-2</v>
      </c>
      <c r="U155" s="9">
        <v>-6.646525679758381E-3</v>
      </c>
      <c r="V155" s="9">
        <v>-1.7777777777777792E-2</v>
      </c>
      <c r="W155" s="9">
        <v>-1.6501650165016519E-3</v>
      </c>
      <c r="X155" s="9">
        <v>-8.7976539589442893E-3</v>
      </c>
      <c r="Y155" s="9">
        <v>-1.345755693581782E-2</v>
      </c>
      <c r="Z155" s="9">
        <v>-2.645502645502648E-3</v>
      </c>
      <c r="AA155" s="9">
        <v>-1.272264631043258E-2</v>
      </c>
      <c r="AB155" s="9">
        <v>-7.067137809187286E-3</v>
      </c>
      <c r="AC155" s="9">
        <v>-3.8131553860819871E-3</v>
      </c>
      <c r="AD155" s="9">
        <v>-1.334519572953748E-2</v>
      </c>
      <c r="AE155" s="9">
        <v>-1.81598062953994E-2</v>
      </c>
      <c r="AF155" s="9">
        <v>-2.5899280575539439E-2</v>
      </c>
      <c r="AG155" s="9">
        <v>-1.6333938294010902E-2</v>
      </c>
      <c r="AH155" s="9">
        <v>-2.4676850763807309E-2</v>
      </c>
      <c r="AI155" s="9">
        <v>8.7642418930752842E-4</v>
      </c>
      <c r="AJ155" s="9">
        <v>-1.9417475728155359E-2</v>
      </c>
      <c r="AK155" s="9">
        <v>-1.8482490272373669E-2</v>
      </c>
      <c r="AL155" s="9">
        <v>-9.6740913312133425E-3</v>
      </c>
      <c r="AM155" s="9">
        <v>-1.8802332404389142E-2</v>
      </c>
      <c r="AN155" s="9">
        <v>-2.392470155565312E-2</v>
      </c>
      <c r="AO155" s="9">
        <v>2.5000000000000001E-2</v>
      </c>
      <c r="AP155" s="9">
        <v>-9.3062054740225275E-3</v>
      </c>
      <c r="AQ155" s="9">
        <v>-1.376639699668584E-2</v>
      </c>
      <c r="AR155" s="9">
        <v>-1.6451524320488919E-2</v>
      </c>
      <c r="AS155" s="9">
        <v>-1.399141037180762E-2</v>
      </c>
      <c r="AT155" s="9">
        <v>-4.8869242016915037E-3</v>
      </c>
      <c r="AU155" s="9">
        <v>-8.8000000000000005E-3</v>
      </c>
      <c r="AV155" s="9">
        <v>6.9999999999999999E-4</v>
      </c>
      <c r="AW155" s="9">
        <v>-7.3000000000000001E-3</v>
      </c>
      <c r="AX155" s="9">
        <v>-7.0000000000000001E-3</v>
      </c>
      <c r="AY155" s="9">
        <v>-1.2800000000000001E-2</v>
      </c>
      <c r="AZ155" s="9">
        <v>-5.5999999999999999E-3</v>
      </c>
      <c r="BA155" s="9">
        <v>-5.5999999999999999E-3</v>
      </c>
      <c r="BB155" s="9">
        <v>-8.9999999999999993E-3</v>
      </c>
    </row>
    <row r="156" spans="1:56" x14ac:dyDescent="0.3">
      <c r="A156">
        <v>20260903</v>
      </c>
      <c r="B156" s="9">
        <v>1.834470989761099E-2</v>
      </c>
      <c r="C156" s="9">
        <v>9.9420049710024945E-3</v>
      </c>
      <c r="D156" s="9">
        <v>9.174311926605512E-3</v>
      </c>
      <c r="E156" s="9">
        <v>9.9750623441396593E-3</v>
      </c>
      <c r="F156" s="9">
        <v>1.3404825737265431E-3</v>
      </c>
      <c r="G156" s="9">
        <v>-4.72813238770686E-3</v>
      </c>
      <c r="H156" s="9">
        <v>0</v>
      </c>
      <c r="I156" s="9">
        <v>-4.4910179640718596E-3</v>
      </c>
      <c r="J156" s="9">
        <v>0</v>
      </c>
      <c r="K156" s="9">
        <v>0</v>
      </c>
      <c r="L156" s="9">
        <v>1.431601272534472E-2</v>
      </c>
      <c r="M156" s="9">
        <v>2.3337222870478428E-3</v>
      </c>
      <c r="N156" s="9">
        <v>0</v>
      </c>
      <c r="O156" s="9">
        <v>7.3394495412844101E-3</v>
      </c>
      <c r="P156" s="9">
        <v>1.329601119664094E-2</v>
      </c>
      <c r="Q156" s="9">
        <v>-2.3023791250958488E-3</v>
      </c>
      <c r="R156" s="9">
        <v>-4.739336492891E-3</v>
      </c>
      <c r="S156" s="9">
        <v>6.6225165562913968E-3</v>
      </c>
      <c r="T156" s="9">
        <v>-8.928571428571435E-3</v>
      </c>
      <c r="U156" s="9">
        <v>4.2579075425791474E-3</v>
      </c>
      <c r="V156" s="9">
        <v>1.7533936651583659E-2</v>
      </c>
      <c r="W156" s="9">
        <v>-8.2644628099164455E-4</v>
      </c>
      <c r="X156" s="9">
        <v>2.9585798816568068E-3</v>
      </c>
      <c r="Y156" s="9">
        <v>1.049317943336832E-3</v>
      </c>
      <c r="Z156" s="9">
        <v>5.3050397877984134E-3</v>
      </c>
      <c r="AA156" s="9">
        <v>1.0309278350515471E-2</v>
      </c>
      <c r="AB156" s="9">
        <v>9.4899169632265811E-3</v>
      </c>
      <c r="AC156" s="9">
        <v>1.913875598086126E-3</v>
      </c>
      <c r="AD156" s="9">
        <v>2.7051397655546562E-3</v>
      </c>
      <c r="AE156" s="9">
        <v>-1.233045622688041E-3</v>
      </c>
      <c r="AF156" s="9">
        <v>0</v>
      </c>
      <c r="AG156" s="9">
        <v>1.1992619926199171E-2</v>
      </c>
      <c r="AH156" s="9">
        <v>-4.8192771084337397E-3</v>
      </c>
      <c r="AI156" s="9">
        <v>-1.7513134851138369E-3</v>
      </c>
      <c r="AJ156" s="9">
        <v>-5.9405940594059459E-3</v>
      </c>
      <c r="AK156" s="9">
        <v>-4.9554013875122826E-3</v>
      </c>
      <c r="AL156" s="9">
        <v>1.7808456213119531E-4</v>
      </c>
      <c r="AM156" s="9">
        <v>9.9710172610769743E-4</v>
      </c>
      <c r="AN156" s="9">
        <v>8.9969244406352191E-5</v>
      </c>
      <c r="AO156" s="9">
        <v>-1.6E-2</v>
      </c>
      <c r="AP156" s="9">
        <v>1.733949345415674E-3</v>
      </c>
      <c r="AQ156" s="9">
        <v>1.0164126477916001E-3</v>
      </c>
      <c r="AR156" s="9">
        <v>3.3804518507851169E-3</v>
      </c>
      <c r="AS156" s="9">
        <v>2.1547634180213398E-3</v>
      </c>
      <c r="AT156" s="9">
        <v>-1.7193873475984781E-2</v>
      </c>
      <c r="AU156" s="9">
        <v>-7.1999999999999998E-3</v>
      </c>
      <c r="AV156" s="9">
        <v>-6.0000000000000001E-3</v>
      </c>
      <c r="AW156" s="9">
        <v>-2.8999999999999998E-3</v>
      </c>
      <c r="AX156" s="9">
        <v>-7.0000000000000001E-3</v>
      </c>
      <c r="AY156" s="9">
        <v>-8.2000000000000007E-3</v>
      </c>
      <c r="AZ156" s="9">
        <v>-1.01E-2</v>
      </c>
      <c r="BA156" s="9">
        <v>-6.4000000000000003E-3</v>
      </c>
      <c r="BB156" s="9">
        <v>-8.2000000000000007E-3</v>
      </c>
    </row>
    <row r="157" spans="1:56" x14ac:dyDescent="0.3">
      <c r="A157">
        <v>20260904</v>
      </c>
      <c r="B157" s="9">
        <v>1.5919564306660999E-2</v>
      </c>
      <c r="C157" s="9">
        <v>-1.8047579983593121E-2</v>
      </c>
      <c r="D157" s="9">
        <v>-1.6161616161616179E-2</v>
      </c>
      <c r="E157" s="9">
        <v>-8.6419753086419832E-3</v>
      </c>
      <c r="F157" s="9">
        <v>6.6934404283801926E-3</v>
      </c>
      <c r="G157" s="9">
        <v>3.0878859857482219E-2</v>
      </c>
      <c r="H157" s="9">
        <v>2.4033437826541298E-2</v>
      </c>
      <c r="I157" s="9">
        <v>3.3082706766917318E-2</v>
      </c>
      <c r="J157" s="9">
        <v>1.4084507042253541E-2</v>
      </c>
      <c r="K157" s="9">
        <v>-8.5470085470076059E-4</v>
      </c>
      <c r="L157" s="9">
        <v>-1.515943544171466E-2</v>
      </c>
      <c r="M157" s="9">
        <v>5.8207217695000694E-4</v>
      </c>
      <c r="N157" s="9">
        <v>2.724795640327079E-3</v>
      </c>
      <c r="O157" s="9">
        <v>6.3752276867030024E-3</v>
      </c>
      <c r="P157" s="9">
        <v>-6.2154696132595971E-3</v>
      </c>
      <c r="Q157" s="9">
        <v>-1.53846153846154E-3</v>
      </c>
      <c r="R157" s="9">
        <v>9.5238095238095333E-3</v>
      </c>
      <c r="S157" s="9">
        <v>1.480263157894738E-2</v>
      </c>
      <c r="T157" s="9">
        <v>4.3243243243243079E-2</v>
      </c>
      <c r="U157" s="9">
        <v>-4.845548152634771E-3</v>
      </c>
      <c r="V157" s="9">
        <v>-1.4452473596442479E-2</v>
      </c>
      <c r="W157" s="9">
        <v>-8.2712985938801639E-4</v>
      </c>
      <c r="X157" s="9">
        <v>0</v>
      </c>
      <c r="Y157" s="9">
        <v>4.192872117400423E-3</v>
      </c>
      <c r="Z157" s="9">
        <v>2.6385224274406362E-3</v>
      </c>
      <c r="AA157" s="9">
        <v>-7.6530612244898027E-3</v>
      </c>
      <c r="AB157" s="9">
        <v>-7.0505287896592307E-3</v>
      </c>
      <c r="AC157" s="9">
        <v>-2.8653295128938799E-3</v>
      </c>
      <c r="AD157" s="9">
        <v>-6.2949640287770841E-3</v>
      </c>
      <c r="AE157" s="9">
        <v>-6.1728395061728452E-3</v>
      </c>
      <c r="AF157" s="9">
        <v>1.033973412112261E-2</v>
      </c>
      <c r="AG157" s="9">
        <v>3.008204193254323E-2</v>
      </c>
      <c r="AH157" s="9">
        <v>3.510895883777243E-2</v>
      </c>
      <c r="AI157" s="9">
        <v>7.0175438596491307E-3</v>
      </c>
      <c r="AJ157" s="9">
        <v>-2.788844621513947E-2</v>
      </c>
      <c r="AK157" s="9">
        <v>-1.6932270916334681E-2</v>
      </c>
      <c r="AL157" s="9">
        <v>-3.0368424043299151E-3</v>
      </c>
      <c r="AM157" s="9">
        <v>-7.9376328428667226E-3</v>
      </c>
      <c r="AN157" s="9">
        <v>-7.8475406040257444E-3</v>
      </c>
      <c r="AO157" s="9">
        <v>-1E-3</v>
      </c>
      <c r="AP157" s="9">
        <v>1.477068497026391E-3</v>
      </c>
      <c r="AQ157" s="9">
        <v>-9.9486466901506734E-4</v>
      </c>
      <c r="AR157" s="9">
        <v>-1.323890660924742E-2</v>
      </c>
      <c r="AS157" s="9">
        <v>-1.210579286027528E-2</v>
      </c>
      <c r="AT157" s="9">
        <v>4.5798403063190534E-3</v>
      </c>
      <c r="AU157" s="9">
        <v>-4.7000000000000002E-3</v>
      </c>
      <c r="AV157" s="9">
        <v>8.0000000000000002E-3</v>
      </c>
      <c r="AW157" s="9">
        <v>-4.1999999999999997E-3</v>
      </c>
      <c r="AX157" s="9">
        <v>5.0000000000000001E-3</v>
      </c>
      <c r="AY157" s="9">
        <v>3.2000000000000002E-3</v>
      </c>
      <c r="AZ157" s="9">
        <v>4.1000000000000003E-3</v>
      </c>
      <c r="BA157" s="9">
        <v>2.2000000000000001E-3</v>
      </c>
      <c r="BB157" s="9">
        <v>5.5999999999999999E-3</v>
      </c>
    </row>
    <row r="158" spans="1:56" x14ac:dyDescent="0.3">
      <c r="A158">
        <v>20260907</v>
      </c>
      <c r="B158" s="9">
        <v>-8.2474226804114641E-4</v>
      </c>
      <c r="C158" s="9">
        <v>1.169590643274855E-2</v>
      </c>
      <c r="D158" s="9">
        <v>1.7453798767967162E-2</v>
      </c>
      <c r="E158" s="9">
        <v>-9.9626400996264096E-3</v>
      </c>
      <c r="F158" s="9">
        <v>1.130319148936164E-2</v>
      </c>
      <c r="G158" s="9">
        <v>-2.3041474654377902E-3</v>
      </c>
      <c r="H158" s="9">
        <v>3.0612244897959211E-2</v>
      </c>
      <c r="I158" s="9">
        <v>-5.8224163027656532E-3</v>
      </c>
      <c r="J158" s="9">
        <v>8.6805555555555646E-3</v>
      </c>
      <c r="K158" s="9">
        <v>-8.5543199315654475E-3</v>
      </c>
      <c r="L158" s="9">
        <v>-6.3694267515922451E-3</v>
      </c>
      <c r="M158" s="9">
        <v>-1.396160558464225E-2</v>
      </c>
      <c r="N158" s="9">
        <v>1.811594202898552E-3</v>
      </c>
      <c r="O158" s="9">
        <v>-1.2669683257918561E-2</v>
      </c>
      <c r="P158" s="9">
        <v>7.6441973592772054E-3</v>
      </c>
      <c r="Q158" s="9">
        <v>-2.157164869029278E-2</v>
      </c>
      <c r="R158" s="9">
        <v>-1.53301886792453E-2</v>
      </c>
      <c r="S158" s="9">
        <v>-1.6207455429497579E-3</v>
      </c>
      <c r="T158" s="9">
        <v>3.4542314335060482E-3</v>
      </c>
      <c r="U158" s="9">
        <v>6.6950699939135111E-3</v>
      </c>
      <c r="V158" s="9">
        <v>1.2972363226170409E-2</v>
      </c>
      <c r="W158" s="9">
        <v>-7.4503311258277286E-3</v>
      </c>
      <c r="X158" s="9">
        <v>-5.8997050147492694E-3</v>
      </c>
      <c r="Y158" s="9">
        <v>-5.2192066805845563E-3</v>
      </c>
      <c r="Z158" s="9">
        <v>-5.2631578947368463E-3</v>
      </c>
      <c r="AA158" s="9">
        <v>-5.1413881748072036E-3</v>
      </c>
      <c r="AB158" s="9">
        <v>-4.733727810650892E-3</v>
      </c>
      <c r="AC158" s="9">
        <v>-8.6206896551725282E-3</v>
      </c>
      <c r="AD158" s="9">
        <v>-1.8099547511312231E-3</v>
      </c>
      <c r="AE158" s="9">
        <v>1.6149068322981242E-2</v>
      </c>
      <c r="AF158" s="9">
        <v>-7.3099415204678419E-3</v>
      </c>
      <c r="AG158" s="9">
        <v>1.504424778761073E-2</v>
      </c>
      <c r="AH158" s="9">
        <v>1.520467836257311E-2</v>
      </c>
      <c r="AI158" s="9">
        <v>2.613240418118566E-3</v>
      </c>
      <c r="AJ158" s="9">
        <v>2.6639344262295112E-2</v>
      </c>
      <c r="AK158" s="9">
        <v>6.2816616008105314E-2</v>
      </c>
      <c r="AL158" s="9">
        <v>6.572833982508489E-4</v>
      </c>
      <c r="AM158" s="9">
        <v>1.9083048937742819E-2</v>
      </c>
      <c r="AN158" s="9">
        <v>3.411946767213974E-2</v>
      </c>
      <c r="AO158" s="9">
        <v>8.5000000000000006E-3</v>
      </c>
      <c r="AP158" s="9">
        <v>-4.1313545916614753E-3</v>
      </c>
      <c r="AQ158" s="9">
        <v>5.9309814096151223E-3</v>
      </c>
      <c r="AR158" s="9">
        <v>1.3940160633753749E-2</v>
      </c>
      <c r="AS158" s="9">
        <v>1.7483709576281151E-2</v>
      </c>
      <c r="AT158" s="9">
        <v>7.4700506483386967E-3</v>
      </c>
      <c r="AU158" s="9">
        <v>7.7000000000000002E-3</v>
      </c>
      <c r="AV158" s="9">
        <v>7.7000000000000002E-3</v>
      </c>
      <c r="AW158" s="9">
        <v>8.6E-3</v>
      </c>
      <c r="AX158" s="9">
        <v>4.1999999999999997E-3</v>
      </c>
      <c r="AY158" s="9">
        <v>3.8E-3</v>
      </c>
      <c r="AZ158" s="9">
        <v>4.7000000000000002E-3</v>
      </c>
      <c r="BA158" s="9">
        <v>7.1000000000000004E-3</v>
      </c>
      <c r="BB158" s="9">
        <v>5.3E-3</v>
      </c>
    </row>
    <row r="159" spans="1:56" x14ac:dyDescent="0.3">
      <c r="A159">
        <v>20260908</v>
      </c>
      <c r="B159" s="9">
        <v>1.155592241023526E-2</v>
      </c>
      <c r="C159" s="9">
        <v>-8.2576383154417902E-3</v>
      </c>
      <c r="D159" s="9">
        <v>-7.0635721493441028E-3</v>
      </c>
      <c r="E159" s="9">
        <v>1.88679245283019E-2</v>
      </c>
      <c r="F159" s="9">
        <v>6.5746219592380804E-4</v>
      </c>
      <c r="G159" s="9">
        <v>-2.3094688221709028E-3</v>
      </c>
      <c r="H159" s="9">
        <v>4.0594059405940533E-2</v>
      </c>
      <c r="I159" s="9">
        <v>0</v>
      </c>
      <c r="J159" s="9">
        <v>3.4423407917383848E-3</v>
      </c>
      <c r="K159" s="9">
        <v>1.8119068162208721E-2</v>
      </c>
      <c r="L159" s="9">
        <v>1.549145299145295E-2</v>
      </c>
      <c r="M159" s="9">
        <v>1.6519174041297949E-2</v>
      </c>
      <c r="N159" s="9">
        <v>9.04159132007234E-3</v>
      </c>
      <c r="O159" s="9">
        <v>-5.4995417048579326E-3</v>
      </c>
      <c r="P159" s="9">
        <v>-9.6551724137931127E-3</v>
      </c>
      <c r="Q159" s="9">
        <v>2.5196850393700811E-2</v>
      </c>
      <c r="R159" s="9">
        <v>4.790419161676651E-3</v>
      </c>
      <c r="S159" s="9">
        <v>2.191558441558435E-2</v>
      </c>
      <c r="T159" s="9">
        <v>5.1635111876075779E-3</v>
      </c>
      <c r="U159" s="9">
        <v>-5.4413542926238798E-3</v>
      </c>
      <c r="V159" s="9">
        <v>-1.8930957683741669E-2</v>
      </c>
      <c r="W159" s="9">
        <v>6.6722268557131009E-3</v>
      </c>
      <c r="X159" s="9">
        <v>1.186943620178043E-2</v>
      </c>
      <c r="Y159" s="9">
        <v>1.049317943336832E-2</v>
      </c>
      <c r="Z159" s="9">
        <v>2.645502645502648E-3</v>
      </c>
      <c r="AA159" s="9">
        <v>1.8087855297157639E-2</v>
      </c>
      <c r="AB159" s="9">
        <v>9.5124851367419834E-3</v>
      </c>
      <c r="AC159" s="9">
        <v>7.729468599033824E-3</v>
      </c>
      <c r="AD159" s="9">
        <v>-5.4397098821396244E-3</v>
      </c>
      <c r="AE159" s="9">
        <v>1.222493887530563E-3</v>
      </c>
      <c r="AF159" s="9">
        <v>-1.0309278350515471E-2</v>
      </c>
      <c r="AG159" s="9">
        <v>8.7183958151690485E-4</v>
      </c>
      <c r="AH159" s="9">
        <v>0</v>
      </c>
      <c r="AI159" s="9">
        <v>9.5569070373587306E-3</v>
      </c>
      <c r="AJ159" s="9">
        <v>-1.397205588822356E-2</v>
      </c>
      <c r="AK159" s="9">
        <v>-6.6730219256433713E-3</v>
      </c>
      <c r="AL159" s="9">
        <v>1.996542323732356E-3</v>
      </c>
      <c r="AM159" s="9">
        <v>-5.2059830474514212E-3</v>
      </c>
      <c r="AN159" s="9">
        <v>-1.1464859455771239E-2</v>
      </c>
      <c r="AO159" s="9">
        <v>-9.7000000000000003E-3</v>
      </c>
      <c r="AP159" s="9">
        <v>-1.0054496773741479E-3</v>
      </c>
      <c r="AQ159" s="9">
        <v>-3.5599157512617558E-3</v>
      </c>
      <c r="AR159" s="9">
        <v>1.464474941773515E-3</v>
      </c>
      <c r="AS159" s="9">
        <v>2.6502085711095332E-3</v>
      </c>
      <c r="AT159" s="9">
        <v>1.3733522335459389E-2</v>
      </c>
      <c r="AU159" s="9">
        <v>-2.2000000000000001E-3</v>
      </c>
      <c r="AV159" s="9">
        <v>6.1999999999999998E-3</v>
      </c>
      <c r="AW159" s="9">
        <v>5.0000000000000001E-3</v>
      </c>
      <c r="AX159" s="9">
        <v>1.1599999999999999E-2</v>
      </c>
      <c r="AY159" s="9">
        <v>6.1000000000000004E-3</v>
      </c>
      <c r="AZ159" s="9">
        <v>1.09E-2</v>
      </c>
      <c r="BA159" s="9">
        <v>8.6E-3</v>
      </c>
      <c r="BB159" s="9">
        <v>1.8800000000000001E-2</v>
      </c>
    </row>
    <row r="160" spans="1:56" x14ac:dyDescent="0.3">
      <c r="A160">
        <v>20260909</v>
      </c>
      <c r="B160" s="9">
        <v>-2.3255813953488351E-2</v>
      </c>
      <c r="C160" s="9">
        <v>-4.1631973355538013E-3</v>
      </c>
      <c r="D160" s="9">
        <v>-8.1300813008130159E-3</v>
      </c>
      <c r="E160" s="9">
        <v>7.4074074074072776E-3</v>
      </c>
      <c r="F160" s="9">
        <v>9.1984231274638718E-3</v>
      </c>
      <c r="G160" s="9">
        <v>-1.38888888888889E-2</v>
      </c>
      <c r="H160" s="9">
        <v>1.9029495718363479E-3</v>
      </c>
      <c r="I160" s="9">
        <v>-5.8565153733528604E-3</v>
      </c>
      <c r="J160" s="9">
        <v>-6.8610634648370566E-3</v>
      </c>
      <c r="K160" s="9">
        <v>8.4745762711864493E-3</v>
      </c>
      <c r="L160" s="9">
        <v>1.8265585425778452E-2</v>
      </c>
      <c r="M160" s="9">
        <v>1.508995937318632E-2</v>
      </c>
      <c r="N160" s="9">
        <v>4.4802867383511588E-3</v>
      </c>
      <c r="O160" s="9">
        <v>0</v>
      </c>
      <c r="P160" s="9">
        <v>0</v>
      </c>
      <c r="Q160" s="9">
        <v>2.995391705069118E-2</v>
      </c>
      <c r="R160" s="9">
        <v>3.575685339690111E-3</v>
      </c>
      <c r="S160" s="9">
        <v>-1.747418586179492E-2</v>
      </c>
      <c r="T160" s="9">
        <v>-1.7123287671232891E-3</v>
      </c>
      <c r="U160" s="9">
        <v>1.8844984802431561E-2</v>
      </c>
      <c r="V160" s="9">
        <v>-2.270147559591376E-3</v>
      </c>
      <c r="W160" s="9">
        <v>9.1135045567521944E-3</v>
      </c>
      <c r="X160" s="9">
        <v>-1.1730205278592389E-2</v>
      </c>
      <c r="Y160" s="9">
        <v>-7.2689511941848453E-3</v>
      </c>
      <c r="Z160" s="9">
        <v>-1.3192612137203181E-2</v>
      </c>
      <c r="AA160" s="9">
        <v>-7.6142131979695486E-3</v>
      </c>
      <c r="AB160" s="9">
        <v>-1.413427561837457E-2</v>
      </c>
      <c r="AC160" s="9">
        <v>1.05465004793865E-2</v>
      </c>
      <c r="AD160" s="9">
        <v>-9.1157702825878746E-4</v>
      </c>
      <c r="AE160" s="9">
        <v>-2.4420024420024442E-3</v>
      </c>
      <c r="AF160" s="9">
        <v>-1.041666666666667E-2</v>
      </c>
      <c r="AG160" s="9">
        <v>-2.7003484320557419E-2</v>
      </c>
      <c r="AH160" s="9">
        <v>-2.7649769585253479E-2</v>
      </c>
      <c r="AI160" s="9">
        <v>1.549053356282273E-2</v>
      </c>
      <c r="AJ160" s="9">
        <v>-5.0607287449392756E-3</v>
      </c>
      <c r="AK160" s="9">
        <v>9.5969289827255357E-3</v>
      </c>
      <c r="AL160" s="9">
        <v>2.7802710839169909E-3</v>
      </c>
      <c r="AM160" s="9">
        <v>1.4677072014513889E-3</v>
      </c>
      <c r="AN160" s="9">
        <v>-1.4129170441786879E-3</v>
      </c>
      <c r="AO160" s="9">
        <v>-4.1000000000000003E-3</v>
      </c>
      <c r="AP160" s="9">
        <v>5.4916041094556624E-4</v>
      </c>
      <c r="AQ160" s="9">
        <v>3.0408861050767949E-3</v>
      </c>
      <c r="AR160" s="9">
        <v>-3.3787040112443758E-4</v>
      </c>
      <c r="AS160" s="9">
        <v>-1.411182061951795E-3</v>
      </c>
      <c r="AT160" s="9">
        <v>-6.7783326447250214E-3</v>
      </c>
      <c r="AU160" s="9">
        <v>-7.4999999999999997E-3</v>
      </c>
      <c r="AV160" s="9">
        <v>-7.4000000000000003E-3</v>
      </c>
      <c r="AW160" s="9">
        <v>-4.1000000000000003E-3</v>
      </c>
      <c r="AX160" s="9">
        <v>-6.1999999999999998E-3</v>
      </c>
      <c r="AY160" s="9">
        <v>-1.9E-2</v>
      </c>
      <c r="AZ160" s="9">
        <v>-1.0999999999999999E-2</v>
      </c>
      <c r="BA160" s="9">
        <v>-8.3999999999999995E-3</v>
      </c>
      <c r="BB160" s="9">
        <v>-3.0999999999999999E-3</v>
      </c>
    </row>
    <row r="161" spans="1:56" x14ac:dyDescent="0.3">
      <c r="A161">
        <v>20260910</v>
      </c>
      <c r="B161" s="9">
        <v>-3.7593984962406138E-2</v>
      </c>
      <c r="C161" s="9">
        <v>-1.9230769230769159E-2</v>
      </c>
      <c r="D161" s="9">
        <v>-1.6393442622950831E-2</v>
      </c>
      <c r="E161" s="9">
        <v>-2.0833333333333221E-2</v>
      </c>
      <c r="F161" s="9">
        <v>-1.4973958333333421E-2</v>
      </c>
      <c r="G161" s="9">
        <v>-1.8779342723004709E-2</v>
      </c>
      <c r="H161" s="9">
        <v>-3.7037037037036973E-2</v>
      </c>
      <c r="I161" s="9">
        <v>-1.7673048600883669E-2</v>
      </c>
      <c r="J161" s="9">
        <v>-1.0362694300518151E-2</v>
      </c>
      <c r="K161" s="9">
        <v>-9.2436974789915118E-3</v>
      </c>
      <c r="L161" s="9">
        <v>-1.3491635186184519E-2</v>
      </c>
      <c r="M161" s="9">
        <v>-7.1469411092053613E-3</v>
      </c>
      <c r="N161" s="9">
        <v>-8.920606601247903E-4</v>
      </c>
      <c r="O161" s="9">
        <v>5.5299539170506956E-3</v>
      </c>
      <c r="P161" s="9">
        <v>-6.9637883008356613E-3</v>
      </c>
      <c r="Q161" s="9">
        <v>-1.6405667412378842E-2</v>
      </c>
      <c r="R161" s="9">
        <v>1.3064133016627091E-2</v>
      </c>
      <c r="S161" s="9">
        <v>-1.131770412287794E-2</v>
      </c>
      <c r="T161" s="9">
        <v>-2.0583190394511171E-2</v>
      </c>
      <c r="U161" s="9">
        <v>-1.8496420047732651E-2</v>
      </c>
      <c r="V161" s="9">
        <v>-1.023890784982936E-2</v>
      </c>
      <c r="W161" s="9">
        <v>5.7471264367817054E-3</v>
      </c>
      <c r="X161" s="9">
        <v>-1.186943620178043E-2</v>
      </c>
      <c r="Y161" s="9">
        <v>-1.778242677824269E-2</v>
      </c>
      <c r="Z161" s="9">
        <v>-1.336898395721926E-2</v>
      </c>
      <c r="AA161" s="9">
        <v>-1.790281329923275E-2</v>
      </c>
      <c r="AB161" s="9">
        <v>-1.9115890083632039E-2</v>
      </c>
      <c r="AC161" s="9">
        <v>7.5901328273244844E-3</v>
      </c>
      <c r="AD161" s="9">
        <v>-2.0985401459854131E-2</v>
      </c>
      <c r="AE161" s="9">
        <v>-1.1015911872704891E-2</v>
      </c>
      <c r="AF161" s="9">
        <v>-1.0526315789473689E-2</v>
      </c>
      <c r="AG161" s="9">
        <v>-3.5810205908684009E-3</v>
      </c>
      <c r="AH161" s="9">
        <v>-1.303317535545025E-2</v>
      </c>
      <c r="AI161" s="9">
        <v>0</v>
      </c>
      <c r="AJ161" s="9">
        <v>-7.1210579857578903E-3</v>
      </c>
      <c r="AK161" s="9">
        <v>-7.6045627376425916E-3</v>
      </c>
      <c r="AL161" s="9">
        <v>-4.3283233460044397E-3</v>
      </c>
      <c r="AM161" s="9">
        <v>-7.698581684315379E-3</v>
      </c>
      <c r="AN161" s="9">
        <v>-4.9319680748168239E-3</v>
      </c>
      <c r="AO161" s="9">
        <v>-2.81E-2</v>
      </c>
      <c r="AP161" s="9">
        <v>-2.0986111535832241E-3</v>
      </c>
      <c r="AQ161" s="9">
        <v>-5.294668241263162E-3</v>
      </c>
      <c r="AR161" s="9">
        <v>-6.4760581892236496E-3</v>
      </c>
      <c r="AS161" s="9">
        <v>-7.9811233085249952E-3</v>
      </c>
      <c r="AT161" s="9">
        <v>-1.7908535497949012E-2</v>
      </c>
      <c r="AU161" s="9">
        <v>-7.6E-3</v>
      </c>
      <c r="AV161" s="9">
        <v>1.6999999999999999E-3</v>
      </c>
      <c r="AW161" s="9">
        <v>-1.35E-2</v>
      </c>
      <c r="AX161" s="9">
        <v>-1.37E-2</v>
      </c>
      <c r="AY161" s="9">
        <v>-1.8800000000000001E-2</v>
      </c>
      <c r="AZ161" s="9">
        <v>-1.38E-2</v>
      </c>
      <c r="BA161" s="9">
        <v>-1.3599999999999999E-2</v>
      </c>
      <c r="BB161" s="9">
        <v>-7.4999999999999997E-3</v>
      </c>
    </row>
    <row r="162" spans="1:56" x14ac:dyDescent="0.3">
      <c r="A162">
        <v>20260911</v>
      </c>
      <c r="B162" s="9">
        <v>9.1145833333334866E-3</v>
      </c>
      <c r="C162" s="9">
        <v>-1.8755328218243831E-2</v>
      </c>
      <c r="D162" s="9">
        <v>-1.770833333333335E-2</v>
      </c>
      <c r="E162" s="9">
        <v>-3.2540675844806043E-2</v>
      </c>
      <c r="F162" s="9">
        <v>-1.7845340383344292E-2</v>
      </c>
      <c r="G162" s="9">
        <v>-1.4354066985645951E-2</v>
      </c>
      <c r="H162" s="9">
        <v>-3.2544378698224879E-2</v>
      </c>
      <c r="I162" s="9">
        <v>-1.3493253373313349E-2</v>
      </c>
      <c r="J162" s="9">
        <v>-2.4432809773123738E-2</v>
      </c>
      <c r="K162" s="9">
        <v>-2.7989821882951769E-2</v>
      </c>
      <c r="L162" s="9">
        <v>-4.0481400437636803E-2</v>
      </c>
      <c r="M162" s="9">
        <v>-1.554851713216235E-2</v>
      </c>
      <c r="N162" s="9">
        <v>-2.142857142857145E-2</v>
      </c>
      <c r="O162" s="9">
        <v>-3.0247479376718529E-2</v>
      </c>
      <c r="P162" s="9">
        <v>-1.12201963534362E-2</v>
      </c>
      <c r="Q162" s="9">
        <v>-2.04700530705079E-2</v>
      </c>
      <c r="R162" s="9">
        <v>-7.0339976553341213E-3</v>
      </c>
      <c r="S162" s="9">
        <v>-3.0253475061324728E-2</v>
      </c>
      <c r="T162" s="9">
        <v>-1.9264448336252009E-2</v>
      </c>
      <c r="U162" s="9">
        <v>-3.647416413373863E-3</v>
      </c>
      <c r="V162" s="9">
        <v>-1.6091954022988519E-2</v>
      </c>
      <c r="W162" s="9">
        <v>-1.6326530612244909E-3</v>
      </c>
      <c r="X162" s="9">
        <v>-1.8018018018018028E-2</v>
      </c>
      <c r="Y162" s="9">
        <v>-1.4909478168264011E-2</v>
      </c>
      <c r="Z162" s="9">
        <v>-1.084010840108402E-2</v>
      </c>
      <c r="AA162" s="9">
        <v>-2.3437500000000021E-2</v>
      </c>
      <c r="AB162" s="9">
        <v>-2.1924482338611339E-2</v>
      </c>
      <c r="AC162" s="9">
        <v>-7.532956685499065E-3</v>
      </c>
      <c r="AD162" s="9">
        <v>-8.3876980428703608E-3</v>
      </c>
      <c r="AE162" s="9">
        <v>-1.8564356435643581E-2</v>
      </c>
      <c r="AF162" s="9">
        <v>-1.6717325227963539E-2</v>
      </c>
      <c r="AG162" s="9">
        <v>-1.5274034141958579E-2</v>
      </c>
      <c r="AH162" s="9">
        <v>-1.320528211284515E-2</v>
      </c>
      <c r="AI162" s="9">
        <v>-1.1016949152542289E-2</v>
      </c>
      <c r="AJ162" s="9">
        <v>-1.6393442622950831E-2</v>
      </c>
      <c r="AK162" s="9">
        <v>2.8735632183907009E-3</v>
      </c>
      <c r="AL162" s="9">
        <v>-1.176630564629357E-2</v>
      </c>
      <c r="AM162" s="9">
        <v>-1.075170715695129E-2</v>
      </c>
      <c r="AN162" s="9">
        <v>-4.9074682589559434E-3</v>
      </c>
      <c r="AO162" s="9">
        <v>-2.6599999999999999E-2</v>
      </c>
      <c r="AP162" s="9">
        <v>-1.238704221647066E-2</v>
      </c>
      <c r="AQ162" s="9">
        <v>-8.4062052726349267E-3</v>
      </c>
      <c r="AR162" s="9">
        <v>-1.7784982193107441E-2</v>
      </c>
      <c r="AS162" s="9">
        <v>-2.115399923455592E-2</v>
      </c>
      <c r="AT162" s="9">
        <v>-2.6543806858570919E-2</v>
      </c>
      <c r="AU162" s="9">
        <v>-3.7000000000000002E-3</v>
      </c>
      <c r="AV162" s="9">
        <v>-6.7000000000000002E-3</v>
      </c>
      <c r="AW162" s="9">
        <v>-1.9699999999999999E-2</v>
      </c>
      <c r="AX162" s="9">
        <v>-0.02</v>
      </c>
      <c r="AY162" s="9">
        <v>-2.3199999999999998E-2</v>
      </c>
      <c r="AZ162" s="9">
        <v>-2.53E-2</v>
      </c>
      <c r="BA162" s="9">
        <v>-2.0400000000000001E-2</v>
      </c>
      <c r="BB162" s="9">
        <v>-2.07E-2</v>
      </c>
    </row>
    <row r="163" spans="1:56" x14ac:dyDescent="0.3">
      <c r="A163">
        <v>20260914</v>
      </c>
      <c r="B163" s="9">
        <v>-1.46236559139786E-2</v>
      </c>
      <c r="C163" s="9">
        <v>1.737619461337968E-3</v>
      </c>
      <c r="D163" s="9">
        <v>5.302226935312836E-3</v>
      </c>
      <c r="E163" s="9">
        <v>-2.5873221216041421E-3</v>
      </c>
      <c r="F163" s="9">
        <v>2.6917900403768528E-3</v>
      </c>
      <c r="G163" s="9">
        <v>0</v>
      </c>
      <c r="H163" s="9">
        <v>-3.1600407747196767E-2</v>
      </c>
      <c r="I163" s="9">
        <v>-1.5197568389057759E-3</v>
      </c>
      <c r="J163" s="9">
        <v>-7.1556350626118129E-3</v>
      </c>
      <c r="K163" s="9">
        <v>-2.617801047120324E-3</v>
      </c>
      <c r="L163" s="9">
        <v>-8.5518814139110052E-3</v>
      </c>
      <c r="M163" s="9">
        <v>-4.3872477332553743E-3</v>
      </c>
      <c r="N163" s="9">
        <v>-4.5620437956205434E-3</v>
      </c>
      <c r="O163" s="9">
        <v>-5.6710775047259026E-3</v>
      </c>
      <c r="P163" s="9">
        <v>2.1276595744681658E-3</v>
      </c>
      <c r="Q163" s="9">
        <v>-1.470588235294128E-2</v>
      </c>
      <c r="R163" s="9">
        <v>1.062573789846518E-2</v>
      </c>
      <c r="S163" s="9">
        <v>-8.4317032040462901E-4</v>
      </c>
      <c r="T163" s="9">
        <v>-7.1428571428571487E-3</v>
      </c>
      <c r="U163" s="9">
        <v>-6.7114093959732279E-3</v>
      </c>
      <c r="V163" s="9">
        <v>6.4252336448598849E-3</v>
      </c>
      <c r="W163" s="9">
        <v>1.635322976287818E-3</v>
      </c>
      <c r="X163" s="9">
        <v>2.1406727828746201E-2</v>
      </c>
      <c r="Y163" s="9">
        <v>1.1891891891891901E-2</v>
      </c>
      <c r="Z163" s="9">
        <v>1.917808219178084E-2</v>
      </c>
      <c r="AA163" s="9">
        <v>3.46666666666667E-2</v>
      </c>
      <c r="AB163" s="9">
        <v>3.3623910336238988E-2</v>
      </c>
      <c r="AC163" s="9">
        <v>2.846299810246576E-3</v>
      </c>
      <c r="AD163" s="9">
        <v>1.1278195488721811E-2</v>
      </c>
      <c r="AE163" s="9">
        <v>0</v>
      </c>
      <c r="AF163" s="9">
        <v>4.6367851622874847E-3</v>
      </c>
      <c r="AG163" s="9">
        <v>-1.55109489051096E-2</v>
      </c>
      <c r="AH163" s="9">
        <v>-1.3381995133819829E-2</v>
      </c>
      <c r="AI163" s="9">
        <v>-1.5424164524421609E-2</v>
      </c>
      <c r="AJ163" s="9">
        <v>-1.3541666666666679E-2</v>
      </c>
      <c r="AK163" s="9">
        <v>-2.9608404966571081E-2</v>
      </c>
      <c r="AL163" s="9">
        <v>-7.1453721357228291E-4</v>
      </c>
      <c r="AM163" s="9">
        <v>-6.4353000387491676E-3</v>
      </c>
      <c r="AN163" s="9">
        <v>-1.097398314709735E-2</v>
      </c>
      <c r="AO163" s="9">
        <v>-1.5E-3</v>
      </c>
      <c r="AP163" s="9">
        <v>-2.5336809006815432E-3</v>
      </c>
      <c r="AQ163" s="9">
        <v>-6.6678417925768426E-3</v>
      </c>
      <c r="AR163" s="9">
        <v>-1.231680552446356E-3</v>
      </c>
      <c r="AS163" s="9">
        <v>5.5280015822833251E-3</v>
      </c>
      <c r="AT163" s="9">
        <v>8.836997757330543E-3</v>
      </c>
      <c r="AU163" s="9">
        <v>7.1000000000000004E-3</v>
      </c>
      <c r="AV163" s="9">
        <v>1.2999999999999999E-3</v>
      </c>
      <c r="AW163" s="9">
        <v>5.8999999999999999E-3</v>
      </c>
      <c r="AX163" s="9">
        <v>4.7000000000000002E-3</v>
      </c>
      <c r="AY163" s="9">
        <v>1.03E-2</v>
      </c>
      <c r="AZ163" s="9">
        <v>9.5999999999999992E-3</v>
      </c>
      <c r="BA163" s="9">
        <v>9.1999999999999998E-3</v>
      </c>
      <c r="BB163" s="9">
        <v>8.9999999999999998E-4</v>
      </c>
    </row>
    <row r="164" spans="1:56" x14ac:dyDescent="0.3">
      <c r="A164">
        <v>20260915</v>
      </c>
      <c r="B164" s="9">
        <v>6.9838498472282922E-3</v>
      </c>
      <c r="C164" s="9">
        <v>-1.21422376409367E-2</v>
      </c>
      <c r="D164" s="9">
        <v>-1.054852320675106E-2</v>
      </c>
      <c r="E164" s="9">
        <v>-3.8910505836575911E-3</v>
      </c>
      <c r="F164" s="9">
        <v>-1.1409395973154299E-2</v>
      </c>
      <c r="G164" s="9">
        <v>-4.8543689320388397E-3</v>
      </c>
      <c r="H164" s="9">
        <v>-3.7894736842105183E-2</v>
      </c>
      <c r="I164" s="9">
        <v>-4.5662100456621054E-3</v>
      </c>
      <c r="J164" s="9">
        <v>-2.162162162162164E-2</v>
      </c>
      <c r="K164" s="9">
        <v>-6.1242344706912656E-3</v>
      </c>
      <c r="L164" s="9">
        <v>-8.0506037952846523E-3</v>
      </c>
      <c r="M164" s="9">
        <v>-6.4629847238542298E-3</v>
      </c>
      <c r="N164" s="9">
        <v>-1.191567369385876E-2</v>
      </c>
      <c r="O164" s="9">
        <v>-4.7528517110267251E-3</v>
      </c>
      <c r="P164" s="9">
        <v>-6.3694267515924411E-3</v>
      </c>
      <c r="Q164" s="9">
        <v>-2.3566378633149191E-3</v>
      </c>
      <c r="R164" s="9">
        <v>-1.5186915887850479E-2</v>
      </c>
      <c r="S164" s="9">
        <v>-1.3502109704641359E-2</v>
      </c>
      <c r="T164" s="9">
        <v>-5.3956834532374147E-3</v>
      </c>
      <c r="U164" s="9">
        <v>-3.6855036855035521E-3</v>
      </c>
      <c r="V164" s="9">
        <v>-1.39291932675566E-2</v>
      </c>
      <c r="W164" s="9">
        <v>-4.0816326530613194E-3</v>
      </c>
      <c r="X164" s="9">
        <v>-5.988023952095814E-3</v>
      </c>
      <c r="Y164" s="9">
        <v>-1.1752136752136761E-2</v>
      </c>
      <c r="Z164" s="9">
        <v>-8.0645161290322648E-3</v>
      </c>
      <c r="AA164" s="9">
        <v>-1.0309278350515471E-2</v>
      </c>
      <c r="AB164" s="9">
        <v>-9.6385542168674794E-3</v>
      </c>
      <c r="AC164" s="9">
        <v>-2.838221381267637E-3</v>
      </c>
      <c r="AD164" s="9">
        <v>-8.3643122676581028E-3</v>
      </c>
      <c r="AE164" s="9">
        <v>-7.566204287515769E-3</v>
      </c>
      <c r="AF164" s="9">
        <v>-4.6153846153846193E-3</v>
      </c>
      <c r="AG164" s="9">
        <v>-4.6339202965708006E-3</v>
      </c>
      <c r="AH164" s="9">
        <v>-7.3982737361282429E-3</v>
      </c>
      <c r="AI164" s="9">
        <v>-8.7032201914708524E-3</v>
      </c>
      <c r="AJ164" s="9">
        <v>1.795142555438228E-2</v>
      </c>
      <c r="AK164" s="9">
        <v>-4.9212598425197986E-3</v>
      </c>
      <c r="AL164" s="9">
        <v>-5.4187633337991724E-3</v>
      </c>
      <c r="AM164" s="9">
        <v>-7.2169968852193516E-3</v>
      </c>
      <c r="AN164" s="9">
        <v>-1.146381022789566E-2</v>
      </c>
      <c r="AO164" s="9">
        <v>6.4999999999999997E-3</v>
      </c>
      <c r="AP164" s="9">
        <v>-5.1528634592195302E-3</v>
      </c>
      <c r="AQ164" s="9">
        <v>-6.7056808335205402E-3</v>
      </c>
      <c r="AR164" s="9">
        <v>-1.269177937447152E-3</v>
      </c>
      <c r="AS164" s="9">
        <v>-4.0967695589049467E-3</v>
      </c>
      <c r="AT164" s="9">
        <v>-3.2639569589189142E-2</v>
      </c>
      <c r="AU164" s="9">
        <v>-5.5999999999999999E-3</v>
      </c>
      <c r="AV164" s="9">
        <v>-2.4899999999999999E-2</v>
      </c>
      <c r="AW164" s="9">
        <v>-1.01E-2</v>
      </c>
      <c r="AX164" s="9">
        <v>-0.02</v>
      </c>
      <c r="AY164" s="9">
        <v>-6.6E-3</v>
      </c>
      <c r="AZ164" s="9">
        <v>-0.02</v>
      </c>
      <c r="BA164" s="9">
        <v>-0.02</v>
      </c>
      <c r="BB164" s="9">
        <v>-1.8100000000000002E-2</v>
      </c>
    </row>
    <row r="165" spans="1:56" x14ac:dyDescent="0.3">
      <c r="A165">
        <v>20260916</v>
      </c>
      <c r="B165" s="9">
        <v>3.2943216298222833E-2</v>
      </c>
      <c r="C165" s="9">
        <v>5.2677787532923667E-3</v>
      </c>
      <c r="D165" s="9">
        <v>7.4626865671641868E-3</v>
      </c>
      <c r="E165" s="9">
        <v>3.9062500000000026E-3</v>
      </c>
      <c r="F165" s="9">
        <v>-2.8513238289205729E-2</v>
      </c>
      <c r="G165" s="9">
        <v>-4.8780487804878092E-3</v>
      </c>
      <c r="H165" s="9">
        <v>7.658643326039394E-3</v>
      </c>
      <c r="I165" s="9">
        <v>-9.174311926605512E-3</v>
      </c>
      <c r="J165" s="9">
        <v>-5.5248618784530428E-3</v>
      </c>
      <c r="K165" s="9">
        <v>2.6408450704226349E-3</v>
      </c>
      <c r="L165" s="9">
        <v>1.6231884057970901E-2</v>
      </c>
      <c r="M165" s="9">
        <v>-4.4352454169131056E-3</v>
      </c>
      <c r="N165" s="9">
        <v>4.6382189239331101E-3</v>
      </c>
      <c r="O165" s="9">
        <v>6.6857688634194062E-3</v>
      </c>
      <c r="P165" s="9">
        <v>-5.6980056980057026E-3</v>
      </c>
      <c r="Q165" s="9">
        <v>1.5748031496063009E-3</v>
      </c>
      <c r="R165" s="9">
        <v>-4.7449584816132914E-3</v>
      </c>
      <c r="S165" s="9">
        <v>1.0265183917878539E-2</v>
      </c>
      <c r="T165" s="9">
        <v>-1.627486437613021E-2</v>
      </c>
      <c r="U165" s="9">
        <v>1.233045622688027E-2</v>
      </c>
      <c r="V165" s="9">
        <v>1.1183048852265979E-2</v>
      </c>
      <c r="W165" s="9">
        <v>4.0983606557377997E-3</v>
      </c>
      <c r="X165" s="9">
        <v>9.0361445783132613E-3</v>
      </c>
      <c r="Y165" s="9">
        <v>0</v>
      </c>
      <c r="Z165" s="9">
        <v>0</v>
      </c>
      <c r="AA165" s="9">
        <v>5.2083333333333382E-3</v>
      </c>
      <c r="AB165" s="9">
        <v>4.866180048661805E-3</v>
      </c>
      <c r="AC165" s="9">
        <v>-9.4876660341566593E-4</v>
      </c>
      <c r="AD165" s="9">
        <v>-8.4348641049671012E-3</v>
      </c>
      <c r="AE165" s="9">
        <v>1.3977128335451091E-2</v>
      </c>
      <c r="AF165" s="9">
        <v>3.0911901081916572E-3</v>
      </c>
      <c r="AG165" s="9">
        <v>9.3109869646172238E-4</v>
      </c>
      <c r="AH165" s="9">
        <v>1.2422360248447221E-3</v>
      </c>
      <c r="AI165" s="9">
        <v>9.6575943810359079E-3</v>
      </c>
      <c r="AJ165" s="9">
        <v>4.5643153526971E-2</v>
      </c>
      <c r="AK165" s="9">
        <v>3.8575667655786502E-2</v>
      </c>
      <c r="AL165" s="9">
        <v>7.0702969428450228E-3</v>
      </c>
      <c r="AM165" s="9">
        <v>1.25506905870499E-2</v>
      </c>
      <c r="AN165" s="9">
        <v>1.9568258804563352E-2</v>
      </c>
      <c r="AO165" s="9">
        <v>1.15E-2</v>
      </c>
      <c r="AP165" s="9">
        <v>6.6734895427655542E-3</v>
      </c>
      <c r="AQ165" s="9">
        <v>6.7927704020638623E-3</v>
      </c>
      <c r="AR165" s="9">
        <v>1.611819523166479E-2</v>
      </c>
      <c r="AS165" s="9">
        <v>2.013038165143187E-2</v>
      </c>
      <c r="AT165" s="9">
        <v>1.7220069757053019E-2</v>
      </c>
      <c r="AU165" s="9">
        <v>8.6999999999999994E-3</v>
      </c>
      <c r="AV165" s="9">
        <v>5.1999999999999998E-3</v>
      </c>
      <c r="AW165" s="9">
        <v>1.43E-2</v>
      </c>
      <c r="AX165" s="9">
        <v>6.6E-3</v>
      </c>
      <c r="AY165" s="9">
        <v>2.5000000000000001E-3</v>
      </c>
      <c r="AZ165" s="9">
        <v>5.4999999999999997E-3</v>
      </c>
      <c r="BA165" s="9">
        <v>9.7999999999999997E-3</v>
      </c>
      <c r="BB165" s="9">
        <v>6.0000000000000001E-3</v>
      </c>
    </row>
    <row r="166" spans="1:56" x14ac:dyDescent="0.3">
      <c r="A166">
        <v>20260917</v>
      </c>
      <c r="B166" s="9">
        <v>-4.196391103650771E-3</v>
      </c>
      <c r="C166" s="9">
        <v>1.572052401746726E-2</v>
      </c>
      <c r="D166" s="9">
        <v>6.3492063492063553E-3</v>
      </c>
      <c r="E166" s="9">
        <v>-9.0791180285343786E-3</v>
      </c>
      <c r="F166" s="9">
        <v>4.192872117400423E-3</v>
      </c>
      <c r="G166" s="9">
        <v>0</v>
      </c>
      <c r="H166" s="9">
        <v>2.6058631921824001E-2</v>
      </c>
      <c r="I166" s="9">
        <v>1.5432098765432111E-3</v>
      </c>
      <c r="J166" s="9">
        <v>3.7037037037037069E-3</v>
      </c>
      <c r="K166" s="9">
        <v>-8.7796312554872767E-3</v>
      </c>
      <c r="L166" s="9">
        <v>-2.5670279520821411E-2</v>
      </c>
      <c r="M166" s="9">
        <v>-5.9400059400059463E-3</v>
      </c>
      <c r="N166" s="9">
        <v>9.2336103416446177E-4</v>
      </c>
      <c r="O166" s="9">
        <v>-1.1385199240986729E-2</v>
      </c>
      <c r="P166" s="9">
        <v>2.8653295128939862E-3</v>
      </c>
      <c r="Q166" s="9">
        <v>-1.100628930817611E-2</v>
      </c>
      <c r="R166" s="9">
        <v>-2.383790226460074E-3</v>
      </c>
      <c r="S166" s="9">
        <v>3.3869602032176151E-3</v>
      </c>
      <c r="T166" s="9">
        <v>3.6764705882352971E-3</v>
      </c>
      <c r="U166" s="9">
        <v>1.218026796589526E-3</v>
      </c>
      <c r="V166" s="9">
        <v>-1.746216530849762E-3</v>
      </c>
      <c r="W166" s="9">
        <v>-1.3877551020408271E-2</v>
      </c>
      <c r="X166" s="9">
        <v>5.9701492537313494E-3</v>
      </c>
      <c r="Y166" s="9">
        <v>1.081081081081082E-3</v>
      </c>
      <c r="Z166" s="9">
        <v>8.1300813008130159E-3</v>
      </c>
      <c r="AA166" s="9">
        <v>7.7720207253886078E-3</v>
      </c>
      <c r="AB166" s="9">
        <v>4.8426150121065421E-3</v>
      </c>
      <c r="AC166" s="9">
        <v>-1.5194681861348539E-2</v>
      </c>
      <c r="AD166" s="9">
        <v>1.134215500945181E-2</v>
      </c>
      <c r="AE166" s="9">
        <v>-6.2656641604010082E-3</v>
      </c>
      <c r="AF166" s="9">
        <v>-7.7041602465331349E-3</v>
      </c>
      <c r="AG166" s="9">
        <v>-3.7209302325581432E-3</v>
      </c>
      <c r="AH166" s="9">
        <v>2.4813895781637739E-3</v>
      </c>
      <c r="AI166" s="9">
        <v>-6.9565217391304411E-3</v>
      </c>
      <c r="AJ166" s="9">
        <v>-6.9444444444445612E-3</v>
      </c>
      <c r="AK166" s="9">
        <v>-5.7142857142857186E-3</v>
      </c>
      <c r="AL166" s="9">
        <v>-4.1105190383084484E-3</v>
      </c>
      <c r="AM166" s="9">
        <v>-3.332045063672723E-3</v>
      </c>
      <c r="AN166" s="9">
        <v>-3.9752388211412842E-3</v>
      </c>
      <c r="AO166" s="9">
        <v>-1.37E-2</v>
      </c>
      <c r="AP166" s="9">
        <v>-7.3531865052968801E-3</v>
      </c>
      <c r="AQ166" s="9">
        <v>-4.4890618150520414E-3</v>
      </c>
      <c r="AR166" s="9">
        <v>-3.7081552996237489E-3</v>
      </c>
      <c r="AS166" s="9">
        <v>-5.0879830540708814E-3</v>
      </c>
      <c r="AT166" s="9">
        <v>1.129260146019922E-2</v>
      </c>
      <c r="AU166" s="9">
        <v>-5.0000000000000001E-4</v>
      </c>
      <c r="AV166" s="9">
        <v>2.3E-3</v>
      </c>
      <c r="AW166" s="9">
        <v>-8.0000000000000004E-4</v>
      </c>
      <c r="AX166" s="9">
        <v>1.1999999999999999E-3</v>
      </c>
      <c r="AY166" s="9">
        <v>1.1999999999999999E-3</v>
      </c>
      <c r="AZ166" s="9">
        <v>5.0000000000000001E-3</v>
      </c>
      <c r="BA166" s="9">
        <v>5.7999999999999996E-3</v>
      </c>
      <c r="BB166" s="9">
        <v>1.1999999999999999E-3</v>
      </c>
    </row>
    <row r="167" spans="1:56" x14ac:dyDescent="0.3">
      <c r="A167">
        <v>20260918</v>
      </c>
      <c r="B167" s="9">
        <v>-3.1184155077960511E-2</v>
      </c>
      <c r="C167" s="9">
        <v>1.117798796216673E-2</v>
      </c>
      <c r="D167" s="9">
        <v>1.99789695057834E-2</v>
      </c>
      <c r="E167" s="9">
        <v>9.1623036649214739E-3</v>
      </c>
      <c r="F167" s="9">
        <v>4.1753653444676448E-3</v>
      </c>
      <c r="G167" s="9">
        <v>7.3529411764705959E-3</v>
      </c>
      <c r="H167" s="9">
        <v>-1.0582010582010589E-3</v>
      </c>
      <c r="I167" s="9">
        <v>4.6224961479198806E-3</v>
      </c>
      <c r="J167" s="9">
        <v>1.2915129151291531E-2</v>
      </c>
      <c r="K167" s="9">
        <v>7.9716563330379953E-3</v>
      </c>
      <c r="L167" s="9">
        <v>1.405152224824357E-2</v>
      </c>
      <c r="M167" s="9">
        <v>-2.390200179265015E-3</v>
      </c>
      <c r="N167" s="9">
        <v>1.014760147601467E-2</v>
      </c>
      <c r="O167" s="9">
        <v>1.43953934740882E-2</v>
      </c>
      <c r="P167" s="9">
        <v>1.0000000000000011E-2</v>
      </c>
      <c r="Q167" s="9">
        <v>-7.1542130365658957E-3</v>
      </c>
      <c r="R167" s="9">
        <v>-2.389486260454004E-3</v>
      </c>
      <c r="S167" s="9">
        <v>3.7974683544303743E-2</v>
      </c>
      <c r="T167" s="9">
        <v>0</v>
      </c>
      <c r="U167" s="9">
        <v>1.277372262773731E-2</v>
      </c>
      <c r="V167" s="9">
        <v>2.565597667638473E-2</v>
      </c>
      <c r="W167" s="9">
        <v>2.4834437086093662E-3</v>
      </c>
      <c r="X167" s="9">
        <v>8.9020771513353188E-3</v>
      </c>
      <c r="Y167" s="9">
        <v>2.159827213822896E-3</v>
      </c>
      <c r="Z167" s="9">
        <v>2.6881720430107559E-3</v>
      </c>
      <c r="AA167" s="9">
        <v>7.7120822622108046E-3</v>
      </c>
      <c r="AB167" s="9">
        <v>6.0240963855421751E-3</v>
      </c>
      <c r="AC167" s="9">
        <v>2.892960462873784E-3</v>
      </c>
      <c r="AD167" s="9">
        <v>9.3457943925223349E-4</v>
      </c>
      <c r="AE167" s="9">
        <v>2.7742749054224351E-2</v>
      </c>
      <c r="AF167" s="9">
        <v>2.3291925465838529E-2</v>
      </c>
      <c r="AG167" s="9">
        <v>8.4033613445379258E-3</v>
      </c>
      <c r="AH167" s="9">
        <v>8.6633663366335323E-3</v>
      </c>
      <c r="AI167" s="9">
        <v>1.5761821366024529E-2</v>
      </c>
      <c r="AJ167" s="9">
        <v>3.9960039960040002E-2</v>
      </c>
      <c r="AK167" s="9">
        <v>2.4904214559386999E-2</v>
      </c>
      <c r="AL167" s="9">
        <v>9.3578446095111834E-3</v>
      </c>
      <c r="AM167" s="9">
        <v>1.7223307240689888E-2</v>
      </c>
      <c r="AN167" s="9">
        <v>2.2546789113212569E-2</v>
      </c>
      <c r="AO167" s="9">
        <v>1.7899999999999999E-2</v>
      </c>
      <c r="AP167" s="9">
        <v>5.8158737346763658E-3</v>
      </c>
      <c r="AQ167" s="9">
        <v>1.059079547890257E-2</v>
      </c>
      <c r="AR167" s="9">
        <v>1.8894081877951541E-2</v>
      </c>
      <c r="AS167" s="9">
        <v>1.8383292121605121E-2</v>
      </c>
      <c r="AT167" s="9">
        <v>6.3111269595178968E-3</v>
      </c>
      <c r="AU167" s="9">
        <v>8.6E-3</v>
      </c>
      <c r="AV167" s="9">
        <v>6.3E-3</v>
      </c>
      <c r="AW167" s="9">
        <v>1.7299999999999999E-2</v>
      </c>
      <c r="AX167" s="9">
        <v>9.7000000000000003E-3</v>
      </c>
      <c r="AY167" s="9">
        <v>2.24E-2</v>
      </c>
      <c r="AZ167" s="9">
        <v>0.01</v>
      </c>
      <c r="BA167" s="9">
        <v>1.2200000000000001E-2</v>
      </c>
      <c r="BB167" s="9">
        <v>7.6E-3</v>
      </c>
    </row>
    <row r="168" spans="1:56" x14ac:dyDescent="0.3">
      <c r="A168">
        <v>20260921</v>
      </c>
      <c r="B168" s="9">
        <v>-2.174858634188731E-3</v>
      </c>
      <c r="C168" s="9">
        <v>1.2755102040816429E-2</v>
      </c>
      <c r="D168" s="9">
        <v>-2.061855670103095E-3</v>
      </c>
      <c r="E168" s="9">
        <v>1.037613488975358E-2</v>
      </c>
      <c r="F168" s="9">
        <v>2.7720027720027742E-3</v>
      </c>
      <c r="G168" s="9">
        <v>1.2165450121654511E-2</v>
      </c>
      <c r="H168" s="9">
        <v>2.2245762711864431E-2</v>
      </c>
      <c r="I168" s="9">
        <v>9.2024539877300689E-3</v>
      </c>
      <c r="J168" s="9">
        <v>1.6393442622950831E-2</v>
      </c>
      <c r="K168" s="9">
        <v>1.054481546572936E-2</v>
      </c>
      <c r="L168" s="9">
        <v>-1.7321016166281129E-3</v>
      </c>
      <c r="M168" s="9">
        <v>1.377657981431561E-2</v>
      </c>
      <c r="N168" s="9">
        <v>5.4794520547945258E-3</v>
      </c>
      <c r="O168" s="9">
        <v>1.040681173131516E-2</v>
      </c>
      <c r="P168" s="9">
        <v>-6.3649222065062933E-3</v>
      </c>
      <c r="Q168" s="9">
        <v>2.6421136909527559E-2</v>
      </c>
      <c r="R168" s="9">
        <v>4.790419161676651E-3</v>
      </c>
      <c r="S168" s="9">
        <v>4.2276422764227689E-2</v>
      </c>
      <c r="T168" s="9">
        <v>1.282051282051283E-2</v>
      </c>
      <c r="U168" s="9">
        <v>1.5015015015014959E-2</v>
      </c>
      <c r="V168" s="9">
        <v>-7.3905628197839116E-3</v>
      </c>
      <c r="W168" s="9">
        <v>0</v>
      </c>
      <c r="X168" s="9">
        <v>2.352941176470574E-2</v>
      </c>
      <c r="Y168" s="9">
        <v>2.0474137931034381E-2</v>
      </c>
      <c r="Z168" s="9">
        <v>3.4852546916890111E-2</v>
      </c>
      <c r="AA168" s="9">
        <v>3.5714285714285747E-2</v>
      </c>
      <c r="AB168" s="9">
        <v>4.0718562874251532E-2</v>
      </c>
      <c r="AC168" s="9">
        <v>-9.6153846153856914E-4</v>
      </c>
      <c r="AD168" s="9">
        <v>8.4033613445379258E-3</v>
      </c>
      <c r="AE168" s="9">
        <v>6.1349693251533813E-3</v>
      </c>
      <c r="AF168" s="9">
        <v>9.1047040971168509E-3</v>
      </c>
      <c r="AG168" s="9">
        <v>7.4074074074074138E-3</v>
      </c>
      <c r="AH168" s="9">
        <v>8.5889570552147316E-3</v>
      </c>
      <c r="AI168" s="9">
        <v>1.3793103448275879E-2</v>
      </c>
      <c r="AJ168" s="9">
        <v>2.8818443804035682E-3</v>
      </c>
      <c r="AK168" s="9">
        <v>1.0280373831775611E-2</v>
      </c>
      <c r="AL168" s="9">
        <v>9.7231478236373091E-3</v>
      </c>
      <c r="AM168" s="9">
        <v>6.5355435540401553E-3</v>
      </c>
      <c r="AN168" s="9">
        <v>7.9799541966083503E-3</v>
      </c>
      <c r="AO168" s="9">
        <v>1.3299999999999999E-2</v>
      </c>
      <c r="AP168" s="9">
        <v>9.0319231676730567E-3</v>
      </c>
      <c r="AQ168" s="9">
        <v>7.1376957811312173E-3</v>
      </c>
      <c r="AR168" s="9">
        <v>6.521733834742735E-3</v>
      </c>
      <c r="AS168" s="9">
        <v>1.0242606464389251E-2</v>
      </c>
      <c r="AT168" s="9">
        <v>3.1282707088880403E-2</v>
      </c>
      <c r="AU168" s="9">
        <v>3.2000000000000002E-3</v>
      </c>
      <c r="AV168" s="9">
        <v>1.21E-2</v>
      </c>
      <c r="AW168" s="9">
        <v>1.7999999999999999E-2</v>
      </c>
      <c r="AX168" s="9">
        <v>2.2700000000000001E-2</v>
      </c>
      <c r="AY168" s="9">
        <v>2.7400000000000001E-2</v>
      </c>
      <c r="AZ168" s="9">
        <v>2.64E-2</v>
      </c>
      <c r="BA168" s="9">
        <v>2.2800000000000001E-2</v>
      </c>
      <c r="BB168" s="9">
        <v>1.6299999999999999E-2</v>
      </c>
    </row>
    <row r="169" spans="1:56" x14ac:dyDescent="0.3">
      <c r="A169">
        <v>20260922</v>
      </c>
      <c r="B169" s="9">
        <v>1.2641673931996481E-2</v>
      </c>
      <c r="C169" s="9">
        <v>-4.1981528127624816E-3</v>
      </c>
      <c r="D169" s="9">
        <v>2.0661157024793411E-3</v>
      </c>
      <c r="E169" s="9">
        <v>-8.9858793324775425E-3</v>
      </c>
      <c r="F169" s="9">
        <v>-4.1465100207325536E-3</v>
      </c>
      <c r="G169" s="9">
        <v>-2.4038461538461561E-3</v>
      </c>
      <c r="H169" s="9">
        <v>-5.1813471502590728E-3</v>
      </c>
      <c r="I169" s="9">
        <v>0</v>
      </c>
      <c r="J169" s="9">
        <v>-8.9605734767025155E-3</v>
      </c>
      <c r="K169" s="9">
        <v>-1.043478260869566E-2</v>
      </c>
      <c r="L169" s="9">
        <v>2.313475997686526E-3</v>
      </c>
      <c r="M169" s="9">
        <v>-1.4771048744460539E-3</v>
      </c>
      <c r="N169" s="9">
        <v>-4.5413260672115289E-3</v>
      </c>
      <c r="O169" s="9">
        <v>9.3632958801487807E-4</v>
      </c>
      <c r="P169" s="9">
        <v>9.2526690391458357E-3</v>
      </c>
      <c r="Q169" s="9">
        <v>7.8003120124805064E-3</v>
      </c>
      <c r="R169" s="9">
        <v>0</v>
      </c>
      <c r="S169" s="9">
        <v>4.6801872074883032E-3</v>
      </c>
      <c r="T169" s="9">
        <v>-7.233273056057872E-3</v>
      </c>
      <c r="U169" s="9">
        <v>-6.5088757396449103E-3</v>
      </c>
      <c r="V169" s="9">
        <v>0</v>
      </c>
      <c r="W169" s="9">
        <v>-5.7803468208093454E-3</v>
      </c>
      <c r="X169" s="9">
        <v>0</v>
      </c>
      <c r="Y169" s="9">
        <v>-2.1119324181626208E-3</v>
      </c>
      <c r="Z169" s="9">
        <v>-5.1813471502590728E-3</v>
      </c>
      <c r="AA169" s="9">
        <v>-4.9261083743842408E-3</v>
      </c>
      <c r="AB169" s="9">
        <v>-2.3014959723820509E-3</v>
      </c>
      <c r="AC169" s="9">
        <v>-4.8123195380172217E-3</v>
      </c>
      <c r="AD169" s="9">
        <v>4.6296296296295296E-3</v>
      </c>
      <c r="AE169" s="9">
        <v>-3.6585365853658569E-3</v>
      </c>
      <c r="AF169" s="9">
        <v>1.3533834586466179E-2</v>
      </c>
      <c r="AG169" s="9">
        <v>7.3529411764705942E-3</v>
      </c>
      <c r="AH169" s="9">
        <v>1.7031630170316319E-2</v>
      </c>
      <c r="AI169" s="9">
        <v>-6.8027210884353808E-3</v>
      </c>
      <c r="AJ169" s="9">
        <v>6.7049808429117778E-3</v>
      </c>
      <c r="AK169" s="9">
        <v>-1.8501387604070319E-3</v>
      </c>
      <c r="AL169" s="9">
        <v>5.6226640272791261E-4</v>
      </c>
      <c r="AM169" s="9">
        <v>-4.5772693703292959E-4</v>
      </c>
      <c r="AN169" s="9">
        <v>1.0007089090144421E-4</v>
      </c>
      <c r="AO169" s="9">
        <v>-1.0800000000000001E-2</v>
      </c>
      <c r="AP169" s="9">
        <v>4.3036250442993317E-3</v>
      </c>
      <c r="AQ169" s="9">
        <v>1.106361512612055E-3</v>
      </c>
      <c r="AR169" s="9">
        <v>-2.7432335347646838E-3</v>
      </c>
      <c r="AS169" s="9">
        <v>-9.4044359405043472E-4</v>
      </c>
      <c r="AT169" s="9">
        <v>9.2888123536465014E-3</v>
      </c>
      <c r="AU169" s="9">
        <v>-4.4999999999999997E-3</v>
      </c>
      <c r="AV169" s="9">
        <v>-3.0000000000000001E-3</v>
      </c>
      <c r="AW169" s="9">
        <v>1.1999999999999999E-3</v>
      </c>
      <c r="AX169" s="9">
        <v>2.5999999999999999E-3</v>
      </c>
      <c r="AY169" s="9">
        <v>8.0000000000000002E-3</v>
      </c>
      <c r="AZ169" s="9">
        <v>0.01</v>
      </c>
      <c r="BA169" s="9">
        <v>5.3E-3</v>
      </c>
      <c r="BB169" s="9">
        <v>-1.8E-3</v>
      </c>
    </row>
    <row r="170" spans="1:56" x14ac:dyDescent="0.3">
      <c r="A170">
        <v>20260923</v>
      </c>
      <c r="B170" s="9">
        <v>-8.1790787774430173E-3</v>
      </c>
      <c r="C170" s="9">
        <v>-4.2158516020235192E-3</v>
      </c>
      <c r="D170" s="9">
        <v>-8.2474226804123783E-3</v>
      </c>
      <c r="E170" s="9">
        <v>3.8860103626943039E-3</v>
      </c>
      <c r="F170" s="9">
        <v>-1.0409437890353999E-2</v>
      </c>
      <c r="G170" s="9">
        <v>0</v>
      </c>
      <c r="H170" s="9">
        <v>-1.875000000000002E-2</v>
      </c>
      <c r="I170" s="9">
        <v>-3.0395136778115532E-3</v>
      </c>
      <c r="J170" s="9">
        <v>0</v>
      </c>
      <c r="K170" s="9">
        <v>-4.3936731107204691E-3</v>
      </c>
      <c r="L170" s="9">
        <v>-9.2325447201384962E-3</v>
      </c>
      <c r="M170" s="9">
        <v>-8.8757396449703572E-3</v>
      </c>
      <c r="N170" s="9">
        <v>9.1240875912398716E-4</v>
      </c>
      <c r="O170" s="9">
        <v>-3.741814780168386E-3</v>
      </c>
      <c r="P170" s="9">
        <v>0</v>
      </c>
      <c r="Q170" s="9">
        <v>-2.321981424148609E-2</v>
      </c>
      <c r="R170" s="9">
        <v>-7.1513706793802211E-3</v>
      </c>
      <c r="S170" s="9">
        <v>-2.329192546583939E-3</v>
      </c>
      <c r="T170" s="9">
        <v>-1.457194899817852E-2</v>
      </c>
      <c r="U170" s="9">
        <v>-1.131625967838007E-2</v>
      </c>
      <c r="V170" s="9">
        <v>-8.0183276059564799E-3</v>
      </c>
      <c r="W170" s="9">
        <v>-9.1362126245846335E-3</v>
      </c>
      <c r="X170" s="9">
        <v>2.8735632183908072E-3</v>
      </c>
      <c r="Y170" s="9">
        <v>-5.2910052910052968E-3</v>
      </c>
      <c r="Z170" s="9">
        <v>0</v>
      </c>
      <c r="AA170" s="9">
        <v>7.4257425742572944E-3</v>
      </c>
      <c r="AB170" s="9">
        <v>3.460207612456751E-3</v>
      </c>
      <c r="AC170" s="9">
        <v>-9.671179883945849E-3</v>
      </c>
      <c r="AD170" s="9">
        <v>-7.3732718894009286E-3</v>
      </c>
      <c r="AE170" s="9">
        <v>-3.6719706242350101E-3</v>
      </c>
      <c r="AF170" s="9">
        <v>-1.483679525222553E-2</v>
      </c>
      <c r="AG170" s="9">
        <v>-2.37226277372263E-2</v>
      </c>
      <c r="AH170" s="9">
        <v>-2.7511961722488071E-2</v>
      </c>
      <c r="AI170" s="9">
        <v>-1.54109589041096E-2</v>
      </c>
      <c r="AJ170" s="9">
        <v>0</v>
      </c>
      <c r="AK170" s="9">
        <v>-8.3410565338275233E-3</v>
      </c>
      <c r="AL170" s="9">
        <v>-3.9492648011400884E-3</v>
      </c>
      <c r="AM170" s="9">
        <v>-6.3878942620598086E-3</v>
      </c>
      <c r="AN170" s="9">
        <v>-5.9766230481215531E-3</v>
      </c>
      <c r="AO170" s="9">
        <v>2.5999999999999999E-2</v>
      </c>
      <c r="AP170" s="9">
        <v>-5.2667162463660086E-3</v>
      </c>
      <c r="AQ170" s="9">
        <v>-6.0090608893614526E-3</v>
      </c>
      <c r="AR170" s="9">
        <v>-4.7423509479695737E-3</v>
      </c>
      <c r="AS170" s="9">
        <v>-1.7364797227901079E-3</v>
      </c>
      <c r="AT170" s="9">
        <v>-3.9561380534317734E-3</v>
      </c>
      <c r="AU170" s="9">
        <v>-4.7000000000000002E-3</v>
      </c>
      <c r="AV170" s="9">
        <v>-9.7999999999999997E-3</v>
      </c>
      <c r="AW170" s="9">
        <v>-1.8E-3</v>
      </c>
      <c r="AX170" s="9">
        <v>-5.4999999999999997E-3</v>
      </c>
      <c r="AY170" s="9">
        <v>2.2000000000000001E-3</v>
      </c>
      <c r="AZ170" s="9">
        <v>3.0000000000000001E-3</v>
      </c>
      <c r="BA170" s="9">
        <v>-1.6999999999999999E-3</v>
      </c>
      <c r="BB170" s="9">
        <v>-8.6999999999999994E-3</v>
      </c>
    </row>
    <row r="171" spans="1:56" x14ac:dyDescent="0.3">
      <c r="A171">
        <v>20260924</v>
      </c>
      <c r="B171" s="9">
        <v>6.5104166666667207E-3</v>
      </c>
      <c r="C171" s="9">
        <v>-1.1007620660457341E-2</v>
      </c>
      <c r="D171" s="9">
        <v>-1.1434511434511451E-2</v>
      </c>
      <c r="E171" s="9">
        <v>-2.1935483870967758E-2</v>
      </c>
      <c r="F171" s="9">
        <v>-1.192145862552588E-2</v>
      </c>
      <c r="G171" s="9">
        <v>-1.686746987951809E-2</v>
      </c>
      <c r="H171" s="9">
        <v>-2.8662420382165519E-2</v>
      </c>
      <c r="I171" s="9">
        <v>-1.52439024390244E-2</v>
      </c>
      <c r="J171" s="9">
        <v>-1.808318264014468E-2</v>
      </c>
      <c r="K171" s="9">
        <v>-1.0591350397175649E-2</v>
      </c>
      <c r="L171" s="9">
        <v>-3.4362259755387398E-2</v>
      </c>
      <c r="M171" s="9">
        <v>2.0895522388060051E-3</v>
      </c>
      <c r="N171" s="9">
        <v>-1.7319963536918781E-2</v>
      </c>
      <c r="O171" s="9">
        <v>-1.7840375586854369E-2</v>
      </c>
      <c r="P171" s="9">
        <v>-2.8208744710860388E-3</v>
      </c>
      <c r="Q171" s="9">
        <v>3.169572107765454E-3</v>
      </c>
      <c r="R171" s="9">
        <v>7.2028811524609913E-3</v>
      </c>
      <c r="S171" s="9">
        <v>-2.178988326848251E-2</v>
      </c>
      <c r="T171" s="9">
        <v>-1.6635859519408519E-2</v>
      </c>
      <c r="U171" s="9">
        <v>-1.8072289156626519E-2</v>
      </c>
      <c r="V171" s="9">
        <v>-2.136258660508079E-2</v>
      </c>
      <c r="W171" s="9">
        <v>0</v>
      </c>
      <c r="X171" s="9">
        <v>-2.292263610315173E-2</v>
      </c>
      <c r="Y171" s="9">
        <v>-1.8085106382978621E-2</v>
      </c>
      <c r="Z171" s="9">
        <v>-2.3437500000000021E-2</v>
      </c>
      <c r="AA171" s="9">
        <v>-2.7027027027026921E-2</v>
      </c>
      <c r="AB171" s="9">
        <v>-3.3333333333333361E-2</v>
      </c>
      <c r="AC171" s="9">
        <v>0</v>
      </c>
      <c r="AD171" s="9">
        <v>-7.4280408542247061E-3</v>
      </c>
      <c r="AE171" s="9">
        <v>-2.7027027027026921E-2</v>
      </c>
      <c r="AF171" s="9">
        <v>-1.8072289156626519E-2</v>
      </c>
      <c r="AG171" s="9">
        <v>-9.3457943925233725E-3</v>
      </c>
      <c r="AH171" s="9">
        <v>-1.3530135301352889E-2</v>
      </c>
      <c r="AI171" s="9">
        <v>-1.8260869565217309E-2</v>
      </c>
      <c r="AJ171" s="9">
        <v>-2.6641294005708881E-2</v>
      </c>
      <c r="AK171" s="9">
        <v>-2.9906542056074788E-2</v>
      </c>
      <c r="AL171" s="9">
        <v>-1.223065042220035E-2</v>
      </c>
      <c r="AM171" s="9">
        <v>-2.3401258573767889E-2</v>
      </c>
      <c r="AN171" s="9">
        <v>-2.6826320196709059E-2</v>
      </c>
      <c r="AO171" s="9">
        <v>-1.7000000000000001E-2</v>
      </c>
      <c r="AP171" s="9">
        <v>-1.422628311292734E-2</v>
      </c>
      <c r="AQ171" s="9">
        <v>-1.7296588786432868E-2</v>
      </c>
      <c r="AR171" s="9">
        <v>-2.1529011978722319E-2</v>
      </c>
      <c r="AS171" s="9">
        <v>-2.2646915819363761E-2</v>
      </c>
      <c r="AT171" s="9">
        <v>-9.9960657700790705E-4</v>
      </c>
      <c r="AU171" s="9">
        <v>-1.4800000000000001E-2</v>
      </c>
      <c r="AV171" s="9">
        <v>-6.1999999999999998E-3</v>
      </c>
      <c r="AW171" s="9">
        <v>-1.54E-2</v>
      </c>
      <c r="AX171" s="9">
        <v>-6.6E-3</v>
      </c>
      <c r="AY171" s="9">
        <v>-1.6899999999999998E-2</v>
      </c>
      <c r="AZ171" s="9">
        <v>-2E-3</v>
      </c>
      <c r="BA171" s="9">
        <v>8.0000000000000004E-4</v>
      </c>
      <c r="BB171" s="9">
        <v>-6.6E-3</v>
      </c>
    </row>
    <row r="172" spans="1:56" x14ac:dyDescent="0.3">
      <c r="A172">
        <v>20260928</v>
      </c>
      <c r="B172" s="9">
        <v>-2.3717119448038022E-2</v>
      </c>
      <c r="C172" s="9">
        <v>-2.5684931506849341E-2</v>
      </c>
      <c r="D172" s="9">
        <v>-2.3133543638275401E-2</v>
      </c>
      <c r="E172" s="9">
        <v>-2.1108179419525089E-2</v>
      </c>
      <c r="F172" s="9">
        <v>-1.9162526614620388E-2</v>
      </c>
      <c r="G172" s="9">
        <v>-4.9019607843135936E-3</v>
      </c>
      <c r="H172" s="9">
        <v>-2.841530054644811E-2</v>
      </c>
      <c r="I172" s="9">
        <v>-1.547987616099073E-3</v>
      </c>
      <c r="J172" s="9">
        <v>-1.2891344383057101E-2</v>
      </c>
      <c r="K172" s="9">
        <v>-1.516503122212302E-2</v>
      </c>
      <c r="L172" s="9">
        <v>-3.9203860072376327E-2</v>
      </c>
      <c r="M172" s="9">
        <v>-4.4682752457551756E-3</v>
      </c>
      <c r="N172" s="9">
        <v>-2.226345083487942E-2</v>
      </c>
      <c r="O172" s="9">
        <v>-2.0076481835564181E-2</v>
      </c>
      <c r="P172" s="9">
        <v>-1.555869872701557E-2</v>
      </c>
      <c r="Q172" s="9">
        <v>-1.5797788309636659E-3</v>
      </c>
      <c r="R172" s="9">
        <v>-4.7675804529201471E-3</v>
      </c>
      <c r="S172" s="9">
        <v>-1.1933174224343601E-2</v>
      </c>
      <c r="T172" s="9">
        <v>7.5187969924812104E-3</v>
      </c>
      <c r="U172" s="9">
        <v>-4.6012269938650277E-2</v>
      </c>
      <c r="V172" s="9">
        <v>-2.890855457227148E-2</v>
      </c>
      <c r="W172" s="9">
        <v>3.3528918692372202E-3</v>
      </c>
      <c r="X172" s="9">
        <v>-2.932551319648096E-3</v>
      </c>
      <c r="Y172" s="9">
        <v>1.083423618634887E-3</v>
      </c>
      <c r="Z172" s="9">
        <v>2.66666666666667E-3</v>
      </c>
      <c r="AA172" s="9">
        <v>-5.0505050505050544E-3</v>
      </c>
      <c r="AB172" s="9">
        <v>4.7562425683709917E-3</v>
      </c>
      <c r="AC172" s="9">
        <v>5.8593750000000061E-3</v>
      </c>
      <c r="AD172" s="9">
        <v>-1.1225444340505149E-2</v>
      </c>
      <c r="AE172" s="9">
        <v>-2.651515151515154E-2</v>
      </c>
      <c r="AF172" s="9">
        <v>-2.300613496932517E-2</v>
      </c>
      <c r="AG172" s="9">
        <v>-3.018867924528304E-2</v>
      </c>
      <c r="AH172" s="9">
        <v>-2.4937655860349149E-2</v>
      </c>
      <c r="AI172" s="9">
        <v>-2.745792736935334E-2</v>
      </c>
      <c r="AJ172" s="9">
        <v>-4.2033235581622613E-2</v>
      </c>
      <c r="AK172" s="9">
        <v>-6.8400770712909495E-2</v>
      </c>
      <c r="AL172" s="9">
        <v>-1.665307915339409E-2</v>
      </c>
      <c r="AM172" s="9">
        <v>-3.4408510344320048E-2</v>
      </c>
      <c r="AN172" s="9">
        <v>-4.5340637796645017E-2</v>
      </c>
      <c r="AO172" s="9">
        <v>-2.76E-2</v>
      </c>
      <c r="AP172" s="9">
        <v>-1.2594033298120789E-2</v>
      </c>
      <c r="AQ172" s="9">
        <v>-2.2164200538617351E-2</v>
      </c>
      <c r="AR172" s="9">
        <v>-2.90882975042451E-2</v>
      </c>
      <c r="AS172" s="9">
        <v>-3.6455272653297927E-2</v>
      </c>
      <c r="AT172" s="9">
        <v>-6.3280697572398268E-3</v>
      </c>
      <c r="AU172" s="9">
        <v>-5.7000000000000002E-3</v>
      </c>
      <c r="AV172" s="9">
        <v>-1.9199999999999998E-2</v>
      </c>
      <c r="AW172" s="9">
        <v>-2.4299999999999999E-2</v>
      </c>
      <c r="AX172" s="9">
        <v>-7.7999999999999996E-3</v>
      </c>
      <c r="AY172" s="9">
        <v>-1.15E-2</v>
      </c>
      <c r="AZ172" s="9">
        <v>-7.0000000000000001E-3</v>
      </c>
      <c r="BA172" s="9">
        <v>-8.0000000000000002E-3</v>
      </c>
      <c r="BB172" s="9">
        <v>-6.7000000000000002E-3</v>
      </c>
    </row>
    <row r="173" spans="1:56" x14ac:dyDescent="0.3">
      <c r="A173">
        <v>20260929</v>
      </c>
      <c r="B173" s="9">
        <v>-8.8339222614831285E-4</v>
      </c>
      <c r="C173" s="9">
        <v>8.7873462214421098E-4</v>
      </c>
      <c r="D173" s="9">
        <v>3.229278794402587E-3</v>
      </c>
      <c r="E173" s="9">
        <v>-9.4339622641509517E-3</v>
      </c>
      <c r="F173" s="9">
        <v>3.617945007235974E-3</v>
      </c>
      <c r="G173" s="9">
        <v>-2.46305418719212E-3</v>
      </c>
      <c r="H173" s="9">
        <v>-4.4994375703037159E-3</v>
      </c>
      <c r="I173" s="9">
        <v>3.100775193798453E-3</v>
      </c>
      <c r="J173" s="9">
        <v>3.731343283582093E-3</v>
      </c>
      <c r="K173" s="9">
        <v>8.1521739130433844E-3</v>
      </c>
      <c r="L173" s="9">
        <v>1.6321406151914641E-2</v>
      </c>
      <c r="M173" s="9">
        <v>-5.0867743865948244E-3</v>
      </c>
      <c r="N173" s="9">
        <v>1.0436432637571059E-2</v>
      </c>
      <c r="O173" s="9">
        <v>0</v>
      </c>
      <c r="P173" s="9">
        <v>2.8735632183908072E-3</v>
      </c>
      <c r="Q173" s="9">
        <v>-1.5031645569620181E-2</v>
      </c>
      <c r="R173" s="9">
        <v>7.1856287425149769E-3</v>
      </c>
      <c r="S173" s="9">
        <v>4.4283413848631187E-2</v>
      </c>
      <c r="T173" s="9">
        <v>1.865671641791046E-3</v>
      </c>
      <c r="U173" s="9">
        <v>-1.929260450160702E-3</v>
      </c>
      <c r="V173" s="9">
        <v>1.6403402187120379E-2</v>
      </c>
      <c r="W173" s="9">
        <v>-3.3416875522138709E-3</v>
      </c>
      <c r="X173" s="9">
        <v>-2.9411764705882379E-3</v>
      </c>
      <c r="Y173" s="9">
        <v>-5.4112554112554171E-3</v>
      </c>
      <c r="Z173" s="9">
        <v>2.6595744680851089E-3</v>
      </c>
      <c r="AA173" s="9">
        <v>2.5380710659898501E-3</v>
      </c>
      <c r="AB173" s="9">
        <v>-1.183431952662723E-3</v>
      </c>
      <c r="AC173" s="9">
        <v>-2.9126213592234108E-3</v>
      </c>
      <c r="AD173" s="9">
        <v>9.4607379375601889E-4</v>
      </c>
      <c r="AE173" s="9">
        <v>1.2970168612191971E-3</v>
      </c>
      <c r="AF173" s="9">
        <v>6.2794348508634279E-3</v>
      </c>
      <c r="AG173" s="9">
        <v>9.7276264591439777E-3</v>
      </c>
      <c r="AH173" s="9">
        <v>1.6624040920716131E-2</v>
      </c>
      <c r="AI173" s="9">
        <v>3.6429872495446301E-3</v>
      </c>
      <c r="AJ173" s="9">
        <v>5.1020408163265354E-3</v>
      </c>
      <c r="AK173" s="9">
        <v>9.3071354705274133E-3</v>
      </c>
      <c r="AL173" s="9">
        <v>1.786369517271672E-3</v>
      </c>
      <c r="AM173" s="9">
        <v>3.3593700787401429E-3</v>
      </c>
      <c r="AN173" s="9">
        <v>8.7202312230786239E-4</v>
      </c>
      <c r="AO173" s="9">
        <v>5.5999999999999999E-3</v>
      </c>
      <c r="AP173" s="9">
        <v>1.1315521060116099E-3</v>
      </c>
      <c r="AQ173" s="9">
        <v>1.026088779486454E-3</v>
      </c>
      <c r="AR173" s="9">
        <v>5.0433547973973251E-3</v>
      </c>
      <c r="AS173" s="9">
        <v>4.2744530462877958E-3</v>
      </c>
      <c r="AT173" s="9">
        <v>1.6676598301005079E-2</v>
      </c>
      <c r="AU173" s="9">
        <v>1.2999999999999999E-3</v>
      </c>
      <c r="AV173" s="9">
        <v>5.1999999999999998E-3</v>
      </c>
      <c r="AW173" s="9">
        <v>6.3E-3</v>
      </c>
      <c r="AX173" s="9">
        <v>5.0000000000000001E-3</v>
      </c>
      <c r="AY173" s="9">
        <v>0</v>
      </c>
      <c r="AZ173" s="9">
        <v>6.0000000000000001E-3</v>
      </c>
      <c r="BA173" s="9">
        <v>9.9000000000000008E-3</v>
      </c>
      <c r="BB173" s="9">
        <v>8.9999999999999993E-3</v>
      </c>
    </row>
    <row r="174" spans="1:56" x14ac:dyDescent="0.3">
      <c r="A174">
        <v>20260930</v>
      </c>
      <c r="B174" s="9">
        <v>2.2104332449159559E-3</v>
      </c>
      <c r="C174" s="9">
        <v>0</v>
      </c>
      <c r="D174" s="9">
        <v>-2.145922746781118E-3</v>
      </c>
      <c r="E174" s="9">
        <v>6.80272108843538E-3</v>
      </c>
      <c r="F174" s="9">
        <v>1.0093727469358341E-2</v>
      </c>
      <c r="G174" s="9">
        <v>2.962962962962952E-2</v>
      </c>
      <c r="H174" s="9">
        <v>2.4858757062146922E-2</v>
      </c>
      <c r="I174" s="9">
        <v>1.700154559505411E-2</v>
      </c>
      <c r="J174" s="9">
        <v>9.2936802973977769E-3</v>
      </c>
      <c r="K174" s="9">
        <v>1.2578616352201271E-2</v>
      </c>
      <c r="L174" s="9">
        <v>1.235330450895616E-3</v>
      </c>
      <c r="M174" s="9">
        <v>1.293233082706758E-2</v>
      </c>
      <c r="N174" s="9">
        <v>4.6948356807512822E-3</v>
      </c>
      <c r="O174" s="9">
        <v>3.9024390243902478E-3</v>
      </c>
      <c r="P174" s="9">
        <v>-7.1633237822341686E-4</v>
      </c>
      <c r="Q174" s="9">
        <v>8.835341365461765E-3</v>
      </c>
      <c r="R174" s="9">
        <v>1.426872770511297E-2</v>
      </c>
      <c r="S174" s="9">
        <v>2.3130300693909901E-3</v>
      </c>
      <c r="T174" s="9">
        <v>9.3109869646182571E-3</v>
      </c>
      <c r="U174" s="9">
        <v>-6.4432989690728858E-4</v>
      </c>
      <c r="V174" s="9">
        <v>-2.9886431560072419E-3</v>
      </c>
      <c r="W174" s="9">
        <v>7.5440067057836518E-3</v>
      </c>
      <c r="X174" s="9">
        <v>2.949852507374617E-2</v>
      </c>
      <c r="Y174" s="9">
        <v>1.9586507072905351E-2</v>
      </c>
      <c r="Z174" s="9">
        <v>2.9177718832891279E-2</v>
      </c>
      <c r="AA174" s="9">
        <v>3.7974683544303688E-2</v>
      </c>
      <c r="AB174" s="9">
        <v>3.3175355450236997E-2</v>
      </c>
      <c r="AC174" s="9">
        <v>5.8422590068159764E-3</v>
      </c>
      <c r="AD174" s="9">
        <v>9.4517958412098386E-3</v>
      </c>
      <c r="AE174" s="9">
        <v>5.1813471502590728E-3</v>
      </c>
      <c r="AF174" s="9">
        <v>-9.3603744149766063E-3</v>
      </c>
      <c r="AG174" s="9">
        <v>0</v>
      </c>
      <c r="AH174" s="9">
        <v>-6.2893081761006336E-3</v>
      </c>
      <c r="AI174" s="9">
        <v>-9.0744101633403974E-4</v>
      </c>
      <c r="AJ174" s="9">
        <v>-3.0456852791878201E-2</v>
      </c>
      <c r="AK174" s="9">
        <v>-1.1270491803278699E-2</v>
      </c>
      <c r="AL174" s="9">
        <v>3.0658530810078999E-3</v>
      </c>
      <c r="AM174" s="9">
        <v>-1.110677068195167E-3</v>
      </c>
      <c r="AN174" s="9">
        <v>-2.3186170014729882E-3</v>
      </c>
      <c r="AO174" s="9">
        <v>7.0000000000000001E-3</v>
      </c>
      <c r="AP174" s="9">
        <v>4.6848583172871324E-3</v>
      </c>
      <c r="AQ174" s="9">
        <v>2.8552596664511319E-3</v>
      </c>
      <c r="AR174" s="9">
        <v>-5.9988222527828945E-4</v>
      </c>
      <c r="AS174" s="9">
        <v>-3.6218327801857781E-3</v>
      </c>
      <c r="AT174" s="9">
        <v>-3.4032041680594951E-3</v>
      </c>
      <c r="AU174" s="9">
        <v>-4.0000000000000001E-3</v>
      </c>
      <c r="AV174" s="9">
        <v>2.5000000000000001E-3</v>
      </c>
      <c r="AW174" s="9">
        <v>-6.9999999999999999E-4</v>
      </c>
      <c r="AX174" s="9">
        <v>3.0000000000000001E-3</v>
      </c>
      <c r="AY174" s="9">
        <v>1.2999999999999999E-2</v>
      </c>
      <c r="AZ174" s="9">
        <v>1.5E-3</v>
      </c>
      <c r="BA174" s="9">
        <v>-1E-3</v>
      </c>
      <c r="BB174" s="9">
        <v>4.3E-3</v>
      </c>
    </row>
    <row r="175" spans="1:56" x14ac:dyDescent="0.3">
      <c r="A175" s="295" t="s">
        <v>14154</v>
      </c>
      <c r="B175" s="347">
        <f>SUM(B176:B192)</f>
        <v>0</v>
      </c>
      <c r="C175" s="347">
        <f t="shared" ref="C175:BD175" si="16">SUM(C176:C192)</f>
        <v>0</v>
      </c>
      <c r="D175" s="347">
        <f t="shared" si="16"/>
        <v>0</v>
      </c>
      <c r="E175" s="347">
        <f t="shared" si="16"/>
        <v>0</v>
      </c>
      <c r="F175" s="347">
        <f t="shared" si="16"/>
        <v>0</v>
      </c>
      <c r="G175" s="347">
        <f t="shared" si="16"/>
        <v>0</v>
      </c>
      <c r="H175" s="347">
        <f t="shared" si="16"/>
        <v>0</v>
      </c>
      <c r="I175" s="347">
        <f t="shared" si="16"/>
        <v>0</v>
      </c>
      <c r="J175" s="347">
        <f t="shared" si="16"/>
        <v>0</v>
      </c>
      <c r="K175" s="347">
        <f t="shared" si="16"/>
        <v>0</v>
      </c>
      <c r="L175" s="347">
        <f t="shared" si="16"/>
        <v>0</v>
      </c>
      <c r="M175" s="347">
        <f t="shared" si="16"/>
        <v>0</v>
      </c>
      <c r="N175" s="347">
        <f t="shared" si="16"/>
        <v>0</v>
      </c>
      <c r="O175" s="347">
        <f t="shared" si="16"/>
        <v>0</v>
      </c>
      <c r="P175" s="347">
        <f t="shared" si="16"/>
        <v>0</v>
      </c>
      <c r="Q175" s="347">
        <f t="shared" si="16"/>
        <v>0</v>
      </c>
      <c r="R175" s="347">
        <f t="shared" si="16"/>
        <v>0</v>
      </c>
      <c r="S175" s="347">
        <f t="shared" si="16"/>
        <v>0</v>
      </c>
      <c r="T175" s="347">
        <f t="shared" si="16"/>
        <v>0</v>
      </c>
      <c r="U175" s="347">
        <f t="shared" si="16"/>
        <v>0</v>
      </c>
      <c r="V175" s="347">
        <f t="shared" si="16"/>
        <v>0</v>
      </c>
      <c r="W175" s="347">
        <f t="shared" si="16"/>
        <v>0</v>
      </c>
      <c r="X175" s="347">
        <f t="shared" si="16"/>
        <v>0</v>
      </c>
      <c r="Y175" s="347">
        <f t="shared" si="16"/>
        <v>0</v>
      </c>
      <c r="Z175" s="347">
        <f t="shared" si="16"/>
        <v>0</v>
      </c>
      <c r="AA175" s="347">
        <f t="shared" si="16"/>
        <v>0</v>
      </c>
      <c r="AB175" s="347">
        <f t="shared" si="16"/>
        <v>0</v>
      </c>
      <c r="AC175" s="347">
        <f t="shared" si="16"/>
        <v>0</v>
      </c>
      <c r="AD175" s="347">
        <f t="shared" si="16"/>
        <v>0</v>
      </c>
      <c r="AE175" s="347">
        <f t="shared" si="16"/>
        <v>0</v>
      </c>
      <c r="AF175" s="347">
        <f t="shared" si="16"/>
        <v>0</v>
      </c>
      <c r="AG175" s="347">
        <f t="shared" si="16"/>
        <v>0</v>
      </c>
      <c r="AH175" s="347">
        <f t="shared" si="16"/>
        <v>0</v>
      </c>
      <c r="AI175" s="347">
        <f t="shared" si="16"/>
        <v>0</v>
      </c>
      <c r="AJ175" s="347">
        <f t="shared" si="16"/>
        <v>0</v>
      </c>
      <c r="AK175" s="347">
        <f t="shared" si="16"/>
        <v>0</v>
      </c>
      <c r="AL175" s="347">
        <f t="shared" si="16"/>
        <v>0</v>
      </c>
      <c r="AM175" s="347">
        <f t="shared" si="16"/>
        <v>0</v>
      </c>
      <c r="AN175" s="347">
        <f t="shared" si="16"/>
        <v>0</v>
      </c>
      <c r="AO175" s="347">
        <f t="shared" si="16"/>
        <v>0</v>
      </c>
      <c r="AP175" s="347">
        <f t="shared" si="16"/>
        <v>0</v>
      </c>
      <c r="AQ175" s="347">
        <f t="shared" si="16"/>
        <v>0</v>
      </c>
      <c r="AR175" s="347">
        <f t="shared" si="16"/>
        <v>0</v>
      </c>
      <c r="AS175" s="347">
        <f t="shared" si="16"/>
        <v>0</v>
      </c>
      <c r="AT175" s="347">
        <f t="shared" si="16"/>
        <v>0</v>
      </c>
      <c r="AU175" s="347">
        <f t="shared" si="16"/>
        <v>0</v>
      </c>
      <c r="AV175" s="347">
        <f t="shared" si="16"/>
        <v>0</v>
      </c>
      <c r="AW175" s="347">
        <f t="shared" si="16"/>
        <v>0</v>
      </c>
      <c r="AX175" s="347">
        <f t="shared" si="16"/>
        <v>0</v>
      </c>
      <c r="AY175" s="347">
        <f t="shared" si="16"/>
        <v>0</v>
      </c>
      <c r="AZ175" s="347">
        <f t="shared" si="16"/>
        <v>0</v>
      </c>
      <c r="BA175" s="347">
        <f t="shared" si="16"/>
        <v>0</v>
      </c>
      <c r="BB175" s="347">
        <f t="shared" si="16"/>
        <v>0</v>
      </c>
      <c r="BC175" s="347">
        <f t="shared" si="16"/>
        <v>0</v>
      </c>
      <c r="BD175" s="347">
        <f t="shared" si="16"/>
        <v>0</v>
      </c>
    </row>
    <row r="176" spans="1:56" x14ac:dyDescent="0.3">
      <c r="A176" s="350">
        <v>20261008</v>
      </c>
    </row>
    <row r="177" spans="1:1" x14ac:dyDescent="0.3">
      <c r="A177" s="350">
        <v>20261009</v>
      </c>
    </row>
    <row r="178" spans="1:1" x14ac:dyDescent="0.3">
      <c r="A178" s="350">
        <v>20261012</v>
      </c>
    </row>
    <row r="179" spans="1:1" x14ac:dyDescent="0.3">
      <c r="A179" s="350">
        <v>20261013</v>
      </c>
    </row>
    <row r="180" spans="1:1" x14ac:dyDescent="0.3">
      <c r="A180" s="350">
        <v>20261014</v>
      </c>
    </row>
    <row r="181" spans="1:1" x14ac:dyDescent="0.3">
      <c r="A181" s="350">
        <v>20261015</v>
      </c>
    </row>
    <row r="182" spans="1:1" x14ac:dyDescent="0.3">
      <c r="A182" s="350">
        <v>20261016</v>
      </c>
    </row>
    <row r="183" spans="1:1" x14ac:dyDescent="0.3">
      <c r="A183" s="350">
        <v>20261019</v>
      </c>
    </row>
    <row r="184" spans="1:1" x14ac:dyDescent="0.3">
      <c r="A184" s="350">
        <v>20261020</v>
      </c>
    </row>
    <row r="185" spans="1:1" x14ac:dyDescent="0.3">
      <c r="A185" s="350">
        <v>20261021</v>
      </c>
    </row>
    <row r="186" spans="1:1" x14ac:dyDescent="0.3">
      <c r="A186" s="350">
        <v>20261022</v>
      </c>
    </row>
    <row r="187" spans="1:1" x14ac:dyDescent="0.3">
      <c r="A187" s="350">
        <v>20261023</v>
      </c>
    </row>
    <row r="188" spans="1:1" x14ac:dyDescent="0.3">
      <c r="A188" s="350">
        <v>20261026</v>
      </c>
    </row>
    <row r="189" spans="1:1" x14ac:dyDescent="0.3">
      <c r="A189" s="350">
        <v>20261027</v>
      </c>
    </row>
    <row r="190" spans="1:1" x14ac:dyDescent="0.3">
      <c r="A190" s="350">
        <v>20261028</v>
      </c>
    </row>
    <row r="191" spans="1:1" x14ac:dyDescent="0.3">
      <c r="A191" s="350">
        <v>20261029</v>
      </c>
    </row>
    <row r="192" spans="1:1" x14ac:dyDescent="0.3">
      <c r="A192" s="350">
        <v>20261030</v>
      </c>
    </row>
  </sheetData>
  <phoneticPr fontId="16" type="noConversion"/>
  <conditionalFormatting sqref="B7:AP20 B22:AQ23 AS22:AS23 AR23 B132:BB152 B154:BB174">
    <cfRule type="cellIs" dxfId="82" priority="251" operator="lessThan">
      <formula>0</formula>
    </cfRule>
    <cfRule type="cellIs" dxfId="81" priority="249" operator="greaterThan">
      <formula>0.03</formula>
    </cfRule>
    <cfRule type="cellIs" dxfId="80" priority="250" operator="greaterThan">
      <formula>3</formula>
    </cfRule>
  </conditionalFormatting>
  <conditionalFormatting sqref="B24:AS43">
    <cfRule type="cellIs" dxfId="79" priority="199" operator="greaterThan">
      <formula>0.03</formula>
    </cfRule>
    <cfRule type="cellIs" dxfId="78" priority="201" operator="lessThan">
      <formula>0</formula>
    </cfRule>
    <cfRule type="cellIs" dxfId="77" priority="200" operator="greaterThan">
      <formula>3</formula>
    </cfRule>
  </conditionalFormatting>
  <conditionalFormatting sqref="B45:AS65">
    <cfRule type="cellIs" dxfId="76" priority="89" operator="greaterThan">
      <formula>0.03</formula>
    </cfRule>
    <cfRule type="cellIs" dxfId="75" priority="91" operator="lessThan">
      <formula>0</formula>
    </cfRule>
    <cfRule type="cellIs" dxfId="74" priority="90" operator="greaterThan">
      <formula>3</formula>
    </cfRule>
  </conditionalFormatting>
  <conditionalFormatting sqref="B67:AS84 B86:AS106">
    <cfRule type="cellIs" dxfId="73" priority="25" operator="greaterThan">
      <formula>0.03</formula>
    </cfRule>
    <cfRule type="cellIs" dxfId="72" priority="26" operator="greaterThan">
      <formula>3</formula>
    </cfRule>
  </conditionalFormatting>
  <conditionalFormatting sqref="B108:AS130">
    <cfRule type="cellIs" dxfId="71" priority="13" operator="greaterThan">
      <formula>0.03</formula>
    </cfRule>
    <cfRule type="cellIs" dxfId="70" priority="14" operator="greaterThan">
      <formula>3</formula>
    </cfRule>
  </conditionalFormatting>
  <conditionalFormatting sqref="B67:AU70 AX67:BB70 B86:BB106 B108:BB130">
    <cfRule type="cellIs" dxfId="69" priority="77" operator="lessThan">
      <formula>0</formula>
    </cfRule>
  </conditionalFormatting>
  <conditionalFormatting sqref="B2:BA3 AT5:BA6">
    <cfRule type="cellIs" dxfId="68" priority="170" operator="greaterThan">
      <formula>0</formula>
    </cfRule>
    <cfRule type="cellIs" dxfId="67" priority="169" operator="lessThan">
      <formula>0</formula>
    </cfRule>
  </conditionalFormatting>
  <conditionalFormatting sqref="B21:BA21">
    <cfRule type="cellIs" dxfId="66" priority="232" operator="greaterThan">
      <formula>0</formula>
    </cfRule>
    <cfRule type="cellIs" dxfId="65" priority="231" operator="lessThan">
      <formula>0</formula>
    </cfRule>
  </conditionalFormatting>
  <conditionalFormatting sqref="B5:AQ6 AR5:AS20 B4:BD4">
    <cfRule type="cellIs" dxfId="64" priority="238" operator="lessThan">
      <formula>0</formula>
    </cfRule>
    <cfRule type="cellIs" dxfId="63" priority="239" operator="greaterThan">
      <formula>0</formula>
    </cfRule>
  </conditionalFormatting>
  <conditionalFormatting sqref="B44:BB44">
    <cfRule type="cellIs" dxfId="62" priority="198" operator="greaterThan">
      <formula>0</formula>
    </cfRule>
    <cfRule type="cellIs" dxfId="61" priority="197" operator="lessThan">
      <formula>0</formula>
    </cfRule>
  </conditionalFormatting>
  <conditionalFormatting sqref="B66:BB66">
    <cfRule type="cellIs" dxfId="60" priority="88" operator="greaterThan">
      <formula>0</formula>
    </cfRule>
    <cfRule type="cellIs" dxfId="59" priority="87" operator="lessThan">
      <formula>0</formula>
    </cfRule>
  </conditionalFormatting>
  <conditionalFormatting sqref="B71:BB84">
    <cfRule type="cellIs" dxfId="58" priority="49" operator="lessThan">
      <formula>0</formula>
    </cfRule>
  </conditionalFormatting>
  <conditionalFormatting sqref="B85:BB85">
    <cfRule type="cellIs" dxfId="57" priority="23" operator="lessThan">
      <formula>0</formula>
    </cfRule>
    <cfRule type="cellIs" dxfId="56" priority="24" operator="greaterThan">
      <formula>0</formula>
    </cfRule>
  </conditionalFormatting>
  <conditionalFormatting sqref="B107:BB107">
    <cfRule type="cellIs" dxfId="55" priority="16" operator="greaterThan">
      <formula>0</formula>
    </cfRule>
    <cfRule type="cellIs" dxfId="54" priority="15" operator="lessThan">
      <formula>0</formula>
    </cfRule>
  </conditionalFormatting>
  <conditionalFormatting sqref="B131:BB131">
    <cfRule type="cellIs" dxfId="53" priority="11" operator="lessThan">
      <formula>0</formula>
    </cfRule>
    <cfRule type="cellIs" dxfId="52" priority="12" operator="greaterThan">
      <formula>0</formula>
    </cfRule>
  </conditionalFormatting>
  <conditionalFormatting sqref="B153:BD153">
    <cfRule type="cellIs" dxfId="51" priority="7" operator="greaterThan">
      <formula>0</formula>
    </cfRule>
    <cfRule type="cellIs" dxfId="50" priority="6" operator="lessThan">
      <formula>0</formula>
    </cfRule>
  </conditionalFormatting>
  <conditionalFormatting sqref="AR22">
    <cfRule type="cellIs" dxfId="49" priority="226" operator="lessThan">
      <formula>0</formula>
    </cfRule>
    <cfRule type="cellIs" dxfId="48" priority="227" operator="greaterThan">
      <formula>0</formula>
    </cfRule>
  </conditionalFormatting>
  <conditionalFormatting sqref="AT45:AT46">
    <cfRule type="cellIs" dxfId="47" priority="186" operator="lessThan">
      <formula>0</formula>
    </cfRule>
  </conditionalFormatting>
  <conditionalFormatting sqref="AT38:AU38 AX38:BA38">
    <cfRule type="cellIs" dxfId="46" priority="207" operator="greaterThan">
      <formula>0.03</formula>
    </cfRule>
    <cfRule type="cellIs" dxfId="45" priority="208" operator="greaterThan">
      <formula>3</formula>
    </cfRule>
  </conditionalFormatting>
  <conditionalFormatting sqref="AT47:AU65">
    <cfRule type="cellIs" dxfId="44" priority="92" operator="lessThan">
      <formula>0</formula>
    </cfRule>
  </conditionalFormatting>
  <conditionalFormatting sqref="AU22:AU25">
    <cfRule type="cellIs" dxfId="43" priority="168" operator="lessThan">
      <formula>0</formula>
    </cfRule>
  </conditionalFormatting>
  <conditionalFormatting sqref="AU30:AU33">
    <cfRule type="cellIs" dxfId="42" priority="165" operator="lessThan">
      <formula>0</formula>
    </cfRule>
  </conditionalFormatting>
  <conditionalFormatting sqref="AU46">
    <cfRule type="cellIs" dxfId="41" priority="161" operator="lessThan">
      <formula>0</formula>
    </cfRule>
  </conditionalFormatting>
  <conditionalFormatting sqref="AU27:AW27">
    <cfRule type="cellIs" dxfId="40" priority="64" operator="lessThan">
      <formula>0</formula>
    </cfRule>
  </conditionalFormatting>
  <conditionalFormatting sqref="AU35:AW37">
    <cfRule type="cellIs" dxfId="39" priority="61" operator="lessThan">
      <formula>0</formula>
    </cfRule>
  </conditionalFormatting>
  <conditionalFormatting sqref="AU40:AW40">
    <cfRule type="cellIs" dxfId="38" priority="60" operator="lessThan">
      <formula>0</formula>
    </cfRule>
  </conditionalFormatting>
  <conditionalFormatting sqref="AU42:AW43">
    <cfRule type="cellIs" dxfId="37" priority="58" operator="lessThan">
      <formula>0</formula>
    </cfRule>
  </conditionalFormatting>
  <conditionalFormatting sqref="AV22:AW24">
    <cfRule type="cellIs" dxfId="36" priority="65" operator="lessThan">
      <formula>0</formula>
    </cfRule>
  </conditionalFormatting>
  <conditionalFormatting sqref="AV30:AW31">
    <cfRule type="cellIs" dxfId="35" priority="63" operator="lessThan">
      <formula>0</formula>
    </cfRule>
  </conditionalFormatting>
  <conditionalFormatting sqref="AV33:AW33">
    <cfRule type="cellIs" dxfId="34" priority="62" operator="lessThan">
      <formula>0</formula>
    </cfRule>
  </conditionalFormatting>
  <conditionalFormatting sqref="AV46:AW47">
    <cfRule type="cellIs" dxfId="33" priority="74" operator="lessThan">
      <formula>0</formula>
    </cfRule>
  </conditionalFormatting>
  <conditionalFormatting sqref="AV50:AW50">
    <cfRule type="cellIs" dxfId="32" priority="73" operator="lessThan">
      <formula>0</formula>
    </cfRule>
  </conditionalFormatting>
  <conditionalFormatting sqref="AV54:AW54">
    <cfRule type="cellIs" dxfId="31" priority="72" operator="lessThan">
      <formula>0</formula>
    </cfRule>
  </conditionalFormatting>
  <conditionalFormatting sqref="AV57:AW63">
    <cfRule type="cellIs" dxfId="30" priority="68" operator="lessThan">
      <formula>0</formula>
    </cfRule>
  </conditionalFormatting>
  <conditionalFormatting sqref="AV68:AW68">
    <cfRule type="cellIs" dxfId="29" priority="67" operator="lessThan">
      <formula>0</formula>
    </cfRule>
  </conditionalFormatting>
  <conditionalFormatting sqref="AX7:BA20 AT22:AU43 AX22:BA43">
    <cfRule type="cellIs" dxfId="28" priority="209" operator="lessThan">
      <formula>0</formula>
    </cfRule>
  </conditionalFormatting>
  <conditionalFormatting sqref="AX45:BA52 BB46:BB52">
    <cfRule type="cellIs" dxfId="27" priority="146" operator="lessThan">
      <formula>0</formula>
    </cfRule>
  </conditionalFormatting>
  <conditionalFormatting sqref="AX53:BB65">
    <cfRule type="cellIs" dxfId="26" priority="101" operator="lessThan">
      <formula>0</formula>
    </cfRule>
  </conditionalFormatting>
  <conditionalFormatting sqref="B175:BD175">
    <cfRule type="cellIs" dxfId="8" priority="1" operator="lessThan">
      <formula>0</formula>
    </cfRule>
    <cfRule type="cellIs" dxfId="9" priority="2" operator="greaterThan">
      <formula>0</formula>
    </cfRule>
  </conditionalFormatting>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R22"/>
  <sheetViews>
    <sheetView topLeftCell="F1" workbookViewId="0">
      <selection activeCell="S26" sqref="S26"/>
    </sheetView>
  </sheetViews>
  <sheetFormatPr defaultRowHeight="14" x14ac:dyDescent="0.3"/>
  <cols>
    <col min="1" max="1" width="9.5" style="350" bestFit="1" customWidth="1"/>
    <col min="12" max="12" width="8.9140625" style="350" customWidth="1"/>
    <col min="13" max="13" width="9.9140625" style="350" customWidth="1"/>
    <col min="14" max="14" width="10.1640625" style="350" customWidth="1"/>
    <col min="15" max="15" width="12.25" style="350" bestFit="1" customWidth="1"/>
    <col min="16" max="16" width="10.1640625" style="350" customWidth="1"/>
    <col min="17" max="17" width="12.25" style="350" bestFit="1" customWidth="1"/>
    <col min="22" max="22" width="11" style="350" bestFit="1" customWidth="1"/>
    <col min="40" max="40" width="12.25" style="350" bestFit="1" customWidth="1"/>
    <col min="41" max="41" width="9" style="350" bestFit="1" customWidth="1"/>
    <col min="42" max="42" width="12.25" style="350" bestFit="1" customWidth="1"/>
  </cols>
  <sheetData>
    <row r="1" spans="1:44" x14ac:dyDescent="0.3">
      <c r="A1" s="330" t="s">
        <v>422</v>
      </c>
      <c r="B1" s="355" t="s">
        <v>2195</v>
      </c>
      <c r="C1" s="355" t="s">
        <v>2196</v>
      </c>
      <c r="D1" s="355" t="s">
        <v>2197</v>
      </c>
      <c r="E1" s="355" t="s">
        <v>2198</v>
      </c>
      <c r="F1" s="355" t="s">
        <v>2199</v>
      </c>
      <c r="G1" s="355" t="s">
        <v>2200</v>
      </c>
      <c r="H1" s="355" t="s">
        <v>2201</v>
      </c>
      <c r="I1" s="355" t="s">
        <v>2202</v>
      </c>
      <c r="J1" s="355" t="s">
        <v>2203</v>
      </c>
      <c r="K1" s="355" t="s">
        <v>2204</v>
      </c>
      <c r="L1" s="355" t="s">
        <v>2205</v>
      </c>
      <c r="M1" s="355" t="s">
        <v>2206</v>
      </c>
      <c r="N1" s="356" t="s">
        <v>2207</v>
      </c>
      <c r="O1" s="356" t="s">
        <v>2208</v>
      </c>
      <c r="P1" s="355" t="s">
        <v>2209</v>
      </c>
      <c r="Q1" s="357" t="s">
        <v>2210</v>
      </c>
      <c r="R1" s="355" t="s">
        <v>2211</v>
      </c>
      <c r="S1" s="355" t="s">
        <v>2212</v>
      </c>
      <c r="T1" s="355" t="s">
        <v>2213</v>
      </c>
      <c r="U1" s="355" t="s">
        <v>2214</v>
      </c>
      <c r="V1" s="356" t="s">
        <v>2215</v>
      </c>
      <c r="Z1" s="370" t="s">
        <v>422</v>
      </c>
      <c r="AA1" s="371" t="s">
        <v>2195</v>
      </c>
      <c r="AB1" s="371" t="s">
        <v>2196</v>
      </c>
      <c r="AC1" s="371" t="s">
        <v>2197</v>
      </c>
      <c r="AD1" s="371" t="s">
        <v>2198</v>
      </c>
      <c r="AE1" s="371" t="s">
        <v>2199</v>
      </c>
      <c r="AF1" s="371" t="s">
        <v>2200</v>
      </c>
      <c r="AG1" s="371" t="s">
        <v>2201</v>
      </c>
      <c r="AH1" s="371" t="s">
        <v>2202</v>
      </c>
      <c r="AI1" s="371" t="s">
        <v>2203</v>
      </c>
      <c r="AJ1" s="371" t="s">
        <v>2204</v>
      </c>
      <c r="AK1" s="371" t="s">
        <v>2205</v>
      </c>
      <c r="AL1" s="371" t="s">
        <v>2206</v>
      </c>
      <c r="AM1" s="370" t="s">
        <v>2207</v>
      </c>
      <c r="AN1" s="370" t="s">
        <v>2208</v>
      </c>
      <c r="AO1" s="371" t="s">
        <v>2209</v>
      </c>
      <c r="AP1" s="372" t="s">
        <v>2210</v>
      </c>
      <c r="AQ1" s="380" t="s">
        <v>2216</v>
      </c>
      <c r="AR1" t="s">
        <v>2217</v>
      </c>
    </row>
    <row r="2" spans="1:44" x14ac:dyDescent="0.3">
      <c r="A2" s="330">
        <v>2014</v>
      </c>
      <c r="B2" s="1">
        <v>0</v>
      </c>
      <c r="C2" s="1">
        <v>4</v>
      </c>
      <c r="D2" s="1">
        <v>15</v>
      </c>
      <c r="E2" s="1">
        <v>27</v>
      </c>
      <c r="F2" s="1">
        <v>225</v>
      </c>
      <c r="G2" s="1">
        <v>503</v>
      </c>
      <c r="H2" s="1">
        <v>816</v>
      </c>
      <c r="I2" s="1">
        <v>708</v>
      </c>
      <c r="J2" s="1">
        <v>246</v>
      </c>
      <c r="K2" s="1">
        <v>46</v>
      </c>
      <c r="L2" s="1">
        <v>1</v>
      </c>
      <c r="M2" s="1">
        <v>0</v>
      </c>
      <c r="N2" s="356">
        <f t="shared" ref="N2:N22" si="0">SUM(B2:M2)</f>
        <v>2591</v>
      </c>
      <c r="O2" s="358">
        <f>SUM(表1[[#This Row],[&lt;-50%]:[&lt;-20%]])/表1[[#This Row],[总股票数]]</f>
        <v>1.7753763025858741E-2</v>
      </c>
      <c r="P2" s="358">
        <f t="shared" ref="P2:P22" si="1">SUM(B2:F2)/N2</f>
        <v>0.10459282130451564</v>
      </c>
      <c r="Q2" s="359">
        <f t="shared" ref="Q2:Q22" si="2">SUM(J2:M2)/N2</f>
        <v>0.11308375144731764</v>
      </c>
      <c r="R2" s="358">
        <v>0.7843</v>
      </c>
      <c r="S2" s="358">
        <v>0.4602</v>
      </c>
      <c r="T2" s="358">
        <f>表1[[#This Row],[微盘收益]]-表1[[#This Row],[微盘β]]</f>
        <v>0.3241</v>
      </c>
      <c r="U2" s="365">
        <v>23.19</v>
      </c>
      <c r="V2" s="365">
        <v>2014</v>
      </c>
      <c r="Z2" s="373" t="s">
        <v>2218</v>
      </c>
      <c r="AA2" s="374">
        <v>192</v>
      </c>
      <c r="AB2" s="374">
        <v>132</v>
      </c>
      <c r="AC2" s="374">
        <v>196</v>
      </c>
      <c r="AD2" s="374">
        <v>249</v>
      </c>
      <c r="AE2" s="374">
        <v>677</v>
      </c>
      <c r="AF2" s="374">
        <v>646</v>
      </c>
      <c r="AG2" s="374">
        <v>711</v>
      </c>
      <c r="AH2" s="374">
        <v>682</v>
      </c>
      <c r="AI2" s="374">
        <v>611</v>
      </c>
      <c r="AJ2" s="374">
        <v>413</v>
      </c>
      <c r="AK2" s="374">
        <v>88</v>
      </c>
      <c r="AL2" s="374">
        <v>22</v>
      </c>
      <c r="AM2" s="373">
        <f>SUM(AA2:AL2)</f>
        <v>4619</v>
      </c>
      <c r="AN2" s="375">
        <f>SUM(AA2:AD2)/AM2</f>
        <v>0.16648625243559212</v>
      </c>
      <c r="AO2" s="375">
        <f>SUM(AA2:AE2)/AM2</f>
        <v>0.31305477376055424</v>
      </c>
      <c r="AP2" s="376">
        <f>SUM(AI2:AL2)/AM2</f>
        <v>0.24550768564624378</v>
      </c>
      <c r="AQ2" s="375">
        <f>SUM(AK2:AL2)/AM2</f>
        <v>2.3814678501840224E-2</v>
      </c>
    </row>
    <row r="3" spans="1:44" x14ac:dyDescent="0.3">
      <c r="A3" s="330">
        <v>2015</v>
      </c>
      <c r="B3" s="1">
        <v>0</v>
      </c>
      <c r="C3" s="1">
        <v>3</v>
      </c>
      <c r="D3" s="1">
        <v>16</v>
      </c>
      <c r="E3" s="1">
        <v>49</v>
      </c>
      <c r="F3" s="1">
        <v>177</v>
      </c>
      <c r="G3" s="1">
        <v>270</v>
      </c>
      <c r="H3" s="1">
        <v>567</v>
      </c>
      <c r="I3" s="1">
        <v>807</v>
      </c>
      <c r="J3" s="1">
        <v>609</v>
      </c>
      <c r="K3" s="1">
        <v>276</v>
      </c>
      <c r="L3" s="1">
        <v>29</v>
      </c>
      <c r="M3" s="1">
        <v>3</v>
      </c>
      <c r="N3" s="356">
        <f t="shared" si="0"/>
        <v>2806</v>
      </c>
      <c r="O3" s="358">
        <f>SUM(表1[[#This Row],[&lt;-50%]:[&lt;-20%]])/表1[[#This Row],[总股票数]]</f>
        <v>2.4233784746970778E-2</v>
      </c>
      <c r="P3" s="358">
        <f t="shared" si="1"/>
        <v>8.731290092658589E-2</v>
      </c>
      <c r="Q3" s="359">
        <f t="shared" si="2"/>
        <v>0.32679971489665005</v>
      </c>
      <c r="R3" s="358">
        <v>1.9549000000000001</v>
      </c>
      <c r="S3" s="358">
        <v>0.96519999999999995</v>
      </c>
      <c r="T3" s="358">
        <f>表1[[#This Row],[微盘收益]]-表1[[#This Row],[微盘β]]</f>
        <v>0.98970000000000014</v>
      </c>
      <c r="U3" s="366">
        <v>45.57</v>
      </c>
      <c r="V3" s="366">
        <v>2015</v>
      </c>
      <c r="Z3" s="377" t="s">
        <v>2219</v>
      </c>
      <c r="AA3" s="1">
        <v>90</v>
      </c>
      <c r="AB3" s="1">
        <v>62</v>
      </c>
      <c r="AC3" s="1">
        <v>90</v>
      </c>
      <c r="AD3" s="1">
        <v>151</v>
      </c>
      <c r="AE3" s="1">
        <v>688</v>
      </c>
      <c r="AF3" s="1">
        <v>934</v>
      </c>
      <c r="AG3" s="1">
        <v>918</v>
      </c>
      <c r="AH3" s="1">
        <v>823</v>
      </c>
      <c r="AI3" s="1">
        <v>695</v>
      </c>
      <c r="AJ3" s="1">
        <v>527</v>
      </c>
      <c r="AK3" s="1">
        <v>158</v>
      </c>
      <c r="AL3" s="1">
        <v>68</v>
      </c>
      <c r="AM3" s="377">
        <f>SUM(AA3:AL3)</f>
        <v>5204</v>
      </c>
      <c r="AN3" s="375">
        <f>SUM(AA3:AD3)/AM3</f>
        <v>7.5518831667947733E-2</v>
      </c>
      <c r="AO3" s="378">
        <f>SUM(AA3:AE3)/AM3</f>
        <v>0.20772482705611067</v>
      </c>
      <c r="AP3" s="379">
        <f>SUM(AI3:AL3)/AM3</f>
        <v>0.27824750192159875</v>
      </c>
      <c r="AQ3" s="375">
        <f>SUM(AK3:AL3)/AM3</f>
        <v>4.3428132205995389E-2</v>
      </c>
    </row>
    <row r="4" spans="1:44" x14ac:dyDescent="0.3">
      <c r="A4" s="330">
        <v>2016</v>
      </c>
      <c r="B4" s="1">
        <v>35</v>
      </c>
      <c r="C4" s="1">
        <v>142</v>
      </c>
      <c r="D4" s="1">
        <v>353</v>
      </c>
      <c r="E4" s="1">
        <v>544</v>
      </c>
      <c r="F4" s="1">
        <v>1027</v>
      </c>
      <c r="G4" s="1">
        <v>438</v>
      </c>
      <c r="H4" s="1">
        <v>214</v>
      </c>
      <c r="I4" s="1">
        <v>88</v>
      </c>
      <c r="J4" s="1">
        <v>69</v>
      </c>
      <c r="K4" s="1">
        <v>115</v>
      </c>
      <c r="L4" s="1">
        <v>10</v>
      </c>
      <c r="M4" s="1">
        <v>1</v>
      </c>
      <c r="N4" s="356">
        <f t="shared" si="0"/>
        <v>3036</v>
      </c>
      <c r="O4" s="358">
        <f>SUM(表1[[#This Row],[&lt;-50%]:[&lt;-20%]])/表1[[#This Row],[总股票数]]</f>
        <v>0.35375494071146246</v>
      </c>
      <c r="P4" s="358">
        <f t="shared" si="1"/>
        <v>0.69202898550724634</v>
      </c>
      <c r="Q4" s="359">
        <f t="shared" si="2"/>
        <v>6.4229249011857711E-2</v>
      </c>
      <c r="R4" s="358">
        <v>0.41720000000000002</v>
      </c>
      <c r="S4" s="358">
        <v>2.2800000000000001E-2</v>
      </c>
      <c r="T4" s="358">
        <f>表1[[#This Row],[微盘收益]]-表1[[#This Row],[微盘β]]</f>
        <v>0.39440000000000003</v>
      </c>
      <c r="U4" s="365">
        <v>42.13</v>
      </c>
      <c r="V4" s="366">
        <v>2016</v>
      </c>
      <c r="X4" t="s">
        <v>2220</v>
      </c>
    </row>
    <row r="5" spans="1:44" x14ac:dyDescent="0.3">
      <c r="A5" s="330">
        <v>2017</v>
      </c>
      <c r="B5" s="1">
        <v>153</v>
      </c>
      <c r="C5" s="1">
        <v>355</v>
      </c>
      <c r="D5" s="1">
        <v>501</v>
      </c>
      <c r="E5" s="1">
        <v>548</v>
      </c>
      <c r="F5" s="1">
        <v>800</v>
      </c>
      <c r="G5" s="1">
        <v>385</v>
      </c>
      <c r="H5" s="1">
        <v>290</v>
      </c>
      <c r="I5" s="1">
        <v>228</v>
      </c>
      <c r="J5" s="1">
        <v>144</v>
      </c>
      <c r="K5" s="1">
        <v>54</v>
      </c>
      <c r="L5" s="1">
        <v>9</v>
      </c>
      <c r="M5" s="1">
        <v>1</v>
      </c>
      <c r="N5" s="356">
        <f t="shared" si="0"/>
        <v>3468</v>
      </c>
      <c r="O5" s="358">
        <f>SUM(表1[[#This Row],[&lt;-50%]:[&lt;-20%]])/表1[[#This Row],[总股票数]]</f>
        <v>0.44896193771626297</v>
      </c>
      <c r="P5" s="358">
        <f t="shared" si="1"/>
        <v>0.67964244521337946</v>
      </c>
      <c r="Q5" s="359">
        <f t="shared" si="2"/>
        <v>5.9976931949250287E-2</v>
      </c>
      <c r="R5" s="358">
        <v>-0.15759999999999999</v>
      </c>
      <c r="S5" s="358">
        <v>-0.40939999999999999</v>
      </c>
      <c r="T5" s="358">
        <f>表1[[#This Row],[微盘收益]]-表1[[#This Row],[微盘β]]</f>
        <v>0.25180000000000002</v>
      </c>
      <c r="U5" s="366">
        <v>25.24</v>
      </c>
      <c r="V5" s="366">
        <v>2017</v>
      </c>
    </row>
    <row r="6" spans="1:44" x14ac:dyDescent="0.3">
      <c r="A6" s="330">
        <v>2018</v>
      </c>
      <c r="B6" s="1">
        <v>506</v>
      </c>
      <c r="C6" s="1">
        <v>692</v>
      </c>
      <c r="D6" s="1">
        <v>891</v>
      </c>
      <c r="E6" s="1">
        <v>626</v>
      </c>
      <c r="F6" s="1">
        <v>555</v>
      </c>
      <c r="G6" s="1">
        <v>173</v>
      </c>
      <c r="H6" s="1">
        <v>76</v>
      </c>
      <c r="I6" s="1">
        <v>32</v>
      </c>
      <c r="J6" s="1">
        <v>19</v>
      </c>
      <c r="K6" s="1">
        <v>1</v>
      </c>
      <c r="L6" s="1">
        <v>0</v>
      </c>
      <c r="M6" s="1">
        <v>0</v>
      </c>
      <c r="N6" s="356">
        <f t="shared" si="0"/>
        <v>3571</v>
      </c>
      <c r="O6" s="358">
        <f>SUM(表1[[#This Row],[&lt;-50%]:[&lt;-20%]])/表1[[#This Row],[总股票数]]</f>
        <v>0.76029123494819373</v>
      </c>
      <c r="P6" s="358">
        <f t="shared" si="1"/>
        <v>0.91570988518622232</v>
      </c>
      <c r="Q6" s="359">
        <f t="shared" si="2"/>
        <v>5.600672080649678E-3</v>
      </c>
      <c r="R6" s="358">
        <v>-0.16109999999999999</v>
      </c>
      <c r="S6" s="358">
        <v>-0.35299999999999998</v>
      </c>
      <c r="T6" s="358">
        <f>表1[[#This Row],[微盘收益]]-表1[[#This Row],[微盘β]]</f>
        <v>0.19189999999999999</v>
      </c>
      <c r="U6" s="366">
        <v>16.45</v>
      </c>
      <c r="V6" s="366">
        <v>2018</v>
      </c>
    </row>
    <row r="7" spans="1:44" x14ac:dyDescent="0.3">
      <c r="A7" s="324">
        <v>2019</v>
      </c>
      <c r="B7" s="1">
        <v>35</v>
      </c>
      <c r="C7" s="1">
        <v>28</v>
      </c>
      <c r="D7" s="1">
        <v>53</v>
      </c>
      <c r="E7" s="1">
        <v>120</v>
      </c>
      <c r="F7" s="1">
        <v>682</v>
      </c>
      <c r="G7" s="1">
        <v>1136</v>
      </c>
      <c r="H7" s="1">
        <v>906</v>
      </c>
      <c r="I7" s="1">
        <v>544</v>
      </c>
      <c r="J7" s="1">
        <v>210</v>
      </c>
      <c r="K7" s="1">
        <v>51</v>
      </c>
      <c r="L7" s="1">
        <v>2</v>
      </c>
      <c r="M7" s="1">
        <v>0</v>
      </c>
      <c r="N7" s="1">
        <f t="shared" si="0"/>
        <v>3767</v>
      </c>
      <c r="O7" s="358">
        <f>SUM(表1[[#This Row],[&lt;-50%]:[&lt;-20%]])/表1[[#This Row],[总股票数]]</f>
        <v>6.2649323068754981E-2</v>
      </c>
      <c r="P7" s="358">
        <f t="shared" si="1"/>
        <v>0.24369524820812319</v>
      </c>
      <c r="Q7" s="359">
        <f t="shared" si="2"/>
        <v>6.9816830368993901E-2</v>
      </c>
      <c r="R7" s="358">
        <v>0.44800000000000001</v>
      </c>
      <c r="S7" s="358">
        <v>0.13730000000000001</v>
      </c>
      <c r="T7" s="358">
        <f>表1[[#This Row],[微盘收益]]-表1[[#This Row],[微盘β]]</f>
        <v>0.31069999999999998</v>
      </c>
      <c r="U7" s="366">
        <v>18.8</v>
      </c>
      <c r="V7" s="366">
        <v>2019</v>
      </c>
    </row>
    <row r="8" spans="1:44" x14ac:dyDescent="0.3">
      <c r="A8" s="324">
        <v>2020</v>
      </c>
      <c r="B8" s="1">
        <v>98</v>
      </c>
      <c r="C8" s="1">
        <v>127</v>
      </c>
      <c r="D8" s="1">
        <v>227</v>
      </c>
      <c r="E8" s="1">
        <v>385</v>
      </c>
      <c r="F8" s="1">
        <v>1148</v>
      </c>
      <c r="G8" s="1">
        <v>865</v>
      </c>
      <c r="H8" s="1">
        <v>581</v>
      </c>
      <c r="I8" s="1">
        <v>402</v>
      </c>
      <c r="J8" s="1">
        <v>235</v>
      </c>
      <c r="K8" s="1">
        <v>77</v>
      </c>
      <c r="L8" s="1">
        <v>5</v>
      </c>
      <c r="M8" s="1">
        <v>4</v>
      </c>
      <c r="N8" s="1">
        <f t="shared" si="0"/>
        <v>4154</v>
      </c>
      <c r="O8" s="363">
        <f>SUM(表1[[#This Row],[&lt;-50%]:[&lt;-20%]])/表1[[#This Row],[总股票数]]</f>
        <v>0.20149253731343283</v>
      </c>
      <c r="P8" s="358">
        <f t="shared" si="1"/>
        <v>0.47785267212325472</v>
      </c>
      <c r="Q8" s="359">
        <f t="shared" si="2"/>
        <v>7.7274915743861333E-2</v>
      </c>
      <c r="R8" s="358">
        <v>0.2031</v>
      </c>
      <c r="S8" s="358">
        <v>-2.0199999999999999E-2</v>
      </c>
      <c r="T8" s="358">
        <f>表1[[#This Row],[微盘收益]]-表1[[#This Row],[微盘β]]</f>
        <v>0.2233</v>
      </c>
      <c r="U8" s="366">
        <v>18.739999999999998</v>
      </c>
      <c r="V8" s="366">
        <v>2020</v>
      </c>
    </row>
    <row r="9" spans="1:44" x14ac:dyDescent="0.3">
      <c r="A9" s="324">
        <v>2021</v>
      </c>
      <c r="B9" s="1">
        <v>50</v>
      </c>
      <c r="C9" s="1">
        <v>96</v>
      </c>
      <c r="D9" s="1">
        <v>203</v>
      </c>
      <c r="E9" s="1">
        <v>328</v>
      </c>
      <c r="F9" s="1">
        <v>1143</v>
      </c>
      <c r="G9" s="1">
        <v>1093</v>
      </c>
      <c r="H9" s="1">
        <v>806</v>
      </c>
      <c r="I9" s="1">
        <v>558</v>
      </c>
      <c r="J9" s="1">
        <v>254</v>
      </c>
      <c r="K9" s="1">
        <v>87</v>
      </c>
      <c r="L9" s="1">
        <v>1</v>
      </c>
      <c r="M9" s="1">
        <v>0</v>
      </c>
      <c r="N9" s="1">
        <f t="shared" si="0"/>
        <v>4619</v>
      </c>
      <c r="O9" s="363">
        <f>SUM(表1[[#This Row],[&lt;-50%]:[&lt;-20%]])/表1[[#This Row],[总股票数]]</f>
        <v>0.14656852132496212</v>
      </c>
      <c r="P9" s="358">
        <f t="shared" si="1"/>
        <v>0.39402468066681101</v>
      </c>
      <c r="Q9" s="359">
        <f t="shared" si="2"/>
        <v>7.4042000432994151E-2</v>
      </c>
      <c r="R9" s="358">
        <v>0.4269</v>
      </c>
      <c r="S9" s="358">
        <v>8.1100000000000005E-2</v>
      </c>
      <c r="T9" s="358">
        <f>表1[[#This Row],[微盘收益]]-表1[[#This Row],[微盘β]]</f>
        <v>0.3458</v>
      </c>
      <c r="U9" s="366">
        <v>20.420000000000002</v>
      </c>
      <c r="V9" s="366">
        <v>2021</v>
      </c>
    </row>
    <row r="10" spans="1:44" x14ac:dyDescent="0.3">
      <c r="A10" s="324">
        <v>2022</v>
      </c>
      <c r="B10" s="1">
        <v>233</v>
      </c>
      <c r="C10" s="1">
        <v>418</v>
      </c>
      <c r="D10" s="1">
        <v>779</v>
      </c>
      <c r="E10" s="1">
        <v>888</v>
      </c>
      <c r="F10" s="1">
        <v>1434</v>
      </c>
      <c r="G10" s="1">
        <v>679</v>
      </c>
      <c r="H10" s="1">
        <v>332</v>
      </c>
      <c r="I10" s="1">
        <v>123</v>
      </c>
      <c r="J10" s="1">
        <v>47</v>
      </c>
      <c r="K10" s="1">
        <v>13</v>
      </c>
      <c r="L10" s="1">
        <v>0</v>
      </c>
      <c r="M10" s="1">
        <v>0</v>
      </c>
      <c r="N10" s="1">
        <f t="shared" si="0"/>
        <v>4946</v>
      </c>
      <c r="O10" s="363">
        <f>SUM(表1[[#This Row],[&lt;-50%]:[&lt;-20%]])/表1[[#This Row],[总股票数]]</f>
        <v>0.46866154468257176</v>
      </c>
      <c r="P10" s="358">
        <f t="shared" si="1"/>
        <v>0.75859280226445613</v>
      </c>
      <c r="Q10" s="359">
        <f t="shared" si="2"/>
        <v>1.213101496158512E-2</v>
      </c>
      <c r="R10" s="358">
        <v>0.222</v>
      </c>
      <c r="S10" s="358">
        <v>-0.1583</v>
      </c>
      <c r="T10" s="358">
        <f>表1[[#This Row],[微盘收益]]-表1[[#This Row],[微盘β]]</f>
        <v>0.38029999999999997</v>
      </c>
      <c r="U10" s="366">
        <v>17.66</v>
      </c>
      <c r="V10" s="366">
        <v>2022</v>
      </c>
    </row>
    <row r="11" spans="1:44" x14ac:dyDescent="0.3">
      <c r="A11" s="324">
        <v>2023</v>
      </c>
      <c r="B11" s="1">
        <v>124</v>
      </c>
      <c r="C11" s="1">
        <v>141</v>
      </c>
      <c r="D11" s="1">
        <v>306</v>
      </c>
      <c r="E11" s="1">
        <v>530</v>
      </c>
      <c r="F11" s="1">
        <v>1368</v>
      </c>
      <c r="G11" s="1">
        <v>1355</v>
      </c>
      <c r="H11" s="1">
        <v>896</v>
      </c>
      <c r="I11" s="1">
        <v>312</v>
      </c>
      <c r="J11" s="1">
        <v>90</v>
      </c>
      <c r="K11" s="1">
        <v>18</v>
      </c>
      <c r="L11" s="1">
        <v>0</v>
      </c>
      <c r="M11" s="1">
        <v>0</v>
      </c>
      <c r="N11" s="1">
        <f t="shared" si="0"/>
        <v>5140</v>
      </c>
      <c r="O11" s="363">
        <f>SUM(表1[[#This Row],[&lt;-50%]:[&lt;-20%]])/表1[[#This Row],[总股票数]]</f>
        <v>0.21420233463035018</v>
      </c>
      <c r="P11" s="358">
        <f t="shared" si="1"/>
        <v>0.4803501945525292</v>
      </c>
      <c r="Q11" s="359">
        <f t="shared" si="2"/>
        <v>2.1011673151750974E-2</v>
      </c>
      <c r="R11" s="358">
        <v>0.47599999999999998</v>
      </c>
      <c r="S11" s="358">
        <v>0.16520000000000001</v>
      </c>
      <c r="T11" s="358">
        <f>表1[[#This Row],[微盘收益]]-表1[[#This Row],[微盘β]]</f>
        <v>0.31079999999999997</v>
      </c>
      <c r="U11" s="366">
        <v>21.14</v>
      </c>
      <c r="V11" s="366">
        <v>2023</v>
      </c>
    </row>
    <row r="12" spans="1:44" x14ac:dyDescent="0.3">
      <c r="A12" s="324">
        <v>2024</v>
      </c>
      <c r="B12" s="1">
        <v>124</v>
      </c>
      <c r="C12" s="1">
        <v>165</v>
      </c>
      <c r="D12" s="1">
        <v>401</v>
      </c>
      <c r="E12" s="1">
        <v>687</v>
      </c>
      <c r="F12" s="1">
        <v>1734</v>
      </c>
      <c r="G12" s="1">
        <v>1108</v>
      </c>
      <c r="H12" s="1">
        <v>656</v>
      </c>
      <c r="I12" s="1">
        <v>212</v>
      </c>
      <c r="J12" s="1">
        <v>63</v>
      </c>
      <c r="K12" s="1">
        <v>19</v>
      </c>
      <c r="L12" s="1">
        <v>0</v>
      </c>
      <c r="M12" s="1">
        <v>0</v>
      </c>
      <c r="N12" s="1">
        <f t="shared" si="0"/>
        <v>5169</v>
      </c>
      <c r="O12" s="363">
        <f>SUM(表1[[#This Row],[&lt;-50%]:[&lt;-20%]])/表1[[#This Row],[总股票数]]</f>
        <v>0.26639582124201971</v>
      </c>
      <c r="P12" s="358">
        <f t="shared" si="1"/>
        <v>0.60185722576900758</v>
      </c>
      <c r="Q12" s="359">
        <f t="shared" si="2"/>
        <v>1.5863803443606113E-2</v>
      </c>
      <c r="R12" s="358">
        <v>9.3299999999999994E-2</v>
      </c>
      <c r="S12" s="358">
        <v>-0.21920000000000001</v>
      </c>
      <c r="T12" s="358">
        <f>表1[[#This Row],[微盘收益]]-表1[[#This Row],[微盘β]]</f>
        <v>0.3125</v>
      </c>
      <c r="U12" s="366">
        <v>16.77</v>
      </c>
      <c r="V12" s="366">
        <v>2024</v>
      </c>
    </row>
    <row r="13" spans="1:44" x14ac:dyDescent="0.3">
      <c r="A13" s="324">
        <v>2025</v>
      </c>
      <c r="B13" s="1">
        <v>31</v>
      </c>
      <c r="C13" s="1">
        <v>13</v>
      </c>
      <c r="D13" s="1">
        <v>52</v>
      </c>
      <c r="E13" s="1">
        <v>157</v>
      </c>
      <c r="F13" s="1">
        <v>928</v>
      </c>
      <c r="G13" s="1">
        <v>1360</v>
      </c>
      <c r="H13" s="1">
        <v>1310</v>
      </c>
      <c r="I13" s="1">
        <v>830</v>
      </c>
      <c r="J13" s="1">
        <v>382</v>
      </c>
      <c r="K13" s="1">
        <v>114</v>
      </c>
      <c r="L13" s="1">
        <v>8</v>
      </c>
      <c r="M13" s="1">
        <v>2</v>
      </c>
      <c r="N13" s="1">
        <f t="shared" si="0"/>
        <v>5187</v>
      </c>
      <c r="O13" s="363">
        <f>SUM(表1[[#This Row],[&lt;-50%]:[&lt;-20%]])/表1[[#This Row],[总股票数]]</f>
        <v>4.8775785617890879E-2</v>
      </c>
      <c r="P13" s="358">
        <f t="shared" si="1"/>
        <v>0.22768459610564873</v>
      </c>
      <c r="Q13" s="359">
        <f t="shared" si="2"/>
        <v>9.7551571235781759E-2</v>
      </c>
      <c r="R13" s="358">
        <v>0.80179999999999996</v>
      </c>
      <c r="S13" s="358">
        <v>0.40500000000000003</v>
      </c>
      <c r="T13" s="358">
        <f>表1[[#This Row],[微盘收益]]-表1[[#This Row],[微盘β]]</f>
        <v>0.39679999999999993</v>
      </c>
      <c r="U13" s="366">
        <v>23.33</v>
      </c>
      <c r="V13" s="366">
        <v>2025</v>
      </c>
    </row>
    <row r="14" spans="1:44" x14ac:dyDescent="0.3">
      <c r="A14" s="327">
        <v>2026</v>
      </c>
      <c r="B14" s="360">
        <v>108</v>
      </c>
      <c r="C14" s="360">
        <v>279</v>
      </c>
      <c r="D14" s="360">
        <v>766</v>
      </c>
      <c r="E14" s="360">
        <v>1034</v>
      </c>
      <c r="F14" s="360">
        <v>1590</v>
      </c>
      <c r="G14" s="360">
        <v>559</v>
      </c>
      <c r="H14" s="360">
        <v>371</v>
      </c>
      <c r="I14" s="360">
        <v>277</v>
      </c>
      <c r="J14" s="360">
        <v>137</v>
      </c>
      <c r="K14" s="360">
        <v>55</v>
      </c>
      <c r="L14" s="360">
        <v>1</v>
      </c>
      <c r="M14" s="360">
        <v>0</v>
      </c>
      <c r="N14" s="360">
        <f t="shared" si="0"/>
        <v>5177</v>
      </c>
      <c r="O14" s="364">
        <f>SUM(表1[[#This Row],[&lt;-50%]:[&lt;-20%]])/表1[[#This Row],[总股票数]]</f>
        <v>0.42244543171721072</v>
      </c>
      <c r="P14" s="361">
        <f t="shared" si="1"/>
        <v>0.72957311184083451</v>
      </c>
      <c r="Q14" s="362">
        <f t="shared" si="2"/>
        <v>3.7280278153370677E-2</v>
      </c>
      <c r="R14" s="358">
        <v>0.125</v>
      </c>
      <c r="S14" s="358">
        <v>-9.6299999999999997E-2</v>
      </c>
      <c r="T14" s="358">
        <f>表1[[#This Row],[微盘收益]]-表1[[#This Row],[微盘β]]</f>
        <v>0.2213</v>
      </c>
      <c r="U14" s="367">
        <v>21.78</v>
      </c>
      <c r="V14" s="367">
        <v>2026</v>
      </c>
    </row>
    <row r="15" spans="1:44" x14ac:dyDescent="0.3">
      <c r="A15" s="327">
        <v>202008</v>
      </c>
      <c r="B15" s="360">
        <v>147</v>
      </c>
      <c r="C15" s="360">
        <v>325</v>
      </c>
      <c r="D15" s="360">
        <v>724</v>
      </c>
      <c r="E15" s="360">
        <v>893</v>
      </c>
      <c r="F15" s="360">
        <v>1188</v>
      </c>
      <c r="G15" s="360">
        <v>422</v>
      </c>
      <c r="H15" s="360">
        <v>253</v>
      </c>
      <c r="I15" s="360">
        <v>149</v>
      </c>
      <c r="J15" s="360">
        <v>75</v>
      </c>
      <c r="K15" s="360">
        <v>8</v>
      </c>
      <c r="L15" s="368">
        <v>1</v>
      </c>
      <c r="M15" s="368">
        <v>1</v>
      </c>
      <c r="N15" s="368">
        <f t="shared" si="0"/>
        <v>4186</v>
      </c>
      <c r="O15" s="369">
        <f>SUM(表1[[#This Row],[&lt;-50%]:[&lt;-20%]])/表1[[#This Row],[总股票数]]</f>
        <v>0.4990444338270425</v>
      </c>
      <c r="P15" s="361">
        <f t="shared" si="1"/>
        <v>0.78284758719541325</v>
      </c>
      <c r="Q15" s="362">
        <f t="shared" si="2"/>
        <v>2.0305781175346392E-2</v>
      </c>
      <c r="R15" s="361"/>
      <c r="S15" s="361"/>
      <c r="T15" s="361">
        <f>表1[[#This Row],[微盘收益]]-表1[[#This Row],[微盘β]]</f>
        <v>0</v>
      </c>
      <c r="U15" s="367"/>
      <c r="V15" s="367"/>
    </row>
    <row r="16" spans="1:44" x14ac:dyDescent="0.3">
      <c r="A16" s="327">
        <v>202007</v>
      </c>
      <c r="B16" s="360">
        <v>140</v>
      </c>
      <c r="C16" s="360">
        <v>180</v>
      </c>
      <c r="D16" s="360">
        <v>370</v>
      </c>
      <c r="E16" s="360">
        <v>584</v>
      </c>
      <c r="F16" s="360">
        <v>1266</v>
      </c>
      <c r="G16" s="360">
        <v>752</v>
      </c>
      <c r="H16" s="360">
        <v>458</v>
      </c>
      <c r="I16" s="360">
        <v>260</v>
      </c>
      <c r="J16" s="360">
        <v>145</v>
      </c>
      <c r="K16" s="360">
        <v>34</v>
      </c>
      <c r="L16" s="368">
        <v>2</v>
      </c>
      <c r="M16" s="368">
        <v>1</v>
      </c>
      <c r="N16" s="368">
        <f t="shared" si="0"/>
        <v>4192</v>
      </c>
      <c r="O16" s="369">
        <f>SUM(表1[[#This Row],[&lt;-50%]:[&lt;-20%]])/表1[[#This Row],[总股票数]]</f>
        <v>0.30391221374045801</v>
      </c>
      <c r="P16" s="361">
        <f t="shared" si="1"/>
        <v>0.60591603053435117</v>
      </c>
      <c r="Q16" s="362">
        <f t="shared" si="2"/>
        <v>4.3416030534351148E-2</v>
      </c>
      <c r="R16" s="361"/>
      <c r="S16" s="361"/>
      <c r="T16" s="361">
        <f>表1[[#This Row],[微盘收益]]-表1[[#This Row],[微盘β]]</f>
        <v>0</v>
      </c>
      <c r="U16" s="367"/>
      <c r="V16" s="367"/>
    </row>
    <row r="17" spans="1:22" x14ac:dyDescent="0.3">
      <c r="A17" s="327">
        <v>202006</v>
      </c>
      <c r="B17" s="360">
        <v>132</v>
      </c>
      <c r="C17" s="360">
        <v>151</v>
      </c>
      <c r="D17" s="360">
        <v>327</v>
      </c>
      <c r="E17" s="360">
        <v>515</v>
      </c>
      <c r="F17" s="360">
        <v>1255</v>
      </c>
      <c r="G17" s="360">
        <v>786</v>
      </c>
      <c r="H17" s="360">
        <v>470</v>
      </c>
      <c r="I17" s="360">
        <v>313</v>
      </c>
      <c r="J17" s="360">
        <v>191</v>
      </c>
      <c r="K17" s="360">
        <v>53</v>
      </c>
      <c r="L17" s="368">
        <v>2</v>
      </c>
      <c r="M17" s="368">
        <v>1</v>
      </c>
      <c r="N17" s="368">
        <f t="shared" si="0"/>
        <v>4196</v>
      </c>
      <c r="O17" s="369">
        <f>SUM(表1[[#This Row],[&lt;-50%]:[&lt;-20%]])/表1[[#This Row],[总股票数]]</f>
        <v>0.26811248808388943</v>
      </c>
      <c r="P17" s="361">
        <f t="shared" si="1"/>
        <v>0.56720686367969497</v>
      </c>
      <c r="Q17" s="362">
        <f t="shared" si="2"/>
        <v>5.8865586272640609E-2</v>
      </c>
      <c r="R17" s="361"/>
      <c r="S17" s="361"/>
      <c r="T17" s="361">
        <f>表1[[#This Row],[微盘收益]]-表1[[#This Row],[微盘β]]</f>
        <v>0</v>
      </c>
      <c r="U17" s="367"/>
      <c r="V17" s="367"/>
    </row>
    <row r="18" spans="1:22" x14ac:dyDescent="0.3">
      <c r="A18" s="327">
        <v>202005</v>
      </c>
      <c r="B18" s="360">
        <v>126</v>
      </c>
      <c r="C18" s="360">
        <v>152</v>
      </c>
      <c r="D18" s="360">
        <v>276</v>
      </c>
      <c r="E18" s="360">
        <v>514</v>
      </c>
      <c r="F18" s="360">
        <v>1211</v>
      </c>
      <c r="G18" s="360">
        <v>776</v>
      </c>
      <c r="H18" s="360">
        <v>494</v>
      </c>
      <c r="I18" s="360">
        <v>355</v>
      </c>
      <c r="J18" s="360">
        <v>221</v>
      </c>
      <c r="K18" s="360">
        <v>67</v>
      </c>
      <c r="L18" s="368">
        <v>3</v>
      </c>
      <c r="M18" s="368">
        <v>2</v>
      </c>
      <c r="N18" s="368">
        <f t="shared" si="0"/>
        <v>4197</v>
      </c>
      <c r="O18" s="369">
        <f>SUM(表1[[#This Row],[&lt;-50%]:[&lt;-20%]])/表1[[#This Row],[总股票数]]</f>
        <v>0.25446747676912079</v>
      </c>
      <c r="P18" s="361">
        <f t="shared" si="1"/>
        <v>0.54300690969740295</v>
      </c>
      <c r="Q18" s="362">
        <f t="shared" si="2"/>
        <v>6.9811770312127708E-2</v>
      </c>
      <c r="R18" s="361"/>
      <c r="S18" s="361"/>
      <c r="T18" s="361">
        <f>表1[[#This Row],[微盘收益]]-表1[[#This Row],[微盘β]]</f>
        <v>0</v>
      </c>
      <c r="U18" s="367"/>
      <c r="V18" s="367"/>
    </row>
    <row r="19" spans="1:22" x14ac:dyDescent="0.3">
      <c r="A19" s="327">
        <v>202001</v>
      </c>
      <c r="B19" s="360">
        <v>206</v>
      </c>
      <c r="C19" s="360">
        <v>235</v>
      </c>
      <c r="D19" s="360">
        <v>389</v>
      </c>
      <c r="E19" s="360">
        <v>475</v>
      </c>
      <c r="F19" s="360">
        <v>1165</v>
      </c>
      <c r="G19" s="360">
        <v>626</v>
      </c>
      <c r="H19" s="360">
        <v>427</v>
      </c>
      <c r="I19" s="360">
        <v>336</v>
      </c>
      <c r="J19" s="360">
        <v>257</v>
      </c>
      <c r="K19" s="360">
        <v>83</v>
      </c>
      <c r="L19" s="368">
        <v>4</v>
      </c>
      <c r="M19" s="368">
        <v>4</v>
      </c>
      <c r="N19" s="368">
        <f t="shared" si="0"/>
        <v>4207</v>
      </c>
      <c r="O19" s="369">
        <f>SUM(表1[[#This Row],[&lt;-50%]:[&lt;-20%]])/表1[[#This Row],[总股票数]]</f>
        <v>0.31019729023056808</v>
      </c>
      <c r="P19" s="361">
        <f t="shared" si="1"/>
        <v>0.58711671024483003</v>
      </c>
      <c r="Q19" s="362">
        <f t="shared" si="2"/>
        <v>8.2719277394818158E-2</v>
      </c>
      <c r="R19" s="361"/>
      <c r="S19" s="361"/>
      <c r="T19" s="361">
        <f>表1[[#This Row],[微盘收益]]-表1[[#This Row],[微盘β]]</f>
        <v>0</v>
      </c>
      <c r="U19" s="367"/>
      <c r="V19" s="367"/>
    </row>
    <row r="20" spans="1:22" x14ac:dyDescent="0.3">
      <c r="A20" s="327">
        <v>20260128</v>
      </c>
      <c r="B20" s="360">
        <v>103</v>
      </c>
      <c r="C20" s="360">
        <v>338</v>
      </c>
      <c r="D20" s="360">
        <v>1027</v>
      </c>
      <c r="E20" s="360">
        <v>1211</v>
      </c>
      <c r="F20" s="360">
        <v>1169</v>
      </c>
      <c r="G20" s="360">
        <v>510</v>
      </c>
      <c r="H20" s="360">
        <v>332</v>
      </c>
      <c r="I20" s="360">
        <v>260</v>
      </c>
      <c r="J20" s="360">
        <v>164</v>
      </c>
      <c r="K20" s="360">
        <v>52</v>
      </c>
      <c r="L20" s="368">
        <v>5</v>
      </c>
      <c r="M20" s="368">
        <v>0</v>
      </c>
      <c r="N20" s="368">
        <f t="shared" si="0"/>
        <v>5171</v>
      </c>
      <c r="O20" s="369">
        <f>SUM(表1[[#This Row],[&lt;-50%]:[&lt;-20%]])/表1[[#This Row],[总股票数]]</f>
        <v>0.51808160897311928</v>
      </c>
      <c r="P20" s="361">
        <f t="shared" si="1"/>
        <v>0.74415006768516723</v>
      </c>
      <c r="Q20" s="362">
        <f t="shared" si="2"/>
        <v>4.273834848191839E-2</v>
      </c>
      <c r="R20" s="361"/>
      <c r="S20" s="361"/>
      <c r="T20" s="361">
        <f>表1[[#This Row],[微盘收益]]-表1[[#This Row],[微盘β]]</f>
        <v>0</v>
      </c>
      <c r="U20" s="367"/>
      <c r="V20" s="367"/>
    </row>
    <row r="21" spans="1:22" x14ac:dyDescent="0.3">
      <c r="A21" s="327">
        <v>20260323</v>
      </c>
      <c r="B21" s="360">
        <v>39</v>
      </c>
      <c r="C21" s="360">
        <v>79</v>
      </c>
      <c r="D21" s="360">
        <v>300</v>
      </c>
      <c r="E21" s="360">
        <v>939</v>
      </c>
      <c r="F21" s="360">
        <v>2086</v>
      </c>
      <c r="G21" s="360">
        <v>696</v>
      </c>
      <c r="H21" s="360">
        <v>429</v>
      </c>
      <c r="I21" s="360">
        <v>333</v>
      </c>
      <c r="J21" s="360">
        <v>213</v>
      </c>
      <c r="K21" s="360">
        <v>53</v>
      </c>
      <c r="L21" s="368">
        <v>3</v>
      </c>
      <c r="M21" s="368">
        <v>0</v>
      </c>
      <c r="N21" s="368">
        <f t="shared" si="0"/>
        <v>5170</v>
      </c>
      <c r="O21" s="369">
        <f>SUM(表1[[#This Row],[&lt;-50%]:[&lt;-20%]])/表1[[#This Row],[总股票数]]</f>
        <v>0.26247582205029013</v>
      </c>
      <c r="P21" s="361">
        <f t="shared" si="1"/>
        <v>0.66595744680851066</v>
      </c>
      <c r="Q21" s="362">
        <f t="shared" si="2"/>
        <v>5.2030947775628625E-2</v>
      </c>
      <c r="R21" s="361"/>
      <c r="S21" s="361"/>
      <c r="T21" s="361">
        <f>表1[[#This Row],[微盘收益]]-表1[[#This Row],[微盘β]]</f>
        <v>0</v>
      </c>
      <c r="U21" s="367"/>
      <c r="V21" s="367"/>
    </row>
    <row r="22" spans="1:22" x14ac:dyDescent="0.3">
      <c r="A22" s="327">
        <v>20260227</v>
      </c>
      <c r="B22" s="360">
        <v>85</v>
      </c>
      <c r="C22" s="360">
        <v>359</v>
      </c>
      <c r="D22" s="360">
        <v>1180</v>
      </c>
      <c r="E22" s="360">
        <v>1203</v>
      </c>
      <c r="F22" s="360">
        <v>1135</v>
      </c>
      <c r="G22" s="360">
        <v>465</v>
      </c>
      <c r="H22" s="360">
        <v>329</v>
      </c>
      <c r="I22" s="360">
        <v>242</v>
      </c>
      <c r="J22" s="360">
        <v>134</v>
      </c>
      <c r="K22" s="360">
        <v>35</v>
      </c>
      <c r="L22" s="368">
        <v>3</v>
      </c>
      <c r="M22" s="368">
        <v>0</v>
      </c>
      <c r="N22" s="368">
        <f t="shared" si="0"/>
        <v>5170</v>
      </c>
      <c r="O22" s="369">
        <f>SUM(表1[[#This Row],[&lt;-50%]:[&lt;-20%]])/表1[[#This Row],[总股票数]]</f>
        <v>0.54680851063829783</v>
      </c>
      <c r="P22" s="361">
        <f t="shared" si="1"/>
        <v>0.7663442940038685</v>
      </c>
      <c r="Q22" s="362">
        <f t="shared" si="2"/>
        <v>3.3268858800773696E-2</v>
      </c>
      <c r="R22" s="361"/>
      <c r="S22" s="361"/>
      <c r="T22" s="361">
        <f>表1[[#This Row],[微盘收益]]-表1[[#This Row],[微盘β]]</f>
        <v>0</v>
      </c>
      <c r="U22" s="367"/>
      <c r="V22" s="367"/>
    </row>
  </sheetData>
  <phoneticPr fontId="16" type="noConversion"/>
  <conditionalFormatting sqref="O2:O7">
    <cfRule type="cellIs" dxfId="25" priority="12" operator="between">
      <formula>0.5</formula>
      <formula>1</formula>
    </cfRule>
  </conditionalFormatting>
  <conditionalFormatting sqref="O2:O1048576">
    <cfRule type="cellIs" dxfId="24" priority="11" operator="greaterThan">
      <formula>20.87%</formula>
    </cfRule>
  </conditionalFormatting>
  <conditionalFormatting sqref="P2:P1048576">
    <cfRule type="cellIs" dxfId="23" priority="14" operator="between">
      <formula>0.5</formula>
      <formula>1</formula>
    </cfRule>
  </conditionalFormatting>
  <conditionalFormatting sqref="Q2:Q1048576">
    <cfRule type="cellIs" dxfId="22" priority="13" operator="greaterThan">
      <formula>0.0448</formula>
    </cfRule>
  </conditionalFormatting>
  <conditionalFormatting sqref="R2:T2 R3:U14">
    <cfRule type="cellIs" dxfId="21" priority="10" operator="lessThan">
      <formula>0</formula>
    </cfRule>
  </conditionalFormatting>
  <conditionalFormatting sqref="AN2:AN3">
    <cfRule type="cellIs" dxfId="20" priority="6" operator="greaterThan">
      <formula>20.87%</formula>
    </cfRule>
  </conditionalFormatting>
  <conditionalFormatting sqref="AN2:AO3">
    <cfRule type="cellIs" dxfId="19" priority="7" operator="between">
      <formula>0.5</formula>
      <formula>1</formula>
    </cfRule>
  </conditionalFormatting>
  <conditionalFormatting sqref="AP2:AP3">
    <cfRule type="cellIs" dxfId="18" priority="8" operator="greaterThan">
      <formula>0.0448</formula>
    </cfRule>
  </conditionalFormatting>
  <conditionalFormatting sqref="AQ2:AQ3">
    <cfRule type="cellIs" dxfId="17" priority="1" operator="greaterThan">
      <formula>20.87%</formula>
    </cfRule>
    <cfRule type="cellIs" dxfId="16" priority="2" operator="between">
      <formula>0.5</formula>
      <formula>1</formula>
    </cfRule>
  </conditionalFormatting>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8"/>
  <dimension ref="A1:W2125"/>
  <sheetViews>
    <sheetView workbookViewId="0">
      <pane xSplit="1" ySplit="1" topLeftCell="B2" activePane="bottomRight" state="frozen"/>
      <selection pane="topRight" activeCell="B1" sqref="B1"/>
      <selection pane="bottomLeft" activeCell="A2" sqref="A2"/>
      <selection pane="bottomRight" activeCell="A5" sqref="A5"/>
    </sheetView>
  </sheetViews>
  <sheetFormatPr defaultRowHeight="14" x14ac:dyDescent="0.3"/>
  <cols>
    <col min="1" max="1" width="23.08203125" style="308" customWidth="1"/>
    <col min="2" max="2" width="10.58203125" style="302" customWidth="1"/>
    <col min="3" max="3" width="8.6640625" style="8" customWidth="1"/>
    <col min="4" max="4" width="8.6640625" style="268" customWidth="1"/>
    <col min="5" max="10" width="8.6640625" style="8" customWidth="1"/>
    <col min="11" max="13" width="8.6640625" style="268" customWidth="1"/>
    <col min="14" max="15" width="8.6640625" style="8" customWidth="1"/>
    <col min="16" max="16" width="8.6640625" style="268" customWidth="1"/>
    <col min="17" max="17" width="8.6640625" style="8" customWidth="1"/>
    <col min="18" max="18" width="11.75" style="8" bestFit="1" customWidth="1"/>
    <col min="19" max="19" width="8.6640625" style="8" customWidth="1"/>
    <col min="20" max="23" width="12.75" style="8" bestFit="1" customWidth="1"/>
    <col min="24" max="45" width="8.6640625" style="8" customWidth="1"/>
    <col min="46" max="16384" width="8.6640625" style="8"/>
  </cols>
  <sheetData>
    <row r="1" spans="1:23" ht="28" customHeight="1" x14ac:dyDescent="0.3">
      <c r="A1" s="308" t="s">
        <v>0</v>
      </c>
      <c r="B1" s="302" t="s">
        <v>2221</v>
      </c>
      <c r="C1" s="8" t="s">
        <v>2222</v>
      </c>
      <c r="D1" s="268" t="s">
        <v>2037</v>
      </c>
      <c r="E1" s="8" t="s">
        <v>2223</v>
      </c>
      <c r="F1" s="8" t="s">
        <v>2224</v>
      </c>
      <c r="G1" s="8" t="s">
        <v>2225</v>
      </c>
      <c r="H1" s="8" t="s">
        <v>2226</v>
      </c>
      <c r="I1" s="8" t="s">
        <v>2227</v>
      </c>
      <c r="J1" s="8" t="s">
        <v>2028</v>
      </c>
      <c r="K1" s="268" t="s">
        <v>2228</v>
      </c>
      <c r="L1" s="268" t="s">
        <v>2229</v>
      </c>
      <c r="M1" s="268" t="s">
        <v>2230</v>
      </c>
      <c r="N1" s="8" t="s">
        <v>2231</v>
      </c>
      <c r="O1" s="8" t="s">
        <v>2232</v>
      </c>
      <c r="P1" s="268" t="s">
        <v>2233</v>
      </c>
      <c r="Q1" s="8" t="s">
        <v>2123</v>
      </c>
      <c r="R1" s="8" t="s">
        <v>2234</v>
      </c>
      <c r="S1" s="8" t="s">
        <v>2235</v>
      </c>
      <c r="T1" s="8" t="s">
        <v>2236</v>
      </c>
      <c r="U1" s="8" t="s">
        <v>2237</v>
      </c>
      <c r="V1" s="8" t="s">
        <v>2238</v>
      </c>
      <c r="W1" s="8" t="s">
        <v>2239</v>
      </c>
    </row>
    <row r="2" spans="1:23" x14ac:dyDescent="0.3">
      <c r="A2" s="384">
        <v>46295</v>
      </c>
      <c r="B2">
        <v>2587.1909999999998</v>
      </c>
      <c r="C2">
        <v>-10.521000000000001</v>
      </c>
      <c r="D2">
        <v>-4.1000000000000003E-3</v>
      </c>
      <c r="E2">
        <v>53.63</v>
      </c>
      <c r="F2">
        <v>151.38</v>
      </c>
      <c r="G2">
        <v>130.05000000000001</v>
      </c>
      <c r="H2">
        <v>89.45</v>
      </c>
      <c r="I2">
        <v>215.54</v>
      </c>
      <c r="J2">
        <v>54.62</v>
      </c>
      <c r="K2">
        <v>0.64159999999999995</v>
      </c>
      <c r="L2">
        <v>0.50509999999999999</v>
      </c>
      <c r="M2">
        <v>-9.8900000000000002E-2</v>
      </c>
      <c r="N2">
        <v>423.62</v>
      </c>
      <c r="O2">
        <v>4712.6400000000003</v>
      </c>
      <c r="P2">
        <v>8.9899999999999994E-2</v>
      </c>
      <c r="Q2">
        <v>310</v>
      </c>
      <c r="R2" t="s">
        <v>2240</v>
      </c>
      <c r="S2" t="s">
        <v>2241</v>
      </c>
      <c r="T2" t="s">
        <v>2242</v>
      </c>
      <c r="U2" t="s">
        <v>2243</v>
      </c>
      <c r="V2" t="s">
        <v>2244</v>
      </c>
      <c r="W2" t="s">
        <v>2245</v>
      </c>
    </row>
    <row r="3" spans="1:23" x14ac:dyDescent="0.3">
      <c r="A3" s="389">
        <v>46294</v>
      </c>
      <c r="B3" s="390">
        <v>2597.712</v>
      </c>
      <c r="C3" s="390">
        <v>3.45</v>
      </c>
      <c r="D3" s="390">
        <v>1.2999999999999999E-3</v>
      </c>
      <c r="E3" s="390">
        <v>54.33</v>
      </c>
      <c r="F3" s="390">
        <v>153.06</v>
      </c>
      <c r="G3" s="390">
        <v>129.91999999999999</v>
      </c>
      <c r="H3" s="390">
        <v>90.01</v>
      </c>
      <c r="I3" s="390">
        <v>217.82</v>
      </c>
      <c r="J3" s="390">
        <v>56.29</v>
      </c>
      <c r="K3" s="390">
        <v>0.64759999999999995</v>
      </c>
      <c r="L3" s="390">
        <v>0.48959999999999998</v>
      </c>
      <c r="M3" s="390">
        <v>-9.8199999999999996E-2</v>
      </c>
      <c r="N3" s="390">
        <v>482.34</v>
      </c>
      <c r="O3" s="390">
        <v>4710.3599999999997</v>
      </c>
      <c r="P3" s="390">
        <v>0.1024</v>
      </c>
      <c r="Q3" s="390">
        <v>310</v>
      </c>
      <c r="R3" s="390" t="s">
        <v>2246</v>
      </c>
      <c r="S3" s="390" t="s">
        <v>2247</v>
      </c>
      <c r="T3" s="390" t="s">
        <v>2248</v>
      </c>
      <c r="U3" s="390" t="s">
        <v>2249</v>
      </c>
      <c r="V3" s="390" t="s">
        <v>2250</v>
      </c>
      <c r="W3" s="390" t="s">
        <v>2251</v>
      </c>
    </row>
    <row r="4" spans="1:23" x14ac:dyDescent="0.3">
      <c r="A4" s="389">
        <v>46293</v>
      </c>
      <c r="B4" s="390">
        <v>2594.2620000000002</v>
      </c>
      <c r="C4" s="390">
        <v>-13.638999999999999</v>
      </c>
      <c r="D4" s="390">
        <v>-5.1999999999999998E-3</v>
      </c>
      <c r="E4" s="390">
        <v>52.97</v>
      </c>
      <c r="F4" s="390">
        <v>153.03</v>
      </c>
      <c r="G4" s="390">
        <v>129.25</v>
      </c>
      <c r="H4" s="390">
        <v>88.78</v>
      </c>
      <c r="I4" s="390">
        <v>218.32</v>
      </c>
      <c r="J4" s="390">
        <v>56.56</v>
      </c>
      <c r="K4" s="390">
        <v>0.65290000000000004</v>
      </c>
      <c r="L4" s="390">
        <v>0.50609999999999999</v>
      </c>
      <c r="M4" s="390">
        <v>-9.7100000000000006E-2</v>
      </c>
      <c r="N4" s="390">
        <v>399.99</v>
      </c>
      <c r="O4" s="390">
        <v>4717.3100000000004</v>
      </c>
      <c r="P4" s="390">
        <v>8.48E-2</v>
      </c>
      <c r="Q4" s="390">
        <v>311</v>
      </c>
      <c r="R4" s="390" t="s">
        <v>2252</v>
      </c>
      <c r="S4" s="390" t="s">
        <v>2253</v>
      </c>
      <c r="T4" s="390" t="s">
        <v>2254</v>
      </c>
      <c r="U4" s="390" t="s">
        <v>2255</v>
      </c>
      <c r="V4" s="390" t="s">
        <v>2256</v>
      </c>
      <c r="W4" s="390" t="s">
        <v>2257</v>
      </c>
    </row>
    <row r="5" spans="1:23" x14ac:dyDescent="0.3">
      <c r="A5" s="389">
        <v>46289</v>
      </c>
      <c r="B5" s="390">
        <v>2607.9009999999998</v>
      </c>
      <c r="C5" s="390">
        <v>-39.256999999999998</v>
      </c>
      <c r="D5" s="390">
        <v>-1.4800000000000001E-2</v>
      </c>
      <c r="E5" s="390">
        <v>53.18</v>
      </c>
      <c r="F5" s="390">
        <v>154.47999999999999</v>
      </c>
      <c r="G5" s="390">
        <v>129.71</v>
      </c>
      <c r="H5" s="390">
        <v>90.25</v>
      </c>
      <c r="I5" s="390">
        <v>217.3</v>
      </c>
      <c r="J5" s="390">
        <v>50.88</v>
      </c>
      <c r="K5" s="390">
        <v>0.62819999999999998</v>
      </c>
      <c r="L5" s="390">
        <v>0.48749999999999999</v>
      </c>
      <c r="M5" s="390">
        <v>-9.7600000000000006E-2</v>
      </c>
      <c r="N5" s="390">
        <v>454.07</v>
      </c>
      <c r="O5" s="390">
        <v>4722.2299999999996</v>
      </c>
      <c r="P5" s="390">
        <v>9.6199999999999994E-2</v>
      </c>
      <c r="Q5" s="390">
        <v>311</v>
      </c>
      <c r="R5" s="390" t="s">
        <v>2258</v>
      </c>
      <c r="S5" s="390" t="s">
        <v>2241</v>
      </c>
      <c r="T5" s="390" t="s">
        <v>2259</v>
      </c>
      <c r="U5" s="390" t="s">
        <v>2260</v>
      </c>
      <c r="V5" s="390" t="s">
        <v>2261</v>
      </c>
      <c r="W5" s="390" t="s">
        <v>2262</v>
      </c>
    </row>
    <row r="6" spans="1:23" x14ac:dyDescent="0.3">
      <c r="A6" s="389">
        <v>46288</v>
      </c>
      <c r="B6" s="390">
        <v>2647.1579999999999</v>
      </c>
      <c r="C6" s="390">
        <v>-12.42</v>
      </c>
      <c r="D6" s="390">
        <v>-4.7000000000000002E-3</v>
      </c>
      <c r="E6" s="390">
        <v>58.78</v>
      </c>
      <c r="F6" s="390">
        <v>157.58000000000001</v>
      </c>
      <c r="G6" s="390">
        <v>131.07</v>
      </c>
      <c r="H6" s="390">
        <v>91.78</v>
      </c>
      <c r="I6" s="390">
        <v>220.58</v>
      </c>
      <c r="J6" s="390">
        <v>51.1</v>
      </c>
      <c r="K6" s="390">
        <v>0.63009999999999999</v>
      </c>
      <c r="L6" s="390">
        <v>0.49220000000000003</v>
      </c>
      <c r="M6" s="390">
        <v>-0.1041</v>
      </c>
      <c r="N6" s="390">
        <v>479.22</v>
      </c>
      <c r="O6" s="390">
        <v>4715.97</v>
      </c>
      <c r="P6" s="390">
        <v>0.1016</v>
      </c>
      <c r="Q6" s="390">
        <v>310</v>
      </c>
      <c r="R6" s="390" t="s">
        <v>2263</v>
      </c>
      <c r="S6" s="390" t="s">
        <v>2264</v>
      </c>
      <c r="T6" s="390" t="s">
        <v>2265</v>
      </c>
      <c r="U6" s="390" t="s">
        <v>2266</v>
      </c>
      <c r="V6" s="390" t="s">
        <v>2267</v>
      </c>
      <c r="W6" s="390" t="s">
        <v>2268</v>
      </c>
    </row>
    <row r="7" spans="1:23" x14ac:dyDescent="0.3">
      <c r="A7" s="384">
        <v>46287</v>
      </c>
      <c r="B7">
        <v>2659.578</v>
      </c>
      <c r="C7">
        <v>-12.103</v>
      </c>
      <c r="D7">
        <v>-4.4999999999999997E-3</v>
      </c>
      <c r="E7">
        <v>62.26</v>
      </c>
      <c r="F7">
        <v>158.1</v>
      </c>
      <c r="G7">
        <v>131.88</v>
      </c>
      <c r="H7">
        <v>91.32</v>
      </c>
      <c r="I7">
        <v>221.88</v>
      </c>
      <c r="J7">
        <v>54.71</v>
      </c>
      <c r="K7">
        <v>0.63780000000000003</v>
      </c>
      <c r="L7">
        <v>0.49880000000000002</v>
      </c>
      <c r="M7">
        <v>-0.10680000000000001</v>
      </c>
      <c r="N7">
        <v>493.1</v>
      </c>
      <c r="O7">
        <v>4720.08</v>
      </c>
      <c r="P7">
        <v>0.1045</v>
      </c>
      <c r="Q7">
        <v>310</v>
      </c>
      <c r="R7" t="s">
        <v>2269</v>
      </c>
      <c r="S7" t="s">
        <v>2270</v>
      </c>
      <c r="T7" t="s">
        <v>2271</v>
      </c>
      <c r="U7" t="s">
        <v>2272</v>
      </c>
      <c r="V7" t="s">
        <v>2273</v>
      </c>
      <c r="W7" t="s">
        <v>2274</v>
      </c>
    </row>
    <row r="8" spans="1:23" x14ac:dyDescent="0.3">
      <c r="A8" s="389">
        <v>46286</v>
      </c>
      <c r="B8" s="390">
        <v>2671.681</v>
      </c>
      <c r="C8" s="390">
        <v>8.3889999999999993</v>
      </c>
      <c r="D8" s="390">
        <v>3.2000000000000002E-3</v>
      </c>
      <c r="E8" s="390">
        <v>63.39</v>
      </c>
      <c r="F8" s="390">
        <v>158.84</v>
      </c>
      <c r="G8" s="390">
        <v>132.35</v>
      </c>
      <c r="H8" s="390">
        <v>91.16</v>
      </c>
      <c r="I8" s="390">
        <v>223.56</v>
      </c>
      <c r="J8" s="390">
        <v>54.24</v>
      </c>
      <c r="K8" s="390">
        <v>0.6472</v>
      </c>
      <c r="L8" s="390">
        <v>0.50180000000000002</v>
      </c>
      <c r="M8" s="390">
        <v>-0.1091</v>
      </c>
      <c r="N8" s="390">
        <v>486.54</v>
      </c>
      <c r="O8" s="390">
        <v>4722.17</v>
      </c>
      <c r="P8" s="390">
        <v>0.10299999999999999</v>
      </c>
      <c r="Q8" s="390">
        <v>310</v>
      </c>
      <c r="R8" s="390" t="s">
        <v>2275</v>
      </c>
      <c r="S8" s="390" t="s">
        <v>2276</v>
      </c>
      <c r="T8" s="390" t="s">
        <v>2277</v>
      </c>
      <c r="U8" s="390" t="s">
        <v>2278</v>
      </c>
      <c r="V8" s="390" t="s">
        <v>2279</v>
      </c>
      <c r="W8" s="390" t="s">
        <v>2280</v>
      </c>
    </row>
    <row r="9" spans="1:23" x14ac:dyDescent="0.3">
      <c r="A9" s="384">
        <v>46283</v>
      </c>
      <c r="B9">
        <v>2663.2919999999999</v>
      </c>
      <c r="C9">
        <v>22.814</v>
      </c>
      <c r="D9">
        <v>8.6E-3</v>
      </c>
      <c r="E9">
        <v>61.58</v>
      </c>
      <c r="F9">
        <v>158.44</v>
      </c>
      <c r="G9">
        <v>132.34</v>
      </c>
      <c r="H9">
        <v>89.1</v>
      </c>
      <c r="I9">
        <v>225.45</v>
      </c>
      <c r="J9">
        <v>60.94</v>
      </c>
      <c r="K9">
        <v>0.67010000000000003</v>
      </c>
      <c r="L9">
        <v>0.52249999999999996</v>
      </c>
      <c r="M9">
        <v>-0.10730000000000001</v>
      </c>
      <c r="N9">
        <v>575.29999999999995</v>
      </c>
      <c r="O9">
        <v>4722.4799999999996</v>
      </c>
      <c r="P9">
        <v>0.12180000000000001</v>
      </c>
      <c r="Q9">
        <v>310</v>
      </c>
      <c r="R9" t="s">
        <v>2281</v>
      </c>
      <c r="S9" t="s">
        <v>2282</v>
      </c>
      <c r="T9" t="s">
        <v>2283</v>
      </c>
      <c r="U9" t="s">
        <v>2284</v>
      </c>
      <c r="V9" t="s">
        <v>2285</v>
      </c>
      <c r="W9" t="s">
        <v>2286</v>
      </c>
    </row>
    <row r="10" spans="1:23" x14ac:dyDescent="0.3">
      <c r="A10" s="389">
        <v>46282</v>
      </c>
      <c r="B10" s="390">
        <v>2640.4780000000001</v>
      </c>
      <c r="C10" s="390">
        <v>-1.4530000000000001</v>
      </c>
      <c r="D10" s="390">
        <v>-5.9999999999999995E-4</v>
      </c>
      <c r="E10" s="390">
        <v>57.74</v>
      </c>
      <c r="F10" s="390">
        <v>156.74</v>
      </c>
      <c r="G10" s="390">
        <v>131.78</v>
      </c>
      <c r="H10" s="390">
        <v>87.83</v>
      </c>
      <c r="I10" s="390">
        <v>224.78</v>
      </c>
      <c r="J10" s="390">
        <v>64.36</v>
      </c>
      <c r="K10" s="390">
        <v>0.6804</v>
      </c>
      <c r="L10" s="390">
        <v>0.52739999999999998</v>
      </c>
      <c r="M10" s="390">
        <v>-0.104</v>
      </c>
      <c r="N10" s="390">
        <v>505.86</v>
      </c>
      <c r="O10" s="390">
        <v>4730.2299999999996</v>
      </c>
      <c r="P10" s="390">
        <v>0.1069</v>
      </c>
      <c r="Q10" s="390">
        <v>310</v>
      </c>
      <c r="R10" s="390" t="s">
        <v>2287</v>
      </c>
      <c r="S10" s="390" t="s">
        <v>2241</v>
      </c>
      <c r="T10" s="390" t="s">
        <v>2288</v>
      </c>
      <c r="U10" s="390" t="s">
        <v>2289</v>
      </c>
      <c r="V10" s="390" t="s">
        <v>2290</v>
      </c>
      <c r="W10" s="390" t="s">
        <v>2291</v>
      </c>
    </row>
    <row r="11" spans="1:23" x14ac:dyDescent="0.3">
      <c r="A11" s="389">
        <v>46281</v>
      </c>
      <c r="B11" s="390">
        <v>2641.931</v>
      </c>
      <c r="C11" s="390">
        <v>22.683</v>
      </c>
      <c r="D11" s="390">
        <v>8.6999999999999994E-3</v>
      </c>
      <c r="E11" s="390">
        <v>59</v>
      </c>
      <c r="F11" s="390">
        <v>156.66</v>
      </c>
      <c r="G11" s="390">
        <v>132.01</v>
      </c>
      <c r="H11" s="390">
        <v>87.85</v>
      </c>
      <c r="I11" s="390">
        <v>225.16</v>
      </c>
      <c r="J11" s="390">
        <v>63.8</v>
      </c>
      <c r="K11" s="390">
        <v>0.68500000000000005</v>
      </c>
      <c r="L11" s="390">
        <v>0.54249999999999998</v>
      </c>
      <c r="M11" s="390">
        <v>-0.1036</v>
      </c>
      <c r="N11" s="390">
        <v>557.72</v>
      </c>
      <c r="O11" s="390">
        <v>4730.3999999999996</v>
      </c>
      <c r="P11" s="390">
        <v>0.1179</v>
      </c>
      <c r="Q11" s="390">
        <v>310</v>
      </c>
      <c r="R11" s="390" t="s">
        <v>2292</v>
      </c>
      <c r="S11" s="390" t="s">
        <v>2241</v>
      </c>
      <c r="T11" s="390" t="s">
        <v>2293</v>
      </c>
      <c r="U11" s="390" t="s">
        <v>2294</v>
      </c>
      <c r="V11" s="390" t="s">
        <v>2295</v>
      </c>
      <c r="W11" s="390" t="s">
        <v>2296</v>
      </c>
    </row>
    <row r="12" spans="1:23" x14ac:dyDescent="0.3">
      <c r="A12" s="389">
        <v>46280</v>
      </c>
      <c r="B12" s="390">
        <v>2619.248</v>
      </c>
      <c r="C12" s="390">
        <v>-14.696999999999999</v>
      </c>
      <c r="D12" s="390">
        <v>-5.5999999999999999E-3</v>
      </c>
      <c r="E12" s="390">
        <v>55.94</v>
      </c>
      <c r="F12" s="390">
        <v>154.77000000000001</v>
      </c>
      <c r="G12" s="390">
        <v>130.97</v>
      </c>
      <c r="H12" s="390">
        <v>86.33</v>
      </c>
      <c r="I12" s="390">
        <v>224.45</v>
      </c>
      <c r="J12" s="390">
        <v>63.64</v>
      </c>
      <c r="K12" s="390">
        <v>0.69669999999999999</v>
      </c>
      <c r="L12" s="390">
        <v>0.55740000000000001</v>
      </c>
      <c r="M12" s="390">
        <v>-0.1002</v>
      </c>
      <c r="N12" s="390">
        <v>448.51</v>
      </c>
      <c r="O12" s="390">
        <v>4730.55</v>
      </c>
      <c r="P12" s="390">
        <v>9.4799999999999995E-2</v>
      </c>
      <c r="Q12" s="390">
        <v>310</v>
      </c>
      <c r="R12" s="390" t="s">
        <v>2297</v>
      </c>
      <c r="S12" s="390" t="s">
        <v>2241</v>
      </c>
      <c r="T12" s="390" t="s">
        <v>2298</v>
      </c>
      <c r="U12" s="390" t="s">
        <v>2299</v>
      </c>
      <c r="V12" s="390" t="s">
        <v>2300</v>
      </c>
      <c r="W12" s="390" t="s">
        <v>2301</v>
      </c>
    </row>
    <row r="13" spans="1:23" x14ac:dyDescent="0.3">
      <c r="A13" s="389">
        <v>46279</v>
      </c>
      <c r="B13" s="390">
        <v>2633.9450000000002</v>
      </c>
      <c r="C13" s="390">
        <v>18.439</v>
      </c>
      <c r="D13" s="390">
        <v>7.0000000000000001E-3</v>
      </c>
      <c r="E13" s="390">
        <v>61.06</v>
      </c>
      <c r="F13" s="390">
        <v>155.76</v>
      </c>
      <c r="G13" s="390">
        <v>131.94999999999999</v>
      </c>
      <c r="H13" s="390">
        <v>88.35</v>
      </c>
      <c r="I13" s="390">
        <v>224.37</v>
      </c>
      <c r="J13" s="390">
        <v>61.53</v>
      </c>
      <c r="K13" s="390">
        <v>0.68620000000000003</v>
      </c>
      <c r="L13" s="390">
        <v>0.53580000000000005</v>
      </c>
      <c r="M13" s="390">
        <v>-0.10199999999999999</v>
      </c>
      <c r="N13" s="390">
        <v>502.85</v>
      </c>
      <c r="O13" s="390">
        <v>4730.58</v>
      </c>
      <c r="P13" s="390">
        <v>0.10630000000000001</v>
      </c>
      <c r="Q13" s="390">
        <v>310</v>
      </c>
      <c r="R13" s="390" t="s">
        <v>2302</v>
      </c>
      <c r="S13" s="390" t="s">
        <v>2241</v>
      </c>
      <c r="T13" s="390" t="s">
        <v>2303</v>
      </c>
      <c r="U13" s="390" t="s">
        <v>2304</v>
      </c>
      <c r="V13" s="390" t="s">
        <v>2305</v>
      </c>
      <c r="W13" s="390" t="s">
        <v>2306</v>
      </c>
    </row>
    <row r="14" spans="1:23" x14ac:dyDescent="0.3">
      <c r="A14" s="384">
        <v>46276</v>
      </c>
      <c r="B14">
        <v>2615.5059999999999</v>
      </c>
      <c r="C14">
        <v>-9.7129999999999992</v>
      </c>
      <c r="D14">
        <v>-3.7000000000000002E-3</v>
      </c>
      <c r="E14">
        <v>57.25</v>
      </c>
      <c r="F14">
        <v>154.63999999999999</v>
      </c>
      <c r="G14">
        <v>131.38999999999999</v>
      </c>
      <c r="H14">
        <v>88.4</v>
      </c>
      <c r="I14">
        <v>223.08</v>
      </c>
      <c r="J14">
        <v>64.3</v>
      </c>
      <c r="K14">
        <v>0.68440000000000001</v>
      </c>
      <c r="L14">
        <v>0.54269999999999996</v>
      </c>
      <c r="M14">
        <v>-9.7699999999999995E-2</v>
      </c>
      <c r="N14">
        <v>561.91999999999996</v>
      </c>
      <c r="O14">
        <v>4731.6499999999996</v>
      </c>
      <c r="P14">
        <v>0.1188</v>
      </c>
      <c r="Q14">
        <v>311</v>
      </c>
      <c r="R14" t="s">
        <v>2307</v>
      </c>
      <c r="S14" t="s">
        <v>2241</v>
      </c>
      <c r="T14" t="s">
        <v>2308</v>
      </c>
      <c r="U14" t="s">
        <v>2309</v>
      </c>
      <c r="V14" t="s">
        <v>2310</v>
      </c>
      <c r="W14" t="s">
        <v>2311</v>
      </c>
    </row>
    <row r="15" spans="1:23" x14ac:dyDescent="0.3">
      <c r="A15" s="389">
        <v>46275</v>
      </c>
      <c r="B15" s="390">
        <v>2625.2190000000001</v>
      </c>
      <c r="C15" s="390">
        <v>-20.103999999999999</v>
      </c>
      <c r="D15" s="390">
        <v>-7.6E-3</v>
      </c>
      <c r="E15" s="390">
        <v>58</v>
      </c>
      <c r="F15" s="390">
        <v>155.46</v>
      </c>
      <c r="G15" s="390">
        <v>130.91999999999999</v>
      </c>
      <c r="H15" s="390">
        <v>89.62</v>
      </c>
      <c r="I15" s="390">
        <v>221.06</v>
      </c>
      <c r="J15" s="390">
        <v>57.59</v>
      </c>
      <c r="K15" s="390">
        <v>0.65600000000000003</v>
      </c>
      <c r="L15" s="390">
        <v>0.51890000000000003</v>
      </c>
      <c r="M15" s="390">
        <v>-9.8799999999999999E-2</v>
      </c>
      <c r="N15" s="390">
        <v>547.36</v>
      </c>
      <c r="O15" s="390">
        <v>4727.63</v>
      </c>
      <c r="P15" s="390">
        <v>0.1158</v>
      </c>
      <c r="Q15" s="390">
        <v>310</v>
      </c>
      <c r="R15" s="390" t="s">
        <v>2312</v>
      </c>
      <c r="S15" s="390" t="s">
        <v>2241</v>
      </c>
      <c r="T15" s="390" t="s">
        <v>2313</v>
      </c>
      <c r="U15" s="390" t="s">
        <v>2314</v>
      </c>
      <c r="V15" s="390" t="s">
        <v>2315</v>
      </c>
      <c r="W15" s="390" t="s">
        <v>2316</v>
      </c>
    </row>
    <row r="16" spans="1:23" x14ac:dyDescent="0.3">
      <c r="A16" s="389">
        <v>46274</v>
      </c>
      <c r="B16" s="390">
        <v>2645.3229999999999</v>
      </c>
      <c r="C16" s="390">
        <v>-20.07</v>
      </c>
      <c r="D16" s="390">
        <v>-7.4999999999999997E-3</v>
      </c>
      <c r="E16" s="390">
        <v>60.08</v>
      </c>
      <c r="F16" s="390">
        <v>156.69</v>
      </c>
      <c r="G16" s="390">
        <v>132.19999999999999</v>
      </c>
      <c r="H16" s="390">
        <v>91.11</v>
      </c>
      <c r="I16" s="390">
        <v>221.08</v>
      </c>
      <c r="J16" s="390">
        <v>55</v>
      </c>
      <c r="K16" s="390">
        <v>0.64390000000000003</v>
      </c>
      <c r="L16" s="390">
        <v>0.50860000000000005</v>
      </c>
      <c r="M16" s="390">
        <v>-0.1017</v>
      </c>
      <c r="N16" s="390">
        <v>504.95</v>
      </c>
      <c r="O16" s="390">
        <v>4722.07</v>
      </c>
      <c r="P16" s="390">
        <v>0.1069</v>
      </c>
      <c r="Q16" s="390">
        <v>309</v>
      </c>
      <c r="R16" s="390" t="s">
        <v>2317</v>
      </c>
      <c r="S16" s="390" t="s">
        <v>2241</v>
      </c>
      <c r="T16" s="390" t="s">
        <v>2318</v>
      </c>
      <c r="U16" s="390" t="s">
        <v>2319</v>
      </c>
      <c r="V16" s="390" t="s">
        <v>2320</v>
      </c>
      <c r="W16" s="390" t="s">
        <v>2321</v>
      </c>
    </row>
    <row r="17" spans="1:23" x14ac:dyDescent="0.3">
      <c r="A17" s="384">
        <v>46273</v>
      </c>
      <c r="B17">
        <v>2665.393</v>
      </c>
      <c r="C17">
        <v>-5.9569999999999999</v>
      </c>
      <c r="D17">
        <v>-2.2000000000000001E-3</v>
      </c>
      <c r="E17">
        <v>63.65</v>
      </c>
      <c r="F17">
        <v>157.78</v>
      </c>
      <c r="G17">
        <v>133.72999999999999</v>
      </c>
      <c r="H17">
        <v>90.45</v>
      </c>
      <c r="I17">
        <v>223.03</v>
      </c>
      <c r="J17">
        <v>56.21</v>
      </c>
      <c r="K17">
        <v>0.65239999999999998</v>
      </c>
      <c r="L17">
        <v>0.51</v>
      </c>
      <c r="M17">
        <v>-0.10489999999999999</v>
      </c>
      <c r="N17">
        <v>496.75</v>
      </c>
      <c r="O17">
        <v>4722.25</v>
      </c>
      <c r="P17">
        <v>0.1052</v>
      </c>
      <c r="Q17">
        <v>309</v>
      </c>
      <c r="R17" t="s">
        <v>2322</v>
      </c>
      <c r="S17" t="s">
        <v>2241</v>
      </c>
      <c r="T17" t="s">
        <v>2323</v>
      </c>
      <c r="U17" t="s">
        <v>2324</v>
      </c>
      <c r="V17" t="s">
        <v>2325</v>
      </c>
      <c r="W17" t="s">
        <v>2326</v>
      </c>
    </row>
    <row r="18" spans="1:23" x14ac:dyDescent="0.3">
      <c r="A18" s="384">
        <v>46272</v>
      </c>
      <c r="B18">
        <v>2671.35</v>
      </c>
      <c r="C18">
        <v>20.465</v>
      </c>
      <c r="D18">
        <v>7.7000000000000002E-3</v>
      </c>
      <c r="E18">
        <v>64.19</v>
      </c>
      <c r="F18">
        <v>158.41</v>
      </c>
      <c r="G18">
        <v>133.69999999999999</v>
      </c>
      <c r="H18">
        <v>89.98</v>
      </c>
      <c r="I18">
        <v>224.91</v>
      </c>
      <c r="J18">
        <v>61.65</v>
      </c>
      <c r="K18">
        <v>0.66500000000000004</v>
      </c>
      <c r="L18">
        <v>0.52669999999999995</v>
      </c>
      <c r="M18">
        <v>-0.1057</v>
      </c>
      <c r="N18">
        <v>555.79</v>
      </c>
      <c r="O18">
        <v>4722.51</v>
      </c>
      <c r="P18">
        <v>0.1177</v>
      </c>
      <c r="Q18">
        <v>309</v>
      </c>
      <c r="R18" t="s">
        <v>2327</v>
      </c>
      <c r="S18" t="s">
        <v>2241</v>
      </c>
      <c r="T18" t="s">
        <v>2328</v>
      </c>
      <c r="U18" t="s">
        <v>2329</v>
      </c>
      <c r="V18" t="s">
        <v>2330</v>
      </c>
      <c r="W18" t="s">
        <v>2331</v>
      </c>
    </row>
    <row r="19" spans="1:23" x14ac:dyDescent="0.3">
      <c r="A19" s="384">
        <v>46269</v>
      </c>
      <c r="B19">
        <v>2650.8850000000002</v>
      </c>
      <c r="C19">
        <v>-12.438000000000001</v>
      </c>
      <c r="D19">
        <v>-4.7000000000000002E-3</v>
      </c>
      <c r="E19">
        <v>62.65</v>
      </c>
      <c r="F19">
        <v>156.51</v>
      </c>
      <c r="G19">
        <v>133.41999999999999</v>
      </c>
      <c r="H19">
        <v>89.33</v>
      </c>
      <c r="I19">
        <v>223.36</v>
      </c>
      <c r="J19">
        <v>60.76</v>
      </c>
      <c r="K19">
        <v>0.66849999999999998</v>
      </c>
      <c r="L19">
        <v>0.53569999999999995</v>
      </c>
      <c r="M19">
        <v>-0.10199999999999999</v>
      </c>
      <c r="N19">
        <v>543.75</v>
      </c>
      <c r="O19">
        <v>4720.0200000000004</v>
      </c>
      <c r="P19">
        <v>0.1152</v>
      </c>
      <c r="Q19">
        <v>308</v>
      </c>
      <c r="R19" t="s">
        <v>2332</v>
      </c>
      <c r="S19" t="s">
        <v>2241</v>
      </c>
      <c r="T19" t="s">
        <v>2333</v>
      </c>
      <c r="U19" t="s">
        <v>2334</v>
      </c>
      <c r="V19" t="s">
        <v>2335</v>
      </c>
      <c r="W19" t="s">
        <v>2336</v>
      </c>
    </row>
    <row r="20" spans="1:23" x14ac:dyDescent="0.3">
      <c r="A20" s="385">
        <v>46268</v>
      </c>
      <c r="B20" s="386">
        <v>2663.3229999999999</v>
      </c>
      <c r="C20" s="387">
        <v>-19.207000000000001</v>
      </c>
      <c r="D20" s="388">
        <v>-7.1999999999999998E-3</v>
      </c>
      <c r="E20" s="387">
        <v>62.81</v>
      </c>
      <c r="F20" s="387">
        <v>157.87</v>
      </c>
      <c r="G20" s="387">
        <v>134.21</v>
      </c>
      <c r="H20" s="387">
        <v>89.56</v>
      </c>
      <c r="I20" s="387">
        <v>224.46</v>
      </c>
      <c r="J20" s="387">
        <v>61.33</v>
      </c>
      <c r="K20" s="388">
        <v>0.66590000000000005</v>
      </c>
      <c r="L20" s="388">
        <v>0.5333</v>
      </c>
      <c r="M20" s="388">
        <v>-0.1037</v>
      </c>
      <c r="N20" s="387">
        <v>606.80999999999995</v>
      </c>
      <c r="O20" s="387">
        <v>4720.54</v>
      </c>
      <c r="P20" s="388">
        <v>0.1285</v>
      </c>
      <c r="Q20" s="387">
        <v>309</v>
      </c>
      <c r="R20" s="387" t="s">
        <v>2337</v>
      </c>
      <c r="S20" s="387" t="s">
        <v>2241</v>
      </c>
      <c r="T20" s="387" t="s">
        <v>2338</v>
      </c>
      <c r="U20" s="387" t="s">
        <v>2339</v>
      </c>
      <c r="V20" s="387" t="s">
        <v>2340</v>
      </c>
      <c r="W20" s="387" t="s">
        <v>2341</v>
      </c>
    </row>
    <row r="21" spans="1:23" x14ac:dyDescent="0.3">
      <c r="A21" s="308">
        <v>46267</v>
      </c>
      <c r="B21" s="302">
        <v>2682.53</v>
      </c>
      <c r="C21" s="8">
        <v>-23.843</v>
      </c>
      <c r="D21" s="268">
        <v>-8.8000000000000005E-3</v>
      </c>
      <c r="E21" s="8">
        <v>66.209999999999994</v>
      </c>
      <c r="F21" s="8">
        <v>159.256</v>
      </c>
      <c r="G21" s="8">
        <v>134.542</v>
      </c>
      <c r="H21" s="8">
        <v>90.06</v>
      </c>
      <c r="I21" s="8">
        <v>226.79</v>
      </c>
      <c r="J21" s="8">
        <v>62.67</v>
      </c>
      <c r="K21" s="268">
        <v>0.67530000000000001</v>
      </c>
      <c r="L21" s="268">
        <v>0.53339999999999999</v>
      </c>
      <c r="M21" s="268">
        <v>-0.1089</v>
      </c>
      <c r="N21" s="8">
        <v>504.32</v>
      </c>
      <c r="O21" s="8">
        <v>4703.12</v>
      </c>
      <c r="P21" s="268">
        <v>0.1072</v>
      </c>
      <c r="Q21" s="8">
        <v>308</v>
      </c>
      <c r="R21" s="8" t="s">
        <v>2342</v>
      </c>
      <c r="S21" s="8">
        <v>0</v>
      </c>
      <c r="T21" s="8" t="s">
        <v>2343</v>
      </c>
      <c r="U21" s="8" t="s">
        <v>2344</v>
      </c>
      <c r="V21" s="8" t="s">
        <v>2345</v>
      </c>
      <c r="W21" s="8" t="s">
        <v>2346</v>
      </c>
    </row>
    <row r="22" spans="1:23" x14ac:dyDescent="0.3">
      <c r="A22" s="308">
        <v>46266</v>
      </c>
      <c r="B22" s="302">
        <v>2706.373</v>
      </c>
      <c r="C22" s="8">
        <v>-12.561</v>
      </c>
      <c r="D22" s="268">
        <v>-4.5999999999999999E-3</v>
      </c>
      <c r="E22" s="8">
        <v>70.84</v>
      </c>
      <c r="F22" s="8">
        <v>161.464</v>
      </c>
      <c r="G22" s="8">
        <v>134.71899999999999</v>
      </c>
      <c r="H22" s="8">
        <v>91.04</v>
      </c>
      <c r="I22" s="8">
        <v>228.94</v>
      </c>
      <c r="J22" s="8">
        <v>63.47</v>
      </c>
      <c r="K22" s="268">
        <v>0.67469999999999997</v>
      </c>
      <c r="L22" s="268">
        <v>0.53159999999999996</v>
      </c>
      <c r="M22" s="268">
        <v>-0.1119</v>
      </c>
      <c r="N22" s="8">
        <v>494.66</v>
      </c>
      <c r="O22" s="8">
        <v>4706.49</v>
      </c>
      <c r="P22" s="268">
        <v>0.1051</v>
      </c>
      <c r="Q22" s="8">
        <v>308</v>
      </c>
      <c r="R22" s="8" t="s">
        <v>2347</v>
      </c>
      <c r="S22" s="8">
        <v>0</v>
      </c>
      <c r="T22" s="8" t="s">
        <v>2348</v>
      </c>
      <c r="U22" s="8" t="s">
        <v>2349</v>
      </c>
      <c r="V22" s="8" t="s">
        <v>2350</v>
      </c>
      <c r="W22" s="8" t="s">
        <v>2351</v>
      </c>
    </row>
    <row r="23" spans="1:23" x14ac:dyDescent="0.3">
      <c r="A23" s="308">
        <v>46265</v>
      </c>
      <c r="B23" s="302">
        <v>2718.9340000000002</v>
      </c>
      <c r="C23" s="8">
        <v>-1.877</v>
      </c>
      <c r="D23" s="268">
        <v>-6.9999999999999999E-4</v>
      </c>
      <c r="E23" s="8">
        <v>71.23</v>
      </c>
      <c r="F23" s="8">
        <v>162.732</v>
      </c>
      <c r="G23" s="8">
        <v>134.911</v>
      </c>
      <c r="H23" s="8">
        <v>90.28</v>
      </c>
      <c r="I23" s="8">
        <v>230.9</v>
      </c>
      <c r="J23" s="8">
        <v>64.599999999999994</v>
      </c>
      <c r="K23" s="268">
        <v>0.68169999999999997</v>
      </c>
      <c r="L23" s="268">
        <v>0.54259999999999997</v>
      </c>
      <c r="M23" s="268">
        <v>-0.11260000000000001</v>
      </c>
      <c r="N23" s="8">
        <v>608.69000000000005</v>
      </c>
      <c r="O23" s="8">
        <v>4709.8999999999996</v>
      </c>
      <c r="P23" s="268">
        <v>0.12920000000000001</v>
      </c>
      <c r="Q23" s="8">
        <v>309</v>
      </c>
      <c r="R23" s="8" t="s">
        <v>2352</v>
      </c>
      <c r="S23" s="8">
        <v>0</v>
      </c>
      <c r="T23" s="8" t="s">
        <v>2353</v>
      </c>
      <c r="U23" s="8" t="s">
        <v>2354</v>
      </c>
      <c r="V23" s="8" t="s">
        <v>2355</v>
      </c>
      <c r="W23" s="8" t="s">
        <v>2356</v>
      </c>
    </row>
    <row r="24" spans="1:23" x14ac:dyDescent="0.3">
      <c r="A24" s="308">
        <v>46262</v>
      </c>
      <c r="B24" s="302">
        <v>2720.8110000000001</v>
      </c>
      <c r="C24" s="8">
        <v>-5.234</v>
      </c>
      <c r="D24" s="268">
        <v>-1.9E-3</v>
      </c>
      <c r="E24" s="8">
        <v>73.540000000000006</v>
      </c>
      <c r="F24" s="8">
        <v>162.22</v>
      </c>
      <c r="G24" s="8">
        <v>134.631</v>
      </c>
      <c r="H24" s="8">
        <v>89</v>
      </c>
      <c r="I24" s="8">
        <v>232.36</v>
      </c>
      <c r="J24" s="8">
        <v>70.33</v>
      </c>
      <c r="K24" s="268">
        <v>0.70140000000000002</v>
      </c>
      <c r="L24" s="268">
        <v>0.56079999999999997</v>
      </c>
      <c r="M24" s="268">
        <v>-0.11210000000000001</v>
      </c>
      <c r="N24" s="8">
        <v>575.41</v>
      </c>
      <c r="O24" s="8">
        <v>4713.0200000000004</v>
      </c>
      <c r="P24" s="268">
        <v>0.1221</v>
      </c>
      <c r="Q24" s="8">
        <v>310</v>
      </c>
      <c r="R24" s="8" t="s">
        <v>2357</v>
      </c>
      <c r="S24" s="8">
        <v>0</v>
      </c>
      <c r="T24" s="8" t="s">
        <v>2358</v>
      </c>
      <c r="U24" s="8" t="s">
        <v>2359</v>
      </c>
      <c r="V24" s="8" t="s">
        <v>2360</v>
      </c>
      <c r="W24" s="8" t="s">
        <v>2361</v>
      </c>
    </row>
    <row r="25" spans="1:23" x14ac:dyDescent="0.3">
      <c r="A25" s="308">
        <v>46261</v>
      </c>
      <c r="B25" s="302">
        <v>2726.0450000000001</v>
      </c>
      <c r="C25" s="8">
        <v>23.056000000000001</v>
      </c>
      <c r="D25" s="268">
        <v>8.5000000000000006E-3</v>
      </c>
      <c r="E25" s="8">
        <v>74.97</v>
      </c>
      <c r="F25" s="8">
        <v>162.91</v>
      </c>
      <c r="G25" s="8">
        <v>134.916</v>
      </c>
      <c r="H25" s="8">
        <v>89.14</v>
      </c>
      <c r="I25" s="8">
        <v>234.07</v>
      </c>
      <c r="J25" s="8">
        <v>73.569999999999993</v>
      </c>
      <c r="K25" s="268">
        <v>0.71160000000000001</v>
      </c>
      <c r="L25" s="268">
        <v>0.56510000000000005</v>
      </c>
      <c r="M25" s="268">
        <v>-0.1124</v>
      </c>
      <c r="N25" s="8">
        <v>610.86</v>
      </c>
      <c r="O25" s="8">
        <v>4714.05</v>
      </c>
      <c r="P25" s="268">
        <v>0.12959999999999999</v>
      </c>
      <c r="Q25" s="8">
        <v>310</v>
      </c>
      <c r="R25" s="8" t="s">
        <v>2362</v>
      </c>
      <c r="S25" s="8">
        <v>0</v>
      </c>
      <c r="T25" s="8" t="s">
        <v>2363</v>
      </c>
      <c r="U25" s="8" t="s">
        <v>2364</v>
      </c>
      <c r="V25" s="8" t="s">
        <v>2365</v>
      </c>
      <c r="W25" s="8" t="s">
        <v>2366</v>
      </c>
    </row>
    <row r="26" spans="1:23" x14ac:dyDescent="0.3">
      <c r="A26" s="308">
        <v>46260</v>
      </c>
      <c r="B26" s="302">
        <v>2702.989</v>
      </c>
      <c r="C26" s="8">
        <v>7.2779999999999996</v>
      </c>
      <c r="D26" s="268">
        <v>2.7000000000000001E-3</v>
      </c>
      <c r="E26" s="8">
        <v>73.83</v>
      </c>
      <c r="F26" s="8">
        <v>160.69499999999999</v>
      </c>
      <c r="G26" s="8">
        <v>134.83799999999999</v>
      </c>
      <c r="H26" s="8">
        <v>88.32</v>
      </c>
      <c r="I26" s="8">
        <v>231.5</v>
      </c>
      <c r="J26" s="8">
        <v>72.75</v>
      </c>
      <c r="K26" s="268">
        <v>0.70799999999999996</v>
      </c>
      <c r="L26" s="268">
        <v>0.56530000000000002</v>
      </c>
      <c r="M26" s="268">
        <v>-0.1094</v>
      </c>
      <c r="N26" s="8">
        <v>521.36</v>
      </c>
      <c r="O26" s="8">
        <v>4712.82</v>
      </c>
      <c r="P26" s="268">
        <v>0.1106</v>
      </c>
      <c r="Q26" s="8">
        <v>310</v>
      </c>
      <c r="R26" s="8" t="s">
        <v>2367</v>
      </c>
      <c r="S26" s="8">
        <v>0</v>
      </c>
      <c r="T26" s="8" t="s">
        <v>2368</v>
      </c>
      <c r="U26" s="8" t="s">
        <v>2369</v>
      </c>
      <c r="V26" s="8" t="s">
        <v>2370</v>
      </c>
      <c r="W26" s="8" t="s">
        <v>2371</v>
      </c>
    </row>
    <row r="27" spans="1:23" x14ac:dyDescent="0.3">
      <c r="A27" s="308">
        <v>46259</v>
      </c>
      <c r="B27" s="302">
        <v>2695.7109999999998</v>
      </c>
      <c r="C27" s="8">
        <v>27.588000000000001</v>
      </c>
      <c r="D27" s="268">
        <v>1.03E-2</v>
      </c>
      <c r="E27" s="8">
        <v>72.14</v>
      </c>
      <c r="F27" s="8">
        <v>160.21700000000001</v>
      </c>
      <c r="G27" s="8">
        <v>134.42400000000001</v>
      </c>
      <c r="H27" s="8">
        <v>88.25</v>
      </c>
      <c r="I27" s="8">
        <v>230.59</v>
      </c>
      <c r="J27" s="8">
        <v>70.62</v>
      </c>
      <c r="K27" s="268">
        <v>0.70369999999999999</v>
      </c>
      <c r="L27" s="268">
        <v>0.55369999999999997</v>
      </c>
      <c r="M27" s="268">
        <v>-0.1084</v>
      </c>
      <c r="N27" s="8">
        <v>577.38</v>
      </c>
      <c r="O27" s="8">
        <v>4699.2700000000004</v>
      </c>
      <c r="P27" s="268">
        <v>0.1229</v>
      </c>
      <c r="Q27" s="8">
        <v>310</v>
      </c>
      <c r="R27" s="8" t="s">
        <v>2372</v>
      </c>
      <c r="S27" s="8">
        <v>0</v>
      </c>
      <c r="T27" s="8" t="s">
        <v>2373</v>
      </c>
      <c r="U27" s="8" t="s">
        <v>2374</v>
      </c>
      <c r="V27" s="8" t="s">
        <v>2375</v>
      </c>
      <c r="W27" s="8" t="s">
        <v>2376</v>
      </c>
    </row>
    <row r="28" spans="1:23" x14ac:dyDescent="0.3">
      <c r="A28" s="308">
        <v>46258</v>
      </c>
      <c r="B28" s="302">
        <v>2668.123</v>
      </c>
      <c r="C28" s="8">
        <v>-10.984</v>
      </c>
      <c r="D28" s="268">
        <v>-4.1000000000000003E-3</v>
      </c>
      <c r="E28" s="8">
        <v>66.180000000000007</v>
      </c>
      <c r="F28" s="8">
        <v>158.45699999999999</v>
      </c>
      <c r="G28" s="8">
        <v>133.47</v>
      </c>
      <c r="H28" s="8">
        <v>87.6</v>
      </c>
      <c r="I28" s="8">
        <v>229.51</v>
      </c>
      <c r="J28" s="8">
        <v>70.8</v>
      </c>
      <c r="K28" s="268">
        <v>0.71050000000000002</v>
      </c>
      <c r="L28" s="268">
        <v>0.55359999999999998</v>
      </c>
      <c r="M28" s="268">
        <v>-0.10299999999999999</v>
      </c>
      <c r="N28" s="8">
        <v>472.82</v>
      </c>
      <c r="O28" s="8">
        <v>4694.38</v>
      </c>
      <c r="P28" s="268">
        <v>0.1007</v>
      </c>
      <c r="Q28" s="8">
        <v>310</v>
      </c>
      <c r="R28" s="8" t="s">
        <v>2377</v>
      </c>
      <c r="S28" s="8">
        <v>0</v>
      </c>
      <c r="T28" s="8" t="s">
        <v>2378</v>
      </c>
      <c r="U28" s="8" t="s">
        <v>2379</v>
      </c>
      <c r="V28" s="8" t="s">
        <v>2380</v>
      </c>
      <c r="W28" s="8" t="s">
        <v>2381</v>
      </c>
    </row>
    <row r="29" spans="1:23" x14ac:dyDescent="0.3">
      <c r="A29" s="308">
        <v>46255</v>
      </c>
      <c r="B29" s="302">
        <v>2679.107</v>
      </c>
      <c r="C29" s="8">
        <v>-1.3939999999999999</v>
      </c>
      <c r="D29" s="268">
        <v>-5.0000000000000001E-4</v>
      </c>
      <c r="E29" s="8">
        <v>67.36</v>
      </c>
      <c r="F29" s="8">
        <v>159.52500000000001</v>
      </c>
      <c r="G29" s="8">
        <v>134.04900000000001</v>
      </c>
      <c r="H29" s="8">
        <v>88.34</v>
      </c>
      <c r="I29" s="8">
        <v>229.3</v>
      </c>
      <c r="J29" s="8">
        <v>66.73</v>
      </c>
      <c r="K29" s="268">
        <v>0.69769999999999999</v>
      </c>
      <c r="L29" s="268">
        <v>0.52359999999999995</v>
      </c>
      <c r="M29" s="268">
        <v>-0.1047</v>
      </c>
      <c r="N29" s="8">
        <v>539.28</v>
      </c>
      <c r="O29" s="8">
        <v>4698.4799999999996</v>
      </c>
      <c r="P29" s="268">
        <v>0.1148</v>
      </c>
      <c r="Q29" s="8">
        <v>310</v>
      </c>
      <c r="R29" s="8" t="s">
        <v>2382</v>
      </c>
      <c r="S29" s="8">
        <v>0</v>
      </c>
      <c r="T29" s="8" t="s">
        <v>2383</v>
      </c>
      <c r="U29" s="8" t="s">
        <v>2384</v>
      </c>
      <c r="V29" s="8" t="s">
        <v>2385</v>
      </c>
      <c r="W29" s="8" t="s">
        <v>2386</v>
      </c>
    </row>
    <row r="30" spans="1:23" x14ac:dyDescent="0.3">
      <c r="A30" s="308">
        <v>46254</v>
      </c>
      <c r="B30" s="302">
        <v>2680.5010000000002</v>
      </c>
      <c r="C30" s="8">
        <v>0.93799999999999994</v>
      </c>
      <c r="D30" s="268">
        <v>4.0000000000000002E-4</v>
      </c>
      <c r="E30" s="8">
        <v>69.16</v>
      </c>
      <c r="F30" s="8">
        <v>159.58099999999999</v>
      </c>
      <c r="G30" s="8">
        <v>134.18899999999999</v>
      </c>
      <c r="H30" s="8">
        <v>87.95</v>
      </c>
      <c r="I30" s="8">
        <v>229.06</v>
      </c>
      <c r="J30" s="8">
        <v>67.790000000000006</v>
      </c>
      <c r="K30" s="268">
        <v>0.69479999999999997</v>
      </c>
      <c r="L30" s="268">
        <v>0.53849999999999998</v>
      </c>
      <c r="M30" s="268">
        <v>-0.10589999999999999</v>
      </c>
      <c r="N30" s="8">
        <v>603.13</v>
      </c>
      <c r="O30" s="8">
        <v>4704.3100000000004</v>
      </c>
      <c r="P30" s="268">
        <v>0.12820000000000001</v>
      </c>
      <c r="Q30" s="8">
        <v>310</v>
      </c>
      <c r="R30" s="8" t="s">
        <v>2387</v>
      </c>
      <c r="S30" s="8">
        <v>0</v>
      </c>
      <c r="T30" s="8" t="s">
        <v>2388</v>
      </c>
      <c r="U30" s="8" t="s">
        <v>2389</v>
      </c>
      <c r="V30" s="8" t="s">
        <v>2390</v>
      </c>
      <c r="W30" s="8" t="s">
        <v>2391</v>
      </c>
    </row>
    <row r="31" spans="1:23" x14ac:dyDescent="0.3">
      <c r="A31" s="308">
        <v>46253</v>
      </c>
      <c r="B31" s="302">
        <v>2679.5630000000001</v>
      </c>
      <c r="C31" s="8">
        <v>-41.496000000000002</v>
      </c>
      <c r="D31" s="268">
        <v>-1.52E-2</v>
      </c>
      <c r="E31" s="8">
        <v>67.69</v>
      </c>
      <c r="F31" s="8">
        <v>159.774</v>
      </c>
      <c r="G31" s="8">
        <v>133.696</v>
      </c>
      <c r="H31" s="8">
        <v>87.71</v>
      </c>
      <c r="I31" s="8">
        <v>231.76</v>
      </c>
      <c r="J31" s="8">
        <v>72.33</v>
      </c>
      <c r="K31" s="268">
        <v>0.71989999999999998</v>
      </c>
      <c r="L31" s="268">
        <v>0.58750000000000002</v>
      </c>
      <c r="M31" s="268">
        <v>-0.1042</v>
      </c>
      <c r="N31" s="8">
        <v>580.61</v>
      </c>
      <c r="O31" s="8">
        <v>4740.12</v>
      </c>
      <c r="P31" s="268">
        <v>0.1225</v>
      </c>
      <c r="Q31" s="8">
        <v>309</v>
      </c>
      <c r="R31" s="8" t="s">
        <v>2392</v>
      </c>
      <c r="S31" s="8">
        <v>0</v>
      </c>
      <c r="T31" s="8" t="s">
        <v>2393</v>
      </c>
      <c r="U31" s="8" t="s">
        <v>2394</v>
      </c>
      <c r="V31" s="8" t="s">
        <v>2395</v>
      </c>
      <c r="W31" s="8" t="s">
        <v>2396</v>
      </c>
    </row>
    <row r="32" spans="1:23" x14ac:dyDescent="0.3">
      <c r="A32" s="308">
        <v>46252</v>
      </c>
      <c r="B32" s="302">
        <v>2721.0590000000002</v>
      </c>
      <c r="C32" s="8">
        <v>-12.63</v>
      </c>
      <c r="D32" s="268">
        <v>-4.5999999999999999E-3</v>
      </c>
      <c r="E32" s="8">
        <v>70.91</v>
      </c>
      <c r="F32" s="8">
        <v>163.40199999999999</v>
      </c>
      <c r="G32" s="8">
        <v>134.32400000000001</v>
      </c>
      <c r="H32" s="8">
        <v>90.59</v>
      </c>
      <c r="I32" s="8">
        <v>231.33</v>
      </c>
      <c r="J32" s="8">
        <v>65.959999999999994</v>
      </c>
      <c r="K32" s="268">
        <v>0.67930000000000001</v>
      </c>
      <c r="L32" s="268">
        <v>0.52349999999999997</v>
      </c>
      <c r="M32" s="268">
        <v>-0.1105</v>
      </c>
      <c r="N32" s="8">
        <v>598.36</v>
      </c>
      <c r="O32" s="8">
        <v>4732.08</v>
      </c>
      <c r="P32" s="268">
        <v>0.12640000000000001</v>
      </c>
      <c r="Q32" s="8">
        <v>308</v>
      </c>
      <c r="R32" s="8" t="s">
        <v>2397</v>
      </c>
      <c r="S32" s="8">
        <v>0</v>
      </c>
      <c r="T32" s="8" t="s">
        <v>2398</v>
      </c>
      <c r="U32" s="8" t="s">
        <v>2399</v>
      </c>
      <c r="V32" s="8" t="s">
        <v>2400</v>
      </c>
      <c r="W32" s="8" t="s">
        <v>2401</v>
      </c>
    </row>
    <row r="33" spans="1:23" x14ac:dyDescent="0.3">
      <c r="A33" s="308">
        <v>46251</v>
      </c>
      <c r="B33" s="302">
        <v>2733.6889999999999</v>
      </c>
      <c r="C33" s="8">
        <v>29.635999999999999</v>
      </c>
      <c r="D33" s="268">
        <v>1.0999999999999999E-2</v>
      </c>
      <c r="E33" s="8">
        <v>73.180000000000007</v>
      </c>
      <c r="F33" s="8">
        <v>164.464</v>
      </c>
      <c r="G33" s="8">
        <v>135.227</v>
      </c>
      <c r="H33" s="8">
        <v>90.44</v>
      </c>
      <c r="I33" s="8">
        <v>232.56</v>
      </c>
      <c r="J33" s="8">
        <v>66.67</v>
      </c>
      <c r="K33" s="268">
        <v>0.68100000000000005</v>
      </c>
      <c r="L33" s="268">
        <v>0.54549999999999998</v>
      </c>
      <c r="M33" s="268">
        <v>-0.113</v>
      </c>
      <c r="N33" s="8">
        <v>687.97</v>
      </c>
      <c r="O33" s="8">
        <v>4727.42</v>
      </c>
      <c r="P33" s="268">
        <v>0.14549999999999999</v>
      </c>
      <c r="Q33" s="8">
        <v>307</v>
      </c>
      <c r="R33" s="8" t="s">
        <v>2402</v>
      </c>
      <c r="S33" s="8">
        <v>0</v>
      </c>
      <c r="T33" s="8" t="s">
        <v>2403</v>
      </c>
      <c r="U33" s="8" t="s">
        <v>2404</v>
      </c>
      <c r="V33" s="8" t="s">
        <v>2405</v>
      </c>
      <c r="W33" s="8" t="s">
        <v>2406</v>
      </c>
    </row>
    <row r="34" spans="1:23" x14ac:dyDescent="0.3">
      <c r="A34" s="308">
        <v>46248</v>
      </c>
      <c r="B34" s="302">
        <v>2704.0529999999999</v>
      </c>
      <c r="C34" s="8">
        <v>-1.867</v>
      </c>
      <c r="D34" s="268">
        <v>-6.9999999999999999E-4</v>
      </c>
      <c r="E34" s="8">
        <v>70.540000000000006</v>
      </c>
      <c r="F34" s="8">
        <v>161.75700000000001</v>
      </c>
      <c r="G34" s="8">
        <v>134.035</v>
      </c>
      <c r="H34" s="8">
        <v>88.56</v>
      </c>
      <c r="I34" s="8">
        <v>230.79</v>
      </c>
      <c r="J34" s="8">
        <v>68.89</v>
      </c>
      <c r="K34" s="268">
        <v>0.69030000000000002</v>
      </c>
      <c r="L34" s="268">
        <v>0.54490000000000005</v>
      </c>
      <c r="M34" s="268">
        <v>-0.108</v>
      </c>
      <c r="N34" s="8">
        <v>756.3</v>
      </c>
      <c r="O34" s="8">
        <v>4728.79</v>
      </c>
      <c r="P34" s="268">
        <v>0.15989999999999999</v>
      </c>
      <c r="Q34" s="8">
        <v>308</v>
      </c>
      <c r="R34" s="8" t="s">
        <v>2407</v>
      </c>
      <c r="S34" s="8">
        <v>0</v>
      </c>
      <c r="T34" s="8" t="s">
        <v>2408</v>
      </c>
      <c r="U34" s="8" t="s">
        <v>2409</v>
      </c>
      <c r="V34" s="8" t="s">
        <v>2410</v>
      </c>
      <c r="W34" s="8" t="s">
        <v>2411</v>
      </c>
    </row>
    <row r="35" spans="1:23" ht="28" customHeight="1" x14ac:dyDescent="0.3">
      <c r="A35" s="308">
        <v>46247</v>
      </c>
      <c r="B35" s="302">
        <v>2705.92</v>
      </c>
      <c r="C35" s="8">
        <v>-33.253999999999998</v>
      </c>
      <c r="D35" s="268">
        <v>-1.21E-2</v>
      </c>
      <c r="E35" s="8">
        <v>71.58</v>
      </c>
      <c r="F35" s="8">
        <v>161.66499999999999</v>
      </c>
      <c r="G35" s="8">
        <v>134.03399999999999</v>
      </c>
      <c r="H35" s="8">
        <v>88.65</v>
      </c>
      <c r="I35" s="8">
        <v>231.61</v>
      </c>
      <c r="J35" s="8">
        <v>69.56</v>
      </c>
      <c r="K35" s="268">
        <v>0.69950000000000001</v>
      </c>
      <c r="L35" s="268">
        <v>0.54930000000000001</v>
      </c>
      <c r="M35" s="268">
        <v>-0.1085</v>
      </c>
      <c r="N35" s="8">
        <v>671.08</v>
      </c>
      <c r="O35" s="8">
        <v>4690.76</v>
      </c>
      <c r="P35" s="268">
        <v>0.1431</v>
      </c>
      <c r="Q35" s="8">
        <v>305</v>
      </c>
      <c r="R35" s="8" t="s">
        <v>2412</v>
      </c>
      <c r="S35" s="8">
        <v>0</v>
      </c>
      <c r="T35" s="8" t="s">
        <v>2413</v>
      </c>
      <c r="U35" s="8" t="s">
        <v>2414</v>
      </c>
      <c r="V35" s="8" t="s">
        <v>2415</v>
      </c>
      <c r="W35" s="8" t="s">
        <v>2416</v>
      </c>
    </row>
    <row r="36" spans="1:23" ht="28" customHeight="1" x14ac:dyDescent="0.3">
      <c r="A36" s="308">
        <v>46246</v>
      </c>
      <c r="B36" s="302">
        <v>2739.174</v>
      </c>
      <c r="C36" s="8">
        <v>-9.4280000000000008</v>
      </c>
      <c r="D36" s="268">
        <v>-3.3999999999999998E-3</v>
      </c>
      <c r="E36" s="8">
        <v>76.099999999999994</v>
      </c>
      <c r="F36" s="8">
        <v>163.767</v>
      </c>
      <c r="G36" s="8">
        <v>135.16900000000001</v>
      </c>
      <c r="H36" s="8">
        <v>89.55</v>
      </c>
      <c r="I36" s="8">
        <v>233.93</v>
      </c>
      <c r="J36" s="8">
        <v>69.37</v>
      </c>
      <c r="K36" s="268">
        <v>0.70169999999999999</v>
      </c>
      <c r="L36" s="268">
        <v>0.55249999999999999</v>
      </c>
      <c r="M36" s="268">
        <v>-0.1138</v>
      </c>
      <c r="N36" s="8">
        <v>682.2</v>
      </c>
      <c r="O36" s="8">
        <v>4687.12</v>
      </c>
      <c r="P36" s="268">
        <v>0.14549999999999999</v>
      </c>
      <c r="Q36" s="8">
        <v>304</v>
      </c>
      <c r="R36" s="8" t="s">
        <v>2417</v>
      </c>
      <c r="S36" s="8">
        <v>0</v>
      </c>
      <c r="T36" s="8" t="s">
        <v>2418</v>
      </c>
      <c r="U36" s="8" t="s">
        <v>2419</v>
      </c>
      <c r="V36" s="8" t="s">
        <v>2420</v>
      </c>
      <c r="W36" s="8" t="s">
        <v>2421</v>
      </c>
    </row>
    <row r="37" spans="1:23" ht="28" customHeight="1" x14ac:dyDescent="0.3">
      <c r="A37" s="308">
        <v>46245</v>
      </c>
      <c r="B37" s="302">
        <v>2748.6019999999999</v>
      </c>
      <c r="C37" s="8">
        <v>-18.456</v>
      </c>
      <c r="D37" s="268">
        <v>-6.7000000000000002E-3</v>
      </c>
      <c r="E37" s="8">
        <v>77.41</v>
      </c>
      <c r="F37" s="8">
        <v>164.054</v>
      </c>
      <c r="G37" s="8">
        <v>135.84</v>
      </c>
      <c r="H37" s="8">
        <v>88.45</v>
      </c>
      <c r="I37" s="8">
        <v>236.45</v>
      </c>
      <c r="J37" s="8">
        <v>73.19</v>
      </c>
      <c r="K37" s="268">
        <v>0.72399999999999998</v>
      </c>
      <c r="L37" s="268">
        <v>0.56789999999999996</v>
      </c>
      <c r="M37" s="268">
        <v>-0.1158</v>
      </c>
      <c r="N37" s="8">
        <v>647.29</v>
      </c>
      <c r="O37" s="8">
        <v>4688.6400000000003</v>
      </c>
      <c r="P37" s="268">
        <v>0.1381</v>
      </c>
      <c r="Q37" s="8">
        <v>304</v>
      </c>
      <c r="R37" s="8" t="s">
        <v>2422</v>
      </c>
      <c r="S37" s="8">
        <v>0</v>
      </c>
      <c r="T37" s="8" t="s">
        <v>2423</v>
      </c>
      <c r="U37" s="8" t="s">
        <v>2424</v>
      </c>
      <c r="V37" s="8" t="s">
        <v>2425</v>
      </c>
      <c r="W37" s="8" t="s">
        <v>2426</v>
      </c>
    </row>
    <row r="38" spans="1:23" ht="28" customHeight="1" x14ac:dyDescent="0.3">
      <c r="A38" s="308">
        <v>46244</v>
      </c>
      <c r="B38" s="302">
        <v>2767.058</v>
      </c>
      <c r="C38" s="8">
        <v>-5.6289999999999996</v>
      </c>
      <c r="D38" s="268">
        <v>-2E-3</v>
      </c>
      <c r="E38" s="8">
        <v>79.599999999999994</v>
      </c>
      <c r="F38" s="8">
        <v>165.679</v>
      </c>
      <c r="G38" s="8">
        <v>136.297</v>
      </c>
      <c r="H38" s="8">
        <v>88.43</v>
      </c>
      <c r="I38" s="8">
        <v>238.24</v>
      </c>
      <c r="J38" s="8">
        <v>74.31</v>
      </c>
      <c r="K38" s="268">
        <v>0.72560000000000002</v>
      </c>
      <c r="L38" s="268">
        <v>0.55810000000000004</v>
      </c>
      <c r="M38" s="268">
        <v>-0.1182</v>
      </c>
      <c r="N38" s="8">
        <v>731.47</v>
      </c>
      <c r="O38" s="8">
        <v>4691.43</v>
      </c>
      <c r="P38" s="268">
        <v>0.15590000000000001</v>
      </c>
      <c r="Q38" s="8">
        <v>304</v>
      </c>
      <c r="R38" s="8" t="s">
        <v>2377</v>
      </c>
      <c r="S38" s="8">
        <v>0</v>
      </c>
      <c r="T38" s="8" t="s">
        <v>2427</v>
      </c>
      <c r="U38" s="8" t="s">
        <v>2428</v>
      </c>
      <c r="V38" s="8" t="s">
        <v>2429</v>
      </c>
      <c r="W38" s="8" t="s">
        <v>2430</v>
      </c>
    </row>
    <row r="39" spans="1:23" ht="28" customHeight="1" x14ac:dyDescent="0.3">
      <c r="A39" s="308">
        <v>46241</v>
      </c>
      <c r="B39" s="302">
        <v>2772.6869999999999</v>
      </c>
      <c r="C39" s="8">
        <v>0.222</v>
      </c>
      <c r="D39" s="268">
        <v>1E-4</v>
      </c>
      <c r="E39" s="8">
        <v>79.540000000000006</v>
      </c>
      <c r="F39" s="8">
        <v>166.23599999999999</v>
      </c>
      <c r="G39" s="8">
        <v>136.50700000000001</v>
      </c>
      <c r="H39" s="8">
        <v>86.77</v>
      </c>
      <c r="I39" s="8">
        <v>241.66</v>
      </c>
      <c r="J39" s="8">
        <v>77.400000000000006</v>
      </c>
      <c r="K39" s="268">
        <v>0.75419999999999998</v>
      </c>
      <c r="L39" s="268">
        <v>0.58640000000000003</v>
      </c>
      <c r="M39" s="268">
        <v>-0.1174</v>
      </c>
      <c r="N39" s="8">
        <v>976.12</v>
      </c>
      <c r="O39" s="8">
        <v>4693.05</v>
      </c>
      <c r="P39" s="268">
        <v>0.20799999999999999</v>
      </c>
      <c r="Q39" s="8">
        <v>304</v>
      </c>
      <c r="R39" s="8" t="s">
        <v>2431</v>
      </c>
      <c r="S39" s="8">
        <v>0</v>
      </c>
      <c r="T39" s="8" t="s">
        <v>2432</v>
      </c>
      <c r="U39" s="8" t="s">
        <v>2433</v>
      </c>
      <c r="V39" s="8" t="s">
        <v>2434</v>
      </c>
      <c r="W39" s="8" t="s">
        <v>2435</v>
      </c>
    </row>
    <row r="40" spans="1:23" ht="28" customHeight="1" x14ac:dyDescent="0.3">
      <c r="A40" s="308">
        <v>46240</v>
      </c>
      <c r="B40" s="302">
        <v>2772.4650000000001</v>
      </c>
      <c r="C40" s="8">
        <v>-5.0549999999999997</v>
      </c>
      <c r="D40" s="268">
        <v>-1.8E-3</v>
      </c>
      <c r="E40" s="8">
        <v>81.31</v>
      </c>
      <c r="F40" s="8">
        <v>165.97800000000001</v>
      </c>
      <c r="G40" s="8">
        <v>136.09800000000001</v>
      </c>
      <c r="H40" s="8">
        <v>87.18</v>
      </c>
      <c r="I40" s="8">
        <v>243.65</v>
      </c>
      <c r="J40" s="8">
        <v>81.12</v>
      </c>
      <c r="K40" s="268">
        <v>0.77669999999999995</v>
      </c>
      <c r="L40" s="268">
        <v>0.58450000000000002</v>
      </c>
      <c r="M40" s="268">
        <v>-0.1174</v>
      </c>
      <c r="N40" s="8">
        <v>850.73</v>
      </c>
      <c r="O40" s="8">
        <v>4619.6499999999996</v>
      </c>
      <c r="P40" s="268">
        <v>0.1842</v>
      </c>
      <c r="Q40" s="8">
        <v>304</v>
      </c>
      <c r="R40" s="8" t="s">
        <v>2436</v>
      </c>
      <c r="S40" s="8">
        <v>0</v>
      </c>
      <c r="T40" s="8" t="s">
        <v>2437</v>
      </c>
      <c r="U40" s="8" t="s">
        <v>2438</v>
      </c>
      <c r="V40" s="8" t="s">
        <v>2439</v>
      </c>
      <c r="W40" s="8" t="s">
        <v>2440</v>
      </c>
    </row>
    <row r="41" spans="1:23" ht="28" customHeight="1" x14ac:dyDescent="0.3">
      <c r="A41" s="308">
        <v>46239</v>
      </c>
      <c r="B41" s="302">
        <v>2777.52</v>
      </c>
      <c r="C41" s="8">
        <v>31.062000000000001</v>
      </c>
      <c r="D41" s="268">
        <v>1.1299999999999999E-2</v>
      </c>
      <c r="E41" s="8">
        <v>83.33</v>
      </c>
      <c r="F41" s="8">
        <v>166.26599999999999</v>
      </c>
      <c r="G41" s="8">
        <v>136.83600000000001</v>
      </c>
      <c r="H41" s="8">
        <v>87.45</v>
      </c>
      <c r="I41" s="8">
        <v>244.86</v>
      </c>
      <c r="J41" s="8">
        <v>80.83</v>
      </c>
      <c r="K41" s="268">
        <v>0.78590000000000004</v>
      </c>
      <c r="L41" s="268">
        <v>0.59670000000000001</v>
      </c>
      <c r="M41" s="268">
        <v>-0.1192</v>
      </c>
      <c r="N41" s="8">
        <v>853.88</v>
      </c>
      <c r="O41" s="8">
        <v>4611.22</v>
      </c>
      <c r="P41" s="268">
        <v>0.1852</v>
      </c>
      <c r="Q41" s="8">
        <v>303</v>
      </c>
      <c r="R41" s="8" t="s">
        <v>2441</v>
      </c>
      <c r="S41" s="8">
        <v>0</v>
      </c>
      <c r="T41" s="8" t="s">
        <v>2442</v>
      </c>
      <c r="U41" s="8" t="s">
        <v>2443</v>
      </c>
      <c r="V41" s="8" t="s">
        <v>2444</v>
      </c>
      <c r="W41" s="8" t="s">
        <v>2445</v>
      </c>
    </row>
    <row r="42" spans="1:23" ht="28" customHeight="1" x14ac:dyDescent="0.3">
      <c r="A42" s="308">
        <v>46238</v>
      </c>
      <c r="B42" s="302">
        <v>2746.4580000000001</v>
      </c>
      <c r="C42" s="8">
        <v>34.308999999999997</v>
      </c>
      <c r="D42" s="268">
        <v>1.26E-2</v>
      </c>
      <c r="E42" s="8">
        <v>82.61</v>
      </c>
      <c r="F42" s="8">
        <v>163.80099999999999</v>
      </c>
      <c r="G42" s="8">
        <v>136.29</v>
      </c>
      <c r="H42" s="8">
        <v>86.24</v>
      </c>
      <c r="I42" s="8">
        <v>243.47</v>
      </c>
      <c r="J42" s="8">
        <v>83.96</v>
      </c>
      <c r="K42" s="268">
        <v>0.79669999999999996</v>
      </c>
      <c r="L42" s="268">
        <v>0.61060000000000003</v>
      </c>
      <c r="M42" s="268">
        <v>-0.1164</v>
      </c>
      <c r="N42" s="8">
        <v>824.01</v>
      </c>
      <c r="O42" s="8">
        <v>4611.33</v>
      </c>
      <c r="P42" s="268">
        <v>0.1787</v>
      </c>
      <c r="Q42" s="8">
        <v>302</v>
      </c>
      <c r="R42" s="8" t="s">
        <v>2446</v>
      </c>
      <c r="S42" s="8">
        <v>0</v>
      </c>
      <c r="T42" s="8" t="s">
        <v>2383</v>
      </c>
      <c r="U42" s="8" t="s">
        <v>2447</v>
      </c>
      <c r="V42" s="8" t="s">
        <v>2448</v>
      </c>
      <c r="W42" s="8" t="s">
        <v>2449</v>
      </c>
    </row>
    <row r="43" spans="1:23" ht="28" customHeight="1" x14ac:dyDescent="0.3">
      <c r="A43" s="308">
        <v>46237</v>
      </c>
      <c r="B43" s="302">
        <v>2712.1489999999999</v>
      </c>
      <c r="C43" s="8">
        <v>-5.8159999999999998</v>
      </c>
      <c r="D43" s="268">
        <v>-2.0999999999999999E-3</v>
      </c>
      <c r="E43" s="8">
        <v>80.75</v>
      </c>
      <c r="F43" s="8">
        <v>160.87799999999999</v>
      </c>
      <c r="G43" s="8">
        <v>135.74600000000001</v>
      </c>
      <c r="H43" s="8">
        <v>84.84</v>
      </c>
      <c r="I43" s="8">
        <v>240.95</v>
      </c>
      <c r="J43" s="8">
        <v>84.26</v>
      </c>
      <c r="K43" s="268">
        <v>0.80069999999999997</v>
      </c>
      <c r="L43" s="268">
        <v>0.6321</v>
      </c>
      <c r="M43" s="268">
        <v>-0.113</v>
      </c>
      <c r="N43" s="8">
        <v>622.88</v>
      </c>
      <c r="O43" s="8">
        <v>4612.18</v>
      </c>
      <c r="P43" s="268">
        <v>0.1351</v>
      </c>
      <c r="Q43" s="8">
        <v>302</v>
      </c>
      <c r="R43" s="8" t="s">
        <v>2450</v>
      </c>
      <c r="S43" s="8">
        <v>0</v>
      </c>
      <c r="T43" s="8" t="s">
        <v>2451</v>
      </c>
      <c r="U43" s="8" t="s">
        <v>2452</v>
      </c>
      <c r="V43" s="8" t="s">
        <v>2453</v>
      </c>
      <c r="W43" s="8" t="s">
        <v>2454</v>
      </c>
    </row>
    <row r="44" spans="1:23" ht="28" customHeight="1" x14ac:dyDescent="0.3">
      <c r="A44" s="308">
        <v>46234</v>
      </c>
      <c r="B44" s="302">
        <v>2717.9650000000001</v>
      </c>
      <c r="C44" s="8">
        <v>36.759</v>
      </c>
      <c r="D44" s="268">
        <v>1.37E-2</v>
      </c>
      <c r="E44" s="8">
        <v>81.23</v>
      </c>
      <c r="F44" s="8">
        <v>161.46799999999999</v>
      </c>
      <c r="G44" s="8">
        <v>135.255</v>
      </c>
      <c r="H44" s="8">
        <v>83.7</v>
      </c>
      <c r="I44" s="8">
        <v>244.02</v>
      </c>
      <c r="J44" s="8">
        <v>87.53</v>
      </c>
      <c r="K44" s="268">
        <v>0.8256</v>
      </c>
      <c r="L44" s="268">
        <v>0.64849999999999997</v>
      </c>
      <c r="M44" s="268">
        <v>-0.1135</v>
      </c>
      <c r="N44" s="8">
        <v>843.38</v>
      </c>
      <c r="O44" s="8">
        <v>4600.1000000000004</v>
      </c>
      <c r="P44" s="268">
        <v>0.18329999999999999</v>
      </c>
      <c r="Q44" s="8">
        <v>302</v>
      </c>
      <c r="R44" s="8" t="s">
        <v>2455</v>
      </c>
      <c r="S44" s="8">
        <v>0</v>
      </c>
      <c r="T44" s="8" t="s">
        <v>2456</v>
      </c>
      <c r="U44" s="8" t="s">
        <v>2457</v>
      </c>
      <c r="V44" s="8" t="s">
        <v>2458</v>
      </c>
      <c r="W44" s="8" t="s">
        <v>2459</v>
      </c>
    </row>
    <row r="45" spans="1:23" ht="28" customHeight="1" x14ac:dyDescent="0.3">
      <c r="A45" s="308">
        <v>46233</v>
      </c>
      <c r="B45" s="302">
        <v>2681.2060000000001</v>
      </c>
      <c r="C45" s="8">
        <v>-14.666</v>
      </c>
      <c r="D45" s="268">
        <v>-5.4000000000000003E-3</v>
      </c>
      <c r="E45" s="8">
        <v>76.52</v>
      </c>
      <c r="F45" s="8">
        <v>158.54300000000001</v>
      </c>
      <c r="G45" s="8">
        <v>134.15799999999999</v>
      </c>
      <c r="H45" s="8">
        <v>82.25</v>
      </c>
      <c r="I45" s="8">
        <v>242.97</v>
      </c>
      <c r="J45" s="8">
        <v>89.8</v>
      </c>
      <c r="K45" s="268">
        <v>0.84419999999999995</v>
      </c>
      <c r="L45" s="268">
        <v>0.67920000000000003</v>
      </c>
      <c r="M45" s="268">
        <v>-0.1087</v>
      </c>
      <c r="N45" s="8">
        <v>652.97</v>
      </c>
      <c r="O45" s="8">
        <v>4601.34</v>
      </c>
      <c r="P45" s="268">
        <v>0.1419</v>
      </c>
      <c r="Q45" s="8">
        <v>302</v>
      </c>
      <c r="R45" s="8" t="s">
        <v>2460</v>
      </c>
      <c r="S45" s="8">
        <v>0</v>
      </c>
      <c r="T45" s="8" t="s">
        <v>2461</v>
      </c>
      <c r="U45" s="8" t="s">
        <v>2462</v>
      </c>
      <c r="V45" s="8" t="s">
        <v>2463</v>
      </c>
      <c r="W45" s="8" t="s">
        <v>2464</v>
      </c>
    </row>
    <row r="46" spans="1:23" ht="28" customHeight="1" x14ac:dyDescent="0.3">
      <c r="A46" s="308">
        <v>46232</v>
      </c>
      <c r="B46" s="302">
        <v>2695.8719999999998</v>
      </c>
      <c r="C46" s="8">
        <v>27.062000000000001</v>
      </c>
      <c r="D46" s="268">
        <v>1.01E-2</v>
      </c>
      <c r="E46" s="8">
        <v>78.3</v>
      </c>
      <c r="F46" s="8">
        <v>160.21799999999999</v>
      </c>
      <c r="G46" s="8">
        <v>134.17400000000001</v>
      </c>
      <c r="H46" s="8">
        <v>82.27</v>
      </c>
      <c r="I46" s="8">
        <v>243.03</v>
      </c>
      <c r="J46" s="8">
        <v>88</v>
      </c>
      <c r="K46" s="268">
        <v>0.82809999999999995</v>
      </c>
      <c r="L46" s="268">
        <v>0.6472</v>
      </c>
      <c r="M46" s="268">
        <v>-0.1123</v>
      </c>
      <c r="N46" s="8">
        <v>784.01</v>
      </c>
      <c r="O46" s="8">
        <v>4600.8100000000004</v>
      </c>
      <c r="P46" s="268">
        <v>0.1704</v>
      </c>
      <c r="Q46" s="8">
        <v>302</v>
      </c>
      <c r="R46" s="8" t="s">
        <v>2465</v>
      </c>
      <c r="S46" s="8">
        <v>0</v>
      </c>
      <c r="T46" s="8" t="s">
        <v>2466</v>
      </c>
      <c r="U46" s="8" t="s">
        <v>2467</v>
      </c>
      <c r="V46" s="8" t="s">
        <v>2468</v>
      </c>
      <c r="W46" s="8" t="s">
        <v>2469</v>
      </c>
    </row>
    <row r="47" spans="1:23" ht="28" customHeight="1" x14ac:dyDescent="0.3">
      <c r="A47" s="308">
        <v>46231</v>
      </c>
      <c r="B47" s="302">
        <v>2668.81</v>
      </c>
      <c r="C47" s="8">
        <v>-36.356999999999999</v>
      </c>
      <c r="D47" s="268">
        <v>-1.34E-2</v>
      </c>
      <c r="E47" s="8">
        <v>74.28</v>
      </c>
      <c r="F47" s="8">
        <v>158.613</v>
      </c>
      <c r="G47" s="8">
        <v>132.05600000000001</v>
      </c>
      <c r="H47" s="8">
        <v>80.709999999999994</v>
      </c>
      <c r="I47" s="8">
        <v>243.12</v>
      </c>
      <c r="J47" s="8">
        <v>89.19</v>
      </c>
      <c r="K47" s="268">
        <v>0.84499999999999997</v>
      </c>
      <c r="L47" s="268">
        <v>0.65939999999999999</v>
      </c>
      <c r="M47" s="268">
        <v>-0.1069</v>
      </c>
      <c r="N47" s="8">
        <v>608.77</v>
      </c>
      <c r="O47" s="8">
        <v>4602.1400000000003</v>
      </c>
      <c r="P47" s="268">
        <v>0.1323</v>
      </c>
      <c r="Q47" s="8">
        <v>302</v>
      </c>
      <c r="R47" s="8" t="s">
        <v>2470</v>
      </c>
      <c r="S47" s="8">
        <v>0</v>
      </c>
      <c r="T47" s="8" t="s">
        <v>2471</v>
      </c>
      <c r="U47" s="8" t="s">
        <v>2472</v>
      </c>
      <c r="V47" s="8" t="s">
        <v>2473</v>
      </c>
      <c r="W47" s="8" t="s">
        <v>2474</v>
      </c>
    </row>
    <row r="48" spans="1:23" ht="28" customHeight="1" x14ac:dyDescent="0.3">
      <c r="A48" s="308">
        <v>46230</v>
      </c>
      <c r="B48" s="302">
        <v>2705.1669999999999</v>
      </c>
      <c r="C48" s="8">
        <v>44.67</v>
      </c>
      <c r="D48" s="268">
        <v>1.6799999999999999E-2</v>
      </c>
      <c r="E48" s="8">
        <v>77.22</v>
      </c>
      <c r="F48" s="8">
        <v>162.02000000000001</v>
      </c>
      <c r="G48" s="8">
        <v>133.44</v>
      </c>
      <c r="H48" s="8">
        <v>81.11</v>
      </c>
      <c r="I48" s="8">
        <v>246.57</v>
      </c>
      <c r="J48" s="8">
        <v>89.79</v>
      </c>
      <c r="K48" s="268">
        <v>0.84550000000000003</v>
      </c>
      <c r="L48" s="268">
        <v>0.65500000000000003</v>
      </c>
      <c r="M48" s="268">
        <v>-0.11219999999999999</v>
      </c>
      <c r="N48" s="8">
        <v>718.87</v>
      </c>
      <c r="O48" s="8">
        <v>4605.5600000000004</v>
      </c>
      <c r="P48" s="268">
        <v>0.15609999999999999</v>
      </c>
      <c r="Q48" s="8">
        <v>304</v>
      </c>
      <c r="R48" s="8" t="s">
        <v>2475</v>
      </c>
      <c r="S48" s="8">
        <v>0</v>
      </c>
      <c r="T48" s="8" t="s">
        <v>2476</v>
      </c>
      <c r="U48" s="8" t="s">
        <v>2477</v>
      </c>
      <c r="V48" s="8" t="s">
        <v>2478</v>
      </c>
      <c r="W48" s="8" t="s">
        <v>2479</v>
      </c>
    </row>
    <row r="49" spans="1:23" ht="28" customHeight="1" x14ac:dyDescent="0.3">
      <c r="A49" s="308">
        <v>46227</v>
      </c>
      <c r="B49" s="302">
        <v>2660.4969999999998</v>
      </c>
      <c r="C49" s="8">
        <v>-19.536999999999999</v>
      </c>
      <c r="D49" s="268">
        <v>-7.3000000000000001E-3</v>
      </c>
      <c r="E49" s="8">
        <v>72.489999999999995</v>
      </c>
      <c r="F49" s="8">
        <v>158.453</v>
      </c>
      <c r="G49" s="8">
        <v>131.376</v>
      </c>
      <c r="H49" s="8">
        <v>79.66</v>
      </c>
      <c r="I49" s="8">
        <v>245.12</v>
      </c>
      <c r="J49" s="8">
        <v>89.66</v>
      </c>
      <c r="K49" s="268">
        <v>0.86670000000000003</v>
      </c>
      <c r="L49" s="268">
        <v>0.67030000000000001</v>
      </c>
      <c r="M49" s="268">
        <v>-0.1043</v>
      </c>
      <c r="N49" s="8">
        <v>663.84</v>
      </c>
      <c r="O49" s="8">
        <v>4610.58</v>
      </c>
      <c r="P49" s="268">
        <v>0.14399999999999999</v>
      </c>
      <c r="Q49" s="8">
        <v>306</v>
      </c>
      <c r="R49" s="8" t="s">
        <v>2480</v>
      </c>
      <c r="S49" s="8">
        <v>0</v>
      </c>
      <c r="T49" s="8" t="s">
        <v>2481</v>
      </c>
      <c r="U49" s="8" t="s">
        <v>2482</v>
      </c>
      <c r="V49" s="8" t="s">
        <v>2483</v>
      </c>
      <c r="W49" s="8" t="s">
        <v>2484</v>
      </c>
    </row>
    <row r="50" spans="1:23" ht="28" customHeight="1" x14ac:dyDescent="0.3">
      <c r="A50" s="308">
        <v>46226</v>
      </c>
      <c r="B50" s="302">
        <v>2680.0340000000001</v>
      </c>
      <c r="C50" s="8">
        <v>14.898</v>
      </c>
      <c r="D50" s="268">
        <v>5.5999999999999999E-3</v>
      </c>
      <c r="E50" s="8">
        <v>75.489999999999995</v>
      </c>
      <c r="F50" s="8">
        <v>159.34299999999999</v>
      </c>
      <c r="G50" s="8">
        <v>132.94200000000001</v>
      </c>
      <c r="H50" s="8">
        <v>82.04</v>
      </c>
      <c r="I50" s="8">
        <v>242.4</v>
      </c>
      <c r="J50" s="8">
        <v>88.46</v>
      </c>
      <c r="K50" s="268">
        <v>0.8306</v>
      </c>
      <c r="L50" s="268">
        <v>0.64400000000000002</v>
      </c>
      <c r="M50" s="268">
        <v>-0.109</v>
      </c>
      <c r="N50" s="8">
        <v>704.98</v>
      </c>
      <c r="O50" s="8">
        <v>4613.07</v>
      </c>
      <c r="P50" s="268">
        <v>0.15279999999999999</v>
      </c>
      <c r="Q50" s="8">
        <v>307</v>
      </c>
      <c r="R50" s="8" t="s">
        <v>2485</v>
      </c>
      <c r="S50" s="8">
        <v>0</v>
      </c>
      <c r="T50" s="8" t="s">
        <v>2486</v>
      </c>
      <c r="U50" s="8" t="s">
        <v>2487</v>
      </c>
      <c r="V50" s="8" t="s">
        <v>2488</v>
      </c>
      <c r="W50" s="8" t="s">
        <v>2489</v>
      </c>
    </row>
    <row r="51" spans="1:23" ht="28" customHeight="1" x14ac:dyDescent="0.3">
      <c r="A51" s="308">
        <v>46225</v>
      </c>
      <c r="B51" s="302">
        <v>2665.136</v>
      </c>
      <c r="C51" s="8">
        <v>-14.577999999999999</v>
      </c>
      <c r="D51" s="268">
        <v>-5.4000000000000003E-3</v>
      </c>
      <c r="E51" s="8">
        <v>73.56</v>
      </c>
      <c r="F51" s="8">
        <v>158.40100000000001</v>
      </c>
      <c r="G51" s="8">
        <v>132.19499999999999</v>
      </c>
      <c r="H51" s="8">
        <v>79.63</v>
      </c>
      <c r="I51" s="8">
        <v>244.9</v>
      </c>
      <c r="J51" s="8">
        <v>91.65</v>
      </c>
      <c r="K51" s="268">
        <v>0.86499999999999999</v>
      </c>
      <c r="L51" s="268">
        <v>0.69130000000000003</v>
      </c>
      <c r="M51" s="268">
        <v>-0.1061</v>
      </c>
      <c r="N51" s="8">
        <v>800.98</v>
      </c>
      <c r="O51" s="8">
        <v>4617.0600000000004</v>
      </c>
      <c r="P51" s="268">
        <v>0.17349999999999999</v>
      </c>
      <c r="Q51" s="8">
        <v>308</v>
      </c>
      <c r="R51" s="8" t="s">
        <v>2490</v>
      </c>
      <c r="S51" s="8">
        <v>0</v>
      </c>
      <c r="T51" s="8" t="s">
        <v>2491</v>
      </c>
      <c r="U51" s="8" t="s">
        <v>2492</v>
      </c>
      <c r="V51" s="8" t="s">
        <v>2493</v>
      </c>
      <c r="W51" s="8" t="s">
        <v>2494</v>
      </c>
    </row>
    <row r="52" spans="1:23" ht="28" customHeight="1" x14ac:dyDescent="0.3">
      <c r="A52" s="308">
        <v>46224</v>
      </c>
      <c r="B52" s="302">
        <v>2679.7139999999999</v>
      </c>
      <c r="C52" s="8">
        <v>47.381999999999998</v>
      </c>
      <c r="D52" s="268">
        <v>1.7999999999999999E-2</v>
      </c>
      <c r="E52" s="8">
        <v>72.680000000000007</v>
      </c>
      <c r="F52" s="8">
        <v>159.249</v>
      </c>
      <c r="G52" s="8">
        <v>132.62200000000001</v>
      </c>
      <c r="H52" s="8">
        <v>80.8</v>
      </c>
      <c r="I52" s="8">
        <v>243.28</v>
      </c>
      <c r="J52" s="8">
        <v>91.03</v>
      </c>
      <c r="K52" s="268">
        <v>0.84030000000000005</v>
      </c>
      <c r="L52" s="268">
        <v>0.67989999999999995</v>
      </c>
      <c r="M52" s="268">
        <v>-0.10829999999999999</v>
      </c>
      <c r="N52" s="8">
        <v>957.34</v>
      </c>
      <c r="O52" s="8">
        <v>4602.2299999999996</v>
      </c>
      <c r="P52" s="268">
        <v>0.20799999999999999</v>
      </c>
      <c r="Q52" s="8">
        <v>309</v>
      </c>
      <c r="R52" s="8" t="s">
        <v>2495</v>
      </c>
      <c r="S52" s="8">
        <v>0</v>
      </c>
      <c r="T52" s="8" t="s">
        <v>2496</v>
      </c>
      <c r="U52" s="8" t="s">
        <v>2497</v>
      </c>
      <c r="V52" s="8" t="s">
        <v>2498</v>
      </c>
      <c r="W52" s="8" t="s">
        <v>2499</v>
      </c>
    </row>
    <row r="53" spans="1:23" ht="28" customHeight="1" x14ac:dyDescent="0.3">
      <c r="A53" s="308">
        <v>46223</v>
      </c>
      <c r="B53" s="302">
        <v>2632.3319999999999</v>
      </c>
      <c r="C53" s="8">
        <v>-11.632999999999999</v>
      </c>
      <c r="D53" s="268">
        <v>-4.4000000000000003E-3</v>
      </c>
      <c r="E53" s="8">
        <v>70.52</v>
      </c>
      <c r="F53" s="8">
        <v>154.95699999999999</v>
      </c>
      <c r="G53" s="8">
        <v>131.667</v>
      </c>
      <c r="H53" s="8">
        <v>81.290000000000006</v>
      </c>
      <c r="I53" s="8">
        <v>238.09</v>
      </c>
      <c r="J53" s="8">
        <v>91.69</v>
      </c>
      <c r="K53" s="268">
        <v>0.83140000000000003</v>
      </c>
      <c r="L53" s="268">
        <v>0.66720000000000002</v>
      </c>
      <c r="M53" s="268">
        <v>-0.10150000000000001</v>
      </c>
      <c r="N53" s="8">
        <v>751.39</v>
      </c>
      <c r="O53" s="8">
        <v>4688.3999999999996</v>
      </c>
      <c r="P53" s="268">
        <v>0.1603</v>
      </c>
      <c r="Q53" s="8">
        <v>311</v>
      </c>
      <c r="R53" s="8" t="s">
        <v>2500</v>
      </c>
      <c r="S53" s="8">
        <v>0</v>
      </c>
      <c r="T53" s="8" t="s">
        <v>2501</v>
      </c>
      <c r="U53" s="8" t="s">
        <v>2502</v>
      </c>
      <c r="V53" s="8" t="s">
        <v>2503</v>
      </c>
      <c r="W53" s="8" t="s">
        <v>2504</v>
      </c>
    </row>
    <row r="54" spans="1:23" ht="28" customHeight="1" x14ac:dyDescent="0.3">
      <c r="A54" s="308">
        <v>46220</v>
      </c>
      <c r="B54" s="302">
        <v>2643.9650000000001</v>
      </c>
      <c r="C54" s="8">
        <v>-31.571000000000002</v>
      </c>
      <c r="D54" s="268">
        <v>-1.18E-2</v>
      </c>
      <c r="E54" s="8">
        <v>68.239999999999995</v>
      </c>
      <c r="F54" s="8">
        <v>156.46799999999999</v>
      </c>
      <c r="G54" s="8">
        <v>130.83699999999999</v>
      </c>
      <c r="H54" s="8">
        <v>80.25</v>
      </c>
      <c r="I54" s="8">
        <v>236.29</v>
      </c>
      <c r="J54" s="8">
        <v>86.78</v>
      </c>
      <c r="K54" s="268">
        <v>0.79830000000000001</v>
      </c>
      <c r="L54" s="268">
        <v>0.64439999999999997</v>
      </c>
      <c r="M54" s="268">
        <v>-0.1086</v>
      </c>
      <c r="N54" s="8">
        <v>723.57</v>
      </c>
      <c r="O54" s="8">
        <v>4719.1899999999996</v>
      </c>
      <c r="P54" s="268">
        <v>0.15329999999999999</v>
      </c>
      <c r="Q54" s="8">
        <v>310</v>
      </c>
      <c r="R54" s="8" t="s">
        <v>2505</v>
      </c>
      <c r="S54" s="8">
        <v>0</v>
      </c>
      <c r="T54" s="8" t="s">
        <v>2506</v>
      </c>
      <c r="U54" s="8" t="s">
        <v>2507</v>
      </c>
      <c r="V54" s="8" t="s">
        <v>2508</v>
      </c>
      <c r="W54" s="8" t="s">
        <v>2509</v>
      </c>
    </row>
    <row r="55" spans="1:23" ht="28" customHeight="1" x14ac:dyDescent="0.3">
      <c r="A55" s="308">
        <v>46219</v>
      </c>
      <c r="B55" s="302">
        <v>2675.5360000000001</v>
      </c>
      <c r="C55" s="8">
        <v>-12.688000000000001</v>
      </c>
      <c r="D55" s="268">
        <v>-4.7000000000000002E-3</v>
      </c>
      <c r="E55" s="8">
        <v>70.73</v>
      </c>
      <c r="F55" s="8">
        <v>159.43299999999999</v>
      </c>
      <c r="G55" s="8">
        <v>131.42500000000001</v>
      </c>
      <c r="H55" s="8">
        <v>84.51</v>
      </c>
      <c r="I55" s="8">
        <v>233.07</v>
      </c>
      <c r="J55" s="8">
        <v>80.209999999999994</v>
      </c>
      <c r="K55" s="268">
        <v>0.73640000000000005</v>
      </c>
      <c r="L55" s="268">
        <v>0.57869999999999999</v>
      </c>
      <c r="M55" s="268">
        <v>-0.1135</v>
      </c>
      <c r="N55" s="8">
        <v>683.44</v>
      </c>
      <c r="O55" s="8">
        <v>4685.6400000000003</v>
      </c>
      <c r="P55" s="268">
        <v>0.1459</v>
      </c>
      <c r="Q55" s="8">
        <v>309</v>
      </c>
      <c r="R55" s="8" t="s">
        <v>2510</v>
      </c>
      <c r="S55" s="8" t="s">
        <v>2511</v>
      </c>
      <c r="T55" s="8" t="s">
        <v>2512</v>
      </c>
      <c r="U55" s="8" t="s">
        <v>2513</v>
      </c>
      <c r="V55" s="8" t="s">
        <v>2514</v>
      </c>
      <c r="W55" s="8" t="s">
        <v>2515</v>
      </c>
    </row>
    <row r="56" spans="1:23" ht="28" customHeight="1" x14ac:dyDescent="0.3">
      <c r="A56" s="308">
        <v>46218</v>
      </c>
      <c r="B56" s="302">
        <v>2688.2240000000002</v>
      </c>
      <c r="C56" s="8">
        <v>-7.4130000000000003</v>
      </c>
      <c r="D56" s="268">
        <v>-2.8E-3</v>
      </c>
      <c r="E56" s="8">
        <v>71.5</v>
      </c>
      <c r="F56" s="8">
        <v>159.13800000000001</v>
      </c>
      <c r="G56" s="8">
        <v>131.76</v>
      </c>
      <c r="H56" s="8">
        <v>84.19</v>
      </c>
      <c r="I56" s="8">
        <v>231.99</v>
      </c>
      <c r="J56" s="8">
        <v>80.13</v>
      </c>
      <c r="K56" s="268">
        <v>0.72850000000000004</v>
      </c>
      <c r="L56" s="268">
        <v>0.57769999999999999</v>
      </c>
      <c r="M56" s="268">
        <v>-0.11509999999999999</v>
      </c>
      <c r="N56" s="8">
        <v>763.33</v>
      </c>
      <c r="O56" s="8">
        <v>4672.8500000000004</v>
      </c>
      <c r="P56" s="268">
        <v>0.16339999999999999</v>
      </c>
      <c r="Q56" s="8">
        <v>307</v>
      </c>
      <c r="R56" s="8" t="s">
        <v>2516</v>
      </c>
      <c r="S56" s="8" t="s">
        <v>2517</v>
      </c>
      <c r="T56" s="8" t="s">
        <v>2518</v>
      </c>
      <c r="U56" s="8" t="s">
        <v>2519</v>
      </c>
      <c r="V56" s="8" t="s">
        <v>2520</v>
      </c>
      <c r="W56" s="8" t="s">
        <v>2521</v>
      </c>
    </row>
    <row r="57" spans="1:23" ht="28" customHeight="1" x14ac:dyDescent="0.3">
      <c r="A57" s="308">
        <v>46217</v>
      </c>
      <c r="B57" s="302">
        <v>2695.6370000000002</v>
      </c>
      <c r="C57" s="8">
        <v>34.225999999999999</v>
      </c>
      <c r="D57" s="268">
        <v>1.29E-2</v>
      </c>
      <c r="E57" s="8">
        <v>69.02</v>
      </c>
      <c r="F57" s="8">
        <v>160.571</v>
      </c>
      <c r="G57" s="8">
        <v>131.072</v>
      </c>
      <c r="H57" s="8">
        <v>83.29</v>
      </c>
      <c r="I57" s="8">
        <v>234.42</v>
      </c>
      <c r="J57" s="8">
        <v>80.86</v>
      </c>
      <c r="K57" s="268">
        <v>0.73850000000000005</v>
      </c>
      <c r="L57" s="268">
        <v>0.57689999999999997</v>
      </c>
      <c r="M57" s="268">
        <v>-0.11360000000000001</v>
      </c>
      <c r="N57" s="8">
        <v>826.38</v>
      </c>
      <c r="O57" s="8">
        <v>4642.34</v>
      </c>
      <c r="P57" s="268">
        <v>0.17799999999999999</v>
      </c>
      <c r="Q57" s="8">
        <v>306</v>
      </c>
      <c r="R57" s="8" t="s">
        <v>2392</v>
      </c>
      <c r="S57" s="8" t="s">
        <v>2522</v>
      </c>
      <c r="T57" s="8" t="s">
        <v>2523</v>
      </c>
      <c r="U57" s="8" t="s">
        <v>2524</v>
      </c>
      <c r="V57" s="8" t="s">
        <v>2525</v>
      </c>
      <c r="W57" s="8" t="s">
        <v>2526</v>
      </c>
    </row>
    <row r="58" spans="1:23" ht="28" customHeight="1" x14ac:dyDescent="0.3">
      <c r="A58" s="308">
        <v>46216</v>
      </c>
      <c r="B58" s="302">
        <v>2661.4110000000001</v>
      </c>
      <c r="C58" s="8">
        <v>-47.459000000000003</v>
      </c>
      <c r="D58" s="268">
        <v>-1.7500000000000002E-2</v>
      </c>
      <c r="E58" s="8">
        <v>65.7</v>
      </c>
      <c r="F58" s="8">
        <v>157.90199999999999</v>
      </c>
      <c r="G58" s="8">
        <v>129.839</v>
      </c>
      <c r="H58" s="8">
        <v>82.52</v>
      </c>
      <c r="I58" s="8">
        <v>232.09</v>
      </c>
      <c r="J58" s="8">
        <v>81.040000000000006</v>
      </c>
      <c r="K58" s="268">
        <v>0.7419</v>
      </c>
      <c r="L58" s="268">
        <v>0.57250000000000001</v>
      </c>
      <c r="M58" s="268">
        <v>-0.1236</v>
      </c>
      <c r="N58" s="8">
        <v>723.85</v>
      </c>
      <c r="O58" s="8">
        <v>4651.68</v>
      </c>
      <c r="P58" s="268">
        <v>0.15559999999999999</v>
      </c>
      <c r="Q58" s="8">
        <v>307</v>
      </c>
      <c r="R58" s="8" t="s">
        <v>2527</v>
      </c>
      <c r="S58" s="8" t="s">
        <v>2528</v>
      </c>
      <c r="T58" s="8" t="s">
        <v>2529</v>
      </c>
      <c r="U58" s="8" t="s">
        <v>2530</v>
      </c>
      <c r="V58" s="8" t="s">
        <v>2531</v>
      </c>
      <c r="W58" s="8" t="s">
        <v>2532</v>
      </c>
    </row>
    <row r="59" spans="1:23" ht="28" customHeight="1" x14ac:dyDescent="0.3">
      <c r="A59" s="308">
        <v>46213</v>
      </c>
      <c r="B59" s="302">
        <v>2708.87</v>
      </c>
      <c r="C59" s="8">
        <v>-2.7389999999999999</v>
      </c>
      <c r="D59" s="268">
        <v>-1E-3</v>
      </c>
      <c r="E59" s="8">
        <v>70.099999999999994</v>
      </c>
      <c r="F59" s="8">
        <v>162.26300000000001</v>
      </c>
      <c r="G59" s="8">
        <v>131.56700000000001</v>
      </c>
      <c r="H59" s="8">
        <v>85.72</v>
      </c>
      <c r="I59" s="8">
        <v>233.72</v>
      </c>
      <c r="J59" s="8">
        <v>79.08</v>
      </c>
      <c r="K59" s="268">
        <v>0.71450000000000002</v>
      </c>
      <c r="L59" s="268">
        <v>0.5504</v>
      </c>
      <c r="M59" s="268">
        <v>-0.13189999999999999</v>
      </c>
      <c r="N59" s="8">
        <v>893.87</v>
      </c>
      <c r="O59" s="8">
        <v>4609.7</v>
      </c>
      <c r="P59" s="268">
        <v>0.19389999999999999</v>
      </c>
      <c r="Q59" s="8">
        <v>304</v>
      </c>
      <c r="R59" s="8" t="s">
        <v>2533</v>
      </c>
      <c r="S59" s="8" t="s">
        <v>2534</v>
      </c>
      <c r="T59" s="8" t="s">
        <v>2535</v>
      </c>
      <c r="U59" s="8" t="s">
        <v>2536</v>
      </c>
      <c r="V59" s="8" t="s">
        <v>2537</v>
      </c>
      <c r="W59" s="8" t="s">
        <v>2538</v>
      </c>
    </row>
    <row r="60" spans="1:23" ht="28" customHeight="1" x14ac:dyDescent="0.3">
      <c r="A60" s="308">
        <v>46212</v>
      </c>
      <c r="B60" s="302">
        <v>2711.6089999999999</v>
      </c>
      <c r="C60" s="8">
        <v>18.207000000000001</v>
      </c>
      <c r="D60" s="268">
        <v>6.7999999999999996E-3</v>
      </c>
      <c r="E60" s="8">
        <v>70.41</v>
      </c>
      <c r="F60" s="8">
        <v>162.995</v>
      </c>
      <c r="G60" s="8">
        <v>130.06800000000001</v>
      </c>
      <c r="H60" s="8">
        <v>83.94</v>
      </c>
      <c r="I60" s="8">
        <v>235.23</v>
      </c>
      <c r="J60" s="8">
        <v>79.91</v>
      </c>
      <c r="K60" s="268">
        <v>0.72240000000000004</v>
      </c>
      <c r="L60" s="268">
        <v>0.5595</v>
      </c>
      <c r="M60" s="268">
        <v>-0.1305</v>
      </c>
      <c r="N60" s="8">
        <v>907.64</v>
      </c>
      <c r="O60" s="8">
        <v>4610.75</v>
      </c>
      <c r="P60" s="268">
        <v>0.19689999999999999</v>
      </c>
      <c r="Q60" s="8">
        <v>304</v>
      </c>
      <c r="R60" s="8" t="s">
        <v>2539</v>
      </c>
      <c r="S60" s="8" t="s">
        <v>2540</v>
      </c>
      <c r="T60" s="8" t="s">
        <v>2541</v>
      </c>
      <c r="U60" s="8" t="s">
        <v>2542</v>
      </c>
      <c r="V60" s="8" t="s">
        <v>2543</v>
      </c>
      <c r="W60" s="8" t="s">
        <v>2544</v>
      </c>
    </row>
    <row r="61" spans="1:23" ht="28" customHeight="1" x14ac:dyDescent="0.3">
      <c r="A61" s="308">
        <v>46211</v>
      </c>
      <c r="B61" s="302">
        <v>2693.402</v>
      </c>
      <c r="C61" s="8">
        <v>-14.46</v>
      </c>
      <c r="D61" s="268">
        <v>-5.3E-3</v>
      </c>
      <c r="E61" s="8">
        <v>69.209999999999994</v>
      </c>
      <c r="F61" s="8">
        <v>162.27600000000001</v>
      </c>
      <c r="G61" s="8">
        <v>130.45500000000001</v>
      </c>
      <c r="H61" s="8">
        <v>84.38</v>
      </c>
      <c r="I61" s="8">
        <v>234.14</v>
      </c>
      <c r="J61" s="8">
        <v>78.58</v>
      </c>
      <c r="K61" s="268">
        <v>0.71860000000000002</v>
      </c>
      <c r="L61" s="268">
        <v>0.56169999999999998</v>
      </c>
      <c r="M61" s="268">
        <v>-0.12740000000000001</v>
      </c>
      <c r="N61" s="8">
        <v>812.59</v>
      </c>
      <c r="O61" s="8">
        <v>4622.1400000000003</v>
      </c>
      <c r="P61" s="268">
        <v>0.17580000000000001</v>
      </c>
      <c r="Q61" s="8">
        <v>304</v>
      </c>
      <c r="R61" s="8" t="s">
        <v>2545</v>
      </c>
      <c r="S61" s="8" t="s">
        <v>2546</v>
      </c>
      <c r="T61" s="8" t="s">
        <v>2547</v>
      </c>
      <c r="U61" s="8" t="s">
        <v>2548</v>
      </c>
      <c r="V61" s="8" t="s">
        <v>2549</v>
      </c>
      <c r="W61" s="8" t="s">
        <v>2550</v>
      </c>
    </row>
    <row r="62" spans="1:23" ht="28" customHeight="1" x14ac:dyDescent="0.3">
      <c r="A62" s="308">
        <v>46210</v>
      </c>
      <c r="B62" s="302">
        <v>2707.8620000000001</v>
      </c>
      <c r="C62" s="8">
        <v>-28.9</v>
      </c>
      <c r="D62" s="268">
        <v>-1.06E-2</v>
      </c>
      <c r="E62" s="8">
        <v>68.67</v>
      </c>
      <c r="F62" s="8">
        <v>163.381</v>
      </c>
      <c r="G62" s="8">
        <v>130.429</v>
      </c>
      <c r="H62" s="8">
        <v>84.73</v>
      </c>
      <c r="I62" s="8">
        <v>232.49</v>
      </c>
      <c r="J62" s="8">
        <v>74.010000000000005</v>
      </c>
      <c r="K62" s="268">
        <v>0.69110000000000005</v>
      </c>
      <c r="L62" s="268">
        <v>0.53449999999999998</v>
      </c>
      <c r="M62" s="268">
        <v>-0.12909999999999999</v>
      </c>
      <c r="N62" s="8">
        <v>798.8</v>
      </c>
      <c r="O62" s="8">
        <v>4600.43</v>
      </c>
      <c r="P62" s="268">
        <v>0.1736</v>
      </c>
      <c r="Q62" s="8">
        <v>304</v>
      </c>
      <c r="R62" s="8" t="s">
        <v>2551</v>
      </c>
      <c r="S62" s="8" t="s">
        <v>2552</v>
      </c>
      <c r="T62" s="8" t="s">
        <v>2553</v>
      </c>
      <c r="U62" s="8" t="s">
        <v>2554</v>
      </c>
      <c r="V62" s="8" t="s">
        <v>2555</v>
      </c>
      <c r="W62" s="8" t="s">
        <v>2556</v>
      </c>
    </row>
    <row r="63" spans="1:23" ht="28" customHeight="1" x14ac:dyDescent="0.3">
      <c r="A63" s="308">
        <v>46209</v>
      </c>
      <c r="B63" s="302">
        <v>2736.7620000000002</v>
      </c>
      <c r="C63" s="8">
        <v>-1.5329999999999999</v>
      </c>
      <c r="D63" s="268">
        <v>-5.9999999999999995E-4</v>
      </c>
      <c r="E63" s="8">
        <v>72.38</v>
      </c>
      <c r="F63" s="8">
        <v>165.14400000000001</v>
      </c>
      <c r="G63" s="8">
        <v>132.05799999999999</v>
      </c>
      <c r="H63" s="8">
        <v>87.57</v>
      </c>
      <c r="I63" s="8">
        <v>231.77</v>
      </c>
      <c r="J63" s="8">
        <v>72.099999999999994</v>
      </c>
      <c r="K63" s="268">
        <v>0.66620000000000001</v>
      </c>
      <c r="L63" s="268">
        <v>0.52129999999999999</v>
      </c>
      <c r="M63" s="268">
        <v>-0.13519999999999999</v>
      </c>
      <c r="N63" s="8">
        <v>813.39</v>
      </c>
      <c r="O63" s="8">
        <v>4601.46</v>
      </c>
      <c r="P63" s="268">
        <v>0.17680000000000001</v>
      </c>
      <c r="Q63" s="8">
        <v>304</v>
      </c>
      <c r="R63" s="8" t="s">
        <v>2557</v>
      </c>
      <c r="S63" s="8" t="s">
        <v>2558</v>
      </c>
      <c r="T63" s="8" t="s">
        <v>2559</v>
      </c>
      <c r="U63" s="8" t="s">
        <v>2560</v>
      </c>
      <c r="V63" s="8" t="s">
        <v>2561</v>
      </c>
      <c r="W63" s="8" t="s">
        <v>2562</v>
      </c>
    </row>
    <row r="64" spans="1:23" ht="28" customHeight="1" x14ac:dyDescent="0.3">
      <c r="A64" s="308">
        <v>46206</v>
      </c>
      <c r="B64" s="302">
        <v>2738.2950000000001</v>
      </c>
      <c r="C64" s="8">
        <v>22.541</v>
      </c>
      <c r="D64" s="268">
        <v>8.3000000000000001E-3</v>
      </c>
      <c r="E64" s="8">
        <v>74.25</v>
      </c>
      <c r="F64" s="8">
        <v>166.14400000000001</v>
      </c>
      <c r="G64" s="8">
        <v>132.297</v>
      </c>
      <c r="H64" s="8">
        <v>89.77</v>
      </c>
      <c r="I64" s="8">
        <v>230.63</v>
      </c>
      <c r="J64" s="8">
        <v>69.97</v>
      </c>
      <c r="K64" s="268">
        <v>0.64490000000000003</v>
      </c>
      <c r="L64" s="268">
        <v>0.50249999999999995</v>
      </c>
      <c r="M64" s="268">
        <v>-0.13420000000000001</v>
      </c>
      <c r="N64" s="8">
        <v>928.45</v>
      </c>
      <c r="O64" s="8">
        <v>4606.13</v>
      </c>
      <c r="P64" s="268">
        <v>0.2016</v>
      </c>
      <c r="Q64" s="8">
        <v>305</v>
      </c>
      <c r="R64" s="8" t="s">
        <v>2563</v>
      </c>
      <c r="S64" s="8" t="s">
        <v>2564</v>
      </c>
      <c r="T64" s="8" t="s">
        <v>2565</v>
      </c>
      <c r="U64" s="8" t="s">
        <v>2566</v>
      </c>
      <c r="V64" s="8" t="s">
        <v>2567</v>
      </c>
      <c r="W64" s="8" t="s">
        <v>2568</v>
      </c>
    </row>
    <row r="65" spans="1:23" ht="28" customHeight="1" x14ac:dyDescent="0.3">
      <c r="A65" s="308">
        <v>46205</v>
      </c>
      <c r="B65" s="302">
        <v>2715.7539999999999</v>
      </c>
      <c r="C65" s="8">
        <v>-8.1170000000000009</v>
      </c>
      <c r="D65" s="268">
        <v>-3.0000000000000001E-3</v>
      </c>
      <c r="E65" s="8">
        <v>71.38</v>
      </c>
      <c r="F65" s="8">
        <v>164.46799999999999</v>
      </c>
      <c r="G65" s="8">
        <v>130.44399999999999</v>
      </c>
      <c r="H65" s="8">
        <v>89.53</v>
      </c>
      <c r="I65" s="8">
        <v>229.05</v>
      </c>
      <c r="J65" s="8">
        <v>70.010000000000005</v>
      </c>
      <c r="K65" s="268">
        <v>0.64580000000000004</v>
      </c>
      <c r="L65" s="268">
        <v>0.50960000000000005</v>
      </c>
      <c r="M65" s="268">
        <v>-0.1283</v>
      </c>
      <c r="N65" s="8">
        <v>894.91</v>
      </c>
      <c r="O65" s="8">
        <v>4612.05</v>
      </c>
      <c r="P65" s="268">
        <v>0.19400000000000001</v>
      </c>
      <c r="Q65" s="8">
        <v>306</v>
      </c>
      <c r="R65" s="8" t="s">
        <v>2569</v>
      </c>
      <c r="S65" s="8" t="s">
        <v>2570</v>
      </c>
      <c r="T65" s="8" t="s">
        <v>2571</v>
      </c>
      <c r="U65" s="8" t="s">
        <v>2572</v>
      </c>
      <c r="V65" s="8" t="s">
        <v>2573</v>
      </c>
      <c r="W65" s="8" t="s">
        <v>2574</v>
      </c>
    </row>
    <row r="66" spans="1:23" ht="28" customHeight="1" x14ac:dyDescent="0.3">
      <c r="A66" s="308">
        <v>46204</v>
      </c>
      <c r="B66" s="302">
        <v>2723.8710000000001</v>
      </c>
      <c r="C66" s="8">
        <v>21.966000000000001</v>
      </c>
      <c r="D66" s="268">
        <v>8.0999999999999996E-3</v>
      </c>
      <c r="E66" s="8">
        <v>71.239999999999995</v>
      </c>
      <c r="F66" s="8">
        <v>166.346</v>
      </c>
      <c r="G66" s="8">
        <v>129.999</v>
      </c>
      <c r="H66" s="8">
        <v>89.67</v>
      </c>
      <c r="I66" s="8">
        <v>230.31</v>
      </c>
      <c r="J66" s="8">
        <v>68.92</v>
      </c>
      <c r="K66" s="268">
        <v>0.63970000000000005</v>
      </c>
      <c r="L66" s="268">
        <v>0.49459999999999998</v>
      </c>
      <c r="M66" s="268">
        <v>-0.1285</v>
      </c>
      <c r="N66" s="8">
        <v>970.8</v>
      </c>
      <c r="O66" s="8">
        <v>4615.16</v>
      </c>
      <c r="P66" s="268">
        <v>0.21029999999999999</v>
      </c>
      <c r="Q66" s="8">
        <v>307</v>
      </c>
      <c r="R66" s="8" t="s">
        <v>2575</v>
      </c>
      <c r="S66" s="8" t="s">
        <v>2576</v>
      </c>
      <c r="T66" s="8" t="s">
        <v>2577</v>
      </c>
      <c r="U66" s="8" t="s">
        <v>2578</v>
      </c>
      <c r="V66" s="8" t="s">
        <v>2579</v>
      </c>
      <c r="W66" s="8" t="s">
        <v>2580</v>
      </c>
    </row>
    <row r="67" spans="1:23" ht="28" customHeight="1" x14ac:dyDescent="0.3">
      <c r="A67" s="308">
        <v>46203</v>
      </c>
      <c r="B67" s="302">
        <v>2701.9050000000002</v>
      </c>
      <c r="C67" s="8">
        <v>46.183</v>
      </c>
      <c r="D67" s="268">
        <v>1.7399999999999999E-2</v>
      </c>
      <c r="E67" s="8">
        <v>68.63</v>
      </c>
      <c r="F67" s="8">
        <v>166.142</v>
      </c>
      <c r="G67" s="8">
        <v>129.5</v>
      </c>
      <c r="H67" s="8">
        <v>87.27</v>
      </c>
      <c r="I67" s="8">
        <v>231.71</v>
      </c>
      <c r="J67" s="8">
        <v>71.03</v>
      </c>
      <c r="K67" s="268">
        <v>0.65569999999999995</v>
      </c>
      <c r="L67" s="268">
        <v>0.50349999999999995</v>
      </c>
      <c r="M67" s="268">
        <v>-0.1241</v>
      </c>
      <c r="N67" s="8">
        <v>916.02</v>
      </c>
      <c r="O67" s="8">
        <v>4602.09</v>
      </c>
      <c r="P67" s="268">
        <v>0.19900000000000001</v>
      </c>
      <c r="Q67" s="8">
        <v>307</v>
      </c>
      <c r="R67" s="8" t="s">
        <v>2581</v>
      </c>
      <c r="S67" s="8" t="s">
        <v>2582</v>
      </c>
      <c r="T67" s="8" t="s">
        <v>2583</v>
      </c>
      <c r="U67" s="8" t="s">
        <v>2584</v>
      </c>
      <c r="V67" s="8" t="s">
        <v>2585</v>
      </c>
      <c r="W67" s="8" t="s">
        <v>2586</v>
      </c>
    </row>
    <row r="68" spans="1:23" ht="28" customHeight="1" x14ac:dyDescent="0.3">
      <c r="A68" s="308">
        <v>46202</v>
      </c>
      <c r="B68" s="302">
        <v>2655.7220000000002</v>
      </c>
      <c r="C68" s="8">
        <v>-2.7909999999999999</v>
      </c>
      <c r="D68" s="268">
        <v>-1E-3</v>
      </c>
      <c r="E68" s="8">
        <v>65.87</v>
      </c>
      <c r="F68" s="8">
        <v>162.23099999999999</v>
      </c>
      <c r="G68" s="8">
        <v>128.34399999999999</v>
      </c>
      <c r="H68" s="8">
        <v>86.41</v>
      </c>
      <c r="I68" s="8">
        <v>227.05</v>
      </c>
      <c r="J68" s="8">
        <v>71.58</v>
      </c>
      <c r="K68" s="268">
        <v>0.6482</v>
      </c>
      <c r="L68" s="268">
        <v>0.4864</v>
      </c>
      <c r="M68" s="268">
        <v>-0.1171</v>
      </c>
      <c r="N68" s="8">
        <v>837.76</v>
      </c>
      <c r="O68" s="8">
        <v>4608.55</v>
      </c>
      <c r="P68" s="268">
        <v>0.18179999999999999</v>
      </c>
      <c r="Q68" s="8">
        <v>307</v>
      </c>
      <c r="R68" s="8" t="s">
        <v>2587</v>
      </c>
      <c r="S68" s="8" t="s">
        <v>2588</v>
      </c>
      <c r="T68" s="8" t="s">
        <v>2589</v>
      </c>
      <c r="U68" s="8" t="s">
        <v>2590</v>
      </c>
      <c r="V68" s="8" t="s">
        <v>2591</v>
      </c>
      <c r="W68" s="8" t="s">
        <v>2592</v>
      </c>
    </row>
    <row r="69" spans="1:23" ht="28" customHeight="1" x14ac:dyDescent="0.3">
      <c r="A69" s="308">
        <v>46199</v>
      </c>
      <c r="B69" s="302">
        <v>2658.5129999999999</v>
      </c>
      <c r="C69" s="8">
        <v>-28.454999999999998</v>
      </c>
      <c r="D69" s="268">
        <v>-1.06E-2</v>
      </c>
      <c r="E69" s="8">
        <v>66.650000000000006</v>
      </c>
      <c r="F69" s="8">
        <v>162.66300000000001</v>
      </c>
      <c r="G69" s="8">
        <v>128.31100000000001</v>
      </c>
      <c r="H69" s="8">
        <v>86.27</v>
      </c>
      <c r="I69" s="8">
        <v>228.67</v>
      </c>
      <c r="J69" s="8">
        <v>73.33</v>
      </c>
      <c r="K69" s="268">
        <v>0.66</v>
      </c>
      <c r="L69" s="268">
        <v>0.50139999999999996</v>
      </c>
      <c r="M69" s="268">
        <v>-0.1162</v>
      </c>
      <c r="N69" s="8">
        <v>803.75</v>
      </c>
      <c r="O69" s="8">
        <v>4609.21</v>
      </c>
      <c r="P69" s="268">
        <v>0.1744</v>
      </c>
      <c r="Q69" s="8">
        <v>306</v>
      </c>
      <c r="R69" s="8" t="s">
        <v>2593</v>
      </c>
      <c r="S69" s="8" t="s">
        <v>2594</v>
      </c>
      <c r="T69" s="8" t="s">
        <v>2595</v>
      </c>
      <c r="U69" s="8" t="s">
        <v>2596</v>
      </c>
      <c r="V69" s="8" t="s">
        <v>2597</v>
      </c>
      <c r="W69" s="8" t="s">
        <v>2598</v>
      </c>
    </row>
    <row r="70" spans="1:23" ht="28" customHeight="1" x14ac:dyDescent="0.3">
      <c r="A70" s="308">
        <v>46198</v>
      </c>
      <c r="B70" s="302">
        <v>2686.9679999999998</v>
      </c>
      <c r="C70" s="8">
        <v>-29.83</v>
      </c>
      <c r="D70" s="268">
        <v>-1.0999999999999999E-2</v>
      </c>
      <c r="E70" s="8">
        <v>69.709999999999994</v>
      </c>
      <c r="F70" s="8">
        <v>164.542</v>
      </c>
      <c r="G70" s="8">
        <v>129.68799999999999</v>
      </c>
      <c r="H70" s="8">
        <v>88.42</v>
      </c>
      <c r="I70" s="8">
        <v>228.06</v>
      </c>
      <c r="J70" s="8">
        <v>67.260000000000005</v>
      </c>
      <c r="K70" s="268">
        <v>0.6351</v>
      </c>
      <c r="L70" s="268">
        <v>0.48459999999999998</v>
      </c>
      <c r="M70" s="268">
        <v>-0.121</v>
      </c>
      <c r="N70" s="8">
        <v>794.48</v>
      </c>
      <c r="O70" s="8">
        <v>4618.07</v>
      </c>
      <c r="P70" s="268">
        <v>0.17199999999999999</v>
      </c>
      <c r="Q70" s="8">
        <v>307</v>
      </c>
      <c r="R70" s="8" t="s">
        <v>2599</v>
      </c>
      <c r="S70" s="8" t="s">
        <v>2600</v>
      </c>
      <c r="T70" s="8" t="s">
        <v>2601</v>
      </c>
      <c r="U70" s="8" t="s">
        <v>2602</v>
      </c>
      <c r="V70" s="8" t="s">
        <v>2603</v>
      </c>
      <c r="W70" s="8" t="s">
        <v>2604</v>
      </c>
    </row>
    <row r="71" spans="1:23" ht="28" customHeight="1" x14ac:dyDescent="0.3">
      <c r="A71" s="308">
        <v>46197</v>
      </c>
      <c r="B71" s="302">
        <v>2716.7979999999998</v>
      </c>
      <c r="C71" s="8">
        <v>2.714</v>
      </c>
      <c r="D71" s="268">
        <v>1E-3</v>
      </c>
      <c r="E71" s="8">
        <v>73.48</v>
      </c>
      <c r="F71" s="8">
        <v>166.36199999999999</v>
      </c>
      <c r="G71" s="8">
        <v>131.30099999999999</v>
      </c>
      <c r="H71" s="8">
        <v>89.66</v>
      </c>
      <c r="I71" s="8">
        <v>229.88</v>
      </c>
      <c r="J71" s="8">
        <v>68.55</v>
      </c>
      <c r="K71" s="268">
        <v>0.63519999999999999</v>
      </c>
      <c r="L71" s="268">
        <v>0.505</v>
      </c>
      <c r="M71" s="268">
        <v>-0.12690000000000001</v>
      </c>
      <c r="N71" s="8">
        <v>782.01</v>
      </c>
      <c r="O71" s="8">
        <v>4620.3999999999996</v>
      </c>
      <c r="P71" s="268">
        <v>0.16930000000000001</v>
      </c>
      <c r="Q71" s="8">
        <v>307</v>
      </c>
      <c r="R71" s="8" t="s">
        <v>2605</v>
      </c>
      <c r="S71" s="8" t="s">
        <v>2606</v>
      </c>
      <c r="T71" s="8" t="s">
        <v>2607</v>
      </c>
      <c r="U71" s="8" t="s">
        <v>2608</v>
      </c>
      <c r="V71" s="8" t="s">
        <v>2609</v>
      </c>
      <c r="W71" s="8" t="s">
        <v>2610</v>
      </c>
    </row>
    <row r="72" spans="1:23" ht="28" customHeight="1" x14ac:dyDescent="0.3">
      <c r="A72" s="308">
        <v>46196</v>
      </c>
      <c r="B72" s="302">
        <v>2714.0839999999998</v>
      </c>
      <c r="C72" s="8">
        <v>-20.123999999999999</v>
      </c>
      <c r="D72" s="268">
        <v>-7.4000000000000003E-3</v>
      </c>
      <c r="E72" s="8">
        <v>74.349999999999994</v>
      </c>
      <c r="F72" s="8">
        <v>165.226</v>
      </c>
      <c r="G72" s="8">
        <v>131.71899999999999</v>
      </c>
      <c r="H72" s="8">
        <v>89.66</v>
      </c>
      <c r="I72" s="8">
        <v>226.92</v>
      </c>
      <c r="J72" s="8">
        <v>65.34</v>
      </c>
      <c r="K72" s="268">
        <v>0.6169</v>
      </c>
      <c r="L72" s="268">
        <v>0.49030000000000001</v>
      </c>
      <c r="M72" s="268">
        <v>-0.12640000000000001</v>
      </c>
      <c r="N72" s="8">
        <v>708.89</v>
      </c>
      <c r="O72" s="8">
        <v>4679.21</v>
      </c>
      <c r="P72" s="268">
        <v>0.1515</v>
      </c>
      <c r="Q72" s="8">
        <v>308</v>
      </c>
      <c r="R72" s="8" t="s">
        <v>2611</v>
      </c>
      <c r="S72" s="8" t="s">
        <v>2612</v>
      </c>
      <c r="T72" s="8" t="s">
        <v>2613</v>
      </c>
      <c r="U72" s="8" t="s">
        <v>2614</v>
      </c>
      <c r="V72" s="8" t="s">
        <v>2615</v>
      </c>
      <c r="W72" s="8" t="s">
        <v>2616</v>
      </c>
    </row>
    <row r="73" spans="1:23" ht="28" customHeight="1" x14ac:dyDescent="0.3">
      <c r="A73" s="308">
        <v>46195</v>
      </c>
      <c r="B73" s="302">
        <v>2734.2080000000001</v>
      </c>
      <c r="C73" s="8">
        <v>-1.0389999999999999</v>
      </c>
      <c r="D73" s="268">
        <v>-4.0000000000000002E-4</v>
      </c>
      <c r="E73" s="8">
        <v>75.900000000000006</v>
      </c>
      <c r="F73" s="8">
        <v>167.14</v>
      </c>
      <c r="G73" s="8">
        <v>132.41300000000001</v>
      </c>
      <c r="H73" s="8">
        <v>89.89</v>
      </c>
      <c r="I73" s="8">
        <v>229.14</v>
      </c>
      <c r="J73" s="8">
        <v>65.34</v>
      </c>
      <c r="K73" s="268">
        <v>0.62</v>
      </c>
      <c r="L73" s="268">
        <v>0.48630000000000001</v>
      </c>
      <c r="M73" s="268">
        <v>-0.1298</v>
      </c>
      <c r="N73" s="8">
        <v>801.78</v>
      </c>
      <c r="O73" s="8">
        <v>4681.7</v>
      </c>
      <c r="P73" s="268">
        <v>0.17130000000000001</v>
      </c>
      <c r="Q73" s="8">
        <v>308</v>
      </c>
      <c r="R73" s="8" t="s">
        <v>2617</v>
      </c>
      <c r="S73" s="8" t="s">
        <v>2618</v>
      </c>
      <c r="T73" s="8" t="s">
        <v>2619</v>
      </c>
      <c r="U73" s="8" t="s">
        <v>2620</v>
      </c>
      <c r="V73" s="8" t="s">
        <v>2621</v>
      </c>
      <c r="W73" s="8" t="s">
        <v>2622</v>
      </c>
    </row>
    <row r="74" spans="1:23" ht="28" customHeight="1" x14ac:dyDescent="0.3">
      <c r="A74" s="308">
        <v>46191</v>
      </c>
      <c r="B74" s="302">
        <v>2735.2469999999998</v>
      </c>
      <c r="C74" s="8">
        <v>-21.140999999999998</v>
      </c>
      <c r="D74" s="268">
        <v>-7.7000000000000002E-3</v>
      </c>
      <c r="E74" s="8">
        <v>76.239999999999995</v>
      </c>
      <c r="F74" s="8">
        <v>167.46899999999999</v>
      </c>
      <c r="G74" s="8">
        <v>132.464</v>
      </c>
      <c r="H74" s="8">
        <v>89.49</v>
      </c>
      <c r="I74" s="8">
        <v>230.31</v>
      </c>
      <c r="J74" s="8">
        <v>68.16</v>
      </c>
      <c r="K74" s="268">
        <v>0.62839999999999996</v>
      </c>
      <c r="L74" s="268">
        <v>0.48409999999999997</v>
      </c>
      <c r="M74" s="268">
        <v>-0.1265</v>
      </c>
      <c r="N74" s="8">
        <v>852.8</v>
      </c>
      <c r="O74" s="8">
        <v>4682.54</v>
      </c>
      <c r="P74" s="268">
        <v>0.18210000000000001</v>
      </c>
      <c r="Q74" s="8">
        <v>308</v>
      </c>
      <c r="R74" s="8" t="s">
        <v>2623</v>
      </c>
      <c r="S74" s="8" t="s">
        <v>2624</v>
      </c>
      <c r="T74" s="8" t="s">
        <v>2625</v>
      </c>
      <c r="U74" s="8" t="s">
        <v>2626</v>
      </c>
      <c r="V74" s="8" t="s">
        <v>2627</v>
      </c>
      <c r="W74" s="8" t="s">
        <v>2628</v>
      </c>
    </row>
    <row r="75" spans="1:23" ht="28" customHeight="1" x14ac:dyDescent="0.3">
      <c r="A75" s="308">
        <v>46190</v>
      </c>
      <c r="B75" s="302">
        <v>2756.3879999999999</v>
      </c>
      <c r="C75" s="8">
        <v>-11.513999999999999</v>
      </c>
      <c r="D75" s="268">
        <v>-4.1999999999999997E-3</v>
      </c>
      <c r="E75" s="8">
        <v>78.78</v>
      </c>
      <c r="F75" s="8">
        <v>168.45400000000001</v>
      </c>
      <c r="G75" s="8">
        <v>133.19200000000001</v>
      </c>
      <c r="H75" s="8">
        <v>90.83</v>
      </c>
      <c r="I75" s="8">
        <v>231.57</v>
      </c>
      <c r="J75" s="8">
        <v>69.61</v>
      </c>
      <c r="K75" s="268">
        <v>0.63119999999999998</v>
      </c>
      <c r="L75" s="268">
        <v>0.495</v>
      </c>
      <c r="M75" s="268">
        <v>-0.13009999999999999</v>
      </c>
      <c r="N75" s="8">
        <v>889.03</v>
      </c>
      <c r="O75" s="8">
        <v>4680.29</v>
      </c>
      <c r="P75" s="268">
        <v>0.19</v>
      </c>
      <c r="Q75" s="8">
        <v>309</v>
      </c>
      <c r="R75" s="8" t="s">
        <v>2629</v>
      </c>
      <c r="S75" s="8" t="s">
        <v>2630</v>
      </c>
      <c r="T75" s="8" t="s">
        <v>2427</v>
      </c>
      <c r="U75" s="8" t="s">
        <v>2631</v>
      </c>
      <c r="V75" s="8" t="s">
        <v>2632</v>
      </c>
      <c r="W75" s="8" t="s">
        <v>2633</v>
      </c>
    </row>
    <row r="76" spans="1:23" ht="28" customHeight="1" x14ac:dyDescent="0.3">
      <c r="A76" s="308">
        <v>46189</v>
      </c>
      <c r="B76" s="302">
        <v>2767.902</v>
      </c>
      <c r="C76" s="8">
        <v>21.231999999999999</v>
      </c>
      <c r="D76" s="268">
        <v>7.7000000000000002E-3</v>
      </c>
      <c r="E76" s="8">
        <v>81.56</v>
      </c>
      <c r="F76" s="8">
        <v>169.107</v>
      </c>
      <c r="G76" s="8">
        <v>134.96899999999999</v>
      </c>
      <c r="H76" s="8">
        <v>92.41</v>
      </c>
      <c r="I76" s="8">
        <v>231.93</v>
      </c>
      <c r="J76" s="8">
        <v>70.91</v>
      </c>
      <c r="K76" s="268">
        <v>0.62819999999999998</v>
      </c>
      <c r="L76" s="268">
        <v>0.48930000000000001</v>
      </c>
      <c r="M76" s="268">
        <v>-0.13700000000000001</v>
      </c>
      <c r="N76" s="8">
        <v>889.34</v>
      </c>
      <c r="O76" s="8">
        <v>4684.79</v>
      </c>
      <c r="P76" s="268">
        <v>0.1898</v>
      </c>
      <c r="Q76" s="8">
        <v>311</v>
      </c>
      <c r="R76" s="8" t="s">
        <v>2634</v>
      </c>
      <c r="S76" s="8" t="s">
        <v>2635</v>
      </c>
      <c r="T76" s="8" t="s">
        <v>2636</v>
      </c>
      <c r="U76" s="8" t="s">
        <v>2513</v>
      </c>
      <c r="V76" s="8" t="s">
        <v>2637</v>
      </c>
      <c r="W76" s="8" t="s">
        <v>2638</v>
      </c>
    </row>
    <row r="77" spans="1:23" ht="28" customHeight="1" x14ac:dyDescent="0.3">
      <c r="A77" s="308">
        <v>46188</v>
      </c>
      <c r="B77" s="302">
        <v>2746.67</v>
      </c>
      <c r="C77" s="8">
        <v>49.334000000000003</v>
      </c>
      <c r="D77" s="268">
        <v>1.83E-2</v>
      </c>
      <c r="E77" s="8">
        <v>80.83</v>
      </c>
      <c r="F77" s="8">
        <v>166.93100000000001</v>
      </c>
      <c r="G77" s="8">
        <v>134.78899999999999</v>
      </c>
      <c r="H77" s="8">
        <v>91.95</v>
      </c>
      <c r="I77" s="8">
        <v>229.3</v>
      </c>
      <c r="J77" s="8">
        <v>68.92</v>
      </c>
      <c r="K77" s="268">
        <v>0.62370000000000003</v>
      </c>
      <c r="L77" s="268">
        <v>0.48870000000000002</v>
      </c>
      <c r="M77" s="268">
        <v>-0.13550000000000001</v>
      </c>
      <c r="N77" s="8">
        <v>845.23</v>
      </c>
      <c r="O77" s="8">
        <v>4688.4399999999996</v>
      </c>
      <c r="P77" s="268">
        <v>0.18029999999999999</v>
      </c>
      <c r="Q77" s="8">
        <v>311</v>
      </c>
      <c r="R77" s="8" t="s">
        <v>2639</v>
      </c>
      <c r="S77" s="8" t="s">
        <v>2640</v>
      </c>
      <c r="T77" s="8" t="s">
        <v>2641</v>
      </c>
      <c r="U77" s="8" t="s">
        <v>2642</v>
      </c>
      <c r="V77" s="8" t="s">
        <v>2643</v>
      </c>
      <c r="W77" s="8" t="s">
        <v>2644</v>
      </c>
    </row>
    <row r="78" spans="1:23" ht="28" customHeight="1" x14ac:dyDescent="0.3">
      <c r="A78" s="308">
        <v>46185</v>
      </c>
      <c r="B78" s="302">
        <v>2697.3359999999998</v>
      </c>
      <c r="C78" s="8">
        <v>25.436</v>
      </c>
      <c r="D78" s="268">
        <v>9.4999999999999998E-3</v>
      </c>
      <c r="E78" s="8">
        <v>77.709999999999994</v>
      </c>
      <c r="F78" s="8">
        <v>162.63900000000001</v>
      </c>
      <c r="G78" s="8">
        <v>133.5</v>
      </c>
      <c r="H78" s="8">
        <v>90.88</v>
      </c>
      <c r="I78" s="8">
        <v>224.82</v>
      </c>
      <c r="J78" s="8">
        <v>67.569999999999993</v>
      </c>
      <c r="K78" s="268">
        <v>0.62180000000000002</v>
      </c>
      <c r="L78" s="268">
        <v>0.48899999999999999</v>
      </c>
      <c r="M78" s="268">
        <v>-0.1275</v>
      </c>
      <c r="N78" s="8">
        <v>904.54</v>
      </c>
      <c r="O78" s="8">
        <v>4690.07</v>
      </c>
      <c r="P78" s="268">
        <v>0.19289999999999999</v>
      </c>
      <c r="Q78" s="8">
        <v>311</v>
      </c>
      <c r="R78" s="8" t="s">
        <v>2645</v>
      </c>
      <c r="S78" s="8" t="s">
        <v>2646</v>
      </c>
      <c r="T78" s="8" t="s">
        <v>2647</v>
      </c>
      <c r="U78" s="8" t="s">
        <v>2648</v>
      </c>
      <c r="V78" s="8" t="s">
        <v>2649</v>
      </c>
      <c r="W78" s="8" t="s">
        <v>2650</v>
      </c>
    </row>
    <row r="79" spans="1:23" ht="28" customHeight="1" x14ac:dyDescent="0.3">
      <c r="A79" s="308">
        <v>46184</v>
      </c>
      <c r="B79" s="302">
        <v>2671.9</v>
      </c>
      <c r="C79" s="8">
        <v>5.7590000000000003</v>
      </c>
      <c r="D79" s="268">
        <v>2.2000000000000001E-3</v>
      </c>
      <c r="E79" s="8">
        <v>74.5</v>
      </c>
      <c r="F79" s="8">
        <v>160.67699999999999</v>
      </c>
      <c r="G79" s="8">
        <v>132.637</v>
      </c>
      <c r="H79" s="8">
        <v>90.65</v>
      </c>
      <c r="I79" s="8">
        <v>223.43</v>
      </c>
      <c r="J79" s="8">
        <v>67.97</v>
      </c>
      <c r="K79" s="268">
        <v>0.62749999999999995</v>
      </c>
      <c r="L79" s="268">
        <v>0.48509999999999998</v>
      </c>
      <c r="M79" s="268">
        <v>-0.1229</v>
      </c>
      <c r="N79" s="8">
        <v>898.41</v>
      </c>
      <c r="O79" s="8">
        <v>4702.13</v>
      </c>
      <c r="P79" s="268">
        <v>0.19109999999999999</v>
      </c>
      <c r="Q79" s="8">
        <v>313</v>
      </c>
      <c r="R79" s="8" t="s">
        <v>2651</v>
      </c>
      <c r="S79" s="8" t="s">
        <v>2652</v>
      </c>
      <c r="T79" s="8" t="s">
        <v>2653</v>
      </c>
      <c r="U79" s="8" t="s">
        <v>2654</v>
      </c>
      <c r="V79" s="8" t="s">
        <v>2655</v>
      </c>
      <c r="W79" s="8" t="s">
        <v>2656</v>
      </c>
    </row>
    <row r="80" spans="1:23" ht="28" customHeight="1" x14ac:dyDescent="0.3">
      <c r="A80" s="308">
        <v>46183</v>
      </c>
      <c r="B80" s="302">
        <v>2666.1410000000001</v>
      </c>
      <c r="C80" s="8">
        <v>-40.024000000000001</v>
      </c>
      <c r="D80" s="268">
        <v>-1.4800000000000001E-2</v>
      </c>
      <c r="E80" s="8">
        <v>75.09</v>
      </c>
      <c r="F80" s="8">
        <v>160.291</v>
      </c>
      <c r="G80" s="8">
        <v>132.19999999999999</v>
      </c>
      <c r="H80" s="8">
        <v>91.14</v>
      </c>
      <c r="I80" s="8">
        <v>221.22</v>
      </c>
      <c r="J80" s="8">
        <v>64.650000000000006</v>
      </c>
      <c r="K80" s="268">
        <v>0.60929999999999995</v>
      </c>
      <c r="L80" s="268">
        <v>0.47310000000000002</v>
      </c>
      <c r="M80" s="268">
        <v>-0.1203</v>
      </c>
      <c r="N80" s="8">
        <v>845.77</v>
      </c>
      <c r="O80" s="8">
        <v>4709.01</v>
      </c>
      <c r="P80" s="268">
        <v>0.17960000000000001</v>
      </c>
      <c r="Q80" s="8">
        <v>315</v>
      </c>
      <c r="R80" s="8" t="s">
        <v>2657</v>
      </c>
      <c r="S80" s="8" t="s">
        <v>2658</v>
      </c>
      <c r="T80" s="8" t="s">
        <v>2659</v>
      </c>
      <c r="U80" s="8" t="s">
        <v>2660</v>
      </c>
      <c r="V80" s="8" t="s">
        <v>2661</v>
      </c>
      <c r="W80" s="8" t="s">
        <v>2662</v>
      </c>
    </row>
    <row r="81" spans="1:23" ht="28" customHeight="1" x14ac:dyDescent="0.3">
      <c r="A81" s="308">
        <v>46182</v>
      </c>
      <c r="B81" s="302">
        <v>2706.165</v>
      </c>
      <c r="C81" s="8">
        <v>39.887999999999998</v>
      </c>
      <c r="D81" s="268">
        <v>1.4999999999999999E-2</v>
      </c>
      <c r="E81" s="8">
        <v>78.61</v>
      </c>
      <c r="F81" s="8">
        <v>163.13300000000001</v>
      </c>
      <c r="G81" s="8">
        <v>134.53700000000001</v>
      </c>
      <c r="H81" s="8">
        <v>91.7</v>
      </c>
      <c r="I81" s="8">
        <v>224.65</v>
      </c>
      <c r="J81" s="8">
        <v>65.010000000000005</v>
      </c>
      <c r="K81" s="268">
        <v>0.61519999999999997</v>
      </c>
      <c r="L81" s="268">
        <v>0.48309999999999997</v>
      </c>
      <c r="M81" s="268">
        <v>-0.12989999999999999</v>
      </c>
      <c r="N81" s="8">
        <v>953.62</v>
      </c>
      <c r="O81" s="8">
        <v>4717.37</v>
      </c>
      <c r="P81" s="268">
        <v>0.2021</v>
      </c>
      <c r="Q81" s="8">
        <v>317</v>
      </c>
      <c r="R81" s="8" t="s">
        <v>2663</v>
      </c>
      <c r="S81" s="8" t="s">
        <v>2664</v>
      </c>
      <c r="T81" s="8" t="s">
        <v>2665</v>
      </c>
      <c r="U81" s="8" t="s">
        <v>2666</v>
      </c>
      <c r="V81" s="8" t="s">
        <v>2667</v>
      </c>
      <c r="W81" s="8" t="s">
        <v>2668</v>
      </c>
    </row>
    <row r="82" spans="1:23" ht="28" customHeight="1" x14ac:dyDescent="0.3">
      <c r="A82" s="308">
        <v>46181</v>
      </c>
      <c r="B82" s="302">
        <v>2666.277</v>
      </c>
      <c r="C82" s="8">
        <v>-31.183</v>
      </c>
      <c r="D82" s="268">
        <v>-1.1599999999999999E-2</v>
      </c>
      <c r="E82" s="8">
        <v>77.02</v>
      </c>
      <c r="F82" s="8">
        <v>159.40100000000001</v>
      </c>
      <c r="G82" s="8">
        <v>133.245</v>
      </c>
      <c r="H82" s="8">
        <v>91.11</v>
      </c>
      <c r="I82" s="8">
        <v>221.24</v>
      </c>
      <c r="J82" s="8">
        <v>66.430000000000007</v>
      </c>
      <c r="K82" s="268">
        <v>0.61839999999999995</v>
      </c>
      <c r="L82" s="268">
        <v>0.49049999999999999</v>
      </c>
      <c r="M82" s="268">
        <v>-0.12189999999999999</v>
      </c>
      <c r="N82" s="8">
        <v>811.3</v>
      </c>
      <c r="O82" s="8">
        <v>4727.96</v>
      </c>
      <c r="P82" s="268">
        <v>0.1716</v>
      </c>
      <c r="Q82" s="8">
        <v>317</v>
      </c>
      <c r="R82" s="8" t="s">
        <v>2669</v>
      </c>
      <c r="S82" s="8" t="s">
        <v>2670</v>
      </c>
      <c r="T82" s="8" t="s">
        <v>2671</v>
      </c>
      <c r="U82" s="8" t="s">
        <v>2672</v>
      </c>
      <c r="V82" s="8" t="s">
        <v>2673</v>
      </c>
      <c r="W82" s="8" t="s">
        <v>2674</v>
      </c>
    </row>
    <row r="83" spans="1:23" ht="28" customHeight="1" x14ac:dyDescent="0.3">
      <c r="A83" s="308">
        <v>46178</v>
      </c>
      <c r="B83" s="302">
        <v>2697.46</v>
      </c>
      <c r="C83" s="8">
        <v>-7.9539999999999997</v>
      </c>
      <c r="D83" s="268">
        <v>-2.8999999999999998E-3</v>
      </c>
      <c r="E83" s="8">
        <v>79.12</v>
      </c>
      <c r="F83" s="8">
        <v>161.953</v>
      </c>
      <c r="G83" s="8">
        <v>134.393</v>
      </c>
      <c r="H83" s="8">
        <v>93.99</v>
      </c>
      <c r="I83" s="8">
        <v>220.75</v>
      </c>
      <c r="J83" s="8">
        <v>63.45</v>
      </c>
      <c r="K83" s="268">
        <v>0.58799999999999997</v>
      </c>
      <c r="L83" s="268">
        <v>0.4541</v>
      </c>
      <c r="M83" s="268">
        <v>-0.1143</v>
      </c>
      <c r="N83" s="8">
        <v>887.77</v>
      </c>
      <c r="O83" s="8">
        <v>4735.46</v>
      </c>
      <c r="P83" s="268">
        <v>0.1875</v>
      </c>
      <c r="Q83" s="8">
        <v>317</v>
      </c>
      <c r="R83" s="8" t="s">
        <v>2675</v>
      </c>
      <c r="S83" s="8" t="s">
        <v>2676</v>
      </c>
      <c r="T83" s="8" t="s">
        <v>2677</v>
      </c>
      <c r="U83" s="8" t="s">
        <v>2678</v>
      </c>
      <c r="V83" s="8" t="s">
        <v>2679</v>
      </c>
      <c r="W83" s="8" t="s">
        <v>2680</v>
      </c>
    </row>
    <row r="84" spans="1:23" ht="28" customHeight="1" x14ac:dyDescent="0.3">
      <c r="A84" s="308">
        <v>46177</v>
      </c>
      <c r="B84" s="302">
        <v>2705.4140000000002</v>
      </c>
      <c r="C84" s="8">
        <v>-15.701000000000001</v>
      </c>
      <c r="D84" s="268">
        <v>-5.7999999999999996E-3</v>
      </c>
      <c r="E84" s="8">
        <v>78.67</v>
      </c>
      <c r="F84" s="8">
        <v>163.15600000000001</v>
      </c>
      <c r="G84" s="8">
        <v>134.411</v>
      </c>
      <c r="H84" s="8">
        <v>93.22</v>
      </c>
      <c r="I84" s="8">
        <v>222.17</v>
      </c>
      <c r="J84" s="8">
        <v>63.64</v>
      </c>
      <c r="K84" s="268">
        <v>0.59009999999999996</v>
      </c>
      <c r="L84" s="268">
        <v>0.46039999999999998</v>
      </c>
      <c r="M84" s="268">
        <v>-0.11509999999999999</v>
      </c>
      <c r="N84" s="8">
        <v>904.35</v>
      </c>
      <c r="O84" s="8">
        <v>4740.62</v>
      </c>
      <c r="P84" s="268">
        <v>0.1908</v>
      </c>
      <c r="Q84" s="8">
        <v>319</v>
      </c>
      <c r="R84" s="8" t="s">
        <v>2681</v>
      </c>
      <c r="S84" s="8" t="s">
        <v>2682</v>
      </c>
      <c r="T84" s="8" t="s">
        <v>2683</v>
      </c>
      <c r="U84" s="8" t="s">
        <v>2684</v>
      </c>
      <c r="V84" s="8" t="s">
        <v>2685</v>
      </c>
      <c r="W84" s="8" t="s">
        <v>2686</v>
      </c>
    </row>
    <row r="85" spans="1:23" ht="28" customHeight="1" x14ac:dyDescent="0.3">
      <c r="A85" s="308">
        <v>46176</v>
      </c>
      <c r="B85" s="302">
        <v>2721.1149999999998</v>
      </c>
      <c r="C85" s="8">
        <v>-8.0779999999999994</v>
      </c>
      <c r="D85" s="268">
        <v>-3.0000000000000001E-3</v>
      </c>
      <c r="E85" s="8">
        <v>81.45</v>
      </c>
      <c r="F85" s="8">
        <v>163.69</v>
      </c>
      <c r="G85" s="8">
        <v>135.94399999999999</v>
      </c>
      <c r="H85" s="8">
        <v>96.21</v>
      </c>
      <c r="I85" s="8">
        <v>221.64</v>
      </c>
      <c r="J85" s="8">
        <v>61.99</v>
      </c>
      <c r="K85" s="268">
        <v>0.57950000000000002</v>
      </c>
      <c r="L85" s="268">
        <v>0.45540000000000003</v>
      </c>
      <c r="M85" s="268">
        <v>-0.1183</v>
      </c>
      <c r="N85" s="8">
        <v>901.51</v>
      </c>
      <c r="O85" s="8">
        <v>4744.7299999999996</v>
      </c>
      <c r="P85" s="268">
        <v>0.19</v>
      </c>
      <c r="Q85" s="8">
        <v>319</v>
      </c>
      <c r="R85" s="8" t="s">
        <v>2687</v>
      </c>
      <c r="S85" s="8" t="s">
        <v>2688</v>
      </c>
      <c r="T85" s="8" t="s">
        <v>2689</v>
      </c>
      <c r="U85" s="8" t="s">
        <v>2690</v>
      </c>
      <c r="V85" s="8" t="s">
        <v>2691</v>
      </c>
      <c r="W85" s="8" t="s">
        <v>2692</v>
      </c>
    </row>
    <row r="86" spans="1:23" ht="28" customHeight="1" x14ac:dyDescent="0.3">
      <c r="A86" s="308">
        <v>46175</v>
      </c>
      <c r="B86" s="302">
        <v>2729.1930000000002</v>
      </c>
      <c r="C86" s="8">
        <v>10.738</v>
      </c>
      <c r="D86" s="268">
        <v>4.0000000000000001E-3</v>
      </c>
      <c r="E86" s="8">
        <v>82.16</v>
      </c>
      <c r="F86" s="8">
        <v>164.40199999999999</v>
      </c>
      <c r="G86" s="8">
        <v>136.179</v>
      </c>
      <c r="H86" s="8">
        <v>96.21</v>
      </c>
      <c r="I86" s="8">
        <v>221.66</v>
      </c>
      <c r="J86" s="8">
        <v>61.4</v>
      </c>
      <c r="K86" s="268">
        <v>0.5726</v>
      </c>
      <c r="L86" s="268">
        <v>0.45490000000000003</v>
      </c>
      <c r="M86" s="268">
        <v>-0.12130000000000001</v>
      </c>
      <c r="N86" s="8">
        <v>871.74</v>
      </c>
      <c r="O86" s="8">
        <v>4748.99</v>
      </c>
      <c r="P86" s="268">
        <v>0.18360000000000001</v>
      </c>
      <c r="Q86" s="8">
        <v>319</v>
      </c>
      <c r="R86" s="8" t="s">
        <v>2693</v>
      </c>
      <c r="S86" s="8" t="s">
        <v>2694</v>
      </c>
      <c r="T86" s="8" t="s">
        <v>2695</v>
      </c>
      <c r="U86" s="8" t="s">
        <v>2696</v>
      </c>
      <c r="V86" s="8" t="s">
        <v>2697</v>
      </c>
      <c r="W86" s="8" t="s">
        <v>2698</v>
      </c>
    </row>
    <row r="87" spans="1:23" ht="28" customHeight="1" x14ac:dyDescent="0.3">
      <c r="A87" s="308">
        <v>46174</v>
      </c>
      <c r="B87" s="302">
        <v>2718.4549999999999</v>
      </c>
      <c r="C87" s="8">
        <v>23.927</v>
      </c>
      <c r="D87" s="268">
        <v>8.8999999999999999E-3</v>
      </c>
      <c r="E87" s="8">
        <v>82.55</v>
      </c>
      <c r="F87" s="8">
        <v>163.005</v>
      </c>
      <c r="G87" s="8">
        <v>135.48599999999999</v>
      </c>
      <c r="H87" s="8">
        <v>96.88</v>
      </c>
      <c r="I87" s="8">
        <v>217.85</v>
      </c>
      <c r="J87" s="8">
        <v>55.34</v>
      </c>
      <c r="K87" s="268">
        <v>0.54849999999999999</v>
      </c>
      <c r="L87" s="268">
        <v>0.42480000000000001</v>
      </c>
      <c r="M87" s="268">
        <v>-0.1215</v>
      </c>
      <c r="N87" s="8">
        <v>839.54</v>
      </c>
      <c r="O87" s="8">
        <v>4759.8900000000003</v>
      </c>
      <c r="P87" s="268">
        <v>0.1764</v>
      </c>
      <c r="Q87" s="8">
        <v>320</v>
      </c>
      <c r="R87" s="8" t="s">
        <v>2699</v>
      </c>
      <c r="S87" s="8" t="s">
        <v>2700</v>
      </c>
      <c r="T87" s="8" t="s">
        <v>2378</v>
      </c>
      <c r="U87" s="8" t="s">
        <v>2701</v>
      </c>
      <c r="V87" s="8" t="s">
        <v>2702</v>
      </c>
      <c r="W87" s="8" t="s">
        <v>2703</v>
      </c>
    </row>
    <row r="88" spans="1:23" ht="28" customHeight="1" x14ac:dyDescent="0.3">
      <c r="A88" s="308">
        <v>46171</v>
      </c>
      <c r="B88" s="302">
        <v>2694.5279999999998</v>
      </c>
      <c r="C88" s="8">
        <v>-43.98</v>
      </c>
      <c r="D88" s="268">
        <v>-1.61E-2</v>
      </c>
      <c r="E88" s="8">
        <v>79.08</v>
      </c>
      <c r="F88" s="8">
        <v>162.102</v>
      </c>
      <c r="G88" s="8">
        <v>134.22</v>
      </c>
      <c r="H88" s="8">
        <v>95.3</v>
      </c>
      <c r="I88" s="8">
        <v>217.49</v>
      </c>
      <c r="J88" s="8">
        <v>55.58</v>
      </c>
      <c r="K88" s="268">
        <v>0.55389999999999995</v>
      </c>
      <c r="L88" s="268">
        <v>0.43590000000000001</v>
      </c>
      <c r="M88" s="268">
        <v>-0.1129</v>
      </c>
      <c r="N88" s="8">
        <v>915.56</v>
      </c>
      <c r="O88" s="8">
        <v>4764.1400000000003</v>
      </c>
      <c r="P88" s="268">
        <v>0.19220000000000001</v>
      </c>
      <c r="Q88" s="8">
        <v>320</v>
      </c>
      <c r="R88" s="8" t="s">
        <v>2704</v>
      </c>
      <c r="S88" s="8" t="s">
        <v>2705</v>
      </c>
      <c r="T88" s="8" t="s">
        <v>2706</v>
      </c>
      <c r="U88" s="8" t="s">
        <v>2707</v>
      </c>
      <c r="V88" s="8" t="s">
        <v>2708</v>
      </c>
      <c r="W88" s="8" t="s">
        <v>2709</v>
      </c>
    </row>
    <row r="89" spans="1:23" ht="28" customHeight="1" x14ac:dyDescent="0.3">
      <c r="A89" s="308">
        <v>46170</v>
      </c>
      <c r="B89" s="302">
        <v>2738.5079999999998</v>
      </c>
      <c r="C89" s="8">
        <v>29.152999999999999</v>
      </c>
      <c r="D89" s="268">
        <v>1.0800000000000001E-2</v>
      </c>
      <c r="E89" s="8">
        <v>81.97</v>
      </c>
      <c r="F89" s="8">
        <v>165.84700000000001</v>
      </c>
      <c r="G89" s="8">
        <v>135.739</v>
      </c>
      <c r="H89" s="8">
        <v>98.29</v>
      </c>
      <c r="I89" s="8">
        <v>219.92</v>
      </c>
      <c r="J89" s="8">
        <v>52.3</v>
      </c>
      <c r="K89" s="268">
        <v>0.54069999999999996</v>
      </c>
      <c r="L89" s="268">
        <v>0.42299999999999999</v>
      </c>
      <c r="M89" s="268">
        <v>-0.12</v>
      </c>
      <c r="N89" s="8">
        <v>963.63</v>
      </c>
      <c r="O89" s="8">
        <v>4781.45</v>
      </c>
      <c r="P89" s="268">
        <v>0.20150000000000001</v>
      </c>
      <c r="Q89" s="8">
        <v>322</v>
      </c>
      <c r="R89" s="8" t="s">
        <v>2710</v>
      </c>
      <c r="S89" s="8" t="s">
        <v>2711</v>
      </c>
      <c r="T89" s="8" t="s">
        <v>2712</v>
      </c>
      <c r="U89" s="8" t="s">
        <v>2713</v>
      </c>
      <c r="V89" s="8" t="s">
        <v>2714</v>
      </c>
      <c r="W89" s="8" t="s">
        <v>2715</v>
      </c>
    </row>
    <row r="90" spans="1:23" ht="28" customHeight="1" x14ac:dyDescent="0.3">
      <c r="A90" s="308">
        <v>46169</v>
      </c>
      <c r="B90" s="302">
        <v>2709.355</v>
      </c>
      <c r="C90" s="8">
        <v>-29.387</v>
      </c>
      <c r="D90" s="268">
        <v>-1.0699999999999999E-2</v>
      </c>
      <c r="E90" s="8">
        <v>79.17</v>
      </c>
      <c r="F90" s="8">
        <v>163.47900000000001</v>
      </c>
      <c r="G90" s="8">
        <v>135.47</v>
      </c>
      <c r="H90" s="8">
        <v>98.96</v>
      </c>
      <c r="I90" s="8">
        <v>216.44</v>
      </c>
      <c r="J90" s="8">
        <v>50.13</v>
      </c>
      <c r="K90" s="268">
        <v>0.52959999999999996</v>
      </c>
      <c r="L90" s="268">
        <v>0.41720000000000002</v>
      </c>
      <c r="M90" s="268">
        <v>-0.1128</v>
      </c>
      <c r="N90" s="8">
        <v>960.78</v>
      </c>
      <c r="O90" s="8">
        <v>4788.93</v>
      </c>
      <c r="P90" s="268">
        <v>0.2006</v>
      </c>
      <c r="Q90" s="8">
        <v>323</v>
      </c>
      <c r="R90" s="8" t="s">
        <v>2716</v>
      </c>
      <c r="S90" s="8" t="s">
        <v>2717</v>
      </c>
      <c r="T90" s="8" t="s">
        <v>2378</v>
      </c>
      <c r="U90" s="8" t="s">
        <v>2718</v>
      </c>
      <c r="V90" s="8" t="s">
        <v>2719</v>
      </c>
      <c r="W90" s="8" t="s">
        <v>2720</v>
      </c>
    </row>
    <row r="91" spans="1:23" ht="28" customHeight="1" x14ac:dyDescent="0.3">
      <c r="A91" s="308">
        <v>46168</v>
      </c>
      <c r="B91" s="302">
        <v>2738.7420000000002</v>
      </c>
      <c r="C91" s="8">
        <v>-18.584</v>
      </c>
      <c r="D91" s="268">
        <v>-6.7000000000000002E-3</v>
      </c>
      <c r="E91" s="8">
        <v>82.85</v>
      </c>
      <c r="F91" s="8">
        <v>165.65199999999999</v>
      </c>
      <c r="G91" s="8">
        <v>136.363</v>
      </c>
      <c r="H91" s="8">
        <v>100.74</v>
      </c>
      <c r="I91" s="8">
        <v>217.21</v>
      </c>
      <c r="J91" s="8">
        <v>48.92</v>
      </c>
      <c r="K91" s="268">
        <v>0.51549999999999996</v>
      </c>
      <c r="L91" s="268">
        <v>0.39589999999999997</v>
      </c>
      <c r="M91" s="268">
        <v>-0.11849999999999999</v>
      </c>
      <c r="N91" s="8">
        <v>919.45</v>
      </c>
      <c r="O91" s="8">
        <v>4795.62</v>
      </c>
      <c r="P91" s="268">
        <v>0.19170000000000001</v>
      </c>
      <c r="Q91" s="8">
        <v>324</v>
      </c>
      <c r="R91" s="8" t="s">
        <v>2721</v>
      </c>
      <c r="S91" s="8" t="s">
        <v>2722</v>
      </c>
      <c r="T91" s="8" t="s">
        <v>2712</v>
      </c>
      <c r="U91" s="8" t="s">
        <v>2723</v>
      </c>
      <c r="V91" s="8" t="s">
        <v>2724</v>
      </c>
      <c r="W91" s="8" t="s">
        <v>2725</v>
      </c>
    </row>
    <row r="92" spans="1:23" ht="28" customHeight="1" x14ac:dyDescent="0.3">
      <c r="A92" s="308">
        <v>46167</v>
      </c>
      <c r="B92" s="302">
        <v>2757.326</v>
      </c>
      <c r="C92" s="8">
        <v>5.0919999999999996</v>
      </c>
      <c r="D92" s="268">
        <v>1.8E-3</v>
      </c>
      <c r="E92" s="8">
        <v>86.04</v>
      </c>
      <c r="F92" s="8">
        <v>166.05199999999999</v>
      </c>
      <c r="G92" s="8">
        <v>137.87299999999999</v>
      </c>
      <c r="H92" s="8">
        <v>103.68</v>
      </c>
      <c r="I92" s="8">
        <v>216.76</v>
      </c>
      <c r="J92" s="8">
        <v>45.77</v>
      </c>
      <c r="K92" s="268">
        <v>0.50700000000000001</v>
      </c>
      <c r="L92" s="268">
        <v>0.38169999999999998</v>
      </c>
      <c r="M92" s="268">
        <v>-0.12640000000000001</v>
      </c>
      <c r="N92" s="8">
        <v>917.89</v>
      </c>
      <c r="O92" s="8">
        <v>4809.3</v>
      </c>
      <c r="P92" s="268">
        <v>0.19089999999999999</v>
      </c>
      <c r="Q92" s="8">
        <v>327</v>
      </c>
      <c r="R92" s="8" t="s">
        <v>2726</v>
      </c>
      <c r="S92" s="8" t="s">
        <v>2727</v>
      </c>
      <c r="T92" s="8" t="s">
        <v>2712</v>
      </c>
      <c r="U92" s="8" t="s">
        <v>2728</v>
      </c>
      <c r="V92" s="8" t="s">
        <v>2729</v>
      </c>
      <c r="W92" s="8" t="s">
        <v>2730</v>
      </c>
    </row>
    <row r="93" spans="1:23" ht="28" customHeight="1" x14ac:dyDescent="0.3">
      <c r="A93" s="308">
        <v>46164</v>
      </c>
      <c r="B93" s="302">
        <v>2752.2339999999999</v>
      </c>
      <c r="C93" s="8">
        <v>21.382999999999999</v>
      </c>
      <c r="D93" s="268">
        <v>7.7999999999999996E-3</v>
      </c>
      <c r="E93" s="8">
        <v>86.32</v>
      </c>
      <c r="F93" s="8">
        <v>164.74600000000001</v>
      </c>
      <c r="G93" s="8">
        <v>138.21299999999999</v>
      </c>
      <c r="H93" s="8">
        <v>101.92</v>
      </c>
      <c r="I93" s="8">
        <v>215.6</v>
      </c>
      <c r="J93" s="8">
        <v>48.03</v>
      </c>
      <c r="K93" s="268">
        <v>0.50849999999999995</v>
      </c>
      <c r="L93" s="268">
        <v>0.37990000000000002</v>
      </c>
      <c r="M93" s="268">
        <v>-0.1295</v>
      </c>
      <c r="N93" s="8">
        <v>914.5</v>
      </c>
      <c r="O93" s="8">
        <v>4831.47</v>
      </c>
      <c r="P93" s="268">
        <v>0.1893</v>
      </c>
      <c r="Q93" s="8">
        <v>329</v>
      </c>
      <c r="R93" s="8" t="s">
        <v>2731</v>
      </c>
      <c r="S93" s="8">
        <v>0</v>
      </c>
      <c r="T93" s="8" t="s">
        <v>2732</v>
      </c>
      <c r="U93" s="8" t="s">
        <v>2733</v>
      </c>
      <c r="V93" s="8" t="s">
        <v>2734</v>
      </c>
      <c r="W93" s="8" t="s">
        <v>2735</v>
      </c>
    </row>
    <row r="94" spans="1:23" ht="28" customHeight="1" x14ac:dyDescent="0.3">
      <c r="A94" s="308">
        <v>46163</v>
      </c>
      <c r="B94" s="302">
        <v>2730.8510000000001</v>
      </c>
      <c r="C94" s="8">
        <v>-38.719000000000001</v>
      </c>
      <c r="D94" s="268">
        <v>-1.4E-2</v>
      </c>
      <c r="E94" s="8">
        <v>85.4</v>
      </c>
      <c r="F94" s="8">
        <v>162.96899999999999</v>
      </c>
      <c r="G94" s="8">
        <v>137.334</v>
      </c>
      <c r="H94" s="8">
        <v>100.13</v>
      </c>
      <c r="I94" s="8">
        <v>215.28</v>
      </c>
      <c r="J94" s="8">
        <v>51.2</v>
      </c>
      <c r="K94" s="268">
        <v>0.5232</v>
      </c>
      <c r="L94" s="268">
        <v>0.39789999999999998</v>
      </c>
      <c r="M94" s="268">
        <v>-0.125</v>
      </c>
      <c r="N94" s="8">
        <v>926.25</v>
      </c>
      <c r="O94" s="8">
        <v>4835</v>
      </c>
      <c r="P94" s="268">
        <v>0.19159999999999999</v>
      </c>
      <c r="Q94" s="8">
        <v>329</v>
      </c>
      <c r="R94" s="8" t="s">
        <v>2736</v>
      </c>
      <c r="S94" s="8" t="s">
        <v>2737</v>
      </c>
      <c r="T94" s="8" t="s">
        <v>2738</v>
      </c>
      <c r="U94" s="8" t="s">
        <v>2739</v>
      </c>
      <c r="V94" s="8" t="s">
        <v>2740</v>
      </c>
      <c r="W94" s="8" t="s">
        <v>2741</v>
      </c>
    </row>
    <row r="95" spans="1:23" ht="28" customHeight="1" x14ac:dyDescent="0.3">
      <c r="A95" s="308">
        <v>46162</v>
      </c>
      <c r="B95" s="302">
        <v>2769.57</v>
      </c>
      <c r="C95" s="8">
        <v>-10.09</v>
      </c>
      <c r="D95" s="268">
        <v>-3.5999999999999999E-3</v>
      </c>
      <c r="E95" s="8">
        <v>89.02</v>
      </c>
      <c r="F95" s="8">
        <v>165.61699999999999</v>
      </c>
      <c r="G95" s="8">
        <v>138.65899999999999</v>
      </c>
      <c r="H95" s="8">
        <v>103.96</v>
      </c>
      <c r="I95" s="8">
        <v>215.77</v>
      </c>
      <c r="J95" s="8">
        <v>45.38</v>
      </c>
      <c r="K95" s="268">
        <v>0.50160000000000005</v>
      </c>
      <c r="L95" s="268">
        <v>0.37840000000000001</v>
      </c>
      <c r="M95" s="268">
        <v>-0.1343</v>
      </c>
      <c r="N95" s="8">
        <v>896.37</v>
      </c>
      <c r="O95" s="8">
        <v>4840.1000000000004</v>
      </c>
      <c r="P95" s="268">
        <v>0.1852</v>
      </c>
      <c r="Q95" s="8">
        <v>329</v>
      </c>
      <c r="R95" s="8" t="s">
        <v>2742</v>
      </c>
      <c r="S95" s="8">
        <v>0</v>
      </c>
      <c r="T95" s="8" t="s">
        <v>2743</v>
      </c>
      <c r="U95" s="8" t="s">
        <v>2744</v>
      </c>
      <c r="V95" s="8" t="s">
        <v>2745</v>
      </c>
      <c r="W95" s="8" t="s">
        <v>2746</v>
      </c>
    </row>
    <row r="96" spans="1:23" ht="28" customHeight="1" x14ac:dyDescent="0.3">
      <c r="A96" s="308">
        <v>46161</v>
      </c>
      <c r="B96" s="302">
        <v>2779.66</v>
      </c>
      <c r="C96" s="8">
        <v>49.738999999999997</v>
      </c>
      <c r="D96" s="268">
        <v>1.8200000000000001E-2</v>
      </c>
      <c r="E96" s="8">
        <v>89.99</v>
      </c>
      <c r="F96" s="8">
        <v>165.88200000000001</v>
      </c>
      <c r="G96" s="8">
        <v>139.27500000000001</v>
      </c>
      <c r="H96" s="8">
        <v>104.02</v>
      </c>
      <c r="I96" s="8">
        <v>215.99</v>
      </c>
      <c r="J96" s="8">
        <v>46.12</v>
      </c>
      <c r="K96" s="268">
        <v>0.501</v>
      </c>
      <c r="L96" s="268">
        <v>0.35830000000000001</v>
      </c>
      <c r="M96" s="268">
        <v>-0.13539999999999999</v>
      </c>
      <c r="N96" s="8">
        <v>888.39</v>
      </c>
      <c r="O96" s="8">
        <v>4840.28</v>
      </c>
      <c r="P96" s="268">
        <v>0.1835</v>
      </c>
      <c r="Q96" s="8">
        <v>328</v>
      </c>
      <c r="R96" s="8" t="s">
        <v>2747</v>
      </c>
      <c r="S96" s="8" t="s">
        <v>2748</v>
      </c>
      <c r="T96" s="8" t="s">
        <v>2749</v>
      </c>
      <c r="U96" s="8" t="s">
        <v>2750</v>
      </c>
      <c r="V96" s="8" t="s">
        <v>2751</v>
      </c>
      <c r="W96" s="8" t="s">
        <v>2752</v>
      </c>
    </row>
    <row r="97" spans="1:23" ht="28" customHeight="1" x14ac:dyDescent="0.3">
      <c r="A97" s="308">
        <v>46160</v>
      </c>
      <c r="B97" s="302">
        <v>2729.9209999999998</v>
      </c>
      <c r="C97" s="8">
        <v>1.6639999999999999</v>
      </c>
      <c r="D97" s="268">
        <v>5.9999999999999995E-4</v>
      </c>
      <c r="E97" s="8">
        <v>87.25</v>
      </c>
      <c r="F97" s="8">
        <v>162.738</v>
      </c>
      <c r="G97" s="8">
        <v>137.89099999999999</v>
      </c>
      <c r="H97" s="8">
        <v>102</v>
      </c>
      <c r="I97" s="8">
        <v>211.96</v>
      </c>
      <c r="J97" s="8">
        <v>45.46</v>
      </c>
      <c r="K97" s="268">
        <v>0.49220000000000003</v>
      </c>
      <c r="L97" s="268">
        <v>0.3574</v>
      </c>
      <c r="M97" s="268">
        <v>-0.13850000000000001</v>
      </c>
      <c r="N97" s="8">
        <v>816.89</v>
      </c>
      <c r="O97" s="8">
        <v>4847.01</v>
      </c>
      <c r="P97" s="268">
        <v>0.16850000000000001</v>
      </c>
      <c r="Q97" s="8">
        <v>330</v>
      </c>
      <c r="R97" s="8" t="s">
        <v>2753</v>
      </c>
      <c r="S97" s="8">
        <v>0</v>
      </c>
      <c r="T97" s="8" t="s">
        <v>2754</v>
      </c>
      <c r="U97" s="8" t="s">
        <v>2755</v>
      </c>
      <c r="V97" s="8" t="s">
        <v>2756</v>
      </c>
      <c r="W97" s="8" t="s">
        <v>2757</v>
      </c>
    </row>
    <row r="98" spans="1:23" ht="28" customHeight="1" x14ac:dyDescent="0.3">
      <c r="A98" s="308">
        <v>46157</v>
      </c>
      <c r="B98" s="302">
        <v>2728.2570000000001</v>
      </c>
      <c r="C98" s="8">
        <v>-14.702</v>
      </c>
      <c r="D98" s="268">
        <v>-5.4000000000000003E-3</v>
      </c>
      <c r="E98" s="8">
        <v>86.9</v>
      </c>
      <c r="F98" s="8">
        <v>162.33799999999999</v>
      </c>
      <c r="G98" s="8">
        <v>138.01499999999999</v>
      </c>
      <c r="H98" s="8">
        <v>102.02</v>
      </c>
      <c r="I98" s="8">
        <v>211.53</v>
      </c>
      <c r="J98" s="8">
        <v>44.88</v>
      </c>
      <c r="K98" s="268">
        <v>0.4919</v>
      </c>
      <c r="L98" s="268">
        <v>0.36280000000000001</v>
      </c>
      <c r="M98" s="268">
        <v>-0.1411</v>
      </c>
      <c r="N98" s="8">
        <v>962.05</v>
      </c>
      <c r="O98" s="8">
        <v>4849.9399999999996</v>
      </c>
      <c r="P98" s="268">
        <v>0.19839999999999999</v>
      </c>
      <c r="Q98" s="8">
        <v>330</v>
      </c>
      <c r="R98" s="8" t="s">
        <v>2758</v>
      </c>
      <c r="S98" s="8" t="s">
        <v>2759</v>
      </c>
      <c r="T98" s="8" t="s">
        <v>2760</v>
      </c>
      <c r="U98" s="8" t="s">
        <v>2761</v>
      </c>
      <c r="V98" s="8" t="s">
        <v>2762</v>
      </c>
      <c r="W98" s="8" t="s">
        <v>2763</v>
      </c>
    </row>
    <row r="99" spans="1:23" ht="28" customHeight="1" x14ac:dyDescent="0.3">
      <c r="A99" s="308">
        <v>46156</v>
      </c>
      <c r="B99" s="302">
        <v>2742.9589999999998</v>
      </c>
      <c r="C99" s="8">
        <v>-40.499000000000002</v>
      </c>
      <c r="D99" s="268">
        <v>-1.46E-2</v>
      </c>
      <c r="E99" s="8">
        <v>88.24</v>
      </c>
      <c r="F99" s="8">
        <v>163.602</v>
      </c>
      <c r="G99" s="8">
        <v>138.6</v>
      </c>
      <c r="H99" s="8">
        <v>103.02</v>
      </c>
      <c r="I99" s="8">
        <v>212.2</v>
      </c>
      <c r="J99" s="8">
        <v>44.23</v>
      </c>
      <c r="K99" s="268">
        <v>0.48599999999999999</v>
      </c>
      <c r="L99" s="268">
        <v>0.35599999999999998</v>
      </c>
      <c r="M99" s="268">
        <v>-0.14680000000000001</v>
      </c>
      <c r="N99" s="8">
        <v>897.66</v>
      </c>
      <c r="O99" s="8">
        <v>4855.17</v>
      </c>
      <c r="P99" s="268">
        <v>0.18490000000000001</v>
      </c>
      <c r="Q99" s="8">
        <v>331</v>
      </c>
      <c r="R99" s="8" t="s">
        <v>2764</v>
      </c>
      <c r="S99" s="8">
        <v>0</v>
      </c>
      <c r="T99" s="8" t="s">
        <v>2571</v>
      </c>
      <c r="U99" s="8" t="s">
        <v>2765</v>
      </c>
      <c r="V99" s="8" t="s">
        <v>2766</v>
      </c>
      <c r="W99" s="8" t="s">
        <v>2767</v>
      </c>
    </row>
    <row r="100" spans="1:23" ht="28" customHeight="1" x14ac:dyDescent="0.3">
      <c r="A100" s="308">
        <v>46155</v>
      </c>
      <c r="B100" s="302">
        <v>2783.4580000000001</v>
      </c>
      <c r="C100" s="8">
        <v>15.446</v>
      </c>
      <c r="D100" s="268">
        <v>5.5999999999999999E-3</v>
      </c>
      <c r="E100" s="8">
        <v>92.41</v>
      </c>
      <c r="F100" s="8">
        <v>166.67699999999999</v>
      </c>
      <c r="G100" s="8">
        <v>140.66999999999999</v>
      </c>
      <c r="H100" s="8">
        <v>104.26</v>
      </c>
      <c r="I100" s="8">
        <v>215.18</v>
      </c>
      <c r="J100" s="8">
        <v>46.11</v>
      </c>
      <c r="K100" s="268">
        <v>0.48499999999999999</v>
      </c>
      <c r="L100" s="268">
        <v>0.36020000000000002</v>
      </c>
      <c r="M100" s="268">
        <v>-0.15690000000000001</v>
      </c>
      <c r="N100" s="8">
        <v>910.71</v>
      </c>
      <c r="O100" s="8">
        <v>4853.1899999999996</v>
      </c>
      <c r="P100" s="268">
        <v>0.18770000000000001</v>
      </c>
      <c r="Q100" s="8">
        <v>331</v>
      </c>
      <c r="R100" s="8" t="s">
        <v>2768</v>
      </c>
      <c r="S100" s="8">
        <v>0</v>
      </c>
      <c r="T100" s="8" t="s">
        <v>2769</v>
      </c>
      <c r="U100" s="8" t="s">
        <v>2770</v>
      </c>
      <c r="V100" s="8" t="s">
        <v>2771</v>
      </c>
      <c r="W100" s="8" t="s">
        <v>2772</v>
      </c>
    </row>
    <row r="101" spans="1:23" ht="28" customHeight="1" x14ac:dyDescent="0.3">
      <c r="A101" s="308">
        <v>46154</v>
      </c>
      <c r="B101" s="302">
        <v>2768.0120000000002</v>
      </c>
      <c r="C101" s="8">
        <v>-39.587000000000003</v>
      </c>
      <c r="D101" s="268">
        <v>-1.41E-2</v>
      </c>
      <c r="E101" s="8">
        <v>91.42</v>
      </c>
      <c r="F101" s="8">
        <v>165.18799999999999</v>
      </c>
      <c r="G101" s="8">
        <v>140.923</v>
      </c>
      <c r="H101" s="8">
        <v>103.12</v>
      </c>
      <c r="I101" s="8">
        <v>214.34</v>
      </c>
      <c r="J101" s="8">
        <v>46.24</v>
      </c>
      <c r="K101" s="268">
        <v>0.49149999999999999</v>
      </c>
      <c r="L101" s="268">
        <v>0.36780000000000002</v>
      </c>
      <c r="M101" s="268">
        <v>-0.15429999999999999</v>
      </c>
      <c r="N101" s="8">
        <v>835.07</v>
      </c>
      <c r="O101" s="8">
        <v>4856.43</v>
      </c>
      <c r="P101" s="268">
        <v>0.17199999999999999</v>
      </c>
      <c r="Q101" s="8">
        <v>332</v>
      </c>
      <c r="R101" s="8" t="s">
        <v>2773</v>
      </c>
      <c r="S101" s="8">
        <v>0</v>
      </c>
      <c r="T101" s="8" t="s">
        <v>2774</v>
      </c>
      <c r="U101" s="8" t="s">
        <v>2775</v>
      </c>
      <c r="V101" s="8" t="s">
        <v>2776</v>
      </c>
      <c r="W101" s="8" t="s">
        <v>2777</v>
      </c>
    </row>
    <row r="102" spans="1:23" ht="28" customHeight="1" x14ac:dyDescent="0.3">
      <c r="A102" s="308">
        <v>46153</v>
      </c>
      <c r="B102" s="302">
        <v>2807.5990000000002</v>
      </c>
      <c r="C102" s="8">
        <v>14.941000000000001</v>
      </c>
      <c r="D102" s="268">
        <v>5.4000000000000003E-3</v>
      </c>
      <c r="E102" s="8">
        <v>94.07</v>
      </c>
      <c r="F102" s="8">
        <v>167.70599999999999</v>
      </c>
      <c r="G102" s="8">
        <v>142.01</v>
      </c>
      <c r="H102" s="8">
        <v>103.65</v>
      </c>
      <c r="I102" s="8">
        <v>217.31</v>
      </c>
      <c r="J102" s="8">
        <v>51.52</v>
      </c>
      <c r="K102" s="268">
        <v>0.496</v>
      </c>
      <c r="L102" s="268">
        <v>0.36449999999999999</v>
      </c>
      <c r="M102" s="268">
        <v>-0.16700000000000001</v>
      </c>
      <c r="N102" s="8">
        <v>842.85</v>
      </c>
      <c r="O102" s="8">
        <v>4835.3999999999996</v>
      </c>
      <c r="P102" s="268">
        <v>0.17430000000000001</v>
      </c>
      <c r="Q102" s="8">
        <v>330</v>
      </c>
      <c r="R102" s="8" t="s">
        <v>2778</v>
      </c>
      <c r="S102" s="8">
        <v>0</v>
      </c>
      <c r="T102" s="8" t="s">
        <v>2398</v>
      </c>
      <c r="U102" s="8" t="s">
        <v>2779</v>
      </c>
      <c r="V102" s="8" t="s">
        <v>2780</v>
      </c>
      <c r="W102" s="8" t="s">
        <v>2781</v>
      </c>
    </row>
    <row r="103" spans="1:23" ht="28" customHeight="1" x14ac:dyDescent="0.3">
      <c r="A103" s="308">
        <v>46150</v>
      </c>
      <c r="B103" s="302">
        <v>2792.6579999999999</v>
      </c>
      <c r="C103" s="8">
        <v>8.5470000000000006</v>
      </c>
      <c r="D103" s="268">
        <v>3.0999999999999999E-3</v>
      </c>
      <c r="E103" s="8">
        <v>92.81</v>
      </c>
      <c r="F103" s="8">
        <v>166.935</v>
      </c>
      <c r="G103" s="8">
        <v>141.465</v>
      </c>
      <c r="H103" s="8">
        <v>103.45</v>
      </c>
      <c r="I103" s="8">
        <v>217.08</v>
      </c>
      <c r="J103" s="8">
        <v>52.48</v>
      </c>
      <c r="K103" s="268">
        <v>0.50149999999999995</v>
      </c>
      <c r="L103" s="268">
        <v>0.37040000000000001</v>
      </c>
      <c r="M103" s="268">
        <v>-0.1623</v>
      </c>
      <c r="N103" s="8">
        <v>818.14</v>
      </c>
      <c r="O103" s="8">
        <v>4838.2299999999996</v>
      </c>
      <c r="P103" s="268">
        <v>0.1691</v>
      </c>
      <c r="Q103" s="8">
        <v>330</v>
      </c>
      <c r="R103" s="8" t="s">
        <v>2782</v>
      </c>
      <c r="S103" s="8">
        <v>0</v>
      </c>
      <c r="T103" s="8" t="s">
        <v>2783</v>
      </c>
      <c r="U103" s="8" t="s">
        <v>2784</v>
      </c>
      <c r="V103" s="8" t="s">
        <v>2785</v>
      </c>
      <c r="W103" s="8" t="s">
        <v>2786</v>
      </c>
    </row>
    <row r="104" spans="1:23" ht="28" customHeight="1" x14ac:dyDescent="0.3">
      <c r="A104" s="308">
        <v>46149</v>
      </c>
      <c r="B104" s="302">
        <v>2784.1109999999999</v>
      </c>
      <c r="C104" s="8">
        <v>18.995999999999999</v>
      </c>
      <c r="D104" s="268">
        <v>6.8999999999999999E-3</v>
      </c>
      <c r="E104" s="8">
        <v>92.62</v>
      </c>
      <c r="F104" s="8">
        <v>166.54499999999999</v>
      </c>
      <c r="G104" s="8">
        <v>140.642</v>
      </c>
      <c r="H104" s="8">
        <v>102.77</v>
      </c>
      <c r="I104" s="8">
        <v>217.21</v>
      </c>
      <c r="J104" s="8">
        <v>55.09</v>
      </c>
      <c r="K104" s="268">
        <v>0.50660000000000005</v>
      </c>
      <c r="L104" s="268">
        <v>0.375</v>
      </c>
      <c r="M104" s="268">
        <v>-0.15840000000000001</v>
      </c>
      <c r="N104" s="8">
        <v>832.58</v>
      </c>
      <c r="O104" s="8">
        <v>4839.8999999999996</v>
      </c>
      <c r="P104" s="268">
        <v>0.17199999999999999</v>
      </c>
      <c r="Q104" s="8">
        <v>331</v>
      </c>
      <c r="R104" s="8" t="s">
        <v>2787</v>
      </c>
      <c r="S104" s="8" t="s">
        <v>2788</v>
      </c>
      <c r="T104" s="8" t="s">
        <v>2789</v>
      </c>
      <c r="U104" s="8" t="s">
        <v>2790</v>
      </c>
      <c r="V104" s="8" t="s">
        <v>2791</v>
      </c>
      <c r="W104" s="8" t="s">
        <v>2792</v>
      </c>
    </row>
    <row r="105" spans="1:23" ht="28" customHeight="1" x14ac:dyDescent="0.3">
      <c r="A105" s="308">
        <v>46148</v>
      </c>
      <c r="B105" s="302">
        <v>2765.1149999999998</v>
      </c>
      <c r="C105" s="8">
        <v>43.706000000000003</v>
      </c>
      <c r="D105" s="268">
        <v>1.61E-2</v>
      </c>
      <c r="E105" s="8">
        <v>92.09</v>
      </c>
      <c r="F105" s="8">
        <v>164.976</v>
      </c>
      <c r="G105" s="8">
        <v>140.18799999999999</v>
      </c>
      <c r="H105" s="8">
        <v>101.99</v>
      </c>
      <c r="I105" s="8">
        <v>215.86</v>
      </c>
      <c r="J105" s="8">
        <v>56.4</v>
      </c>
      <c r="K105" s="268">
        <v>0.50890000000000002</v>
      </c>
      <c r="L105" s="268">
        <v>0.39150000000000001</v>
      </c>
      <c r="M105" s="268">
        <v>-0.15509999999999999</v>
      </c>
      <c r="N105" s="8">
        <v>824.91</v>
      </c>
      <c r="O105" s="8">
        <v>4842.33</v>
      </c>
      <c r="P105" s="268">
        <v>0.1704</v>
      </c>
      <c r="Q105" s="8">
        <v>331</v>
      </c>
      <c r="R105" s="8" t="s">
        <v>2793</v>
      </c>
      <c r="S105" s="8" t="s">
        <v>2794</v>
      </c>
      <c r="T105" s="8" t="s">
        <v>2795</v>
      </c>
      <c r="U105" s="8" t="s">
        <v>2796</v>
      </c>
      <c r="V105" s="8" t="s">
        <v>2797</v>
      </c>
      <c r="W105" s="8" t="s">
        <v>2798</v>
      </c>
    </row>
    <row r="106" spans="1:23" ht="28" customHeight="1" x14ac:dyDescent="0.3">
      <c r="A106" s="308">
        <v>46142</v>
      </c>
      <c r="B106" s="302">
        <v>2721.4090000000001</v>
      </c>
      <c r="C106" s="8">
        <v>-2.806</v>
      </c>
      <c r="D106" s="268">
        <v>-1E-3</v>
      </c>
      <c r="E106" s="8">
        <v>89.86</v>
      </c>
      <c r="F106" s="8">
        <v>162.06</v>
      </c>
      <c r="G106" s="8">
        <v>138.48699999999999</v>
      </c>
      <c r="H106" s="8">
        <v>101.25</v>
      </c>
      <c r="I106" s="8">
        <v>212.59</v>
      </c>
      <c r="J106" s="8">
        <v>52.48</v>
      </c>
      <c r="K106" s="268">
        <v>0.50529999999999997</v>
      </c>
      <c r="L106" s="268">
        <v>0.36870000000000003</v>
      </c>
      <c r="M106" s="268">
        <v>-0.1474</v>
      </c>
      <c r="N106" s="8">
        <v>786.51</v>
      </c>
      <c r="O106" s="8">
        <v>4750.8</v>
      </c>
      <c r="P106" s="268">
        <v>0.1656</v>
      </c>
      <c r="Q106" s="8">
        <v>330</v>
      </c>
      <c r="R106" s="8" t="s">
        <v>2799</v>
      </c>
      <c r="S106" s="8">
        <v>0</v>
      </c>
      <c r="T106" s="8" t="s">
        <v>2738</v>
      </c>
      <c r="U106" s="8" t="s">
        <v>2800</v>
      </c>
      <c r="V106" s="8" t="s">
        <v>2801</v>
      </c>
      <c r="W106" s="8" t="s">
        <v>2802</v>
      </c>
    </row>
    <row r="107" spans="1:23" ht="28" customHeight="1" x14ac:dyDescent="0.3">
      <c r="A107" s="308">
        <v>46141</v>
      </c>
      <c r="B107" s="302">
        <v>2724.2150000000001</v>
      </c>
      <c r="C107" s="8">
        <v>25.181999999999999</v>
      </c>
      <c r="D107" s="268">
        <v>9.2999999999999992E-3</v>
      </c>
      <c r="E107" s="8">
        <v>89.49</v>
      </c>
      <c r="F107" s="8">
        <v>162.31800000000001</v>
      </c>
      <c r="G107" s="8">
        <v>139.70699999999999</v>
      </c>
      <c r="H107" s="8">
        <v>100.65</v>
      </c>
      <c r="I107" s="8">
        <v>212.8</v>
      </c>
      <c r="J107" s="8">
        <v>54.57</v>
      </c>
      <c r="K107" s="268">
        <v>0.50480000000000003</v>
      </c>
      <c r="L107" s="268">
        <v>0.37969999999999998</v>
      </c>
      <c r="M107" s="268">
        <v>-0.15190000000000001</v>
      </c>
      <c r="N107" s="8">
        <v>869.51</v>
      </c>
      <c r="O107" s="8">
        <v>4819.09</v>
      </c>
      <c r="P107" s="268">
        <v>0.1804</v>
      </c>
      <c r="Q107" s="8">
        <v>331</v>
      </c>
      <c r="R107" s="8" t="s">
        <v>2803</v>
      </c>
      <c r="S107" s="8" t="s">
        <v>2804</v>
      </c>
      <c r="T107" s="8" t="s">
        <v>2738</v>
      </c>
      <c r="U107" s="8" t="s">
        <v>2805</v>
      </c>
      <c r="V107" s="8" t="s">
        <v>2806</v>
      </c>
      <c r="W107" s="8" t="s">
        <v>2807</v>
      </c>
    </row>
    <row r="108" spans="1:23" ht="28" customHeight="1" x14ac:dyDescent="0.3">
      <c r="A108" s="308">
        <v>46140</v>
      </c>
      <c r="B108" s="302">
        <v>2699.0329999999999</v>
      </c>
      <c r="C108" s="8">
        <v>-27.923999999999999</v>
      </c>
      <c r="D108" s="268">
        <v>-1.0200000000000001E-2</v>
      </c>
      <c r="E108" s="8">
        <v>87.7</v>
      </c>
      <c r="F108" s="8">
        <v>160.04499999999999</v>
      </c>
      <c r="G108" s="8">
        <v>138.31</v>
      </c>
      <c r="H108" s="8">
        <v>98.99</v>
      </c>
      <c r="I108" s="8">
        <v>210.66</v>
      </c>
      <c r="J108" s="8">
        <v>53.18</v>
      </c>
      <c r="K108" s="268">
        <v>0.50609999999999999</v>
      </c>
      <c r="L108" s="268">
        <v>0.38009999999999999</v>
      </c>
      <c r="M108" s="268">
        <v>-0.1467</v>
      </c>
      <c r="N108" s="8">
        <v>867.67</v>
      </c>
      <c r="O108" s="8">
        <v>4855.2299999999996</v>
      </c>
      <c r="P108" s="268">
        <v>0.1787</v>
      </c>
      <c r="Q108" s="8">
        <v>333</v>
      </c>
      <c r="R108" s="8" t="s">
        <v>2808</v>
      </c>
      <c r="S108" s="8" t="s">
        <v>2809</v>
      </c>
      <c r="T108" s="8" t="s">
        <v>2810</v>
      </c>
      <c r="U108" s="8" t="s">
        <v>2811</v>
      </c>
      <c r="V108" s="8" t="s">
        <v>2812</v>
      </c>
      <c r="W108" s="8" t="s">
        <v>2813</v>
      </c>
    </row>
    <row r="109" spans="1:23" ht="28" customHeight="1" x14ac:dyDescent="0.3">
      <c r="A109" s="308">
        <v>46139</v>
      </c>
      <c r="B109" s="302">
        <v>2726.9569999999999</v>
      </c>
      <c r="C109" s="8">
        <v>16.533999999999999</v>
      </c>
      <c r="D109" s="268">
        <v>6.1000000000000004E-3</v>
      </c>
      <c r="E109" s="8">
        <v>90.54</v>
      </c>
      <c r="F109" s="8">
        <v>162.048</v>
      </c>
      <c r="G109" s="8">
        <v>139.72200000000001</v>
      </c>
      <c r="H109" s="8">
        <v>100.39</v>
      </c>
      <c r="I109" s="8">
        <v>212.68</v>
      </c>
      <c r="J109" s="8">
        <v>54.23</v>
      </c>
      <c r="K109" s="268">
        <v>0.50629999999999997</v>
      </c>
      <c r="L109" s="268">
        <v>0.38979999999999998</v>
      </c>
      <c r="M109" s="268">
        <v>-0.15010000000000001</v>
      </c>
      <c r="N109" s="8">
        <v>772.99</v>
      </c>
      <c r="O109" s="8">
        <v>4859.91</v>
      </c>
      <c r="P109" s="268">
        <v>0.15909999999999999</v>
      </c>
      <c r="Q109" s="8">
        <v>334</v>
      </c>
      <c r="R109" s="8">
        <v>0</v>
      </c>
      <c r="S109" s="8" t="s">
        <v>2814</v>
      </c>
      <c r="T109" s="8" t="s">
        <v>2815</v>
      </c>
      <c r="U109" s="8" t="s">
        <v>2816</v>
      </c>
      <c r="V109" s="8" t="s">
        <v>2817</v>
      </c>
      <c r="W109" s="8" t="s">
        <v>2818</v>
      </c>
    </row>
    <row r="110" spans="1:23" ht="28" customHeight="1" x14ac:dyDescent="0.3">
      <c r="A110" s="308">
        <v>46136</v>
      </c>
      <c r="B110" s="302">
        <v>2710.4229999999998</v>
      </c>
      <c r="C110" s="8">
        <v>-11.787000000000001</v>
      </c>
      <c r="D110" s="268">
        <v>-4.3E-3</v>
      </c>
      <c r="E110" s="8">
        <v>90.13</v>
      </c>
      <c r="F110" s="8">
        <v>160.90100000000001</v>
      </c>
      <c r="G110" s="8">
        <v>139.833</v>
      </c>
      <c r="H110" s="8">
        <v>100.45</v>
      </c>
      <c r="I110" s="8">
        <v>212.07</v>
      </c>
      <c r="J110" s="8">
        <v>54.51</v>
      </c>
      <c r="K110" s="268">
        <v>0.51160000000000005</v>
      </c>
      <c r="L110" s="268">
        <v>0.38159999999999999</v>
      </c>
      <c r="M110" s="268">
        <v>-0.14480000000000001</v>
      </c>
      <c r="N110" s="8">
        <v>807.67</v>
      </c>
      <c r="O110" s="8">
        <v>4867.2299999999996</v>
      </c>
      <c r="P110" s="268">
        <v>0.16589999999999999</v>
      </c>
      <c r="Q110" s="8">
        <v>334</v>
      </c>
      <c r="R110" s="8" t="s">
        <v>2819</v>
      </c>
      <c r="S110" s="8" t="s">
        <v>2820</v>
      </c>
      <c r="T110" s="8" t="s">
        <v>2821</v>
      </c>
      <c r="U110" s="8" t="s">
        <v>2822</v>
      </c>
      <c r="V110" s="8" t="s">
        <v>2823</v>
      </c>
      <c r="W110" s="8" t="s">
        <v>2824</v>
      </c>
    </row>
    <row r="111" spans="1:23" ht="28" customHeight="1" x14ac:dyDescent="0.3">
      <c r="A111" s="308">
        <v>46135</v>
      </c>
      <c r="B111" s="302">
        <v>2722.21</v>
      </c>
      <c r="C111" s="8">
        <v>-18.776</v>
      </c>
      <c r="D111" s="268">
        <v>-6.8999999999999999E-3</v>
      </c>
      <c r="E111" s="8">
        <v>90.95</v>
      </c>
      <c r="F111" s="8">
        <v>162.023</v>
      </c>
      <c r="G111" s="8">
        <v>140</v>
      </c>
      <c r="H111" s="8">
        <v>101.82</v>
      </c>
      <c r="I111" s="8">
        <v>213.12</v>
      </c>
      <c r="J111" s="8">
        <v>52.89</v>
      </c>
      <c r="K111" s="268">
        <v>0.51100000000000001</v>
      </c>
      <c r="L111" s="268">
        <v>0.37919999999999998</v>
      </c>
      <c r="M111" s="268">
        <v>-0.14710000000000001</v>
      </c>
      <c r="N111" s="8">
        <v>831.08</v>
      </c>
      <c r="O111" s="8">
        <v>4870.7700000000004</v>
      </c>
      <c r="P111" s="268">
        <v>0.1706</v>
      </c>
      <c r="Q111" s="8">
        <v>335</v>
      </c>
      <c r="R111" s="8" t="s">
        <v>2825</v>
      </c>
      <c r="S111" s="8" t="s">
        <v>2826</v>
      </c>
      <c r="T111" s="8" t="s">
        <v>2393</v>
      </c>
      <c r="U111" s="8" t="s">
        <v>2827</v>
      </c>
      <c r="V111" s="8" t="s">
        <v>2828</v>
      </c>
      <c r="W111" s="8" t="s">
        <v>2829</v>
      </c>
    </row>
    <row r="112" spans="1:23" ht="28" customHeight="1" x14ac:dyDescent="0.3">
      <c r="A112" s="308">
        <v>46134</v>
      </c>
      <c r="B112" s="302">
        <v>2740.9859999999999</v>
      </c>
      <c r="C112" s="8">
        <v>21.484000000000002</v>
      </c>
      <c r="D112" s="268">
        <v>7.9000000000000008E-3</v>
      </c>
      <c r="E112" s="8">
        <v>92.21</v>
      </c>
      <c r="F112" s="8">
        <v>163.63900000000001</v>
      </c>
      <c r="G112" s="8">
        <v>141.00899999999999</v>
      </c>
      <c r="H112" s="8">
        <v>102.12</v>
      </c>
      <c r="I112" s="8">
        <v>214.31</v>
      </c>
      <c r="J112" s="8">
        <v>52.03</v>
      </c>
      <c r="K112" s="268">
        <v>0.50670000000000004</v>
      </c>
      <c r="L112" s="268">
        <v>0.38140000000000002</v>
      </c>
      <c r="M112" s="268">
        <v>-0.15</v>
      </c>
      <c r="N112" s="8">
        <v>804</v>
      </c>
      <c r="O112" s="8">
        <v>4875.13</v>
      </c>
      <c r="P112" s="268">
        <v>0.16489999999999999</v>
      </c>
      <c r="Q112" s="8">
        <v>336</v>
      </c>
      <c r="R112" s="8">
        <v>0</v>
      </c>
      <c r="S112" s="8" t="s">
        <v>2830</v>
      </c>
      <c r="T112" s="8" t="s">
        <v>2831</v>
      </c>
      <c r="U112" s="8" t="s">
        <v>2832</v>
      </c>
      <c r="V112" s="8" t="s">
        <v>2833</v>
      </c>
      <c r="W112" s="8" t="s">
        <v>2834</v>
      </c>
    </row>
    <row r="113" spans="1:23" ht="28" customHeight="1" x14ac:dyDescent="0.3">
      <c r="A113" s="308">
        <v>46133</v>
      </c>
      <c r="B113" s="302">
        <v>2719.502</v>
      </c>
      <c r="C113" s="8">
        <v>-10.071999999999999</v>
      </c>
      <c r="D113" s="268">
        <v>-3.7000000000000002E-3</v>
      </c>
      <c r="E113" s="8">
        <v>91.04</v>
      </c>
      <c r="F113" s="8">
        <v>162.166</v>
      </c>
      <c r="G113" s="8">
        <v>140.29499999999999</v>
      </c>
      <c r="H113" s="8">
        <v>101.65</v>
      </c>
      <c r="I113" s="8">
        <v>212.76</v>
      </c>
      <c r="J113" s="8">
        <v>52.97</v>
      </c>
      <c r="K113" s="268">
        <v>0.50600000000000001</v>
      </c>
      <c r="L113" s="268">
        <v>0.38030000000000003</v>
      </c>
      <c r="M113" s="268">
        <v>-0.1462</v>
      </c>
      <c r="N113" s="8">
        <v>750.49</v>
      </c>
      <c r="O113" s="8">
        <v>4882.8599999999997</v>
      </c>
      <c r="P113" s="268">
        <v>0.1537</v>
      </c>
      <c r="Q113" s="8">
        <v>336</v>
      </c>
      <c r="R113" s="8">
        <v>0</v>
      </c>
      <c r="S113" s="8" t="s">
        <v>2835</v>
      </c>
      <c r="T113" s="8" t="s">
        <v>2437</v>
      </c>
      <c r="U113" s="8" t="s">
        <v>2836</v>
      </c>
      <c r="V113" s="8" t="s">
        <v>2837</v>
      </c>
      <c r="W113" s="8" t="s">
        <v>2838</v>
      </c>
    </row>
    <row r="114" spans="1:23" ht="28" customHeight="1" x14ac:dyDescent="0.3">
      <c r="A114" s="308">
        <v>46132</v>
      </c>
      <c r="B114" s="302">
        <v>2729.5740000000001</v>
      </c>
      <c r="C114" s="8">
        <v>8.8689999999999998</v>
      </c>
      <c r="D114" s="268">
        <v>3.3E-3</v>
      </c>
      <c r="E114" s="8">
        <v>92.05</v>
      </c>
      <c r="F114" s="8">
        <v>163.60300000000001</v>
      </c>
      <c r="G114" s="8">
        <v>140.48599999999999</v>
      </c>
      <c r="H114" s="8">
        <v>102.64</v>
      </c>
      <c r="I114" s="8">
        <v>214.21</v>
      </c>
      <c r="J114" s="8">
        <v>52.03</v>
      </c>
      <c r="K114" s="268">
        <v>0.50600000000000001</v>
      </c>
      <c r="L114" s="268">
        <v>0.38080000000000003</v>
      </c>
      <c r="M114" s="268">
        <v>-0.1497</v>
      </c>
      <c r="N114" s="8">
        <v>774.13</v>
      </c>
      <c r="O114" s="8">
        <v>4890.78</v>
      </c>
      <c r="P114" s="268">
        <v>0.1583</v>
      </c>
      <c r="Q114" s="8">
        <v>338</v>
      </c>
      <c r="R114" s="8">
        <v>0</v>
      </c>
      <c r="S114" s="8" t="s">
        <v>2839</v>
      </c>
      <c r="T114" s="8" t="s">
        <v>2677</v>
      </c>
      <c r="U114" s="8" t="s">
        <v>2840</v>
      </c>
      <c r="V114" s="8" t="s">
        <v>2841</v>
      </c>
      <c r="W114" s="8" t="s">
        <v>2842</v>
      </c>
    </row>
    <row r="115" spans="1:23" ht="28" customHeight="1" x14ac:dyDescent="0.3">
      <c r="A115" s="308">
        <v>46129</v>
      </c>
      <c r="B115" s="302">
        <v>2720.7049999999999</v>
      </c>
      <c r="C115" s="8">
        <v>7.57</v>
      </c>
      <c r="D115" s="268">
        <v>2.8E-3</v>
      </c>
      <c r="E115" s="8">
        <v>91.81</v>
      </c>
      <c r="F115" s="8">
        <v>162.762</v>
      </c>
      <c r="G115" s="8">
        <v>140.82300000000001</v>
      </c>
      <c r="H115" s="8">
        <v>102.96</v>
      </c>
      <c r="I115" s="8">
        <v>214.12</v>
      </c>
      <c r="J115" s="8">
        <v>53</v>
      </c>
      <c r="K115" s="268">
        <v>0.51349999999999996</v>
      </c>
      <c r="L115" s="268">
        <v>0.39410000000000001</v>
      </c>
      <c r="M115" s="268">
        <v>-0.1444</v>
      </c>
      <c r="N115" s="8">
        <v>829.36</v>
      </c>
      <c r="O115" s="8">
        <v>4903.8</v>
      </c>
      <c r="P115" s="268">
        <v>0.1691</v>
      </c>
      <c r="Q115" s="8">
        <v>339</v>
      </c>
      <c r="R115" s="8">
        <v>0</v>
      </c>
      <c r="S115" s="8" t="s">
        <v>2843</v>
      </c>
      <c r="T115" s="8" t="s">
        <v>2683</v>
      </c>
      <c r="U115" s="8" t="s">
        <v>2844</v>
      </c>
      <c r="V115" s="8" t="s">
        <v>2845</v>
      </c>
      <c r="W115" s="8" t="s">
        <v>2846</v>
      </c>
    </row>
    <row r="116" spans="1:23" ht="28" customHeight="1" x14ac:dyDescent="0.3">
      <c r="A116" s="308">
        <v>46128</v>
      </c>
      <c r="B116" s="302">
        <v>2713.1350000000002</v>
      </c>
      <c r="C116" s="8">
        <v>44.198</v>
      </c>
      <c r="D116" s="268">
        <v>1.66E-2</v>
      </c>
      <c r="E116" s="8">
        <v>91.39</v>
      </c>
      <c r="F116" s="8">
        <v>162.28299999999999</v>
      </c>
      <c r="G116" s="8">
        <v>140.619</v>
      </c>
      <c r="H116" s="8">
        <v>102.13</v>
      </c>
      <c r="I116" s="8">
        <v>213.02</v>
      </c>
      <c r="J116" s="8">
        <v>53.19</v>
      </c>
      <c r="K116" s="268">
        <v>0.50729999999999997</v>
      </c>
      <c r="L116" s="268">
        <v>0.37890000000000001</v>
      </c>
      <c r="M116" s="268">
        <v>-0.14299999999999999</v>
      </c>
      <c r="N116" s="8">
        <v>914.14</v>
      </c>
      <c r="O116" s="8">
        <v>4894.8</v>
      </c>
      <c r="P116" s="268">
        <v>0.18679999999999999</v>
      </c>
      <c r="Q116" s="8">
        <v>339</v>
      </c>
      <c r="R116" s="8">
        <v>0</v>
      </c>
      <c r="S116" s="8" t="s">
        <v>2847</v>
      </c>
      <c r="T116" s="8" t="s">
        <v>2848</v>
      </c>
      <c r="U116" s="8" t="s">
        <v>2849</v>
      </c>
      <c r="V116" s="8" t="s">
        <v>2850</v>
      </c>
      <c r="W116" s="8" t="s">
        <v>2851</v>
      </c>
    </row>
    <row r="117" spans="1:23" ht="28" customHeight="1" x14ac:dyDescent="0.3">
      <c r="A117" s="308">
        <v>46127</v>
      </c>
      <c r="B117" s="302">
        <v>2668.9369999999999</v>
      </c>
      <c r="C117" s="8">
        <v>6.47</v>
      </c>
      <c r="D117" s="268">
        <v>2.3999999999999998E-3</v>
      </c>
      <c r="E117" s="8">
        <v>88.76</v>
      </c>
      <c r="F117" s="8">
        <v>159.09100000000001</v>
      </c>
      <c r="G117" s="8">
        <v>139.08099999999999</v>
      </c>
      <c r="H117" s="8">
        <v>100.58</v>
      </c>
      <c r="I117" s="8">
        <v>209.99</v>
      </c>
      <c r="J117" s="8">
        <v>51.52</v>
      </c>
      <c r="K117" s="268">
        <v>0.50900000000000001</v>
      </c>
      <c r="L117" s="268">
        <v>0.38229999999999997</v>
      </c>
      <c r="M117" s="268">
        <v>-0.13300000000000001</v>
      </c>
      <c r="N117" s="8">
        <v>790.59</v>
      </c>
      <c r="O117" s="8">
        <v>4900.75</v>
      </c>
      <c r="P117" s="268">
        <v>0.1613</v>
      </c>
      <c r="Q117" s="8">
        <v>339</v>
      </c>
      <c r="R117" s="8" t="s">
        <v>2852</v>
      </c>
      <c r="S117" s="8">
        <v>0</v>
      </c>
      <c r="T117" s="8" t="s">
        <v>2853</v>
      </c>
      <c r="U117" s="8" t="s">
        <v>2854</v>
      </c>
      <c r="V117" s="8" t="s">
        <v>2855</v>
      </c>
      <c r="W117" s="8" t="s">
        <v>2856</v>
      </c>
    </row>
    <row r="118" spans="1:23" ht="28" customHeight="1" x14ac:dyDescent="0.3">
      <c r="A118" s="308">
        <v>46126</v>
      </c>
      <c r="B118" s="302">
        <v>2662.4670000000001</v>
      </c>
      <c r="C118" s="8">
        <v>26.805</v>
      </c>
      <c r="D118" s="268">
        <v>1.0200000000000001E-2</v>
      </c>
      <c r="E118" s="8">
        <v>88.06</v>
      </c>
      <c r="F118" s="8">
        <v>158.673</v>
      </c>
      <c r="G118" s="8">
        <v>138.68199999999999</v>
      </c>
      <c r="H118" s="8">
        <v>99.21</v>
      </c>
      <c r="I118" s="8">
        <v>209.05</v>
      </c>
      <c r="J118" s="8">
        <v>49.49</v>
      </c>
      <c r="K118" s="268">
        <v>0.50380000000000003</v>
      </c>
      <c r="L118" s="268">
        <v>0.3805</v>
      </c>
      <c r="M118" s="268">
        <v>-0.13250000000000001</v>
      </c>
      <c r="N118" s="8">
        <v>712.78</v>
      </c>
      <c r="O118" s="8">
        <v>4906.71</v>
      </c>
      <c r="P118" s="268">
        <v>0.14530000000000001</v>
      </c>
      <c r="Q118" s="8">
        <v>338</v>
      </c>
      <c r="R118" s="8" t="s">
        <v>2857</v>
      </c>
      <c r="S118" s="8">
        <v>0</v>
      </c>
      <c r="T118" s="8" t="s">
        <v>2858</v>
      </c>
      <c r="U118" s="8" t="s">
        <v>2859</v>
      </c>
      <c r="V118" s="8" t="s">
        <v>2860</v>
      </c>
      <c r="W118" s="8" t="s">
        <v>2861</v>
      </c>
    </row>
    <row r="119" spans="1:23" ht="28" customHeight="1" x14ac:dyDescent="0.3">
      <c r="A119" s="308">
        <v>46125</v>
      </c>
      <c r="B119" s="302">
        <v>2635.6619999999998</v>
      </c>
      <c r="C119" s="8">
        <v>-15.135999999999999</v>
      </c>
      <c r="D119" s="268">
        <v>-5.7000000000000002E-3</v>
      </c>
      <c r="E119" s="8">
        <v>86.65</v>
      </c>
      <c r="F119" s="8">
        <v>156.88200000000001</v>
      </c>
      <c r="G119" s="8">
        <v>137.18700000000001</v>
      </c>
      <c r="H119" s="8">
        <v>99.42</v>
      </c>
      <c r="I119" s="8">
        <v>207.47</v>
      </c>
      <c r="J119" s="8">
        <v>50.05</v>
      </c>
      <c r="K119" s="268">
        <v>0.50590000000000002</v>
      </c>
      <c r="L119" s="268">
        <v>0.37169999999999997</v>
      </c>
      <c r="M119" s="268">
        <v>-0.12659999999999999</v>
      </c>
      <c r="N119" s="8">
        <v>628.91</v>
      </c>
      <c r="O119" s="8">
        <v>4911.72</v>
      </c>
      <c r="P119" s="268">
        <v>0.128</v>
      </c>
      <c r="Q119" s="8">
        <v>338</v>
      </c>
      <c r="R119" s="8" t="s">
        <v>2862</v>
      </c>
      <c r="S119" s="8">
        <v>0</v>
      </c>
      <c r="T119" s="8" t="s">
        <v>2863</v>
      </c>
      <c r="U119" s="8" t="s">
        <v>2864</v>
      </c>
      <c r="V119" s="8" t="s">
        <v>2865</v>
      </c>
      <c r="W119" s="8" t="s">
        <v>2866</v>
      </c>
    </row>
    <row r="120" spans="1:23" ht="28" customHeight="1" x14ac:dyDescent="0.3">
      <c r="A120" s="308">
        <v>46122</v>
      </c>
      <c r="B120" s="302">
        <v>2650.7979999999998</v>
      </c>
      <c r="C120" s="8">
        <v>-3.2639999999999998</v>
      </c>
      <c r="D120" s="268">
        <v>-1.1999999999999999E-3</v>
      </c>
      <c r="E120" s="8">
        <v>87.62</v>
      </c>
      <c r="F120" s="8">
        <v>158.19499999999999</v>
      </c>
      <c r="G120" s="8">
        <v>137.88</v>
      </c>
      <c r="H120" s="8">
        <v>100.05</v>
      </c>
      <c r="I120" s="8">
        <v>209.47</v>
      </c>
      <c r="J120" s="8">
        <v>50.87</v>
      </c>
      <c r="K120" s="268">
        <v>0.51270000000000004</v>
      </c>
      <c r="L120" s="268">
        <v>0.37530000000000002</v>
      </c>
      <c r="M120" s="268">
        <v>-0.12839999999999999</v>
      </c>
      <c r="N120" s="8">
        <v>827.12</v>
      </c>
      <c r="O120" s="8">
        <v>4917.8</v>
      </c>
      <c r="P120" s="268">
        <v>0.16819999999999999</v>
      </c>
      <c r="Q120" s="8">
        <v>339</v>
      </c>
      <c r="R120" s="8" t="s">
        <v>2867</v>
      </c>
      <c r="S120" s="8">
        <v>0</v>
      </c>
      <c r="T120" s="8" t="s">
        <v>2868</v>
      </c>
      <c r="U120" s="8" t="s">
        <v>2869</v>
      </c>
      <c r="V120" s="8" t="s">
        <v>2870</v>
      </c>
      <c r="W120" s="8" t="s">
        <v>2871</v>
      </c>
    </row>
    <row r="121" spans="1:23" ht="28" customHeight="1" x14ac:dyDescent="0.3">
      <c r="A121" s="308">
        <v>46121</v>
      </c>
      <c r="B121" s="302">
        <v>2654.0619999999999</v>
      </c>
      <c r="C121" s="8">
        <v>-8.44</v>
      </c>
      <c r="D121" s="268">
        <v>-3.2000000000000002E-3</v>
      </c>
      <c r="E121" s="8">
        <v>88.74</v>
      </c>
      <c r="F121" s="8">
        <v>158.27500000000001</v>
      </c>
      <c r="G121" s="8">
        <v>138.18100000000001</v>
      </c>
      <c r="H121" s="8">
        <v>98.53</v>
      </c>
      <c r="I121" s="8">
        <v>211.36</v>
      </c>
      <c r="J121" s="8">
        <v>52.85</v>
      </c>
      <c r="K121" s="268">
        <v>0.53090000000000004</v>
      </c>
      <c r="L121" s="268">
        <v>0.38840000000000002</v>
      </c>
      <c r="M121" s="268">
        <v>-0.1285</v>
      </c>
      <c r="N121" s="8">
        <v>747.34</v>
      </c>
      <c r="O121" s="8">
        <v>4923.8500000000004</v>
      </c>
      <c r="P121" s="268">
        <v>0.15179999999999999</v>
      </c>
      <c r="Q121" s="8">
        <v>340</v>
      </c>
      <c r="R121" s="8" t="s">
        <v>2872</v>
      </c>
      <c r="S121" s="8">
        <v>0</v>
      </c>
      <c r="T121" s="8" t="s">
        <v>2873</v>
      </c>
      <c r="U121" s="8" t="s">
        <v>2874</v>
      </c>
      <c r="V121" s="8" t="s">
        <v>2875</v>
      </c>
      <c r="W121" s="8" t="s">
        <v>2876</v>
      </c>
    </row>
    <row r="122" spans="1:23" ht="28" customHeight="1" x14ac:dyDescent="0.3">
      <c r="A122" s="308">
        <v>46120</v>
      </c>
      <c r="B122" s="302">
        <v>2662.502</v>
      </c>
      <c r="C122" s="8">
        <v>87.075000000000003</v>
      </c>
      <c r="D122" s="268">
        <v>3.3799999999999997E-2</v>
      </c>
      <c r="E122" s="8">
        <v>89.98</v>
      </c>
      <c r="F122" s="8">
        <v>158.57</v>
      </c>
      <c r="G122" s="8">
        <v>139.46299999999999</v>
      </c>
      <c r="H122" s="8">
        <v>101.04</v>
      </c>
      <c r="I122" s="8">
        <v>210.51</v>
      </c>
      <c r="J122" s="8">
        <v>49.97</v>
      </c>
      <c r="K122" s="268">
        <v>0.51939999999999997</v>
      </c>
      <c r="L122" s="268">
        <v>0.376</v>
      </c>
      <c r="M122" s="268">
        <v>-0.1318</v>
      </c>
      <c r="N122" s="8">
        <v>814.43</v>
      </c>
      <c r="O122" s="8">
        <v>4928.3</v>
      </c>
      <c r="P122" s="268">
        <v>0.1653</v>
      </c>
      <c r="Q122" s="8">
        <v>340</v>
      </c>
      <c r="R122" s="8" t="s">
        <v>2877</v>
      </c>
      <c r="S122" s="8">
        <v>0</v>
      </c>
      <c r="T122" s="8" t="s">
        <v>2878</v>
      </c>
      <c r="U122" s="8" t="s">
        <v>2879</v>
      </c>
      <c r="V122" s="8" t="s">
        <v>2880</v>
      </c>
      <c r="W122" s="8" t="s">
        <v>2881</v>
      </c>
    </row>
    <row r="123" spans="1:23" ht="28" customHeight="1" x14ac:dyDescent="0.3">
      <c r="A123" s="308">
        <v>46119</v>
      </c>
      <c r="B123" s="302">
        <v>2575.4270000000001</v>
      </c>
      <c r="C123" s="8">
        <v>15.08</v>
      </c>
      <c r="D123" s="268">
        <v>5.8999999999999999E-3</v>
      </c>
      <c r="E123" s="8">
        <v>84.42</v>
      </c>
      <c r="F123" s="8">
        <v>152.39400000000001</v>
      </c>
      <c r="G123" s="8">
        <v>135.68</v>
      </c>
      <c r="H123" s="8">
        <v>96.74</v>
      </c>
      <c r="I123" s="8">
        <v>204.83</v>
      </c>
      <c r="J123" s="8">
        <v>50.21</v>
      </c>
      <c r="K123" s="268">
        <v>0.52429999999999999</v>
      </c>
      <c r="L123" s="268">
        <v>0.38369999999999999</v>
      </c>
      <c r="M123" s="268">
        <v>-0.1163</v>
      </c>
      <c r="N123" s="8">
        <v>600.79999999999995</v>
      </c>
      <c r="O123" s="8">
        <v>4931.6400000000003</v>
      </c>
      <c r="P123" s="268">
        <v>0.12180000000000001</v>
      </c>
      <c r="Q123" s="8">
        <v>340</v>
      </c>
      <c r="R123" s="8" t="s">
        <v>2517</v>
      </c>
      <c r="S123" s="8" t="s">
        <v>2882</v>
      </c>
      <c r="T123" s="8" t="s">
        <v>2883</v>
      </c>
      <c r="U123" s="8" t="s">
        <v>2884</v>
      </c>
      <c r="V123" s="8" t="s">
        <v>2885</v>
      </c>
      <c r="W123" s="8" t="s">
        <v>2886</v>
      </c>
    </row>
    <row r="124" spans="1:23" ht="28" x14ac:dyDescent="0.3">
      <c r="A124" s="308">
        <v>46115</v>
      </c>
      <c r="B124" s="302">
        <v>2560.3470000000002</v>
      </c>
      <c r="C124" s="8">
        <v>5.2380000000000004</v>
      </c>
      <c r="D124" s="268">
        <v>2E-3</v>
      </c>
      <c r="E124" s="8">
        <v>82.89</v>
      </c>
      <c r="F124" s="8">
        <v>151.62200000000001</v>
      </c>
      <c r="G124" s="8">
        <v>134.76499999999999</v>
      </c>
      <c r="H124" s="8">
        <v>95.89</v>
      </c>
      <c r="I124" s="8">
        <v>204.96</v>
      </c>
      <c r="J124" s="8">
        <v>51.84</v>
      </c>
      <c r="K124" s="268">
        <v>0.53339999999999999</v>
      </c>
      <c r="L124" s="268">
        <v>0.39539999999999997</v>
      </c>
      <c r="M124" s="268">
        <v>-0.1147</v>
      </c>
      <c r="N124" s="8">
        <v>661.81</v>
      </c>
      <c r="O124" s="8">
        <v>4936.84</v>
      </c>
      <c r="P124" s="268">
        <v>0.1341</v>
      </c>
      <c r="Q124" s="8">
        <v>343</v>
      </c>
      <c r="R124" s="8" t="s">
        <v>2887</v>
      </c>
      <c r="S124" s="8" t="s">
        <v>2888</v>
      </c>
      <c r="T124" s="8" t="s">
        <v>2889</v>
      </c>
      <c r="U124" s="8" t="s">
        <v>2890</v>
      </c>
      <c r="V124" s="8" t="s">
        <v>2891</v>
      </c>
      <c r="W124" s="8" t="s">
        <v>2892</v>
      </c>
    </row>
    <row r="125" spans="1:23" ht="28" x14ac:dyDescent="0.3">
      <c r="A125" s="308">
        <v>46114</v>
      </c>
      <c r="B125" s="302">
        <v>2555.1089999999999</v>
      </c>
      <c r="C125" s="8">
        <v>-39.463000000000001</v>
      </c>
      <c r="D125" s="268">
        <v>-1.52E-2</v>
      </c>
      <c r="E125" s="8">
        <v>82.95</v>
      </c>
      <c r="F125" s="8">
        <v>150.892</v>
      </c>
      <c r="G125" s="8">
        <v>134.58000000000001</v>
      </c>
      <c r="H125" s="8">
        <v>98.34</v>
      </c>
      <c r="I125" s="8">
        <v>200.82</v>
      </c>
      <c r="J125" s="8">
        <v>42.86</v>
      </c>
      <c r="K125" s="268">
        <v>0.49930000000000002</v>
      </c>
      <c r="L125" s="268">
        <v>0.3538</v>
      </c>
      <c r="M125" s="268">
        <v>-0.1132</v>
      </c>
      <c r="N125" s="8">
        <v>675.85</v>
      </c>
      <c r="O125" s="8">
        <v>4958.2</v>
      </c>
      <c r="P125" s="268">
        <v>0.1363</v>
      </c>
      <c r="Q125" s="8">
        <v>345</v>
      </c>
      <c r="R125" s="8" t="s">
        <v>2893</v>
      </c>
      <c r="S125" s="8" t="s">
        <v>2894</v>
      </c>
      <c r="T125" s="8" t="s">
        <v>2895</v>
      </c>
      <c r="U125" s="8" t="s">
        <v>2896</v>
      </c>
      <c r="V125" s="8" t="s">
        <v>2897</v>
      </c>
      <c r="W125" s="8" t="s">
        <v>2898</v>
      </c>
    </row>
    <row r="126" spans="1:23" ht="28" customHeight="1" x14ac:dyDescent="0.3">
      <c r="A126" s="308">
        <v>46113</v>
      </c>
      <c r="B126" s="302">
        <v>2594.5720000000001</v>
      </c>
      <c r="C126" s="8">
        <v>56.622</v>
      </c>
      <c r="D126" s="268">
        <v>2.23E-2</v>
      </c>
      <c r="E126" s="8">
        <v>85.34</v>
      </c>
      <c r="F126" s="8">
        <v>153.423</v>
      </c>
      <c r="G126" s="8">
        <v>135.80000000000001</v>
      </c>
      <c r="H126" s="8">
        <v>99.43</v>
      </c>
      <c r="I126" s="8">
        <v>202.44</v>
      </c>
      <c r="J126" s="8">
        <v>43.38</v>
      </c>
      <c r="K126" s="268">
        <v>0.49020000000000002</v>
      </c>
      <c r="L126" s="268">
        <v>0.35549999999999998</v>
      </c>
      <c r="M126" s="268">
        <v>-0.12230000000000001</v>
      </c>
      <c r="N126" s="8">
        <v>786.07</v>
      </c>
      <c r="O126" s="8">
        <v>4990.8</v>
      </c>
      <c r="P126" s="268">
        <v>0.1575</v>
      </c>
      <c r="Q126" s="8">
        <v>348</v>
      </c>
      <c r="R126" s="8">
        <v>0</v>
      </c>
      <c r="S126" s="8" t="s">
        <v>2899</v>
      </c>
      <c r="T126" s="8" t="s">
        <v>2900</v>
      </c>
      <c r="U126" s="8" t="s">
        <v>2901</v>
      </c>
      <c r="V126" s="8" t="s">
        <v>2902</v>
      </c>
      <c r="W126" s="8" t="s">
        <v>2903</v>
      </c>
    </row>
    <row r="127" spans="1:23" ht="28" x14ac:dyDescent="0.3">
      <c r="A127" s="308">
        <v>46112</v>
      </c>
      <c r="B127" s="302">
        <v>2537.9499999999998</v>
      </c>
      <c r="C127" s="8">
        <v>-37.393999999999998</v>
      </c>
      <c r="D127" s="268">
        <v>-1.4500000000000001E-2</v>
      </c>
      <c r="E127" s="8">
        <v>79.77</v>
      </c>
      <c r="F127" s="8">
        <v>149.62200000000001</v>
      </c>
      <c r="G127" s="8">
        <v>132.661</v>
      </c>
      <c r="H127" s="8">
        <v>97.84</v>
      </c>
      <c r="I127" s="8">
        <v>198.31</v>
      </c>
      <c r="J127" s="8">
        <v>40.29</v>
      </c>
      <c r="K127" s="268">
        <v>0.4869</v>
      </c>
      <c r="L127" s="268">
        <v>0.3417</v>
      </c>
      <c r="M127" s="268">
        <v>-0.1095</v>
      </c>
      <c r="N127" s="8">
        <v>667.36</v>
      </c>
      <c r="O127" s="8">
        <v>4995.2700000000004</v>
      </c>
      <c r="P127" s="268">
        <v>0.1336</v>
      </c>
      <c r="Q127" s="8">
        <v>349</v>
      </c>
      <c r="R127" s="8">
        <v>0</v>
      </c>
      <c r="S127" s="8" t="s">
        <v>2904</v>
      </c>
      <c r="T127" s="8" t="s">
        <v>2905</v>
      </c>
      <c r="U127" s="8" t="s">
        <v>2906</v>
      </c>
      <c r="V127" s="8" t="s">
        <v>2907</v>
      </c>
      <c r="W127" s="8" t="s">
        <v>2908</v>
      </c>
    </row>
    <row r="128" spans="1:23" ht="28" customHeight="1" x14ac:dyDescent="0.3">
      <c r="A128" s="308">
        <v>46111</v>
      </c>
      <c r="B128" s="302">
        <v>2575.3440000000001</v>
      </c>
      <c r="C128" s="8">
        <v>-21.920999999999999</v>
      </c>
      <c r="D128" s="268">
        <v>-8.3999999999999995E-3</v>
      </c>
      <c r="E128" s="8">
        <v>82.72</v>
      </c>
      <c r="F128" s="8">
        <v>152.322</v>
      </c>
      <c r="G128" s="8">
        <v>134.221</v>
      </c>
      <c r="H128" s="8">
        <v>99.24</v>
      </c>
      <c r="I128" s="8">
        <v>200.44</v>
      </c>
      <c r="J128" s="8">
        <v>40.590000000000003</v>
      </c>
      <c r="K128" s="268">
        <v>0.48110000000000003</v>
      </c>
      <c r="L128" s="268">
        <v>0.33800000000000002</v>
      </c>
      <c r="M128" s="268">
        <v>-0.1163</v>
      </c>
      <c r="N128" s="8">
        <v>664.04</v>
      </c>
      <c r="O128" s="8">
        <v>4989.96</v>
      </c>
      <c r="P128" s="268">
        <v>0.1331</v>
      </c>
      <c r="Q128" s="8">
        <v>348</v>
      </c>
      <c r="R128" s="8">
        <v>0</v>
      </c>
      <c r="S128" s="8" t="s">
        <v>2909</v>
      </c>
      <c r="T128" s="8" t="s">
        <v>2910</v>
      </c>
      <c r="U128" s="8" t="s">
        <v>2911</v>
      </c>
      <c r="V128" s="8" t="s">
        <v>2912</v>
      </c>
      <c r="W128" s="8" t="s">
        <v>2913</v>
      </c>
    </row>
    <row r="129" spans="1:23" x14ac:dyDescent="0.3">
      <c r="A129" s="308">
        <v>46108</v>
      </c>
      <c r="B129" s="302">
        <v>2597.2649999999999</v>
      </c>
      <c r="C129" s="8">
        <v>18.695</v>
      </c>
      <c r="D129" s="268">
        <v>7.1999999999999998E-3</v>
      </c>
      <c r="E129" s="8">
        <v>85.06</v>
      </c>
      <c r="F129" s="8">
        <v>153.50399999999999</v>
      </c>
      <c r="G129" s="8">
        <v>135.53299999999999</v>
      </c>
      <c r="H129" s="8">
        <v>99.41</v>
      </c>
      <c r="I129" s="8">
        <v>203.17</v>
      </c>
      <c r="J129" s="8">
        <v>48.01</v>
      </c>
      <c r="K129" s="268">
        <v>0.49669999999999997</v>
      </c>
      <c r="L129" s="268">
        <v>0.3513</v>
      </c>
      <c r="M129" s="268">
        <v>-0.11940000000000001</v>
      </c>
      <c r="N129" s="8">
        <v>717.76</v>
      </c>
      <c r="O129" s="8">
        <v>4995.1000000000004</v>
      </c>
      <c r="P129" s="268">
        <v>0.14369999999999999</v>
      </c>
      <c r="Q129" s="8">
        <v>349</v>
      </c>
      <c r="R129" s="8">
        <v>0</v>
      </c>
      <c r="S129" s="8">
        <v>0</v>
      </c>
      <c r="T129" s="8" t="s">
        <v>2914</v>
      </c>
      <c r="U129" s="8" t="s">
        <v>2915</v>
      </c>
      <c r="V129" s="8" t="s">
        <v>2916</v>
      </c>
      <c r="W129" s="8" t="s">
        <v>2917</v>
      </c>
    </row>
    <row r="130" spans="1:23" x14ac:dyDescent="0.3">
      <c r="A130" s="308">
        <v>46107</v>
      </c>
      <c r="B130" s="302">
        <v>2578.5700000000002</v>
      </c>
      <c r="C130" s="8">
        <v>-42.061</v>
      </c>
      <c r="D130" s="268">
        <v>-1.6E-2</v>
      </c>
      <c r="E130" s="8">
        <v>83.32</v>
      </c>
      <c r="F130" s="8">
        <v>152.17500000000001</v>
      </c>
      <c r="G130" s="8">
        <v>134.77699999999999</v>
      </c>
      <c r="H130" s="8">
        <v>99.07</v>
      </c>
      <c r="I130" s="8">
        <v>202.68</v>
      </c>
      <c r="J130" s="8">
        <v>47.93</v>
      </c>
      <c r="K130" s="268">
        <v>0.505</v>
      </c>
      <c r="L130" s="268">
        <v>0.35260000000000002</v>
      </c>
      <c r="M130" s="268">
        <v>-0.1154</v>
      </c>
      <c r="N130" s="8">
        <v>613.85</v>
      </c>
      <c r="O130" s="8">
        <v>5005.45</v>
      </c>
      <c r="P130" s="268">
        <v>0.1226</v>
      </c>
      <c r="Q130" s="8">
        <v>350</v>
      </c>
      <c r="R130" s="8">
        <v>0</v>
      </c>
      <c r="S130" s="8">
        <v>0</v>
      </c>
      <c r="T130" s="8" t="s">
        <v>2918</v>
      </c>
      <c r="U130" s="8" t="s">
        <v>2919</v>
      </c>
      <c r="V130" s="8" t="s">
        <v>2920</v>
      </c>
      <c r="W130" s="8" t="s">
        <v>2921</v>
      </c>
    </row>
    <row r="131" spans="1:23" x14ac:dyDescent="0.3">
      <c r="A131" s="308">
        <v>46106</v>
      </c>
      <c r="B131" s="302">
        <v>2620.6309999999999</v>
      </c>
      <c r="C131" s="8">
        <v>30.050999999999998</v>
      </c>
      <c r="D131" s="268">
        <v>1.1599999999999999E-2</v>
      </c>
      <c r="E131" s="8">
        <v>86.25</v>
      </c>
      <c r="F131" s="8">
        <v>154.845</v>
      </c>
      <c r="G131" s="8">
        <v>136.88399999999999</v>
      </c>
      <c r="H131" s="8">
        <v>100.44</v>
      </c>
      <c r="I131" s="8">
        <v>204.92</v>
      </c>
      <c r="J131" s="8">
        <v>48.82</v>
      </c>
      <c r="K131" s="268">
        <v>0.50080000000000002</v>
      </c>
      <c r="L131" s="268">
        <v>0.35630000000000001</v>
      </c>
      <c r="M131" s="268">
        <v>-0.12280000000000001</v>
      </c>
      <c r="N131" s="8">
        <v>748.28</v>
      </c>
      <c r="O131" s="8">
        <v>5014.79</v>
      </c>
      <c r="P131" s="268">
        <v>0.1492</v>
      </c>
      <c r="Q131" s="8">
        <v>353</v>
      </c>
      <c r="R131" s="8">
        <v>0</v>
      </c>
      <c r="S131" s="8">
        <v>0</v>
      </c>
      <c r="T131" s="8" t="s">
        <v>2922</v>
      </c>
      <c r="U131" s="8" t="s">
        <v>2923</v>
      </c>
      <c r="V131" s="8" t="s">
        <v>2924</v>
      </c>
      <c r="W131" s="8" t="s">
        <v>2925</v>
      </c>
    </row>
    <row r="132" spans="1:23" x14ac:dyDescent="0.3">
      <c r="A132" s="308">
        <v>46105</v>
      </c>
      <c r="B132" s="302">
        <v>2590.58</v>
      </c>
      <c r="C132" s="8">
        <v>69.236000000000004</v>
      </c>
      <c r="D132" s="268">
        <v>2.75E-2</v>
      </c>
      <c r="E132" s="8">
        <v>83.96</v>
      </c>
      <c r="F132" s="8">
        <v>152.738</v>
      </c>
      <c r="G132" s="8">
        <v>135.19300000000001</v>
      </c>
      <c r="H132" s="8">
        <v>99.5</v>
      </c>
      <c r="I132" s="8">
        <v>203.93</v>
      </c>
      <c r="J132" s="8">
        <v>53.7</v>
      </c>
      <c r="K132" s="268">
        <v>0.51190000000000002</v>
      </c>
      <c r="L132" s="268">
        <v>0.36099999999999999</v>
      </c>
      <c r="M132" s="268">
        <v>-0.1163</v>
      </c>
      <c r="N132" s="8">
        <v>762.14</v>
      </c>
      <c r="O132" s="8">
        <v>5054.32</v>
      </c>
      <c r="P132" s="268">
        <v>0.15079999999999999</v>
      </c>
      <c r="Q132" s="8">
        <v>354</v>
      </c>
      <c r="R132" s="8">
        <v>0</v>
      </c>
      <c r="S132" s="8">
        <v>0</v>
      </c>
      <c r="T132" s="8" t="s">
        <v>2926</v>
      </c>
      <c r="U132" s="8" t="s">
        <v>2927</v>
      </c>
      <c r="V132" s="8" t="s">
        <v>2928</v>
      </c>
      <c r="W132" s="8" t="s">
        <v>2929</v>
      </c>
    </row>
    <row r="133" spans="1:23" ht="28" x14ac:dyDescent="0.3">
      <c r="A133" s="308">
        <v>46104</v>
      </c>
      <c r="B133" s="302">
        <v>2521.3440000000001</v>
      </c>
      <c r="C133" s="8">
        <v>-36.863999999999997</v>
      </c>
      <c r="D133" s="268">
        <v>-1.44E-2</v>
      </c>
      <c r="E133" s="8">
        <v>76.8</v>
      </c>
      <c r="F133" s="8">
        <v>148.41800000000001</v>
      </c>
      <c r="G133" s="8">
        <v>131.536</v>
      </c>
      <c r="H133" s="8">
        <v>95.77</v>
      </c>
      <c r="I133" s="8">
        <v>200.04</v>
      </c>
      <c r="J133" s="8">
        <v>52.07</v>
      </c>
      <c r="K133" s="268">
        <v>0.51619999999999999</v>
      </c>
      <c r="L133" s="268">
        <v>0.35349999999999998</v>
      </c>
      <c r="M133" s="268">
        <v>-0.1017</v>
      </c>
      <c r="N133" s="8">
        <v>724.82</v>
      </c>
      <c r="O133" s="8">
        <v>5061.12</v>
      </c>
      <c r="P133" s="268">
        <v>0.14319999999999999</v>
      </c>
      <c r="Q133" s="8">
        <v>356</v>
      </c>
      <c r="R133" s="8">
        <v>0</v>
      </c>
      <c r="S133" s="8" t="s">
        <v>2930</v>
      </c>
      <c r="T133" s="8" t="s">
        <v>2931</v>
      </c>
      <c r="U133" s="8" t="s">
        <v>2932</v>
      </c>
      <c r="V133" s="8" t="s">
        <v>2933</v>
      </c>
      <c r="W133" s="8" t="s">
        <v>2934</v>
      </c>
    </row>
    <row r="134" spans="1:23" x14ac:dyDescent="0.3">
      <c r="A134" s="308">
        <v>46101</v>
      </c>
      <c r="B134" s="302">
        <v>2558.2080000000001</v>
      </c>
      <c r="C134" s="8">
        <v>-25.919</v>
      </c>
      <c r="D134" s="268">
        <v>-0.01</v>
      </c>
      <c r="E134" s="8">
        <v>81.09</v>
      </c>
      <c r="F134" s="8">
        <v>150.91399999999999</v>
      </c>
      <c r="G134" s="8">
        <v>133.988</v>
      </c>
      <c r="H134" s="8">
        <v>100.98</v>
      </c>
      <c r="I134" s="8">
        <v>197.21</v>
      </c>
      <c r="J134" s="8">
        <v>41.68</v>
      </c>
      <c r="K134" s="268">
        <v>0.46300000000000002</v>
      </c>
      <c r="L134" s="268">
        <v>0.32219999999999999</v>
      </c>
      <c r="M134" s="268">
        <v>-0.1094</v>
      </c>
      <c r="N134" s="8">
        <v>687.5</v>
      </c>
      <c r="O134" s="8">
        <v>5062.2700000000004</v>
      </c>
      <c r="P134" s="268">
        <v>0.1358</v>
      </c>
      <c r="Q134" s="8">
        <v>355</v>
      </c>
      <c r="R134" s="8">
        <v>0</v>
      </c>
      <c r="S134" s="8">
        <v>0</v>
      </c>
      <c r="T134" s="8" t="s">
        <v>2935</v>
      </c>
      <c r="U134" s="8" t="s">
        <v>2936</v>
      </c>
      <c r="V134" s="8" t="s">
        <v>2937</v>
      </c>
      <c r="W134" s="8" t="s">
        <v>2938</v>
      </c>
    </row>
    <row r="135" spans="1:23" x14ac:dyDescent="0.3">
      <c r="A135" s="308">
        <v>46100</v>
      </c>
      <c r="B135" s="302">
        <v>2584.127</v>
      </c>
      <c r="C135" s="8">
        <v>-53.167999999999999</v>
      </c>
      <c r="D135" s="268">
        <v>-2.0199999999999999E-2</v>
      </c>
      <c r="E135" s="8">
        <v>83.07</v>
      </c>
      <c r="F135" s="8">
        <v>152.30699999999999</v>
      </c>
      <c r="G135" s="8">
        <v>135.167</v>
      </c>
      <c r="H135" s="8">
        <v>102.96</v>
      </c>
      <c r="I135" s="8">
        <v>197.12</v>
      </c>
      <c r="J135" s="8">
        <v>37.409999999999997</v>
      </c>
      <c r="K135" s="268">
        <v>0.44819999999999999</v>
      </c>
      <c r="L135" s="268">
        <v>0.30109999999999998</v>
      </c>
      <c r="M135" s="268">
        <v>-0.11550000000000001</v>
      </c>
      <c r="N135" s="8">
        <v>608.64</v>
      </c>
      <c r="O135" s="8">
        <v>5069.3999999999996</v>
      </c>
      <c r="P135" s="268">
        <v>0.1201</v>
      </c>
      <c r="Q135" s="8">
        <v>358</v>
      </c>
      <c r="R135" s="8">
        <v>0</v>
      </c>
      <c r="S135" s="8">
        <v>0</v>
      </c>
      <c r="T135" s="8" t="s">
        <v>2939</v>
      </c>
      <c r="U135" s="8" t="s">
        <v>2940</v>
      </c>
      <c r="V135" s="8" t="s">
        <v>2941</v>
      </c>
      <c r="W135" s="8" t="s">
        <v>2942</v>
      </c>
    </row>
    <row r="136" spans="1:23" x14ac:dyDescent="0.3">
      <c r="A136" s="308">
        <v>46099</v>
      </c>
      <c r="B136" s="302">
        <v>2637.2950000000001</v>
      </c>
      <c r="C136" s="8">
        <v>36.976999999999997</v>
      </c>
      <c r="D136" s="268">
        <v>1.4200000000000001E-2</v>
      </c>
      <c r="E136" s="8">
        <v>87.25</v>
      </c>
      <c r="F136" s="8">
        <v>156.08600000000001</v>
      </c>
      <c r="G136" s="8">
        <v>137.94499999999999</v>
      </c>
      <c r="H136" s="8">
        <v>105.94</v>
      </c>
      <c r="I136" s="8">
        <v>199.92</v>
      </c>
      <c r="J136" s="8">
        <v>35.159999999999997</v>
      </c>
      <c r="K136" s="268">
        <v>0.43830000000000002</v>
      </c>
      <c r="L136" s="268">
        <v>0.30470000000000003</v>
      </c>
      <c r="M136" s="268">
        <v>-0.126</v>
      </c>
      <c r="N136" s="8">
        <v>655.52</v>
      </c>
      <c r="O136" s="8">
        <v>5077</v>
      </c>
      <c r="P136" s="268">
        <v>0.12909999999999999</v>
      </c>
      <c r="Q136" s="8">
        <v>359</v>
      </c>
      <c r="R136" s="8">
        <v>0</v>
      </c>
      <c r="S136" s="8">
        <v>0</v>
      </c>
      <c r="T136" s="8" t="s">
        <v>2943</v>
      </c>
      <c r="U136" s="8" t="s">
        <v>2944</v>
      </c>
      <c r="V136" s="8" t="s">
        <v>2945</v>
      </c>
      <c r="W136" s="8" t="s">
        <v>2946</v>
      </c>
    </row>
    <row r="137" spans="1:23" x14ac:dyDescent="0.3">
      <c r="A137" s="308">
        <v>46098</v>
      </c>
      <c r="B137" s="302">
        <v>2600.3180000000002</v>
      </c>
      <c r="C137" s="8">
        <v>-52.363999999999997</v>
      </c>
      <c r="D137" s="268">
        <v>-1.9699999999999999E-2</v>
      </c>
      <c r="E137" s="8">
        <v>84.91</v>
      </c>
      <c r="F137" s="8">
        <v>153.81700000000001</v>
      </c>
      <c r="G137" s="8">
        <v>136</v>
      </c>
      <c r="H137" s="8">
        <v>106.74</v>
      </c>
      <c r="I137" s="8">
        <v>196.73</v>
      </c>
      <c r="J137" s="8">
        <v>31.48</v>
      </c>
      <c r="K137" s="268">
        <v>0.42909999999999998</v>
      </c>
      <c r="L137" s="268">
        <v>0.29680000000000001</v>
      </c>
      <c r="M137" s="268">
        <v>-0.11840000000000001</v>
      </c>
      <c r="N137" s="8">
        <v>660.51</v>
      </c>
      <c r="O137" s="8">
        <v>5087.53</v>
      </c>
      <c r="P137" s="268">
        <v>0.1298</v>
      </c>
      <c r="Q137" s="8">
        <v>361</v>
      </c>
      <c r="R137" s="8">
        <v>0</v>
      </c>
      <c r="S137" s="8">
        <v>0</v>
      </c>
      <c r="T137" s="8" t="s">
        <v>2601</v>
      </c>
      <c r="U137" s="8" t="s">
        <v>2947</v>
      </c>
      <c r="V137" s="8" t="s">
        <v>2948</v>
      </c>
      <c r="W137" s="8" t="s">
        <v>2949</v>
      </c>
    </row>
    <row r="138" spans="1:23" x14ac:dyDescent="0.3">
      <c r="A138" s="308">
        <v>46097</v>
      </c>
      <c r="B138" s="302">
        <v>2652.6819999999998</v>
      </c>
      <c r="C138" s="8">
        <v>-2.7349999999999999</v>
      </c>
      <c r="D138" s="268">
        <v>-1E-3</v>
      </c>
      <c r="E138" s="8">
        <v>88.16</v>
      </c>
      <c r="F138" s="8">
        <v>157.429</v>
      </c>
      <c r="G138" s="8">
        <v>138.41300000000001</v>
      </c>
      <c r="H138" s="8">
        <v>107.24</v>
      </c>
      <c r="I138" s="8">
        <v>200.56</v>
      </c>
      <c r="J138" s="8">
        <v>33.18</v>
      </c>
      <c r="K138" s="268">
        <v>0.43140000000000001</v>
      </c>
      <c r="L138" s="268">
        <v>0.2974</v>
      </c>
      <c r="M138" s="268">
        <v>-0.12820000000000001</v>
      </c>
      <c r="N138" s="8">
        <v>734.8</v>
      </c>
      <c r="O138" s="8">
        <v>5089.3500000000004</v>
      </c>
      <c r="P138" s="268">
        <v>0.1444</v>
      </c>
      <c r="Q138" s="8">
        <v>360</v>
      </c>
      <c r="R138" s="8">
        <v>0</v>
      </c>
      <c r="S138" s="8">
        <v>0</v>
      </c>
      <c r="T138" s="8" t="s">
        <v>2950</v>
      </c>
      <c r="U138" s="8" t="s">
        <v>2951</v>
      </c>
      <c r="V138" s="8" t="s">
        <v>2952</v>
      </c>
      <c r="W138" s="8" t="s">
        <v>2953</v>
      </c>
    </row>
    <row r="139" spans="1:23" x14ac:dyDescent="0.3">
      <c r="A139" s="308">
        <v>46094</v>
      </c>
      <c r="B139" s="302">
        <v>2655.4169999999999</v>
      </c>
      <c r="C139" s="8">
        <v>-34.021000000000001</v>
      </c>
      <c r="D139" s="268">
        <v>-1.26E-2</v>
      </c>
      <c r="E139" s="8">
        <v>88.62</v>
      </c>
      <c r="F139" s="8">
        <v>157.67400000000001</v>
      </c>
      <c r="G139" s="8">
        <v>138.68</v>
      </c>
      <c r="H139" s="8">
        <v>107.53</v>
      </c>
      <c r="I139" s="8">
        <v>200.8</v>
      </c>
      <c r="J139" s="8">
        <v>32.67</v>
      </c>
      <c r="K139" s="268">
        <v>0.43130000000000002</v>
      </c>
      <c r="L139" s="268">
        <v>0.29430000000000001</v>
      </c>
      <c r="M139" s="268">
        <v>-0.1273</v>
      </c>
      <c r="N139" s="8">
        <v>735.43</v>
      </c>
      <c r="O139" s="8">
        <v>5101.8599999999997</v>
      </c>
      <c r="P139" s="268">
        <v>0.14410000000000001</v>
      </c>
      <c r="Q139" s="8">
        <v>360</v>
      </c>
      <c r="R139" s="8">
        <v>0</v>
      </c>
      <c r="S139" s="8">
        <v>0</v>
      </c>
      <c r="T139" s="8" t="s">
        <v>2954</v>
      </c>
      <c r="U139" s="8" t="s">
        <v>2955</v>
      </c>
      <c r="V139" s="8" t="s">
        <v>2956</v>
      </c>
      <c r="W139" s="8" t="s">
        <v>2957</v>
      </c>
    </row>
    <row r="140" spans="1:23" x14ac:dyDescent="0.3">
      <c r="A140" s="308">
        <v>46093</v>
      </c>
      <c r="B140" s="302">
        <v>2689.4380000000001</v>
      </c>
      <c r="C140" s="8">
        <v>-39.515000000000001</v>
      </c>
      <c r="D140" s="268">
        <v>-1.4500000000000001E-2</v>
      </c>
      <c r="E140" s="8">
        <v>90.4</v>
      </c>
      <c r="F140" s="8">
        <v>160.29900000000001</v>
      </c>
      <c r="G140" s="8">
        <v>139.67699999999999</v>
      </c>
      <c r="H140" s="8">
        <v>108.23</v>
      </c>
      <c r="I140" s="8">
        <v>204.16</v>
      </c>
      <c r="J140" s="8">
        <v>34.69</v>
      </c>
      <c r="K140" s="268">
        <v>0.43859999999999999</v>
      </c>
      <c r="L140" s="268">
        <v>0.313</v>
      </c>
      <c r="M140" s="268">
        <v>-0.1323</v>
      </c>
      <c r="N140" s="8">
        <v>632.54999999999995</v>
      </c>
      <c r="O140" s="8">
        <v>5103.08</v>
      </c>
      <c r="P140" s="268">
        <v>0.124</v>
      </c>
      <c r="Q140" s="8">
        <v>359</v>
      </c>
      <c r="R140" s="8">
        <v>0</v>
      </c>
      <c r="S140" s="8">
        <v>0</v>
      </c>
      <c r="T140" s="8" t="s">
        <v>2958</v>
      </c>
      <c r="U140" s="8" t="s">
        <v>2959</v>
      </c>
      <c r="V140" s="8" t="s">
        <v>2960</v>
      </c>
      <c r="W140" s="8" t="s">
        <v>2961</v>
      </c>
    </row>
    <row r="141" spans="1:23" x14ac:dyDescent="0.3">
      <c r="A141" s="308">
        <v>46092</v>
      </c>
      <c r="B141" s="302">
        <v>2728.953</v>
      </c>
      <c r="C141" s="8">
        <v>1.337</v>
      </c>
      <c r="D141" s="268">
        <v>5.0000000000000001E-4</v>
      </c>
      <c r="E141" s="8">
        <v>92.59</v>
      </c>
      <c r="F141" s="8">
        <v>162.89400000000001</v>
      </c>
      <c r="G141" s="8">
        <v>141.57900000000001</v>
      </c>
      <c r="H141" s="8">
        <v>109.58</v>
      </c>
      <c r="I141" s="8">
        <v>207.7</v>
      </c>
      <c r="J141" s="8">
        <v>39.229999999999997</v>
      </c>
      <c r="K141" s="268">
        <v>0.4481</v>
      </c>
      <c r="L141" s="268">
        <v>0.3216</v>
      </c>
      <c r="M141" s="268">
        <v>-0.13830000000000001</v>
      </c>
      <c r="N141" s="8">
        <v>667.67</v>
      </c>
      <c r="O141" s="8">
        <v>5118.6499999999996</v>
      </c>
      <c r="P141" s="268">
        <v>0.13039999999999999</v>
      </c>
      <c r="Q141" s="8">
        <v>361</v>
      </c>
      <c r="R141" s="8">
        <v>0</v>
      </c>
      <c r="S141" s="8">
        <v>0</v>
      </c>
      <c r="T141" s="8" t="s">
        <v>2962</v>
      </c>
      <c r="U141" s="8" t="s">
        <v>2963</v>
      </c>
      <c r="V141" s="8" t="s">
        <v>2964</v>
      </c>
      <c r="W141" s="8" t="s">
        <v>2965</v>
      </c>
    </row>
    <row r="142" spans="1:23" x14ac:dyDescent="0.3">
      <c r="A142" s="308">
        <v>46091</v>
      </c>
      <c r="B142" s="302">
        <v>2727.616</v>
      </c>
      <c r="C142" s="8">
        <v>32.875999999999998</v>
      </c>
      <c r="D142" s="268">
        <v>1.2200000000000001E-2</v>
      </c>
      <c r="E142" s="8">
        <v>92.86</v>
      </c>
      <c r="F142" s="8">
        <v>163.30000000000001</v>
      </c>
      <c r="G142" s="8">
        <v>141.84800000000001</v>
      </c>
      <c r="H142" s="8">
        <v>109.22</v>
      </c>
      <c r="I142" s="8">
        <v>208.16</v>
      </c>
      <c r="J142" s="8">
        <v>38.54</v>
      </c>
      <c r="K142" s="268">
        <v>0.4486</v>
      </c>
      <c r="L142" s="268">
        <v>0.31769999999999998</v>
      </c>
      <c r="M142" s="268">
        <v>-0.13750000000000001</v>
      </c>
      <c r="N142" s="8">
        <v>657.34</v>
      </c>
      <c r="O142" s="8">
        <v>5003.32</v>
      </c>
      <c r="P142" s="268">
        <v>0.13139999999999999</v>
      </c>
      <c r="Q142" s="8">
        <v>360</v>
      </c>
      <c r="R142" s="8">
        <v>0</v>
      </c>
      <c r="S142" s="8">
        <v>0</v>
      </c>
      <c r="T142" s="8" t="s">
        <v>2966</v>
      </c>
      <c r="U142" s="8" t="s">
        <v>2967</v>
      </c>
      <c r="V142" s="8" t="s">
        <v>2968</v>
      </c>
      <c r="W142" s="8" t="s">
        <v>2969</v>
      </c>
    </row>
    <row r="143" spans="1:23" x14ac:dyDescent="0.3">
      <c r="A143" s="308">
        <v>46090</v>
      </c>
      <c r="B143" s="302">
        <v>2694.74</v>
      </c>
      <c r="C143" s="8">
        <v>-11.583</v>
      </c>
      <c r="D143" s="268">
        <v>-4.3E-3</v>
      </c>
      <c r="E143" s="8">
        <v>90.72</v>
      </c>
      <c r="F143" s="8">
        <v>160.84</v>
      </c>
      <c r="G143" s="8">
        <v>140.435</v>
      </c>
      <c r="H143" s="8">
        <v>107.3</v>
      </c>
      <c r="I143" s="8">
        <v>206.45</v>
      </c>
      <c r="J143" s="8">
        <v>40.799999999999997</v>
      </c>
      <c r="K143" s="268">
        <v>0.45610000000000001</v>
      </c>
      <c r="L143" s="268">
        <v>0.314</v>
      </c>
      <c r="M143" s="268">
        <v>-0.1323</v>
      </c>
      <c r="N143" s="8">
        <v>771.46</v>
      </c>
      <c r="O143" s="8">
        <v>5009.7</v>
      </c>
      <c r="P143" s="268">
        <v>0.154</v>
      </c>
      <c r="Q143" s="8">
        <v>361</v>
      </c>
      <c r="R143" s="8">
        <v>0</v>
      </c>
      <c r="S143" s="8">
        <v>0</v>
      </c>
      <c r="T143" s="8" t="s">
        <v>2848</v>
      </c>
      <c r="U143" s="8" t="s">
        <v>2970</v>
      </c>
      <c r="V143" s="8" t="s">
        <v>2971</v>
      </c>
      <c r="W143" s="8" t="s">
        <v>2972</v>
      </c>
    </row>
    <row r="144" spans="1:23" x14ac:dyDescent="0.3">
      <c r="A144" s="308">
        <v>46087</v>
      </c>
      <c r="B144" s="302">
        <v>2706.3229999999999</v>
      </c>
      <c r="C144" s="8">
        <v>10.487</v>
      </c>
      <c r="D144" s="268">
        <v>3.8999999999999998E-3</v>
      </c>
      <c r="E144" s="8">
        <v>91.77</v>
      </c>
      <c r="F144" s="8">
        <v>161.36699999999999</v>
      </c>
      <c r="G144" s="8">
        <v>141.065</v>
      </c>
      <c r="H144" s="8">
        <v>108.23</v>
      </c>
      <c r="I144" s="8">
        <v>206.07</v>
      </c>
      <c r="J144" s="8">
        <v>39.450000000000003</v>
      </c>
      <c r="K144" s="268">
        <v>0.44700000000000001</v>
      </c>
      <c r="L144" s="268">
        <v>0.31509999999999999</v>
      </c>
      <c r="M144" s="268">
        <v>-0.1363</v>
      </c>
      <c r="N144" s="8">
        <v>670.72</v>
      </c>
      <c r="O144" s="8">
        <v>5029.0200000000004</v>
      </c>
      <c r="P144" s="268">
        <v>0.13339999999999999</v>
      </c>
      <c r="Q144" s="8">
        <v>363</v>
      </c>
      <c r="R144" s="8">
        <v>0</v>
      </c>
      <c r="S144" s="8">
        <v>0</v>
      </c>
      <c r="T144" s="8" t="s">
        <v>2506</v>
      </c>
      <c r="U144" s="8" t="s">
        <v>2973</v>
      </c>
      <c r="V144" s="8" t="s">
        <v>2974</v>
      </c>
      <c r="W144" s="8" t="s">
        <v>2975</v>
      </c>
    </row>
    <row r="145" spans="1:23" x14ac:dyDescent="0.3">
      <c r="A145" s="308">
        <v>46086</v>
      </c>
      <c r="B145" s="302">
        <v>2695.8359999999998</v>
      </c>
      <c r="C145" s="8">
        <v>0.48499999999999999</v>
      </c>
      <c r="D145" s="268">
        <v>2.0000000000000001E-4</v>
      </c>
      <c r="E145" s="8">
        <v>90.81</v>
      </c>
      <c r="F145" s="8">
        <v>160.803</v>
      </c>
      <c r="G145" s="8">
        <v>140.089</v>
      </c>
      <c r="H145" s="8">
        <v>106.53</v>
      </c>
      <c r="I145" s="8">
        <v>207.28</v>
      </c>
      <c r="J145" s="8">
        <v>44.17</v>
      </c>
      <c r="K145" s="268">
        <v>0.46479999999999999</v>
      </c>
      <c r="L145" s="268">
        <v>0.32240000000000002</v>
      </c>
      <c r="M145" s="268">
        <v>-0.13250000000000001</v>
      </c>
      <c r="N145" s="8">
        <v>730.48</v>
      </c>
      <c r="O145" s="8">
        <v>5044.16</v>
      </c>
      <c r="P145" s="268">
        <v>0.14480000000000001</v>
      </c>
      <c r="Q145" s="8">
        <v>364</v>
      </c>
      <c r="R145" s="8">
        <v>0</v>
      </c>
      <c r="S145" s="8">
        <v>0</v>
      </c>
      <c r="T145" s="8" t="s">
        <v>2976</v>
      </c>
      <c r="U145" s="8" t="s">
        <v>2977</v>
      </c>
      <c r="V145" s="8" t="s">
        <v>2978</v>
      </c>
      <c r="W145" s="8" t="s">
        <v>2979</v>
      </c>
    </row>
    <row r="146" spans="1:23" x14ac:dyDescent="0.3">
      <c r="A146" s="308">
        <v>46085</v>
      </c>
      <c r="B146" s="302">
        <v>2695.3510000000001</v>
      </c>
      <c r="C146" s="8">
        <v>-5.835</v>
      </c>
      <c r="D146" s="268">
        <v>-2.2000000000000001E-3</v>
      </c>
      <c r="E146" s="8">
        <v>90.88</v>
      </c>
      <c r="F146" s="8">
        <v>160.83600000000001</v>
      </c>
      <c r="G146" s="8">
        <v>139.429</v>
      </c>
      <c r="H146" s="8">
        <v>105.44</v>
      </c>
      <c r="I146" s="8">
        <v>208.67</v>
      </c>
      <c r="J146" s="8">
        <v>47.71</v>
      </c>
      <c r="K146" s="268">
        <v>0.47839999999999999</v>
      </c>
      <c r="L146" s="268">
        <v>0.32379999999999998</v>
      </c>
      <c r="M146" s="268">
        <v>-0.13200000000000001</v>
      </c>
      <c r="N146" s="8">
        <v>780.6</v>
      </c>
      <c r="O146" s="8">
        <v>5050.1499999999996</v>
      </c>
      <c r="P146" s="268">
        <v>0.15459999999999999</v>
      </c>
      <c r="Q146" s="8">
        <v>364</v>
      </c>
      <c r="R146" s="8">
        <v>0</v>
      </c>
      <c r="S146" s="8">
        <v>0</v>
      </c>
      <c r="T146" s="8" t="s">
        <v>2980</v>
      </c>
      <c r="U146" s="8" t="s">
        <v>2981</v>
      </c>
      <c r="V146" s="8" t="s">
        <v>2982</v>
      </c>
      <c r="W146" s="8" t="s">
        <v>2983</v>
      </c>
    </row>
    <row r="147" spans="1:23" x14ac:dyDescent="0.3">
      <c r="A147" s="308">
        <v>46084</v>
      </c>
      <c r="B147" s="302">
        <v>2701.1860000000001</v>
      </c>
      <c r="C147" s="8">
        <v>-63.872999999999998</v>
      </c>
      <c r="D147" s="268">
        <v>-2.3099999999999999E-2</v>
      </c>
      <c r="E147" s="8">
        <v>91.07</v>
      </c>
      <c r="F147" s="8">
        <v>161.327</v>
      </c>
      <c r="G147" s="8">
        <v>139.87</v>
      </c>
      <c r="H147" s="8">
        <v>106.35</v>
      </c>
      <c r="I147" s="8">
        <v>208.61</v>
      </c>
      <c r="J147" s="8">
        <v>44.08</v>
      </c>
      <c r="K147" s="268">
        <v>0.4728</v>
      </c>
      <c r="L147" s="268">
        <v>0.32850000000000001</v>
      </c>
      <c r="M147" s="268">
        <v>-0.14510000000000001</v>
      </c>
      <c r="N147" s="8">
        <v>768.75</v>
      </c>
      <c r="O147" s="8">
        <v>5063.1899999999996</v>
      </c>
      <c r="P147" s="268">
        <v>0.15179999999999999</v>
      </c>
      <c r="Q147" s="8">
        <v>365</v>
      </c>
      <c r="R147" s="8">
        <v>0</v>
      </c>
      <c r="S147" s="8">
        <v>0</v>
      </c>
      <c r="T147" s="8" t="s">
        <v>2984</v>
      </c>
      <c r="U147" s="8" t="s">
        <v>2985</v>
      </c>
      <c r="V147" s="8" t="s">
        <v>2986</v>
      </c>
      <c r="W147" s="8" t="s">
        <v>2987</v>
      </c>
    </row>
    <row r="148" spans="1:23" x14ac:dyDescent="0.3">
      <c r="A148" s="308">
        <v>46083</v>
      </c>
      <c r="B148" s="302">
        <v>2765.0590000000002</v>
      </c>
      <c r="C148" s="8">
        <v>-11.215999999999999</v>
      </c>
      <c r="D148" s="268">
        <v>-4.0000000000000001E-3</v>
      </c>
      <c r="E148" s="8">
        <v>94.14</v>
      </c>
      <c r="F148" s="8">
        <v>165.88399999999999</v>
      </c>
      <c r="G148" s="8">
        <v>142.27500000000001</v>
      </c>
      <c r="H148" s="8">
        <v>109.82</v>
      </c>
      <c r="I148" s="8">
        <v>211.22</v>
      </c>
      <c r="J148" s="8">
        <v>40.200000000000003</v>
      </c>
      <c r="K148" s="268">
        <v>0.45340000000000003</v>
      </c>
      <c r="L148" s="268">
        <v>0.3251</v>
      </c>
      <c r="M148" s="268">
        <v>-0.1542</v>
      </c>
      <c r="N148" s="8">
        <v>723.86</v>
      </c>
      <c r="O148" s="8">
        <v>5083.07</v>
      </c>
      <c r="P148" s="268">
        <v>0.1424</v>
      </c>
      <c r="Q148" s="8">
        <v>368</v>
      </c>
      <c r="R148" s="8">
        <v>0</v>
      </c>
      <c r="S148" s="8">
        <v>0</v>
      </c>
      <c r="T148" s="8" t="s">
        <v>2988</v>
      </c>
      <c r="U148" s="8" t="s">
        <v>2989</v>
      </c>
      <c r="V148" s="8" t="s">
        <v>2990</v>
      </c>
      <c r="W148" s="8" t="s">
        <v>2991</v>
      </c>
    </row>
    <row r="149" spans="1:23" x14ac:dyDescent="0.3">
      <c r="A149" s="308">
        <v>46080</v>
      </c>
      <c r="B149" s="302">
        <v>2776.2750000000001</v>
      </c>
      <c r="C149" s="8">
        <v>-5.3689999999999998</v>
      </c>
      <c r="D149" s="268">
        <v>-1.9E-3</v>
      </c>
      <c r="E149" s="8">
        <v>94.92</v>
      </c>
      <c r="F149" s="8">
        <v>166.477</v>
      </c>
      <c r="G149" s="8">
        <v>142.999</v>
      </c>
      <c r="H149" s="8">
        <v>111.16</v>
      </c>
      <c r="I149" s="8">
        <v>209.35</v>
      </c>
      <c r="J149" s="8">
        <v>32.56</v>
      </c>
      <c r="K149" s="268">
        <v>0.42870000000000003</v>
      </c>
      <c r="L149" s="268">
        <v>0.30640000000000001</v>
      </c>
      <c r="M149" s="268">
        <v>-0.15429999999999999</v>
      </c>
      <c r="N149" s="8">
        <v>765.91</v>
      </c>
      <c r="O149" s="8">
        <v>5097.6000000000004</v>
      </c>
      <c r="P149" s="268">
        <v>0.1502</v>
      </c>
      <c r="Q149" s="8">
        <v>369</v>
      </c>
      <c r="R149" s="8">
        <v>0</v>
      </c>
      <c r="S149" s="8">
        <v>0</v>
      </c>
      <c r="T149" s="8" t="s">
        <v>2683</v>
      </c>
      <c r="U149" s="8" t="s">
        <v>2992</v>
      </c>
      <c r="V149" s="8" t="s">
        <v>2993</v>
      </c>
      <c r="W149" s="8" t="s">
        <v>2994</v>
      </c>
    </row>
    <row r="150" spans="1:23" x14ac:dyDescent="0.3">
      <c r="A150" s="308">
        <v>46079</v>
      </c>
      <c r="B150" s="302">
        <v>2781.6439999999998</v>
      </c>
      <c r="C150" s="8">
        <v>-28.353000000000002</v>
      </c>
      <c r="D150" s="268">
        <v>-1.01E-2</v>
      </c>
      <c r="E150" s="8">
        <v>95.07</v>
      </c>
      <c r="F150" s="8">
        <v>166.959</v>
      </c>
      <c r="G150" s="8">
        <v>143.749</v>
      </c>
      <c r="H150" s="8">
        <v>111.73</v>
      </c>
      <c r="I150" s="8">
        <v>210.85</v>
      </c>
      <c r="J150" s="8">
        <v>38.159999999999997</v>
      </c>
      <c r="K150" s="268">
        <v>0.43890000000000001</v>
      </c>
      <c r="L150" s="268">
        <v>0.32529999999999998</v>
      </c>
      <c r="M150" s="268">
        <v>-0.15479999999999999</v>
      </c>
      <c r="N150" s="8">
        <v>732.51</v>
      </c>
      <c r="O150" s="8">
        <v>5089.8999999999996</v>
      </c>
      <c r="P150" s="268">
        <v>0.1439</v>
      </c>
      <c r="Q150" s="8">
        <v>369</v>
      </c>
      <c r="R150" s="8">
        <v>0</v>
      </c>
      <c r="S150" s="8">
        <v>0</v>
      </c>
      <c r="T150" s="8" t="s">
        <v>2995</v>
      </c>
      <c r="U150" s="8" t="s">
        <v>2996</v>
      </c>
      <c r="V150" s="8" t="s">
        <v>2997</v>
      </c>
      <c r="W150" s="8" t="s">
        <v>2998</v>
      </c>
    </row>
    <row r="151" spans="1:23" x14ac:dyDescent="0.3">
      <c r="A151" s="308">
        <v>46078</v>
      </c>
      <c r="B151" s="302">
        <v>2809.9969999999998</v>
      </c>
      <c r="C151" s="8">
        <v>6.532</v>
      </c>
      <c r="D151" s="268">
        <v>2.3E-3</v>
      </c>
      <c r="E151" s="8">
        <v>96.46</v>
      </c>
      <c r="F151" s="8">
        <v>168.83799999999999</v>
      </c>
      <c r="G151" s="8">
        <v>144.386</v>
      </c>
      <c r="H151" s="8">
        <v>111.64</v>
      </c>
      <c r="I151" s="8">
        <v>214.52</v>
      </c>
      <c r="J151" s="8">
        <v>42.67</v>
      </c>
      <c r="K151" s="268">
        <v>0.45689999999999997</v>
      </c>
      <c r="L151" s="268">
        <v>0.34320000000000001</v>
      </c>
      <c r="M151" s="268">
        <v>-0.15989999999999999</v>
      </c>
      <c r="N151" s="8">
        <v>795.62</v>
      </c>
      <c r="O151" s="8">
        <v>5098.46</v>
      </c>
      <c r="P151" s="268">
        <v>0.156</v>
      </c>
      <c r="Q151" s="8">
        <v>369</v>
      </c>
      <c r="R151" s="8">
        <v>0</v>
      </c>
      <c r="S151" s="8">
        <v>0</v>
      </c>
      <c r="T151" s="8" t="s">
        <v>2999</v>
      </c>
      <c r="U151" s="8" t="s">
        <v>3000</v>
      </c>
      <c r="V151" s="8" t="s">
        <v>3001</v>
      </c>
      <c r="W151" s="8" t="s">
        <v>3002</v>
      </c>
    </row>
    <row r="152" spans="1:23" x14ac:dyDescent="0.3">
      <c r="A152" s="308">
        <v>46077</v>
      </c>
      <c r="B152" s="302">
        <v>2803.4650000000001</v>
      </c>
      <c r="C152" s="8">
        <v>27.73</v>
      </c>
      <c r="D152" s="268">
        <v>0.01</v>
      </c>
      <c r="E152" s="8">
        <v>96.43</v>
      </c>
      <c r="F152" s="8">
        <v>168.32599999999999</v>
      </c>
      <c r="G152" s="8">
        <v>143.57499999999999</v>
      </c>
      <c r="H152" s="8">
        <v>109</v>
      </c>
      <c r="I152" s="8">
        <v>215.74</v>
      </c>
      <c r="J152" s="8">
        <v>47.79</v>
      </c>
      <c r="K152" s="268">
        <v>0.47410000000000002</v>
      </c>
      <c r="L152" s="268">
        <v>0.35849999999999999</v>
      </c>
      <c r="M152" s="268">
        <v>-0.15670000000000001</v>
      </c>
      <c r="N152" s="8">
        <v>649.37</v>
      </c>
      <c r="O152" s="8">
        <v>5228.53</v>
      </c>
      <c r="P152" s="268">
        <v>0.1242</v>
      </c>
      <c r="Q152" s="8">
        <v>370</v>
      </c>
      <c r="R152" s="8">
        <v>0</v>
      </c>
      <c r="S152" s="8">
        <v>0</v>
      </c>
      <c r="T152" s="8" t="s">
        <v>2999</v>
      </c>
      <c r="U152" s="8" t="s">
        <v>3003</v>
      </c>
      <c r="V152" s="8" t="s">
        <v>3004</v>
      </c>
      <c r="W152" s="8" t="s">
        <v>3005</v>
      </c>
    </row>
    <row r="153" spans="1:23" x14ac:dyDescent="0.3">
      <c r="A153" s="308">
        <v>46066</v>
      </c>
      <c r="B153" s="302">
        <v>2775.7350000000001</v>
      </c>
      <c r="C153" s="8">
        <v>-16.867000000000001</v>
      </c>
      <c r="D153" s="268">
        <v>-6.0000000000000001E-3</v>
      </c>
      <c r="E153" s="8">
        <v>95.66</v>
      </c>
      <c r="F153" s="8">
        <v>166.54400000000001</v>
      </c>
      <c r="G153" s="8">
        <v>142.06200000000001</v>
      </c>
      <c r="H153" s="8">
        <v>107.41</v>
      </c>
      <c r="I153" s="8">
        <v>214.41</v>
      </c>
      <c r="J153" s="8">
        <v>49.01</v>
      </c>
      <c r="K153" s="268">
        <v>0.47860000000000003</v>
      </c>
      <c r="L153" s="268">
        <v>0.35870000000000002</v>
      </c>
      <c r="M153" s="268">
        <v>-0.1474</v>
      </c>
      <c r="N153" s="8">
        <v>758.73</v>
      </c>
      <c r="O153" s="8">
        <v>5233.26</v>
      </c>
      <c r="P153" s="268">
        <v>0.14499999999999999</v>
      </c>
      <c r="Q153" s="8">
        <v>370</v>
      </c>
      <c r="R153" s="8">
        <v>0</v>
      </c>
      <c r="S153" s="8">
        <v>0</v>
      </c>
      <c r="T153" s="8" t="s">
        <v>3006</v>
      </c>
      <c r="U153" s="8" t="s">
        <v>2959</v>
      </c>
      <c r="V153" s="8" t="s">
        <v>3007</v>
      </c>
      <c r="W153" s="8" t="s">
        <v>3008</v>
      </c>
    </row>
    <row r="154" spans="1:23" x14ac:dyDescent="0.3">
      <c r="A154" s="308">
        <v>46065</v>
      </c>
      <c r="B154" s="302">
        <v>2792.6019999999999</v>
      </c>
      <c r="C154" s="8">
        <v>12.095000000000001</v>
      </c>
      <c r="D154" s="268">
        <v>4.3E-3</v>
      </c>
      <c r="E154" s="8">
        <v>96.12</v>
      </c>
      <c r="F154" s="8">
        <v>167.571</v>
      </c>
      <c r="G154" s="8">
        <v>143.096</v>
      </c>
      <c r="H154" s="8">
        <v>108.8</v>
      </c>
      <c r="I154" s="8">
        <v>214.88</v>
      </c>
      <c r="J154" s="8">
        <v>48.65</v>
      </c>
      <c r="K154" s="268">
        <v>0.47310000000000002</v>
      </c>
      <c r="L154" s="268">
        <v>0.35680000000000001</v>
      </c>
      <c r="M154" s="268">
        <v>-0.14979999999999999</v>
      </c>
      <c r="N154" s="8">
        <v>831.33</v>
      </c>
      <c r="O154" s="8">
        <v>5231.7700000000004</v>
      </c>
      <c r="P154" s="268">
        <v>0.15890000000000001</v>
      </c>
      <c r="Q154" s="8">
        <v>370</v>
      </c>
      <c r="R154" s="8">
        <v>0</v>
      </c>
      <c r="S154" s="8">
        <v>0</v>
      </c>
      <c r="T154" s="8" t="s">
        <v>3009</v>
      </c>
      <c r="U154" s="8" t="s">
        <v>3010</v>
      </c>
      <c r="V154" s="8" t="s">
        <v>3011</v>
      </c>
      <c r="W154" s="8" t="s">
        <v>3012</v>
      </c>
    </row>
    <row r="155" spans="1:23" x14ac:dyDescent="0.3">
      <c r="A155" s="308">
        <v>46064</v>
      </c>
      <c r="B155" s="302">
        <v>2780.5070000000001</v>
      </c>
      <c r="C155" s="8">
        <v>1.556</v>
      </c>
      <c r="D155" s="268">
        <v>5.9999999999999995E-4</v>
      </c>
      <c r="E155" s="8">
        <v>95.86</v>
      </c>
      <c r="F155" s="8">
        <v>166.42400000000001</v>
      </c>
      <c r="G155" s="8">
        <v>142.40899999999999</v>
      </c>
      <c r="H155" s="8">
        <v>108.76</v>
      </c>
      <c r="I155" s="8">
        <v>213.27</v>
      </c>
      <c r="J155" s="8">
        <v>47.35</v>
      </c>
      <c r="K155" s="268">
        <v>0.46839999999999998</v>
      </c>
      <c r="L155" s="268">
        <v>0.35070000000000001</v>
      </c>
      <c r="M155" s="268">
        <v>-0.14940000000000001</v>
      </c>
      <c r="N155" s="8">
        <v>740.98</v>
      </c>
      <c r="O155" s="8">
        <v>5237.96</v>
      </c>
      <c r="P155" s="268">
        <v>0.14149999999999999</v>
      </c>
      <c r="Q155" s="8">
        <v>370</v>
      </c>
      <c r="R155" s="8">
        <v>0</v>
      </c>
      <c r="S155" s="8">
        <v>0</v>
      </c>
      <c r="T155" s="8" t="s">
        <v>2988</v>
      </c>
      <c r="U155" s="8" t="s">
        <v>3013</v>
      </c>
      <c r="V155" s="8" t="s">
        <v>3014</v>
      </c>
      <c r="W155" s="8" t="s">
        <v>3015</v>
      </c>
    </row>
    <row r="156" spans="1:23" x14ac:dyDescent="0.3">
      <c r="A156" s="308">
        <v>46063</v>
      </c>
      <c r="B156" s="302">
        <v>2778.951</v>
      </c>
      <c r="C156" s="8">
        <v>-0.97299999999999998</v>
      </c>
      <c r="D156" s="268">
        <v>-4.0000000000000002E-4</v>
      </c>
      <c r="E156" s="8">
        <v>96.1</v>
      </c>
      <c r="F156" s="8">
        <v>166.661</v>
      </c>
      <c r="G156" s="8">
        <v>142.05600000000001</v>
      </c>
      <c r="H156" s="8">
        <v>109.1</v>
      </c>
      <c r="I156" s="8">
        <v>213.47</v>
      </c>
      <c r="J156" s="8">
        <v>47.55</v>
      </c>
      <c r="K156" s="268">
        <v>0.46810000000000002</v>
      </c>
      <c r="L156" s="268">
        <v>0.34339999999999998</v>
      </c>
      <c r="M156" s="268">
        <v>-0.14879999999999999</v>
      </c>
      <c r="N156" s="8">
        <v>765.36</v>
      </c>
      <c r="O156" s="8">
        <v>5246.76</v>
      </c>
      <c r="P156" s="268">
        <v>0.1459</v>
      </c>
      <c r="Q156" s="8">
        <v>371</v>
      </c>
      <c r="R156" s="8">
        <v>0</v>
      </c>
      <c r="S156" s="8">
        <v>0</v>
      </c>
      <c r="T156" s="8" t="s">
        <v>3016</v>
      </c>
      <c r="U156" s="8" t="s">
        <v>2811</v>
      </c>
      <c r="V156" s="8" t="s">
        <v>3017</v>
      </c>
      <c r="W156" s="8" t="s">
        <v>3018</v>
      </c>
    </row>
    <row r="157" spans="1:23" x14ac:dyDescent="0.3">
      <c r="A157" s="308">
        <v>46062</v>
      </c>
      <c r="B157" s="302">
        <v>2779.924</v>
      </c>
      <c r="C157" s="8">
        <v>40.137999999999998</v>
      </c>
      <c r="D157" s="268">
        <v>1.47E-2</v>
      </c>
      <c r="E157" s="8">
        <v>96.23</v>
      </c>
      <c r="F157" s="8">
        <v>166.48400000000001</v>
      </c>
      <c r="G157" s="8">
        <v>142.16800000000001</v>
      </c>
      <c r="H157" s="8">
        <v>109.6</v>
      </c>
      <c r="I157" s="8">
        <v>212.83</v>
      </c>
      <c r="J157" s="8">
        <v>46.15</v>
      </c>
      <c r="K157" s="268">
        <v>0.46339999999999998</v>
      </c>
      <c r="L157" s="268">
        <v>0.34360000000000002</v>
      </c>
      <c r="M157" s="268">
        <v>-0.14760000000000001</v>
      </c>
      <c r="N157" s="8">
        <v>857.98</v>
      </c>
      <c r="O157" s="8">
        <v>5263.8</v>
      </c>
      <c r="P157" s="268">
        <v>0.16300000000000001</v>
      </c>
      <c r="Q157" s="8">
        <v>373</v>
      </c>
      <c r="R157" s="8">
        <v>0</v>
      </c>
      <c r="S157" s="8">
        <v>0</v>
      </c>
      <c r="T157" s="8" t="s">
        <v>3019</v>
      </c>
      <c r="U157" s="8" t="s">
        <v>3020</v>
      </c>
      <c r="V157" s="8" t="s">
        <v>3021</v>
      </c>
      <c r="W157" s="8" t="s">
        <v>3022</v>
      </c>
    </row>
    <row r="158" spans="1:23" x14ac:dyDescent="0.3">
      <c r="A158" s="308">
        <v>46059</v>
      </c>
      <c r="B158" s="302">
        <v>2739.7860000000001</v>
      </c>
      <c r="C158" s="8">
        <v>25.917000000000002</v>
      </c>
      <c r="D158" s="268">
        <v>9.4999999999999998E-3</v>
      </c>
      <c r="E158" s="8">
        <v>95.06</v>
      </c>
      <c r="F158" s="8">
        <v>163.66300000000001</v>
      </c>
      <c r="G158" s="8">
        <v>140.98599999999999</v>
      </c>
      <c r="H158" s="8">
        <v>107.78</v>
      </c>
      <c r="I158" s="8">
        <v>210.52</v>
      </c>
      <c r="J158" s="8">
        <v>48.03</v>
      </c>
      <c r="K158" s="268">
        <v>0.46850000000000003</v>
      </c>
      <c r="L158" s="268">
        <v>0.35189999999999999</v>
      </c>
      <c r="M158" s="268">
        <v>-0.1396</v>
      </c>
      <c r="N158" s="8">
        <v>887.48</v>
      </c>
      <c r="O158" s="8">
        <v>5271.95</v>
      </c>
      <c r="P158" s="268">
        <v>0.16830000000000001</v>
      </c>
      <c r="Q158" s="8">
        <v>373</v>
      </c>
      <c r="R158" s="8">
        <v>0</v>
      </c>
      <c r="S158" s="8">
        <v>0</v>
      </c>
      <c r="T158" s="8" t="s">
        <v>2577</v>
      </c>
      <c r="U158" s="8" t="s">
        <v>3023</v>
      </c>
      <c r="V158" s="8" t="s">
        <v>3024</v>
      </c>
      <c r="W158" s="8" t="s">
        <v>3025</v>
      </c>
    </row>
    <row r="159" spans="1:23" x14ac:dyDescent="0.3">
      <c r="A159" s="308">
        <v>46058</v>
      </c>
      <c r="B159" s="302">
        <v>2713.8690000000001</v>
      </c>
      <c r="C159" s="8">
        <v>-22.465</v>
      </c>
      <c r="D159" s="268">
        <v>-8.2000000000000007E-3</v>
      </c>
      <c r="E159" s="8">
        <v>93.53</v>
      </c>
      <c r="F159" s="8">
        <v>161.91200000000001</v>
      </c>
      <c r="G159" s="8">
        <v>139.58000000000001</v>
      </c>
      <c r="H159" s="8">
        <v>108.08</v>
      </c>
      <c r="I159" s="8">
        <v>207.86</v>
      </c>
      <c r="J159" s="8">
        <v>45.47</v>
      </c>
      <c r="K159" s="268">
        <v>0.45950000000000002</v>
      </c>
      <c r="L159" s="268">
        <v>0.33239999999999997</v>
      </c>
      <c r="M159" s="268">
        <v>-0.13539999999999999</v>
      </c>
      <c r="N159" s="8">
        <v>737.4</v>
      </c>
      <c r="O159" s="8">
        <v>5259.55</v>
      </c>
      <c r="P159" s="268">
        <v>0.14019999999999999</v>
      </c>
      <c r="Q159" s="8">
        <v>373</v>
      </c>
      <c r="R159" s="8">
        <v>0</v>
      </c>
      <c r="S159" s="8">
        <v>0</v>
      </c>
      <c r="T159" s="8" t="s">
        <v>3026</v>
      </c>
      <c r="U159" s="8" t="s">
        <v>3027</v>
      </c>
      <c r="V159" s="8" t="s">
        <v>3028</v>
      </c>
      <c r="W159" s="8" t="s">
        <v>3029</v>
      </c>
    </row>
    <row r="160" spans="1:23" x14ac:dyDescent="0.3">
      <c r="A160" s="308">
        <v>46057</v>
      </c>
      <c r="B160" s="302">
        <v>2736.3339999999998</v>
      </c>
      <c r="C160" s="8">
        <v>-12.48</v>
      </c>
      <c r="D160" s="268">
        <v>-4.4999999999999997E-3</v>
      </c>
      <c r="E160" s="8">
        <v>94.8</v>
      </c>
      <c r="F160" s="8">
        <v>163.672</v>
      </c>
      <c r="G160" s="8">
        <v>140.309</v>
      </c>
      <c r="H160" s="8">
        <v>109.28</v>
      </c>
      <c r="I160" s="8">
        <v>209.08</v>
      </c>
      <c r="J160" s="8">
        <v>44.36</v>
      </c>
      <c r="K160" s="268">
        <v>0.4541</v>
      </c>
      <c r="L160" s="268">
        <v>0.32540000000000002</v>
      </c>
      <c r="M160" s="268">
        <v>-0.1376</v>
      </c>
      <c r="N160" s="8">
        <v>873.32</v>
      </c>
      <c r="O160" s="8">
        <v>5265.06</v>
      </c>
      <c r="P160" s="268">
        <v>0.16589999999999999</v>
      </c>
      <c r="Q160" s="8">
        <v>373</v>
      </c>
      <c r="R160" s="8">
        <v>0</v>
      </c>
      <c r="S160" s="8">
        <v>0</v>
      </c>
      <c r="T160" s="8" t="s">
        <v>3030</v>
      </c>
      <c r="U160" s="8" t="s">
        <v>3031</v>
      </c>
      <c r="V160" s="8" t="s">
        <v>3032</v>
      </c>
      <c r="W160" s="8" t="s">
        <v>3033</v>
      </c>
    </row>
    <row r="161" spans="1:23" x14ac:dyDescent="0.3">
      <c r="A161" s="308">
        <v>46056</v>
      </c>
      <c r="B161" s="302">
        <v>2748.8139999999999</v>
      </c>
      <c r="C161" s="8">
        <v>79.206999999999994</v>
      </c>
      <c r="D161" s="268">
        <v>2.9700000000000001E-2</v>
      </c>
      <c r="E161" s="8">
        <v>94.46</v>
      </c>
      <c r="F161" s="8">
        <v>164.822</v>
      </c>
      <c r="G161" s="8">
        <v>140.35900000000001</v>
      </c>
      <c r="H161" s="8">
        <v>107.3</v>
      </c>
      <c r="I161" s="8">
        <v>211.97</v>
      </c>
      <c r="J161" s="8">
        <v>48.23</v>
      </c>
      <c r="K161" s="268">
        <v>0.47149999999999997</v>
      </c>
      <c r="L161" s="268">
        <v>0.34849999999999998</v>
      </c>
      <c r="M161" s="268">
        <v>-0.14119999999999999</v>
      </c>
      <c r="N161" s="8">
        <v>975.48</v>
      </c>
      <c r="O161" s="8">
        <v>5269.93</v>
      </c>
      <c r="P161" s="268">
        <v>0.18509999999999999</v>
      </c>
      <c r="Q161" s="8">
        <v>373</v>
      </c>
      <c r="R161" s="8">
        <v>0</v>
      </c>
      <c r="S161" s="8">
        <v>0</v>
      </c>
      <c r="T161" s="8" t="s">
        <v>3034</v>
      </c>
      <c r="U161" s="8" t="s">
        <v>3035</v>
      </c>
      <c r="V161" s="8" t="s">
        <v>3036</v>
      </c>
      <c r="W161" s="8" t="s">
        <v>3037</v>
      </c>
    </row>
    <row r="162" spans="1:23" x14ac:dyDescent="0.3">
      <c r="A162" s="308">
        <v>46055</v>
      </c>
      <c r="B162" s="302">
        <v>2669.607</v>
      </c>
      <c r="C162" s="8">
        <v>-70.165999999999997</v>
      </c>
      <c r="D162" s="268">
        <v>-2.5600000000000001E-2</v>
      </c>
      <c r="E162" s="8">
        <v>91.47</v>
      </c>
      <c r="F162" s="8">
        <v>160.21600000000001</v>
      </c>
      <c r="G162" s="8">
        <v>136.72</v>
      </c>
      <c r="H162" s="8">
        <v>105.43</v>
      </c>
      <c r="I162" s="8">
        <v>206.74</v>
      </c>
      <c r="J162" s="8">
        <v>45.34</v>
      </c>
      <c r="K162" s="268">
        <v>0.46529999999999999</v>
      </c>
      <c r="L162" s="268">
        <v>0.33339999999999997</v>
      </c>
      <c r="M162" s="268">
        <v>-0.13059999999999999</v>
      </c>
      <c r="N162" s="8">
        <v>850.83</v>
      </c>
      <c r="O162" s="8">
        <v>5274.4</v>
      </c>
      <c r="P162" s="268">
        <v>0.1613</v>
      </c>
      <c r="Q162" s="8">
        <v>376</v>
      </c>
      <c r="R162" s="8">
        <v>0</v>
      </c>
      <c r="S162" s="8">
        <v>0</v>
      </c>
      <c r="T162" s="8" t="s">
        <v>3038</v>
      </c>
      <c r="U162" s="8" t="s">
        <v>3039</v>
      </c>
      <c r="V162" s="8" t="s">
        <v>3040</v>
      </c>
      <c r="W162" s="8" t="s">
        <v>3041</v>
      </c>
    </row>
    <row r="163" spans="1:23" x14ac:dyDescent="0.3">
      <c r="A163" s="308">
        <v>46052</v>
      </c>
      <c r="B163" s="302">
        <v>2739.7730000000001</v>
      </c>
      <c r="C163" s="8">
        <v>-46.191000000000003</v>
      </c>
      <c r="D163" s="268">
        <v>-1.66E-2</v>
      </c>
      <c r="E163" s="8">
        <v>94.85</v>
      </c>
      <c r="F163" s="8">
        <v>164.20500000000001</v>
      </c>
      <c r="G163" s="8">
        <v>140.00399999999999</v>
      </c>
      <c r="H163" s="8">
        <v>108.22</v>
      </c>
      <c r="I163" s="8">
        <v>210.2</v>
      </c>
      <c r="J163" s="8">
        <v>45.04</v>
      </c>
      <c r="K163" s="268">
        <v>0.46</v>
      </c>
      <c r="L163" s="268">
        <v>0.3337</v>
      </c>
      <c r="M163" s="268">
        <v>-0.14080000000000001</v>
      </c>
      <c r="N163" s="8">
        <v>932.44</v>
      </c>
      <c r="O163" s="8">
        <v>5273.1</v>
      </c>
      <c r="P163" s="268">
        <v>0.17680000000000001</v>
      </c>
      <c r="Q163" s="8">
        <v>374</v>
      </c>
      <c r="R163" s="8">
        <v>0</v>
      </c>
      <c r="S163" s="8">
        <v>0</v>
      </c>
      <c r="T163" s="8" t="s">
        <v>3042</v>
      </c>
      <c r="U163" s="8" t="s">
        <v>3043</v>
      </c>
      <c r="V163" s="8" t="s">
        <v>3044</v>
      </c>
      <c r="W163" s="8" t="s">
        <v>3045</v>
      </c>
    </row>
    <row r="164" spans="1:23" x14ac:dyDescent="0.3">
      <c r="A164" s="308">
        <v>46051</v>
      </c>
      <c r="B164" s="302">
        <v>2785.9639999999999</v>
      </c>
      <c r="C164" s="8">
        <v>-19.582999999999998</v>
      </c>
      <c r="D164" s="268">
        <v>-7.0000000000000001E-3</v>
      </c>
      <c r="E164" s="8">
        <v>96.71</v>
      </c>
      <c r="F164" s="8">
        <v>167.72499999999999</v>
      </c>
      <c r="G164" s="8">
        <v>141.48099999999999</v>
      </c>
      <c r="H164" s="8">
        <v>108.36</v>
      </c>
      <c r="I164" s="8">
        <v>215.41</v>
      </c>
      <c r="J164" s="8">
        <v>52.43</v>
      </c>
      <c r="K164" s="268">
        <v>0.4768</v>
      </c>
      <c r="L164" s="268">
        <v>0.36370000000000002</v>
      </c>
      <c r="M164" s="268">
        <v>-0.14929999999999999</v>
      </c>
      <c r="N164" s="8">
        <v>870.04</v>
      </c>
      <c r="O164" s="8">
        <v>5277.63</v>
      </c>
      <c r="P164" s="268">
        <v>0.16489999999999999</v>
      </c>
      <c r="Q164" s="8">
        <v>374</v>
      </c>
      <c r="R164" s="8">
        <v>0</v>
      </c>
      <c r="S164" s="8">
        <v>0</v>
      </c>
      <c r="T164" s="8" t="s">
        <v>2378</v>
      </c>
      <c r="U164" s="8" t="s">
        <v>3046</v>
      </c>
      <c r="V164" s="8" t="s">
        <v>3047</v>
      </c>
      <c r="W164" s="8" t="s">
        <v>3048</v>
      </c>
    </row>
    <row r="165" spans="1:23" x14ac:dyDescent="0.3">
      <c r="A165" s="308">
        <v>46050</v>
      </c>
      <c r="B165" s="302">
        <v>2805.547</v>
      </c>
      <c r="C165" s="8">
        <v>17.425999999999998</v>
      </c>
      <c r="D165" s="268">
        <v>6.3E-3</v>
      </c>
      <c r="E165" s="8">
        <v>97.81</v>
      </c>
      <c r="F165" s="8">
        <v>169.41800000000001</v>
      </c>
      <c r="G165" s="8">
        <v>142.59800000000001</v>
      </c>
      <c r="H165" s="8">
        <v>109.39</v>
      </c>
      <c r="I165" s="8">
        <v>216.52</v>
      </c>
      <c r="J165" s="8">
        <v>50.58</v>
      </c>
      <c r="K165" s="268">
        <v>0.47099999999999997</v>
      </c>
      <c r="L165" s="268">
        <v>0.3584</v>
      </c>
      <c r="M165" s="268">
        <v>-0.15179999999999999</v>
      </c>
      <c r="N165" s="8">
        <v>836.57</v>
      </c>
      <c r="O165" s="8">
        <v>5275.12</v>
      </c>
      <c r="P165" s="268">
        <v>0.15859999999999999</v>
      </c>
      <c r="Q165" s="8">
        <v>374</v>
      </c>
      <c r="R165" s="8">
        <v>0</v>
      </c>
      <c r="S165" s="8">
        <v>0</v>
      </c>
      <c r="T165" s="8" t="s">
        <v>2677</v>
      </c>
      <c r="U165" s="8" t="s">
        <v>3049</v>
      </c>
      <c r="V165" s="8" t="s">
        <v>3050</v>
      </c>
      <c r="W165" s="8" t="s">
        <v>3051</v>
      </c>
    </row>
    <row r="166" spans="1:23" x14ac:dyDescent="0.3">
      <c r="A166" s="308">
        <v>46049</v>
      </c>
      <c r="B166" s="302">
        <v>2788.1210000000001</v>
      </c>
      <c r="C166" s="8">
        <v>8.0340000000000007</v>
      </c>
      <c r="D166" s="268">
        <v>2.8999999999999998E-3</v>
      </c>
      <c r="E166" s="8">
        <v>97.03</v>
      </c>
      <c r="F166" s="8">
        <v>168.279</v>
      </c>
      <c r="G166" s="8">
        <v>140.96199999999999</v>
      </c>
      <c r="H166" s="8">
        <v>109.65</v>
      </c>
      <c r="I166" s="8">
        <v>213.47</v>
      </c>
      <c r="J166" s="8">
        <v>46.71</v>
      </c>
      <c r="K166" s="268">
        <v>0.45190000000000002</v>
      </c>
      <c r="L166" s="268">
        <v>0.33900000000000002</v>
      </c>
      <c r="M166" s="268">
        <v>-0.1487</v>
      </c>
      <c r="N166" s="8">
        <v>908.73</v>
      </c>
      <c r="O166" s="8">
        <v>5279.66</v>
      </c>
      <c r="P166" s="268">
        <v>0.1721</v>
      </c>
      <c r="Q166" s="8">
        <v>374</v>
      </c>
      <c r="R166" s="8">
        <v>0</v>
      </c>
      <c r="S166" s="8">
        <v>0</v>
      </c>
      <c r="T166" s="8" t="s">
        <v>2388</v>
      </c>
      <c r="U166" s="8" t="s">
        <v>3052</v>
      </c>
      <c r="V166" s="8" t="s">
        <v>3053</v>
      </c>
      <c r="W166" s="8" t="s">
        <v>3054</v>
      </c>
    </row>
    <row r="167" spans="1:23" x14ac:dyDescent="0.3">
      <c r="A167" s="308">
        <v>46048</v>
      </c>
      <c r="B167" s="302">
        <v>2780.087</v>
      </c>
      <c r="C167" s="8">
        <v>-41.935000000000002</v>
      </c>
      <c r="D167" s="268">
        <v>-1.49E-2</v>
      </c>
      <c r="E167" s="8">
        <v>97.3</v>
      </c>
      <c r="F167" s="8">
        <v>167.47200000000001</v>
      </c>
      <c r="G167" s="8">
        <v>141.02099999999999</v>
      </c>
      <c r="H167" s="8">
        <v>110.18</v>
      </c>
      <c r="I167" s="8">
        <v>212.19</v>
      </c>
      <c r="J167" s="8">
        <v>44.92</v>
      </c>
      <c r="K167" s="268">
        <v>0.44719999999999999</v>
      </c>
      <c r="L167" s="268">
        <v>0.33550000000000002</v>
      </c>
      <c r="M167" s="268">
        <v>-0.14760000000000001</v>
      </c>
      <c r="N167" s="8">
        <v>962.16</v>
      </c>
      <c r="O167" s="8">
        <v>5284.98</v>
      </c>
      <c r="P167" s="268">
        <v>0.18210000000000001</v>
      </c>
      <c r="Q167" s="8">
        <v>374</v>
      </c>
      <c r="R167" s="8">
        <v>0</v>
      </c>
      <c r="S167" s="8">
        <v>0</v>
      </c>
      <c r="T167" s="8" t="s">
        <v>3055</v>
      </c>
      <c r="U167" s="8" t="s">
        <v>3056</v>
      </c>
      <c r="V167" s="8" t="s">
        <v>3057</v>
      </c>
      <c r="W167" s="8" t="s">
        <v>3058</v>
      </c>
    </row>
    <row r="168" spans="1:23" x14ac:dyDescent="0.3">
      <c r="A168" s="308">
        <v>46045</v>
      </c>
      <c r="B168" s="302">
        <v>2822.0219999999999</v>
      </c>
      <c r="C168" s="8">
        <v>32.856000000000002</v>
      </c>
      <c r="D168" s="268">
        <v>1.18E-2</v>
      </c>
      <c r="E168" s="8">
        <v>98.55</v>
      </c>
      <c r="F168" s="8">
        <v>171.08600000000001</v>
      </c>
      <c r="G168" s="8">
        <v>143.18799999999999</v>
      </c>
      <c r="H168" s="8">
        <v>111.86</v>
      </c>
      <c r="I168" s="8">
        <v>215.76</v>
      </c>
      <c r="J168" s="8">
        <v>43.53</v>
      </c>
      <c r="K168" s="268">
        <v>0.44679999999999997</v>
      </c>
      <c r="L168" s="268">
        <v>0.33460000000000001</v>
      </c>
      <c r="M168" s="268">
        <v>-0.1537</v>
      </c>
      <c r="N168" s="8">
        <v>1040.98</v>
      </c>
      <c r="O168" s="8">
        <v>5293.95</v>
      </c>
      <c r="P168" s="268">
        <v>0.1966</v>
      </c>
      <c r="Q168" s="8">
        <v>377</v>
      </c>
      <c r="R168" s="8">
        <v>0</v>
      </c>
      <c r="S168" s="8">
        <v>0</v>
      </c>
      <c r="T168" s="8" t="s">
        <v>2451</v>
      </c>
      <c r="U168" s="8" t="s">
        <v>3059</v>
      </c>
      <c r="V168" s="8" t="s">
        <v>3060</v>
      </c>
      <c r="W168" s="8" t="s">
        <v>3061</v>
      </c>
    </row>
    <row r="169" spans="1:23" x14ac:dyDescent="0.3">
      <c r="A169" s="308">
        <v>46044</v>
      </c>
      <c r="B169" s="302">
        <v>2789.1660000000002</v>
      </c>
      <c r="C169" s="8">
        <v>29.992000000000001</v>
      </c>
      <c r="D169" s="268">
        <v>1.09E-2</v>
      </c>
      <c r="E169" s="8">
        <v>97.87</v>
      </c>
      <c r="F169" s="8">
        <v>169.02799999999999</v>
      </c>
      <c r="G169" s="8">
        <v>142.26499999999999</v>
      </c>
      <c r="H169" s="8">
        <v>109.87</v>
      </c>
      <c r="I169" s="8">
        <v>214.76</v>
      </c>
      <c r="J169" s="8">
        <v>44.49</v>
      </c>
      <c r="K169" s="268">
        <v>0.45739999999999997</v>
      </c>
      <c r="L169" s="268">
        <v>0.34449999999999997</v>
      </c>
      <c r="M169" s="268">
        <v>-0.14810000000000001</v>
      </c>
      <c r="N169" s="8">
        <v>957.74</v>
      </c>
      <c r="O169" s="8">
        <v>5302.41</v>
      </c>
      <c r="P169" s="268">
        <v>0.18060000000000001</v>
      </c>
      <c r="Q169" s="8">
        <v>377</v>
      </c>
      <c r="R169" s="8">
        <v>0</v>
      </c>
      <c r="S169" s="8">
        <v>0</v>
      </c>
      <c r="T169" s="8" t="s">
        <v>3062</v>
      </c>
      <c r="U169" s="8" t="s">
        <v>3063</v>
      </c>
      <c r="V169" s="8" t="s">
        <v>3064</v>
      </c>
      <c r="W169" s="8" t="s">
        <v>3065</v>
      </c>
    </row>
    <row r="170" spans="1:23" x14ac:dyDescent="0.3">
      <c r="A170" s="308">
        <v>46043</v>
      </c>
      <c r="B170" s="302">
        <v>2759.174</v>
      </c>
      <c r="C170" s="8">
        <v>35.624000000000002</v>
      </c>
      <c r="D170" s="268">
        <v>1.3100000000000001E-2</v>
      </c>
      <c r="E170" s="8">
        <v>97.19</v>
      </c>
      <c r="F170" s="8">
        <v>166.84399999999999</v>
      </c>
      <c r="G170" s="8">
        <v>140.69999999999999</v>
      </c>
      <c r="H170" s="8">
        <v>108.19</v>
      </c>
      <c r="I170" s="8">
        <v>212.39</v>
      </c>
      <c r="J170" s="8">
        <v>45.56</v>
      </c>
      <c r="K170" s="268">
        <v>0.45550000000000002</v>
      </c>
      <c r="L170" s="268">
        <v>0.33779999999999999</v>
      </c>
      <c r="M170" s="268">
        <v>-0.1424</v>
      </c>
      <c r="N170" s="8">
        <v>912.89</v>
      </c>
      <c r="O170" s="8">
        <v>5312.19</v>
      </c>
      <c r="P170" s="268">
        <v>0.17180000000000001</v>
      </c>
      <c r="Q170" s="8">
        <v>377</v>
      </c>
      <c r="R170" s="8">
        <v>0</v>
      </c>
      <c r="S170" s="8">
        <v>0</v>
      </c>
      <c r="T170" s="8" t="s">
        <v>3066</v>
      </c>
      <c r="U170" s="8" t="s">
        <v>2859</v>
      </c>
      <c r="V170" s="8" t="s">
        <v>3067</v>
      </c>
      <c r="W170" s="8" t="s">
        <v>3068</v>
      </c>
    </row>
    <row r="171" spans="1:23" x14ac:dyDescent="0.3">
      <c r="A171" s="308">
        <v>46042</v>
      </c>
      <c r="B171" s="302">
        <v>2723.55</v>
      </c>
      <c r="C171" s="8">
        <v>-25.151</v>
      </c>
      <c r="D171" s="268">
        <v>-9.1999999999999998E-3</v>
      </c>
      <c r="E171" s="8">
        <v>96.44</v>
      </c>
      <c r="F171" s="8">
        <v>164.249</v>
      </c>
      <c r="G171" s="8">
        <v>139.05000000000001</v>
      </c>
      <c r="H171" s="8">
        <v>108.07</v>
      </c>
      <c r="I171" s="8">
        <v>209.2</v>
      </c>
      <c r="J171" s="8">
        <v>44.38</v>
      </c>
      <c r="K171" s="268">
        <v>0.44950000000000001</v>
      </c>
      <c r="L171" s="268">
        <v>0.33410000000000001</v>
      </c>
      <c r="M171" s="268">
        <v>-0.13689999999999999</v>
      </c>
      <c r="N171" s="8">
        <v>883.43</v>
      </c>
      <c r="O171" s="8">
        <v>5314.88</v>
      </c>
      <c r="P171" s="268">
        <v>0.16619999999999999</v>
      </c>
      <c r="Q171" s="8">
        <v>377</v>
      </c>
      <c r="R171" s="8">
        <v>0</v>
      </c>
      <c r="S171" s="8">
        <v>0</v>
      </c>
      <c r="T171" s="8" t="s">
        <v>3069</v>
      </c>
      <c r="U171" s="8" t="s">
        <v>3070</v>
      </c>
      <c r="V171" s="8" t="s">
        <v>3071</v>
      </c>
      <c r="W171" s="8" t="s">
        <v>3072</v>
      </c>
    </row>
    <row r="172" spans="1:23" ht="28" customHeight="1" x14ac:dyDescent="0.3">
      <c r="A172" s="308">
        <v>46041</v>
      </c>
      <c r="B172" s="302">
        <v>2748.701</v>
      </c>
      <c r="C172" s="8">
        <v>16.177</v>
      </c>
      <c r="D172" s="268">
        <v>5.8999999999999999E-3</v>
      </c>
      <c r="E172" s="8">
        <v>97.08</v>
      </c>
      <c r="F172" s="8">
        <v>166.25899999999999</v>
      </c>
      <c r="G172" s="8">
        <v>139.72900000000001</v>
      </c>
      <c r="H172" s="8">
        <v>107.14</v>
      </c>
      <c r="I172" s="8">
        <v>211.88</v>
      </c>
      <c r="J172" s="8">
        <v>46.14</v>
      </c>
      <c r="K172" s="268">
        <v>0.45619999999999999</v>
      </c>
      <c r="L172" s="268">
        <v>0.33539999999999998</v>
      </c>
      <c r="M172" s="268">
        <v>-0.1394</v>
      </c>
      <c r="N172" s="8">
        <v>869.68</v>
      </c>
      <c r="O172" s="8">
        <v>5316.62</v>
      </c>
      <c r="P172" s="268">
        <v>0.1636</v>
      </c>
      <c r="Q172" s="8">
        <v>378</v>
      </c>
      <c r="R172" s="8">
        <v>0</v>
      </c>
      <c r="S172" s="8">
        <v>0</v>
      </c>
      <c r="T172" s="8" t="s">
        <v>3073</v>
      </c>
      <c r="U172" s="8" t="s">
        <v>3074</v>
      </c>
      <c r="V172" s="8" t="s">
        <v>3075</v>
      </c>
      <c r="W172" s="8" t="s">
        <v>3076</v>
      </c>
    </row>
    <row r="173" spans="1:23" ht="28" customHeight="1" x14ac:dyDescent="0.3">
      <c r="A173" s="308">
        <v>46038</v>
      </c>
      <c r="B173" s="302">
        <v>2732.5239999999999</v>
      </c>
      <c r="C173" s="8">
        <v>19.102</v>
      </c>
      <c r="D173" s="268">
        <v>7.0000000000000001E-3</v>
      </c>
      <c r="E173" s="8">
        <v>97.03</v>
      </c>
      <c r="F173" s="8">
        <v>165.233</v>
      </c>
      <c r="G173" s="8">
        <v>139.00899999999999</v>
      </c>
      <c r="H173" s="8">
        <v>106.91</v>
      </c>
      <c r="I173" s="8">
        <v>211.26</v>
      </c>
      <c r="J173" s="8">
        <v>47.84</v>
      </c>
      <c r="K173" s="268">
        <v>0.46029999999999999</v>
      </c>
      <c r="L173" s="268">
        <v>0.34</v>
      </c>
      <c r="M173" s="268">
        <v>-0.13739999999999999</v>
      </c>
      <c r="N173" s="8">
        <v>1033.44</v>
      </c>
      <c r="O173" s="8">
        <v>5307.14</v>
      </c>
      <c r="P173" s="268">
        <v>0.19470000000000001</v>
      </c>
      <c r="Q173" s="8">
        <v>378</v>
      </c>
      <c r="R173" s="8">
        <v>0</v>
      </c>
      <c r="S173" s="8">
        <v>0</v>
      </c>
      <c r="T173" s="8" t="s">
        <v>2456</v>
      </c>
      <c r="U173" s="8" t="s">
        <v>3077</v>
      </c>
      <c r="V173" s="8" t="s">
        <v>3078</v>
      </c>
      <c r="W173" s="8" t="s">
        <v>3079</v>
      </c>
    </row>
    <row r="174" spans="1:23" ht="28" customHeight="1" x14ac:dyDescent="0.3">
      <c r="A174" s="308">
        <v>46037</v>
      </c>
      <c r="B174" s="302">
        <v>2713.422</v>
      </c>
      <c r="C174" s="8">
        <v>3.2250000000000001</v>
      </c>
      <c r="D174" s="268">
        <v>1.1999999999999999E-3</v>
      </c>
      <c r="E174" s="8">
        <v>96.47</v>
      </c>
      <c r="F174" s="8">
        <v>164.09100000000001</v>
      </c>
      <c r="G174" s="8">
        <v>138.44200000000001</v>
      </c>
      <c r="H174" s="8">
        <v>106.72</v>
      </c>
      <c r="I174" s="8">
        <v>209.81</v>
      </c>
      <c r="J174" s="8">
        <v>46.27</v>
      </c>
      <c r="K174" s="268">
        <v>0.4572</v>
      </c>
      <c r="L174" s="268">
        <v>0.33019999999999999</v>
      </c>
      <c r="M174" s="268">
        <v>-0.1366</v>
      </c>
      <c r="N174" s="8">
        <v>953.71</v>
      </c>
      <c r="O174" s="8">
        <v>5311.21</v>
      </c>
      <c r="P174" s="268">
        <v>0.17960000000000001</v>
      </c>
      <c r="Q174" s="8">
        <v>379</v>
      </c>
      <c r="R174" s="8">
        <v>0</v>
      </c>
      <c r="S174" s="8">
        <v>0</v>
      </c>
      <c r="T174" s="8" t="s">
        <v>3080</v>
      </c>
      <c r="U174" s="8" t="s">
        <v>3081</v>
      </c>
      <c r="V174" s="8" t="s">
        <v>3082</v>
      </c>
      <c r="W174" s="8" t="s">
        <v>3083</v>
      </c>
    </row>
    <row r="175" spans="1:23" ht="28" customHeight="1" x14ac:dyDescent="0.3">
      <c r="A175" s="308">
        <v>46036</v>
      </c>
      <c r="B175" s="302">
        <v>2710.1970000000001</v>
      </c>
      <c r="C175" s="8">
        <v>9.5060000000000002</v>
      </c>
      <c r="D175" s="268">
        <v>3.5000000000000001E-3</v>
      </c>
      <c r="E175" s="8">
        <v>96.53</v>
      </c>
      <c r="F175" s="8">
        <v>164.22200000000001</v>
      </c>
      <c r="G175" s="8">
        <v>138.19999999999999</v>
      </c>
      <c r="H175" s="8">
        <v>106.08</v>
      </c>
      <c r="I175" s="8">
        <v>210.03</v>
      </c>
      <c r="J175" s="8">
        <v>46.98</v>
      </c>
      <c r="K175" s="268">
        <v>0.45800000000000002</v>
      </c>
      <c r="L175" s="268">
        <v>0.33200000000000002</v>
      </c>
      <c r="M175" s="268">
        <v>-0.13589999999999999</v>
      </c>
      <c r="N175" s="8">
        <v>1113.21</v>
      </c>
      <c r="O175" s="8">
        <v>5283.74</v>
      </c>
      <c r="P175" s="268">
        <v>0.2107</v>
      </c>
      <c r="Q175" s="8">
        <v>378</v>
      </c>
      <c r="R175" s="8">
        <v>0</v>
      </c>
      <c r="S175" s="8">
        <v>0</v>
      </c>
      <c r="T175" s="8" t="s">
        <v>3084</v>
      </c>
      <c r="U175" s="8" t="s">
        <v>3085</v>
      </c>
      <c r="V175" s="8" t="s">
        <v>3086</v>
      </c>
      <c r="W175" s="8" t="s">
        <v>3087</v>
      </c>
    </row>
    <row r="176" spans="1:23" ht="28" customHeight="1" x14ac:dyDescent="0.3">
      <c r="A176" s="308">
        <v>46035</v>
      </c>
      <c r="B176" s="302">
        <v>2700.6909999999998</v>
      </c>
      <c r="C176" s="8">
        <v>-35.488</v>
      </c>
      <c r="D176" s="268">
        <v>-1.2999999999999999E-2</v>
      </c>
      <c r="E176" s="8">
        <v>96.18</v>
      </c>
      <c r="F176" s="8">
        <v>163.28800000000001</v>
      </c>
      <c r="G176" s="8">
        <v>137.97</v>
      </c>
      <c r="H176" s="8">
        <v>106.09</v>
      </c>
      <c r="I176" s="8">
        <v>209.24</v>
      </c>
      <c r="J176" s="8">
        <v>46.9</v>
      </c>
      <c r="K176" s="268">
        <v>0.45960000000000001</v>
      </c>
      <c r="L176" s="268">
        <v>0.33629999999999999</v>
      </c>
      <c r="M176" s="268">
        <v>-0.13550000000000001</v>
      </c>
      <c r="N176" s="8">
        <v>1038.44</v>
      </c>
      <c r="O176" s="8">
        <v>5288.73</v>
      </c>
      <c r="P176" s="268">
        <v>0.1963</v>
      </c>
      <c r="Q176" s="8">
        <v>379</v>
      </c>
      <c r="R176" s="8">
        <v>0</v>
      </c>
      <c r="S176" s="8">
        <v>0</v>
      </c>
      <c r="T176" s="8" t="s">
        <v>3088</v>
      </c>
      <c r="U176" s="8" t="s">
        <v>3089</v>
      </c>
      <c r="V176" s="8" t="s">
        <v>3090</v>
      </c>
      <c r="W176" s="8" t="s">
        <v>3091</v>
      </c>
    </row>
    <row r="177" spans="1:23" ht="28" customHeight="1" x14ac:dyDescent="0.3">
      <c r="A177" s="308">
        <v>46034</v>
      </c>
      <c r="B177" s="302">
        <v>2736.1790000000001</v>
      </c>
      <c r="C177" s="8">
        <v>46.134</v>
      </c>
      <c r="D177" s="268">
        <v>1.72E-2</v>
      </c>
      <c r="E177" s="8">
        <v>97.98</v>
      </c>
      <c r="F177" s="8">
        <v>165.46799999999999</v>
      </c>
      <c r="G177" s="8">
        <v>139.92099999999999</v>
      </c>
      <c r="H177" s="8">
        <v>106.98</v>
      </c>
      <c r="I177" s="8">
        <v>211.58</v>
      </c>
      <c r="J177" s="8">
        <v>47.15</v>
      </c>
      <c r="K177" s="268">
        <v>0.4612</v>
      </c>
      <c r="L177" s="268">
        <v>0.33400000000000002</v>
      </c>
      <c r="M177" s="268">
        <v>-0.14230000000000001</v>
      </c>
      <c r="N177" s="8">
        <v>1084.74</v>
      </c>
      <c r="O177" s="8">
        <v>5302.28</v>
      </c>
      <c r="P177" s="268">
        <v>0.2046</v>
      </c>
      <c r="Q177" s="8">
        <v>380</v>
      </c>
      <c r="R177" s="8">
        <v>0</v>
      </c>
      <c r="S177" s="8">
        <v>0</v>
      </c>
      <c r="T177" s="8" t="s">
        <v>3092</v>
      </c>
      <c r="U177" s="8" t="s">
        <v>3093</v>
      </c>
      <c r="V177" s="8" t="s">
        <v>3094</v>
      </c>
      <c r="W177" s="8" t="s">
        <v>3095</v>
      </c>
    </row>
    <row r="178" spans="1:23" ht="28" customHeight="1" x14ac:dyDescent="0.3">
      <c r="A178" s="308">
        <v>46031</v>
      </c>
      <c r="B178" s="302">
        <v>2690.0450000000001</v>
      </c>
      <c r="C178" s="8">
        <v>29.952999999999999</v>
      </c>
      <c r="D178" s="268">
        <v>1.1299999999999999E-2</v>
      </c>
      <c r="E178" s="8">
        <v>96.79</v>
      </c>
      <c r="F178" s="8">
        <v>161.85</v>
      </c>
      <c r="G178" s="8">
        <v>138.32</v>
      </c>
      <c r="H178" s="8">
        <v>105.76</v>
      </c>
      <c r="I178" s="8">
        <v>208.21</v>
      </c>
      <c r="J178" s="8">
        <v>46.23</v>
      </c>
      <c r="K178" s="268">
        <v>0.46360000000000001</v>
      </c>
      <c r="L178" s="268">
        <v>0.33169999999999999</v>
      </c>
      <c r="M178" s="268">
        <v>-0.1328</v>
      </c>
      <c r="N178" s="8">
        <v>1018.66</v>
      </c>
      <c r="O178" s="8">
        <v>5299.47</v>
      </c>
      <c r="P178" s="268">
        <v>0.19220000000000001</v>
      </c>
      <c r="Q178" s="8">
        <v>380</v>
      </c>
      <c r="R178" s="8">
        <v>0</v>
      </c>
      <c r="S178" s="8">
        <v>0</v>
      </c>
      <c r="T178" s="8" t="s">
        <v>3096</v>
      </c>
      <c r="U178" s="8" t="s">
        <v>3097</v>
      </c>
      <c r="V178" s="8" t="s">
        <v>3098</v>
      </c>
      <c r="W178" s="8" t="s">
        <v>3099</v>
      </c>
    </row>
    <row r="179" spans="1:23" ht="28" customHeight="1" x14ac:dyDescent="0.3">
      <c r="A179" s="308">
        <v>46030</v>
      </c>
      <c r="B179" s="302">
        <v>2660.0920000000001</v>
      </c>
      <c r="C179" s="8">
        <v>18.516999999999999</v>
      </c>
      <c r="D179" s="268">
        <v>7.0000000000000001E-3</v>
      </c>
      <c r="E179" s="8">
        <v>95.69</v>
      </c>
      <c r="F179" s="8">
        <v>159.60499999999999</v>
      </c>
      <c r="G179" s="8">
        <v>137.43899999999999</v>
      </c>
      <c r="H179" s="8">
        <v>104.68</v>
      </c>
      <c r="I179" s="8">
        <v>205.98</v>
      </c>
      <c r="J179" s="8">
        <v>45.08</v>
      </c>
      <c r="K179" s="268">
        <v>0.46379999999999999</v>
      </c>
      <c r="L179" s="268">
        <v>0.33510000000000001</v>
      </c>
      <c r="M179" s="268">
        <v>-0.127</v>
      </c>
      <c r="N179" s="8">
        <v>979.67</v>
      </c>
      <c r="O179" s="8">
        <v>5302.98</v>
      </c>
      <c r="P179" s="268">
        <v>0.1847</v>
      </c>
      <c r="Q179" s="8">
        <v>380</v>
      </c>
      <c r="R179" s="8">
        <v>0</v>
      </c>
      <c r="S179" s="8">
        <v>0</v>
      </c>
      <c r="T179" s="8" t="s">
        <v>3100</v>
      </c>
      <c r="U179" s="8" t="s">
        <v>3101</v>
      </c>
      <c r="V179" s="8" t="s">
        <v>3102</v>
      </c>
      <c r="W179" s="8" t="s">
        <v>3103</v>
      </c>
    </row>
    <row r="180" spans="1:23" ht="28" customHeight="1" x14ac:dyDescent="0.3">
      <c r="A180" s="308">
        <v>46029</v>
      </c>
      <c r="B180" s="302">
        <v>2641.5749999999998</v>
      </c>
      <c r="C180" s="8">
        <v>13.404</v>
      </c>
      <c r="D180" s="268">
        <v>5.1000000000000004E-3</v>
      </c>
      <c r="E180" s="8">
        <v>95.24</v>
      </c>
      <c r="F180" s="8">
        <v>158.411</v>
      </c>
      <c r="G180" s="8">
        <v>137.16900000000001</v>
      </c>
      <c r="H180" s="8">
        <v>103.67</v>
      </c>
      <c r="I180" s="8">
        <v>205.44</v>
      </c>
      <c r="J180" s="8">
        <v>44.15</v>
      </c>
      <c r="K180" s="268">
        <v>0.4703</v>
      </c>
      <c r="L180" s="268">
        <v>0.33950000000000002</v>
      </c>
      <c r="M180" s="268">
        <v>-0.1244</v>
      </c>
      <c r="N180" s="8">
        <v>928.06</v>
      </c>
      <c r="O180" s="8">
        <v>5304.46</v>
      </c>
      <c r="P180" s="268">
        <v>0.17499999999999999</v>
      </c>
      <c r="Q180" s="8">
        <v>380</v>
      </c>
      <c r="R180" s="8">
        <v>0</v>
      </c>
      <c r="S180" s="8">
        <v>0</v>
      </c>
      <c r="T180" s="8" t="s">
        <v>3104</v>
      </c>
      <c r="U180" s="8" t="s">
        <v>3105</v>
      </c>
      <c r="V180" s="8" t="s">
        <v>3106</v>
      </c>
      <c r="W180" s="8" t="s">
        <v>3107</v>
      </c>
    </row>
    <row r="181" spans="1:23" ht="28" customHeight="1" x14ac:dyDescent="0.3">
      <c r="A181" s="308">
        <v>46028</v>
      </c>
      <c r="B181" s="302">
        <v>2628.1709999999998</v>
      </c>
      <c r="C181" s="8">
        <v>35.494</v>
      </c>
      <c r="D181" s="268">
        <v>1.37E-2</v>
      </c>
      <c r="E181" s="8">
        <v>94.99</v>
      </c>
      <c r="F181" s="8">
        <v>157.88499999999999</v>
      </c>
      <c r="G181" s="8">
        <v>137.43899999999999</v>
      </c>
      <c r="H181" s="8">
        <v>104.09</v>
      </c>
      <c r="I181" s="8">
        <v>204.45</v>
      </c>
      <c r="J181" s="8">
        <v>44.86</v>
      </c>
      <c r="K181" s="268">
        <v>0.46560000000000001</v>
      </c>
      <c r="L181" s="268">
        <v>0.34399999999999997</v>
      </c>
      <c r="M181" s="268">
        <v>-0.12330000000000001</v>
      </c>
      <c r="N181" s="8">
        <v>959.68</v>
      </c>
      <c r="O181" s="8">
        <v>5311.13</v>
      </c>
      <c r="P181" s="268">
        <v>0.1807</v>
      </c>
      <c r="Q181" s="8">
        <v>381</v>
      </c>
      <c r="R181" s="8">
        <v>0</v>
      </c>
      <c r="S181" s="8">
        <v>0</v>
      </c>
      <c r="T181" s="8" t="s">
        <v>3108</v>
      </c>
      <c r="U181" s="8" t="s">
        <v>3109</v>
      </c>
      <c r="V181" s="8" t="s">
        <v>3110</v>
      </c>
      <c r="W181" s="8" t="s">
        <v>3111</v>
      </c>
    </row>
    <row r="182" spans="1:23" ht="28" customHeight="1" x14ac:dyDescent="0.3">
      <c r="A182" s="308">
        <v>46027</v>
      </c>
      <c r="B182" s="302">
        <v>2592.6770000000001</v>
      </c>
      <c r="C182" s="8">
        <v>41.457000000000001</v>
      </c>
      <c r="D182" s="268">
        <v>1.6299999999999999E-2</v>
      </c>
      <c r="E182" s="8">
        <v>92.83</v>
      </c>
      <c r="F182" s="8">
        <v>155.64500000000001</v>
      </c>
      <c r="G182" s="8">
        <v>135.596</v>
      </c>
      <c r="H182" s="8">
        <v>103.13</v>
      </c>
      <c r="I182" s="8">
        <v>202.19</v>
      </c>
      <c r="J182" s="8">
        <v>45</v>
      </c>
      <c r="K182" s="268">
        <v>0.46550000000000002</v>
      </c>
      <c r="L182" s="268">
        <v>0.33200000000000002</v>
      </c>
      <c r="M182" s="268">
        <v>-0.1142</v>
      </c>
      <c r="N182" s="8">
        <v>850.75</v>
      </c>
      <c r="O182" s="8">
        <v>5313.37</v>
      </c>
      <c r="P182" s="268">
        <v>0.16009999999999999</v>
      </c>
      <c r="Q182" s="8">
        <v>381</v>
      </c>
      <c r="R182" s="8">
        <v>0</v>
      </c>
      <c r="S182" s="8">
        <v>0</v>
      </c>
      <c r="T182" s="8" t="s">
        <v>3112</v>
      </c>
      <c r="U182" s="8" t="s">
        <v>3113</v>
      </c>
      <c r="V182" s="8" t="s">
        <v>3114</v>
      </c>
      <c r="W182" s="8" t="s">
        <v>3115</v>
      </c>
    </row>
    <row r="183" spans="1:23" x14ac:dyDescent="0.3">
      <c r="A183" s="308">
        <v>46022</v>
      </c>
      <c r="B183" s="302">
        <v>2551.2199999999998</v>
      </c>
      <c r="C183" s="8">
        <v>5.27</v>
      </c>
      <c r="D183" s="268">
        <v>2.0999999999999999E-3</v>
      </c>
      <c r="E183" s="8">
        <v>89.05</v>
      </c>
      <c r="F183" s="8">
        <v>152.84899999999999</v>
      </c>
      <c r="G183" s="8">
        <v>133.74100000000001</v>
      </c>
      <c r="H183" s="8">
        <v>101.67</v>
      </c>
      <c r="I183" s="8">
        <v>199.86</v>
      </c>
      <c r="J183" s="8">
        <v>45.32</v>
      </c>
      <c r="K183" s="268">
        <v>0.47010000000000002</v>
      </c>
      <c r="L183" s="268">
        <v>0.33029999999999998</v>
      </c>
      <c r="M183" s="268">
        <v>-0.10580000000000001</v>
      </c>
      <c r="N183" s="8">
        <v>814.21</v>
      </c>
      <c r="O183" s="8">
        <v>5298.23</v>
      </c>
      <c r="P183" s="268">
        <v>0.1537</v>
      </c>
      <c r="Q183" s="8">
        <v>379</v>
      </c>
      <c r="R183" s="8">
        <v>0</v>
      </c>
      <c r="S183" s="8">
        <v>0</v>
      </c>
      <c r="T183" s="8" t="s">
        <v>2413</v>
      </c>
      <c r="U183" s="8" t="s">
        <v>3116</v>
      </c>
      <c r="V183" s="8" t="s">
        <v>3117</v>
      </c>
      <c r="W183" s="8" t="s">
        <v>3118</v>
      </c>
    </row>
    <row r="184" spans="1:23" x14ac:dyDescent="0.3">
      <c r="A184" s="308">
        <v>46021</v>
      </c>
      <c r="B184" s="302">
        <v>2545.9499999999998</v>
      </c>
      <c r="C184" s="8">
        <v>4.4980000000000002</v>
      </c>
      <c r="D184" s="268">
        <v>1.8E-3</v>
      </c>
      <c r="E184" s="8">
        <v>88.9</v>
      </c>
      <c r="F184" s="8">
        <v>152.49199999999999</v>
      </c>
      <c r="G184" s="8">
        <v>133.48599999999999</v>
      </c>
      <c r="H184" s="8">
        <v>102.27</v>
      </c>
      <c r="I184" s="8">
        <v>198.94</v>
      </c>
      <c r="J184" s="8">
        <v>44.26</v>
      </c>
      <c r="K184" s="268">
        <v>0.46450000000000002</v>
      </c>
      <c r="L184" s="268">
        <v>0.32119999999999999</v>
      </c>
      <c r="M184" s="268">
        <v>-0.10440000000000001</v>
      </c>
      <c r="N184" s="8">
        <v>828.96</v>
      </c>
      <c r="O184" s="8">
        <v>5297.34</v>
      </c>
      <c r="P184" s="268">
        <v>0.1565</v>
      </c>
      <c r="Q184" s="8">
        <v>379</v>
      </c>
      <c r="R184" s="8">
        <v>0</v>
      </c>
      <c r="S184" s="8">
        <v>0</v>
      </c>
      <c r="T184" s="8" t="s">
        <v>2754</v>
      </c>
      <c r="U184" s="8" t="s">
        <v>3119</v>
      </c>
      <c r="V184" s="8" t="s">
        <v>3120</v>
      </c>
      <c r="W184" s="8" t="s">
        <v>3121</v>
      </c>
    </row>
    <row r="185" spans="1:23" ht="28" customHeight="1" x14ac:dyDescent="0.3">
      <c r="A185" s="308">
        <v>46020</v>
      </c>
      <c r="B185" s="302">
        <v>2541.4520000000002</v>
      </c>
      <c r="C185" s="8">
        <v>-8.952</v>
      </c>
      <c r="D185" s="268">
        <v>-3.5000000000000001E-3</v>
      </c>
      <c r="E185" s="8">
        <v>88.52</v>
      </c>
      <c r="F185" s="8">
        <v>152.376</v>
      </c>
      <c r="G185" s="8">
        <v>133.02699999999999</v>
      </c>
      <c r="H185" s="8">
        <v>101.95</v>
      </c>
      <c r="I185" s="8">
        <v>198.19</v>
      </c>
      <c r="J185" s="8">
        <v>42.27</v>
      </c>
      <c r="K185" s="268">
        <v>0.45810000000000001</v>
      </c>
      <c r="L185" s="268">
        <v>0.31640000000000001</v>
      </c>
      <c r="M185" s="268">
        <v>-0.1038</v>
      </c>
      <c r="N185" s="8">
        <v>780.9</v>
      </c>
      <c r="O185" s="8">
        <v>5315.03</v>
      </c>
      <c r="P185" s="268">
        <v>0.1469</v>
      </c>
      <c r="Q185" s="8">
        <v>380</v>
      </c>
      <c r="R185" s="8">
        <v>0</v>
      </c>
      <c r="S185" s="8">
        <v>0</v>
      </c>
      <c r="T185" s="8" t="s">
        <v>3122</v>
      </c>
      <c r="U185" s="8" t="s">
        <v>3123</v>
      </c>
      <c r="V185" s="8" t="s">
        <v>3124</v>
      </c>
      <c r="W185" s="8" t="s">
        <v>3125</v>
      </c>
    </row>
    <row r="186" spans="1:23" ht="28" customHeight="1" x14ac:dyDescent="0.3">
      <c r="A186" s="308">
        <v>46017</v>
      </c>
      <c r="B186" s="302">
        <v>2550.404</v>
      </c>
      <c r="C186" s="8">
        <v>-5.8029999999999999</v>
      </c>
      <c r="D186" s="268">
        <v>-2.3E-3</v>
      </c>
      <c r="E186" s="8">
        <v>89.96</v>
      </c>
      <c r="F186" s="8">
        <v>152.72399999999999</v>
      </c>
      <c r="G186" s="8">
        <v>134.00899999999999</v>
      </c>
      <c r="H186" s="8">
        <v>102.22</v>
      </c>
      <c r="I186" s="8">
        <v>198.34</v>
      </c>
      <c r="J186" s="8">
        <v>42.59</v>
      </c>
      <c r="K186" s="268">
        <v>0.45619999999999999</v>
      </c>
      <c r="L186" s="268">
        <v>0.32819999999999999</v>
      </c>
      <c r="M186" s="268">
        <v>-0.1048</v>
      </c>
      <c r="N186" s="8">
        <v>940.52</v>
      </c>
      <c r="O186" s="8">
        <v>5326.14</v>
      </c>
      <c r="P186" s="268">
        <v>0.17660000000000001</v>
      </c>
      <c r="Q186" s="8">
        <v>380</v>
      </c>
      <c r="R186" s="8">
        <v>0</v>
      </c>
      <c r="S186" s="8">
        <v>0</v>
      </c>
      <c r="T186" s="8" t="s">
        <v>3126</v>
      </c>
      <c r="U186" s="8" t="s">
        <v>3127</v>
      </c>
      <c r="V186" s="8" t="s">
        <v>3128</v>
      </c>
      <c r="W186" s="8" t="s">
        <v>3129</v>
      </c>
    </row>
    <row r="187" spans="1:23" ht="28" customHeight="1" x14ac:dyDescent="0.3">
      <c r="A187" s="308">
        <v>46016</v>
      </c>
      <c r="B187" s="302">
        <v>2556.2069999999999</v>
      </c>
      <c r="C187" s="8">
        <v>25.209</v>
      </c>
      <c r="D187" s="268">
        <v>0.01</v>
      </c>
      <c r="E187" s="8">
        <v>90.9</v>
      </c>
      <c r="F187" s="8">
        <v>153.17400000000001</v>
      </c>
      <c r="G187" s="8">
        <v>134.24100000000001</v>
      </c>
      <c r="H187" s="8">
        <v>102.6</v>
      </c>
      <c r="I187" s="8">
        <v>198.95</v>
      </c>
      <c r="J187" s="8">
        <v>43.27</v>
      </c>
      <c r="K187" s="268">
        <v>0.4577</v>
      </c>
      <c r="L187" s="268">
        <v>0.32729999999999998</v>
      </c>
      <c r="M187" s="268">
        <v>-0.10539999999999999</v>
      </c>
      <c r="N187" s="8">
        <v>885.25</v>
      </c>
      <c r="O187" s="8">
        <v>5329.35</v>
      </c>
      <c r="P187" s="268">
        <v>0.1661</v>
      </c>
      <c r="Q187" s="8">
        <v>380</v>
      </c>
      <c r="R187" s="8">
        <v>0</v>
      </c>
      <c r="S187" s="8">
        <v>0</v>
      </c>
      <c r="T187" s="8" t="s">
        <v>3130</v>
      </c>
      <c r="U187" s="8" t="s">
        <v>3131</v>
      </c>
      <c r="V187" s="8" t="s">
        <v>3132</v>
      </c>
      <c r="W187" s="8" t="s">
        <v>3133</v>
      </c>
    </row>
    <row r="188" spans="1:23" ht="28" customHeight="1" x14ac:dyDescent="0.3">
      <c r="A188" s="308">
        <v>46015</v>
      </c>
      <c r="B188" s="302">
        <v>2530.998</v>
      </c>
      <c r="C188" s="8">
        <v>25.605</v>
      </c>
      <c r="D188" s="268">
        <v>1.0200000000000001E-2</v>
      </c>
      <c r="E188" s="8">
        <v>88.33</v>
      </c>
      <c r="F188" s="8">
        <v>151.523</v>
      </c>
      <c r="G188" s="8">
        <v>133.32300000000001</v>
      </c>
      <c r="H188" s="8">
        <v>101.9</v>
      </c>
      <c r="I188" s="8">
        <v>197.57</v>
      </c>
      <c r="J188" s="8">
        <v>43.48</v>
      </c>
      <c r="K188" s="268">
        <v>0.46050000000000002</v>
      </c>
      <c r="L188" s="268">
        <v>0.33239999999999997</v>
      </c>
      <c r="M188" s="268">
        <v>-0.1009</v>
      </c>
      <c r="N188" s="8">
        <v>758.99</v>
      </c>
      <c r="O188" s="8">
        <v>5331.61</v>
      </c>
      <c r="P188" s="268">
        <v>0.1424</v>
      </c>
      <c r="Q188" s="8">
        <v>379</v>
      </c>
      <c r="R188" s="8">
        <v>0</v>
      </c>
      <c r="S188" s="8">
        <v>0</v>
      </c>
      <c r="T188" s="8" t="s">
        <v>3134</v>
      </c>
      <c r="U188" s="8" t="s">
        <v>3135</v>
      </c>
      <c r="V188" s="8" t="s">
        <v>3136</v>
      </c>
      <c r="W188" s="8" t="s">
        <v>3137</v>
      </c>
    </row>
    <row r="189" spans="1:23" ht="28" customHeight="1" x14ac:dyDescent="0.3">
      <c r="A189" s="308">
        <v>46014</v>
      </c>
      <c r="B189" s="302">
        <v>2505.393</v>
      </c>
      <c r="C189" s="8">
        <v>-10.061999999999999</v>
      </c>
      <c r="D189" s="268">
        <v>-4.0000000000000001E-3</v>
      </c>
      <c r="E189" s="8">
        <v>86.75</v>
      </c>
      <c r="F189" s="8">
        <v>149.45599999999999</v>
      </c>
      <c r="G189" s="8">
        <v>132.58000000000001</v>
      </c>
      <c r="H189" s="8">
        <v>100.57</v>
      </c>
      <c r="I189" s="8">
        <v>196.29</v>
      </c>
      <c r="J189" s="8">
        <v>45.56</v>
      </c>
      <c r="K189" s="268">
        <v>0.46839999999999998</v>
      </c>
      <c r="L189" s="268">
        <v>0.33210000000000001</v>
      </c>
      <c r="M189" s="268">
        <v>-9.6299999999999997E-2</v>
      </c>
      <c r="N189" s="8">
        <v>713.32</v>
      </c>
      <c r="O189" s="8">
        <v>5336.08</v>
      </c>
      <c r="P189" s="268">
        <v>0.13370000000000001</v>
      </c>
      <c r="Q189" s="8">
        <v>379</v>
      </c>
      <c r="R189" s="8">
        <v>0</v>
      </c>
      <c r="S189" s="8">
        <v>0</v>
      </c>
      <c r="T189" s="8" t="s">
        <v>3138</v>
      </c>
      <c r="U189" s="8" t="s">
        <v>3139</v>
      </c>
      <c r="V189" s="8" t="s">
        <v>3140</v>
      </c>
      <c r="W189" s="8" t="s">
        <v>3141</v>
      </c>
    </row>
    <row r="190" spans="1:23" x14ac:dyDescent="0.3">
      <c r="A190" s="308">
        <v>46013</v>
      </c>
      <c r="B190" s="302">
        <v>2515.4549999999999</v>
      </c>
      <c r="C190" s="8">
        <v>15.525</v>
      </c>
      <c r="D190" s="268">
        <v>6.1999999999999998E-3</v>
      </c>
      <c r="E190" s="8">
        <v>88.44</v>
      </c>
      <c r="F190" s="8">
        <v>149.97999999999999</v>
      </c>
      <c r="G190" s="8">
        <v>133.09700000000001</v>
      </c>
      <c r="H190" s="8">
        <v>101.18</v>
      </c>
      <c r="I190" s="8">
        <v>196.32</v>
      </c>
      <c r="J190" s="8">
        <v>43.7</v>
      </c>
      <c r="K190" s="268">
        <v>0.46339999999999998</v>
      </c>
      <c r="L190" s="268">
        <v>0.33169999999999999</v>
      </c>
      <c r="M190" s="268">
        <v>-9.98E-2</v>
      </c>
      <c r="N190" s="8">
        <v>704.19</v>
      </c>
      <c r="O190" s="8">
        <v>5342.17</v>
      </c>
      <c r="P190" s="268">
        <v>0.1318</v>
      </c>
      <c r="Q190" s="8">
        <v>381</v>
      </c>
      <c r="R190" s="8">
        <v>0</v>
      </c>
      <c r="S190" s="8">
        <v>0</v>
      </c>
      <c r="T190" s="8" t="s">
        <v>3142</v>
      </c>
      <c r="U190" s="8" t="s">
        <v>3143</v>
      </c>
      <c r="V190" s="8" t="s">
        <v>3144</v>
      </c>
      <c r="W190" s="8" t="s">
        <v>3145</v>
      </c>
    </row>
    <row r="191" spans="1:23" x14ac:dyDescent="0.3">
      <c r="A191" s="308">
        <v>46010</v>
      </c>
      <c r="B191" s="302">
        <v>2499.9299999999998</v>
      </c>
      <c r="C191" s="8">
        <v>12.487</v>
      </c>
      <c r="D191" s="268">
        <v>5.0000000000000001E-3</v>
      </c>
      <c r="E191" s="8">
        <v>86.04</v>
      </c>
      <c r="F191" s="8">
        <v>149.36099999999999</v>
      </c>
      <c r="G191" s="8">
        <v>132.14400000000001</v>
      </c>
      <c r="H191" s="8">
        <v>101.07</v>
      </c>
      <c r="I191" s="8">
        <v>196.07</v>
      </c>
      <c r="J191" s="8">
        <v>42.61</v>
      </c>
      <c r="K191" s="268">
        <v>0.46710000000000002</v>
      </c>
      <c r="L191" s="268">
        <v>0.33119999999999999</v>
      </c>
      <c r="M191" s="268">
        <v>-9.8199999999999996E-2</v>
      </c>
      <c r="N191" s="8">
        <v>718.44</v>
      </c>
      <c r="O191" s="8">
        <v>5345.87</v>
      </c>
      <c r="P191" s="268">
        <v>0.13439999999999999</v>
      </c>
      <c r="Q191" s="8">
        <v>382</v>
      </c>
      <c r="R191" s="8">
        <v>0</v>
      </c>
      <c r="S191" s="8">
        <v>0</v>
      </c>
      <c r="T191" s="8" t="s">
        <v>2506</v>
      </c>
      <c r="U191" s="8" t="s">
        <v>3146</v>
      </c>
      <c r="V191" s="8" t="s">
        <v>3147</v>
      </c>
      <c r="W191" s="8" t="s">
        <v>3148</v>
      </c>
    </row>
    <row r="192" spans="1:23" ht="28" x14ac:dyDescent="0.3">
      <c r="A192" s="308">
        <v>46009</v>
      </c>
      <c r="B192" s="302">
        <v>2487.4430000000002</v>
      </c>
      <c r="C192" s="8">
        <v>6.9450000000000003</v>
      </c>
      <c r="D192" s="268">
        <v>2.8E-3</v>
      </c>
      <c r="E192" s="8">
        <v>85.04</v>
      </c>
      <c r="F192" s="8">
        <v>148.18799999999999</v>
      </c>
      <c r="G192" s="8">
        <v>131.29599999999999</v>
      </c>
      <c r="H192" s="8">
        <v>100.37</v>
      </c>
      <c r="I192" s="8">
        <v>196.11</v>
      </c>
      <c r="J192" s="8">
        <v>46.84</v>
      </c>
      <c r="K192" s="268">
        <v>0.47920000000000001</v>
      </c>
      <c r="L192" s="268">
        <v>0.33339999999999997</v>
      </c>
      <c r="M192" s="268">
        <v>-9.5000000000000001E-2</v>
      </c>
      <c r="N192" s="8">
        <v>657.13</v>
      </c>
      <c r="O192" s="8">
        <v>5351.56</v>
      </c>
      <c r="P192" s="268">
        <v>0.12280000000000001</v>
      </c>
      <c r="Q192" s="8">
        <v>384</v>
      </c>
      <c r="R192" s="8">
        <v>0</v>
      </c>
      <c r="S192" s="8" t="s">
        <v>3149</v>
      </c>
      <c r="T192" s="8" t="s">
        <v>3150</v>
      </c>
      <c r="U192" s="8" t="s">
        <v>2654</v>
      </c>
      <c r="V192" s="8" t="s">
        <v>3151</v>
      </c>
      <c r="W192" s="8" t="s">
        <v>3152</v>
      </c>
    </row>
    <row r="193" spans="1:23" ht="28" x14ac:dyDescent="0.3">
      <c r="A193" s="308">
        <v>46008</v>
      </c>
      <c r="B193" s="302">
        <v>2480.498</v>
      </c>
      <c r="C193" s="8">
        <v>23.001999999999999</v>
      </c>
      <c r="D193" s="268">
        <v>9.4000000000000004E-3</v>
      </c>
      <c r="E193" s="8">
        <v>84.3</v>
      </c>
      <c r="F193" s="8">
        <v>147.89699999999999</v>
      </c>
      <c r="G193" s="8">
        <v>130.815</v>
      </c>
      <c r="H193" s="8">
        <v>100.1</v>
      </c>
      <c r="I193" s="8">
        <v>196.25</v>
      </c>
      <c r="J193" s="8">
        <v>46.13</v>
      </c>
      <c r="K193" s="268">
        <v>0.48359999999999997</v>
      </c>
      <c r="L193" s="268">
        <v>0.33729999999999999</v>
      </c>
      <c r="M193" s="268">
        <v>-9.2700000000000005E-2</v>
      </c>
      <c r="N193" s="8">
        <v>632.44000000000005</v>
      </c>
      <c r="O193" s="8">
        <v>5359.2</v>
      </c>
      <c r="P193" s="268">
        <v>0.11799999999999999</v>
      </c>
      <c r="Q193" s="8">
        <v>385</v>
      </c>
      <c r="R193" s="8">
        <v>0</v>
      </c>
      <c r="S193" s="8" t="s">
        <v>3153</v>
      </c>
      <c r="T193" s="8" t="s">
        <v>3154</v>
      </c>
      <c r="U193" s="8" t="s">
        <v>3155</v>
      </c>
      <c r="V193" s="8" t="s">
        <v>3156</v>
      </c>
      <c r="W193" s="8" t="s">
        <v>3157</v>
      </c>
    </row>
    <row r="194" spans="1:23" ht="28" x14ac:dyDescent="0.3">
      <c r="A194" s="308">
        <v>46007</v>
      </c>
      <c r="B194" s="302">
        <v>2457.4960000000001</v>
      </c>
      <c r="C194" s="8">
        <v>-21.843</v>
      </c>
      <c r="D194" s="268">
        <v>-8.8000000000000005E-3</v>
      </c>
      <c r="E194" s="8">
        <v>81.48</v>
      </c>
      <c r="F194" s="8">
        <v>146.42599999999999</v>
      </c>
      <c r="G194" s="8">
        <v>129.98099999999999</v>
      </c>
      <c r="H194" s="8">
        <v>98.85</v>
      </c>
      <c r="I194" s="8">
        <v>194.68</v>
      </c>
      <c r="J194" s="8">
        <v>45.83</v>
      </c>
      <c r="K194" s="268">
        <v>0.48259999999999997</v>
      </c>
      <c r="L194" s="268">
        <v>0.33779999999999999</v>
      </c>
      <c r="M194" s="268">
        <v>-8.8400000000000006E-2</v>
      </c>
      <c r="N194" s="8">
        <v>578.62</v>
      </c>
      <c r="O194" s="8">
        <v>5368.85</v>
      </c>
      <c r="P194" s="268">
        <v>0.10780000000000001</v>
      </c>
      <c r="Q194" s="8">
        <v>387</v>
      </c>
      <c r="R194" s="8">
        <v>0</v>
      </c>
      <c r="S194" s="8" t="s">
        <v>3158</v>
      </c>
      <c r="T194" s="8" t="s">
        <v>3159</v>
      </c>
      <c r="U194" s="8" t="s">
        <v>3160</v>
      </c>
      <c r="V194" s="8" t="s">
        <v>3161</v>
      </c>
      <c r="W194" s="8" t="s">
        <v>3162</v>
      </c>
    </row>
    <row r="195" spans="1:23" x14ac:dyDescent="0.3">
      <c r="A195" s="308">
        <v>46006</v>
      </c>
      <c r="B195" s="302">
        <v>2479.3389999999999</v>
      </c>
      <c r="C195" s="8">
        <v>-5.1180000000000003</v>
      </c>
      <c r="D195" s="268">
        <v>-2.0999999999999999E-3</v>
      </c>
      <c r="E195" s="8">
        <v>82.85</v>
      </c>
      <c r="F195" s="8">
        <v>147.988</v>
      </c>
      <c r="G195" s="8">
        <v>130.93700000000001</v>
      </c>
      <c r="H195" s="8">
        <v>100.06</v>
      </c>
      <c r="I195" s="8">
        <v>194.88</v>
      </c>
      <c r="J195" s="8">
        <v>40.9</v>
      </c>
      <c r="K195" s="268">
        <v>0.46889999999999998</v>
      </c>
      <c r="L195" s="268">
        <v>0.32300000000000001</v>
      </c>
      <c r="M195" s="268">
        <v>-9.1700000000000004E-2</v>
      </c>
      <c r="N195" s="8">
        <v>593.94000000000005</v>
      </c>
      <c r="O195" s="8">
        <v>5373.9</v>
      </c>
      <c r="P195" s="268">
        <v>0.1105</v>
      </c>
      <c r="Q195" s="8">
        <v>388</v>
      </c>
      <c r="R195" s="8">
        <v>0</v>
      </c>
      <c r="S195" s="8">
        <v>0</v>
      </c>
      <c r="T195" s="8" t="s">
        <v>3059</v>
      </c>
      <c r="U195" s="8" t="s">
        <v>3163</v>
      </c>
      <c r="V195" s="8" t="s">
        <v>3164</v>
      </c>
      <c r="W195" s="8" t="s">
        <v>3165</v>
      </c>
    </row>
    <row r="196" spans="1:23" x14ac:dyDescent="0.3">
      <c r="A196" s="308">
        <v>46003</v>
      </c>
      <c r="B196" s="302">
        <v>2484.4569999999999</v>
      </c>
      <c r="C196" s="8">
        <v>9.2080000000000002</v>
      </c>
      <c r="D196" s="268">
        <v>3.7000000000000002E-3</v>
      </c>
      <c r="E196" s="8">
        <v>84.17</v>
      </c>
      <c r="F196" s="8">
        <v>148.40100000000001</v>
      </c>
      <c r="G196" s="8">
        <v>130.923</v>
      </c>
      <c r="H196" s="8">
        <v>99.89</v>
      </c>
      <c r="I196" s="8">
        <v>195.62</v>
      </c>
      <c r="J196" s="8">
        <v>44.01</v>
      </c>
      <c r="K196" s="268">
        <v>0.47220000000000001</v>
      </c>
      <c r="L196" s="268">
        <v>0.32600000000000001</v>
      </c>
      <c r="M196" s="268">
        <v>-9.1999999999999998E-2</v>
      </c>
      <c r="N196" s="8">
        <v>672.55</v>
      </c>
      <c r="O196" s="8">
        <v>5366.92</v>
      </c>
      <c r="P196" s="268">
        <v>0.12529999999999999</v>
      </c>
      <c r="Q196" s="8">
        <v>388</v>
      </c>
      <c r="R196" s="8">
        <v>0</v>
      </c>
      <c r="S196" s="8">
        <v>0</v>
      </c>
      <c r="T196" s="8" t="s">
        <v>3166</v>
      </c>
      <c r="U196" s="8" t="s">
        <v>3167</v>
      </c>
      <c r="V196" s="8" t="s">
        <v>3168</v>
      </c>
      <c r="W196" s="8" t="s">
        <v>3169</v>
      </c>
    </row>
    <row r="197" spans="1:23" x14ac:dyDescent="0.3">
      <c r="A197" s="308">
        <v>46002</v>
      </c>
      <c r="B197" s="302">
        <v>2475.2489999999998</v>
      </c>
      <c r="C197" s="8">
        <v>-14.04</v>
      </c>
      <c r="D197" s="268">
        <v>-5.5999999999999999E-3</v>
      </c>
      <c r="E197" s="8">
        <v>83.51</v>
      </c>
      <c r="F197" s="8">
        <v>147.376</v>
      </c>
      <c r="G197" s="8">
        <v>131.124</v>
      </c>
      <c r="H197" s="8">
        <v>99.11</v>
      </c>
      <c r="I197" s="8">
        <v>194.63</v>
      </c>
      <c r="J197" s="8">
        <v>43.92</v>
      </c>
      <c r="K197" s="268">
        <v>0.47249999999999998</v>
      </c>
      <c r="L197" s="268">
        <v>0.32719999999999999</v>
      </c>
      <c r="M197" s="268">
        <v>-9.06E-2</v>
      </c>
      <c r="N197" s="8">
        <v>568.14</v>
      </c>
      <c r="O197" s="8">
        <v>5370.35</v>
      </c>
      <c r="P197" s="268">
        <v>0.10580000000000001</v>
      </c>
      <c r="Q197" s="8">
        <v>389</v>
      </c>
      <c r="R197" s="8">
        <v>0</v>
      </c>
      <c r="S197" s="8">
        <v>0</v>
      </c>
      <c r="T197" s="8" t="s">
        <v>3170</v>
      </c>
      <c r="U197" s="8" t="s">
        <v>3171</v>
      </c>
      <c r="V197" s="8" t="s">
        <v>3172</v>
      </c>
      <c r="W197" s="8" t="s">
        <v>3173</v>
      </c>
    </row>
    <row r="198" spans="1:23" x14ac:dyDescent="0.3">
      <c r="A198" s="308">
        <v>46001</v>
      </c>
      <c r="B198" s="302">
        <v>2489.2890000000002</v>
      </c>
      <c r="C198" s="8">
        <v>9.6950000000000003</v>
      </c>
      <c r="D198" s="268">
        <v>3.8999999999999998E-3</v>
      </c>
      <c r="E198" s="8">
        <v>85.79</v>
      </c>
      <c r="F198" s="8">
        <v>148.26599999999999</v>
      </c>
      <c r="G198" s="8">
        <v>132.07499999999999</v>
      </c>
      <c r="H198" s="8">
        <v>99.9</v>
      </c>
      <c r="I198" s="8">
        <v>193.89</v>
      </c>
      <c r="J198" s="8">
        <v>40.31</v>
      </c>
      <c r="K198" s="268">
        <v>0.45619999999999999</v>
      </c>
      <c r="L198" s="268">
        <v>0.312</v>
      </c>
      <c r="M198" s="268">
        <v>-9.3299999999999994E-2</v>
      </c>
      <c r="N198" s="8">
        <v>543.91</v>
      </c>
      <c r="O198" s="8">
        <v>5369.11</v>
      </c>
      <c r="P198" s="268">
        <v>0.1013</v>
      </c>
      <c r="Q198" s="8">
        <v>389</v>
      </c>
      <c r="R198" s="8">
        <v>0</v>
      </c>
      <c r="S198" s="8">
        <v>0</v>
      </c>
      <c r="T198" s="8" t="s">
        <v>2437</v>
      </c>
      <c r="U198" s="8" t="s">
        <v>3174</v>
      </c>
      <c r="V198" s="8" t="s">
        <v>3175</v>
      </c>
      <c r="W198" s="8" t="s">
        <v>3176</v>
      </c>
    </row>
    <row r="199" spans="1:23" x14ac:dyDescent="0.3">
      <c r="A199" s="308">
        <v>46000</v>
      </c>
      <c r="B199" s="302">
        <v>2479.5940000000001</v>
      </c>
      <c r="C199" s="8">
        <v>-17.404</v>
      </c>
      <c r="D199" s="268">
        <v>-7.0000000000000001E-3</v>
      </c>
      <c r="E199" s="8">
        <v>84.53</v>
      </c>
      <c r="F199" s="8">
        <v>147.369</v>
      </c>
      <c r="G199" s="8">
        <v>131.255</v>
      </c>
      <c r="H199" s="8">
        <v>100.15</v>
      </c>
      <c r="I199" s="8">
        <v>192.17</v>
      </c>
      <c r="J199" s="8">
        <v>38.119999999999997</v>
      </c>
      <c r="K199" s="268">
        <v>0.44800000000000001</v>
      </c>
      <c r="L199" s="268">
        <v>0.30580000000000002</v>
      </c>
      <c r="M199" s="268">
        <v>-9.1499999999999998E-2</v>
      </c>
      <c r="N199" s="8">
        <v>592.77</v>
      </c>
      <c r="O199" s="8">
        <v>5382.76</v>
      </c>
      <c r="P199" s="268">
        <v>0.1101</v>
      </c>
      <c r="Q199" s="8">
        <v>392</v>
      </c>
      <c r="R199" s="8">
        <v>0</v>
      </c>
      <c r="S199" s="8">
        <v>0</v>
      </c>
      <c r="T199" s="8" t="s">
        <v>3177</v>
      </c>
      <c r="U199" s="8" t="s">
        <v>3178</v>
      </c>
      <c r="V199" s="8" t="s">
        <v>3179</v>
      </c>
      <c r="W199" s="8" t="s">
        <v>3180</v>
      </c>
    </row>
    <row r="200" spans="1:23" x14ac:dyDescent="0.3">
      <c r="A200" s="308">
        <v>45999</v>
      </c>
      <c r="B200" s="302">
        <v>2496.998</v>
      </c>
      <c r="C200" s="8">
        <v>15.263</v>
      </c>
      <c r="D200" s="268">
        <v>6.1000000000000004E-3</v>
      </c>
      <c r="E200" s="8">
        <v>86.96</v>
      </c>
      <c r="F200" s="8">
        <v>148.58600000000001</v>
      </c>
      <c r="G200" s="8">
        <v>132.44399999999999</v>
      </c>
      <c r="H200" s="8">
        <v>101.51</v>
      </c>
      <c r="I200" s="8">
        <v>192.89</v>
      </c>
      <c r="J200" s="8">
        <v>38.729999999999997</v>
      </c>
      <c r="K200" s="268">
        <v>0.44309999999999999</v>
      </c>
      <c r="L200" s="268">
        <v>0.30809999999999998</v>
      </c>
      <c r="M200" s="268">
        <v>-9.5600000000000004E-2</v>
      </c>
      <c r="N200" s="8">
        <v>652.91999999999996</v>
      </c>
      <c r="O200" s="8">
        <v>5389.17</v>
      </c>
      <c r="P200" s="268">
        <v>0.1212</v>
      </c>
      <c r="Q200" s="8">
        <v>395</v>
      </c>
      <c r="R200" s="8">
        <v>0</v>
      </c>
      <c r="S200" s="8">
        <v>0</v>
      </c>
      <c r="T200" s="8" t="s">
        <v>3181</v>
      </c>
      <c r="U200" s="8" t="s">
        <v>3182</v>
      </c>
      <c r="V200" s="8" t="s">
        <v>3183</v>
      </c>
      <c r="W200" s="8" t="s">
        <v>3184</v>
      </c>
    </row>
    <row r="201" spans="1:23" x14ac:dyDescent="0.3">
      <c r="A201" s="308">
        <v>45996</v>
      </c>
      <c r="B201" s="302">
        <v>2481.7350000000001</v>
      </c>
      <c r="C201" s="8">
        <v>27.972999999999999</v>
      </c>
      <c r="D201" s="268">
        <v>1.14E-2</v>
      </c>
      <c r="E201" s="8">
        <v>86.41</v>
      </c>
      <c r="F201" s="8">
        <v>147.46799999999999</v>
      </c>
      <c r="G201" s="8">
        <v>131.816</v>
      </c>
      <c r="H201" s="8">
        <v>101.45</v>
      </c>
      <c r="I201" s="8">
        <v>191.94</v>
      </c>
      <c r="J201" s="8">
        <v>38.79</v>
      </c>
      <c r="K201" s="268">
        <v>0.44469999999999998</v>
      </c>
      <c r="L201" s="268">
        <v>0.315</v>
      </c>
      <c r="M201" s="268">
        <v>-9.2399999999999996E-2</v>
      </c>
      <c r="N201" s="8">
        <v>601.53</v>
      </c>
      <c r="O201" s="8">
        <v>5394.16</v>
      </c>
      <c r="P201" s="268">
        <v>0.1115</v>
      </c>
      <c r="Q201" s="8">
        <v>395</v>
      </c>
      <c r="R201" s="8">
        <v>0</v>
      </c>
      <c r="S201" s="8">
        <v>0</v>
      </c>
      <c r="T201" s="8" t="s">
        <v>3185</v>
      </c>
      <c r="U201" s="8" t="s">
        <v>3186</v>
      </c>
      <c r="V201" s="8" t="s">
        <v>3187</v>
      </c>
      <c r="W201" s="8" t="s">
        <v>3188</v>
      </c>
    </row>
    <row r="202" spans="1:23" x14ac:dyDescent="0.3">
      <c r="A202" s="308">
        <v>45995</v>
      </c>
      <c r="B202" s="302">
        <v>2453.7620000000002</v>
      </c>
      <c r="C202" s="8">
        <v>-4.1539999999999999</v>
      </c>
      <c r="D202" s="268">
        <v>-1.6999999999999999E-3</v>
      </c>
      <c r="E202" s="8">
        <v>82.49</v>
      </c>
      <c r="F202" s="8">
        <v>145.483</v>
      </c>
      <c r="G202" s="8">
        <v>130.54599999999999</v>
      </c>
      <c r="H202" s="8">
        <v>100.1</v>
      </c>
      <c r="I202" s="8">
        <v>190.36</v>
      </c>
      <c r="J202" s="8">
        <v>39.74</v>
      </c>
      <c r="K202" s="268">
        <v>0.44879999999999998</v>
      </c>
      <c r="L202" s="268">
        <v>0.317</v>
      </c>
      <c r="M202" s="268">
        <v>-8.6999999999999994E-2</v>
      </c>
      <c r="N202" s="8">
        <v>525.55999999999995</v>
      </c>
      <c r="O202" s="8">
        <v>5396.92</v>
      </c>
      <c r="P202" s="268">
        <v>9.74E-2</v>
      </c>
      <c r="Q202" s="8">
        <v>395</v>
      </c>
      <c r="R202" s="8">
        <v>0</v>
      </c>
      <c r="S202" s="8">
        <v>0</v>
      </c>
      <c r="T202" s="8" t="s">
        <v>3189</v>
      </c>
      <c r="U202" s="8" t="s">
        <v>3190</v>
      </c>
      <c r="V202" s="8" t="s">
        <v>3191</v>
      </c>
      <c r="W202" s="8" t="s">
        <v>3192</v>
      </c>
    </row>
    <row r="203" spans="1:23" x14ac:dyDescent="0.3">
      <c r="A203" s="308">
        <v>45994</v>
      </c>
      <c r="B203" s="302">
        <v>2457.9160000000002</v>
      </c>
      <c r="C203" s="8">
        <v>-5.8639999999999999</v>
      </c>
      <c r="D203" s="268">
        <v>-2.3999999999999998E-3</v>
      </c>
      <c r="E203" s="8">
        <v>83.89</v>
      </c>
      <c r="F203" s="8">
        <v>145.69900000000001</v>
      </c>
      <c r="G203" s="8">
        <v>130.61099999999999</v>
      </c>
      <c r="H203" s="8">
        <v>100.62</v>
      </c>
      <c r="I203" s="8">
        <v>189.69</v>
      </c>
      <c r="J203" s="8">
        <v>37.26</v>
      </c>
      <c r="K203" s="268">
        <v>0.43990000000000001</v>
      </c>
      <c r="L203" s="268">
        <v>0.30609999999999998</v>
      </c>
      <c r="M203" s="268">
        <v>-8.77E-2</v>
      </c>
      <c r="N203" s="8">
        <v>541.1</v>
      </c>
      <c r="O203" s="8">
        <v>5402.52</v>
      </c>
      <c r="P203" s="268">
        <v>0.1002</v>
      </c>
      <c r="Q203" s="8">
        <v>395</v>
      </c>
      <c r="R203" s="8">
        <v>0</v>
      </c>
      <c r="S203" s="8">
        <v>0</v>
      </c>
      <c r="T203" s="8" t="s">
        <v>2427</v>
      </c>
      <c r="U203" s="8" t="s">
        <v>3193</v>
      </c>
      <c r="V203" s="8" t="s">
        <v>3194</v>
      </c>
      <c r="W203" s="8" t="s">
        <v>3195</v>
      </c>
    </row>
    <row r="204" spans="1:23" x14ac:dyDescent="0.3">
      <c r="A204" s="308">
        <v>45993</v>
      </c>
      <c r="B204" s="302">
        <v>2463.7800000000002</v>
      </c>
      <c r="C204" s="8">
        <v>-14.423</v>
      </c>
      <c r="D204" s="268">
        <v>-5.7999999999999996E-3</v>
      </c>
      <c r="E204" s="8">
        <v>84.28</v>
      </c>
      <c r="F204" s="8">
        <v>146.036</v>
      </c>
      <c r="G204" s="8">
        <v>130.667</v>
      </c>
      <c r="H204" s="8">
        <v>100.98</v>
      </c>
      <c r="I204" s="8">
        <v>189.48</v>
      </c>
      <c r="J204" s="8">
        <v>36.090000000000003</v>
      </c>
      <c r="K204" s="268">
        <v>0.4345</v>
      </c>
      <c r="L204" s="268">
        <v>0.30199999999999999</v>
      </c>
      <c r="M204" s="268">
        <v>-8.8800000000000004E-2</v>
      </c>
      <c r="N204" s="8">
        <v>468.56</v>
      </c>
      <c r="O204" s="8">
        <v>5407.13</v>
      </c>
      <c r="P204" s="268">
        <v>8.6699999999999999E-2</v>
      </c>
      <c r="Q204" s="8">
        <v>395</v>
      </c>
      <c r="R204" s="8">
        <v>0</v>
      </c>
      <c r="S204" s="8">
        <v>0</v>
      </c>
      <c r="T204" s="8" t="s">
        <v>2432</v>
      </c>
      <c r="U204" s="8" t="s">
        <v>3196</v>
      </c>
      <c r="V204" s="8" t="s">
        <v>3197</v>
      </c>
      <c r="W204" s="8" t="s">
        <v>3198</v>
      </c>
    </row>
    <row r="205" spans="1:23" x14ac:dyDescent="0.3">
      <c r="A205" s="308">
        <v>45992</v>
      </c>
      <c r="B205" s="302">
        <v>2478.203</v>
      </c>
      <c r="C205" s="8">
        <v>1.758</v>
      </c>
      <c r="D205" s="268">
        <v>6.9999999999999999E-4</v>
      </c>
      <c r="E205" s="8">
        <v>85.79</v>
      </c>
      <c r="F205" s="8">
        <v>147.114</v>
      </c>
      <c r="G205" s="8">
        <v>131.65</v>
      </c>
      <c r="H205" s="8">
        <v>101.93</v>
      </c>
      <c r="I205" s="8">
        <v>190.57</v>
      </c>
      <c r="J205" s="8">
        <v>37.39</v>
      </c>
      <c r="K205" s="268">
        <v>0.43459999999999999</v>
      </c>
      <c r="L205" s="268">
        <v>0.30149999999999999</v>
      </c>
      <c r="M205" s="268">
        <v>-9.11E-2</v>
      </c>
      <c r="N205" s="8">
        <v>553.29</v>
      </c>
      <c r="O205" s="8">
        <v>5411.93</v>
      </c>
      <c r="P205" s="268">
        <v>0.1022</v>
      </c>
      <c r="Q205" s="8">
        <v>395</v>
      </c>
      <c r="R205" s="8">
        <v>0</v>
      </c>
      <c r="S205" s="8">
        <v>0</v>
      </c>
      <c r="T205" s="8" t="s">
        <v>3199</v>
      </c>
      <c r="U205" s="8" t="s">
        <v>3200</v>
      </c>
      <c r="V205" s="8" t="s">
        <v>3201</v>
      </c>
      <c r="W205" s="8" t="s">
        <v>3202</v>
      </c>
    </row>
    <row r="206" spans="1:23" x14ac:dyDescent="0.3">
      <c r="A206" s="308">
        <v>45989</v>
      </c>
      <c r="B206" s="302">
        <v>2476.4450000000002</v>
      </c>
      <c r="C206" s="8">
        <v>19.971</v>
      </c>
      <c r="D206" s="268">
        <v>8.0999999999999996E-3</v>
      </c>
      <c r="E206" s="8">
        <v>86.09</v>
      </c>
      <c r="F206" s="8">
        <v>147.292</v>
      </c>
      <c r="G206" s="8">
        <v>131.077</v>
      </c>
      <c r="H206" s="8">
        <v>100.5</v>
      </c>
      <c r="I206" s="8">
        <v>191.34</v>
      </c>
      <c r="J206" s="8">
        <v>39.68</v>
      </c>
      <c r="K206" s="268">
        <v>0.44040000000000001</v>
      </c>
      <c r="L206" s="268">
        <v>0.30399999999999999</v>
      </c>
      <c r="M206" s="268">
        <v>-9.01E-2</v>
      </c>
      <c r="N206" s="8">
        <v>651.79</v>
      </c>
      <c r="O206" s="8">
        <v>5411.48</v>
      </c>
      <c r="P206" s="268">
        <v>0.12039999999999999</v>
      </c>
      <c r="Q206" s="8">
        <v>394</v>
      </c>
      <c r="R206" s="8">
        <v>0</v>
      </c>
      <c r="S206" s="8">
        <v>0</v>
      </c>
      <c r="T206" s="8" t="s">
        <v>2423</v>
      </c>
      <c r="U206" s="8" t="s">
        <v>3203</v>
      </c>
      <c r="V206" s="8" t="s">
        <v>3204</v>
      </c>
      <c r="W206" s="8" t="s">
        <v>3205</v>
      </c>
    </row>
    <row r="207" spans="1:23" x14ac:dyDescent="0.3">
      <c r="A207" s="308">
        <v>45988</v>
      </c>
      <c r="B207" s="302">
        <v>2456.4740000000002</v>
      </c>
      <c r="C207" s="8">
        <v>-12.343999999999999</v>
      </c>
      <c r="D207" s="268">
        <v>-5.0000000000000001E-3</v>
      </c>
      <c r="E207" s="8">
        <v>83.67</v>
      </c>
      <c r="F207" s="8">
        <v>145.93700000000001</v>
      </c>
      <c r="G207" s="8">
        <v>130.67599999999999</v>
      </c>
      <c r="H207" s="8">
        <v>100.28</v>
      </c>
      <c r="I207" s="8">
        <v>190.29</v>
      </c>
      <c r="J207" s="8">
        <v>39.549999999999997</v>
      </c>
      <c r="K207" s="268">
        <v>0.44350000000000001</v>
      </c>
      <c r="L207" s="268">
        <v>0.30790000000000001</v>
      </c>
      <c r="M207" s="268">
        <v>-8.6099999999999996E-2</v>
      </c>
      <c r="N207" s="8">
        <v>549.45000000000005</v>
      </c>
      <c r="O207" s="8">
        <v>5418</v>
      </c>
      <c r="P207" s="268">
        <v>0.1014</v>
      </c>
      <c r="Q207" s="8">
        <v>396</v>
      </c>
      <c r="R207" s="8">
        <v>0</v>
      </c>
      <c r="S207" s="8">
        <v>0</v>
      </c>
      <c r="T207" s="8" t="s">
        <v>2501</v>
      </c>
      <c r="U207" s="8" t="s">
        <v>3206</v>
      </c>
      <c r="V207" s="8" t="s">
        <v>3207</v>
      </c>
      <c r="W207" s="8" t="s">
        <v>3208</v>
      </c>
    </row>
    <row r="208" spans="1:23" x14ac:dyDescent="0.3">
      <c r="A208" s="308">
        <v>45987</v>
      </c>
      <c r="B208" s="302">
        <v>2468.8180000000002</v>
      </c>
      <c r="C208" s="8">
        <v>-22.17</v>
      </c>
      <c r="D208" s="268">
        <v>-8.8999999999999999E-3</v>
      </c>
      <c r="E208" s="8">
        <v>85.17</v>
      </c>
      <c r="F208" s="8">
        <v>146.76499999999999</v>
      </c>
      <c r="G208" s="8">
        <v>131.15</v>
      </c>
      <c r="H208" s="8">
        <v>100</v>
      </c>
      <c r="I208" s="8">
        <v>192.51</v>
      </c>
      <c r="J208" s="8">
        <v>44</v>
      </c>
      <c r="K208" s="268">
        <v>0.45750000000000002</v>
      </c>
      <c r="L208" s="268">
        <v>0.32119999999999999</v>
      </c>
      <c r="M208" s="268">
        <v>-8.8700000000000001E-2</v>
      </c>
      <c r="N208" s="8">
        <v>581.38</v>
      </c>
      <c r="O208" s="8">
        <v>5446.8</v>
      </c>
      <c r="P208" s="268">
        <v>0.1067</v>
      </c>
      <c r="Q208" s="8">
        <v>397</v>
      </c>
      <c r="R208" s="8">
        <v>0</v>
      </c>
      <c r="S208" s="8">
        <v>0</v>
      </c>
      <c r="T208" s="8" t="s">
        <v>2858</v>
      </c>
      <c r="U208" s="8" t="s">
        <v>3209</v>
      </c>
      <c r="V208" s="8" t="s">
        <v>3210</v>
      </c>
      <c r="W208" s="8" t="s">
        <v>3211</v>
      </c>
    </row>
    <row r="209" spans="1:23" x14ac:dyDescent="0.3">
      <c r="A209" s="308">
        <v>45986</v>
      </c>
      <c r="B209" s="302">
        <v>2490.9879999999998</v>
      </c>
      <c r="C209" s="8">
        <v>7.6239999999999997</v>
      </c>
      <c r="D209" s="268">
        <v>3.0999999999999999E-3</v>
      </c>
      <c r="E209" s="8">
        <v>88.11</v>
      </c>
      <c r="F209" s="8">
        <v>148.15899999999999</v>
      </c>
      <c r="G209" s="8">
        <v>132.054</v>
      </c>
      <c r="H209" s="8">
        <v>99.27</v>
      </c>
      <c r="I209" s="8">
        <v>194.37</v>
      </c>
      <c r="J209" s="8">
        <v>45.35</v>
      </c>
      <c r="K209" s="268">
        <v>0.46210000000000001</v>
      </c>
      <c r="L209" s="268">
        <v>0.3448</v>
      </c>
      <c r="M209" s="268">
        <v>-9.2700000000000005E-2</v>
      </c>
      <c r="N209" s="8">
        <v>677.09</v>
      </c>
      <c r="O209" s="8">
        <v>5451.74</v>
      </c>
      <c r="P209" s="268">
        <v>0.1242</v>
      </c>
      <c r="Q209" s="8">
        <v>397</v>
      </c>
      <c r="R209" s="8">
        <v>0</v>
      </c>
      <c r="S209" s="8">
        <v>0</v>
      </c>
      <c r="T209" s="8" t="s">
        <v>3212</v>
      </c>
      <c r="U209" s="8" t="s">
        <v>2364</v>
      </c>
      <c r="V209" s="8" t="s">
        <v>3213</v>
      </c>
      <c r="W209" s="8" t="s">
        <v>3214</v>
      </c>
    </row>
    <row r="210" spans="1:23" x14ac:dyDescent="0.3">
      <c r="A210" s="308">
        <v>45985</v>
      </c>
      <c r="B210" s="302">
        <v>2483.364</v>
      </c>
      <c r="C210" s="8">
        <v>14.983000000000001</v>
      </c>
      <c r="D210" s="268">
        <v>6.1000000000000004E-3</v>
      </c>
      <c r="E210" s="8">
        <v>87.56</v>
      </c>
      <c r="F210" s="8">
        <v>147.47200000000001</v>
      </c>
      <c r="G210" s="8">
        <v>131.67400000000001</v>
      </c>
      <c r="H210" s="8">
        <v>98.83</v>
      </c>
      <c r="I210" s="8">
        <v>194.88</v>
      </c>
      <c r="J210" s="8">
        <v>49.9</v>
      </c>
      <c r="K210" s="268">
        <v>0.47410000000000002</v>
      </c>
      <c r="L210" s="268">
        <v>0.34460000000000002</v>
      </c>
      <c r="M210" s="268">
        <v>-9.1300000000000006E-2</v>
      </c>
      <c r="N210" s="8">
        <v>618.41</v>
      </c>
      <c r="O210" s="8">
        <v>5454.63</v>
      </c>
      <c r="P210" s="268">
        <v>0.1134</v>
      </c>
      <c r="Q210" s="8">
        <v>397</v>
      </c>
      <c r="R210" s="8">
        <v>0</v>
      </c>
      <c r="S210" s="8">
        <v>0</v>
      </c>
      <c r="T210" s="8" t="s">
        <v>3215</v>
      </c>
      <c r="U210" s="8" t="s">
        <v>2344</v>
      </c>
      <c r="V210" s="8" t="s">
        <v>3216</v>
      </c>
      <c r="W210" s="8" t="s">
        <v>3217</v>
      </c>
    </row>
    <row r="211" spans="1:23" x14ac:dyDescent="0.3">
      <c r="A211" s="308">
        <v>45982</v>
      </c>
      <c r="B211" s="302">
        <v>2468.3809999999999</v>
      </c>
      <c r="C211" s="8">
        <v>-29.475000000000001</v>
      </c>
      <c r="D211" s="268">
        <v>-1.18E-2</v>
      </c>
      <c r="E211" s="8">
        <v>85.87</v>
      </c>
      <c r="F211" s="8">
        <v>146.41999999999999</v>
      </c>
      <c r="G211" s="8">
        <v>131.37100000000001</v>
      </c>
      <c r="H211" s="8">
        <v>98.16</v>
      </c>
      <c r="I211" s="8">
        <v>194.67</v>
      </c>
      <c r="J211" s="8">
        <v>52.68</v>
      </c>
      <c r="K211" s="268">
        <v>0.48249999999999998</v>
      </c>
      <c r="L211" s="268">
        <v>0.35010000000000002</v>
      </c>
      <c r="M211" s="268">
        <v>-8.8700000000000001E-2</v>
      </c>
      <c r="N211" s="8">
        <v>571.11</v>
      </c>
      <c r="O211" s="8">
        <v>5452.91</v>
      </c>
      <c r="P211" s="268">
        <v>0.1047</v>
      </c>
      <c r="Q211" s="8">
        <v>397</v>
      </c>
      <c r="R211" s="8">
        <v>0</v>
      </c>
      <c r="S211" s="8">
        <v>0</v>
      </c>
      <c r="T211" s="8" t="s">
        <v>3218</v>
      </c>
      <c r="U211" s="8" t="s">
        <v>3219</v>
      </c>
      <c r="V211" s="8" t="s">
        <v>3220</v>
      </c>
      <c r="W211" s="8" t="s">
        <v>3221</v>
      </c>
    </row>
    <row r="212" spans="1:23" x14ac:dyDescent="0.3">
      <c r="A212" s="308">
        <v>45981</v>
      </c>
      <c r="B212" s="302">
        <v>2497.8560000000002</v>
      </c>
      <c r="C212" s="8">
        <v>-4.68</v>
      </c>
      <c r="D212" s="268">
        <v>-1.9E-3</v>
      </c>
      <c r="E212" s="8">
        <v>88</v>
      </c>
      <c r="F212" s="8">
        <v>148.4</v>
      </c>
      <c r="G212" s="8">
        <v>132.761</v>
      </c>
      <c r="H212" s="8">
        <v>101.7</v>
      </c>
      <c r="I212" s="8">
        <v>192.37</v>
      </c>
      <c r="J212" s="8">
        <v>41.43</v>
      </c>
      <c r="K212" s="268">
        <v>0.43969999999999998</v>
      </c>
      <c r="L212" s="268">
        <v>0.31490000000000001</v>
      </c>
      <c r="M212" s="268">
        <v>-9.3899999999999997E-2</v>
      </c>
      <c r="N212" s="8">
        <v>635.15</v>
      </c>
      <c r="O212" s="8">
        <v>5461.52</v>
      </c>
      <c r="P212" s="268">
        <v>0.1163</v>
      </c>
      <c r="Q212" s="8">
        <v>398</v>
      </c>
      <c r="R212" s="8">
        <v>0</v>
      </c>
      <c r="S212" s="8">
        <v>0</v>
      </c>
      <c r="T212" s="8" t="s">
        <v>3222</v>
      </c>
      <c r="U212" s="8" t="s">
        <v>3223</v>
      </c>
      <c r="V212" s="8" t="s">
        <v>3224</v>
      </c>
      <c r="W212" s="8" t="s">
        <v>3225</v>
      </c>
    </row>
    <row r="213" spans="1:23" x14ac:dyDescent="0.3">
      <c r="A213" s="308">
        <v>45980</v>
      </c>
      <c r="B213" s="302">
        <v>2502.5360000000001</v>
      </c>
      <c r="C213" s="8">
        <v>2.375</v>
      </c>
      <c r="D213" s="268">
        <v>1E-3</v>
      </c>
      <c r="E213" s="8">
        <v>88</v>
      </c>
      <c r="F213" s="8">
        <v>148.57400000000001</v>
      </c>
      <c r="G213" s="8">
        <v>133.09700000000001</v>
      </c>
      <c r="H213" s="8">
        <v>103.49</v>
      </c>
      <c r="I213" s="8">
        <v>191.61</v>
      </c>
      <c r="J213" s="8">
        <v>40.590000000000003</v>
      </c>
      <c r="K213" s="268">
        <v>0.4304</v>
      </c>
      <c r="L213" s="268">
        <v>0.30220000000000002</v>
      </c>
      <c r="M213" s="268">
        <v>-9.4200000000000006E-2</v>
      </c>
      <c r="N213" s="8">
        <v>658.65</v>
      </c>
      <c r="O213" s="8">
        <v>5467.84</v>
      </c>
      <c r="P213" s="268">
        <v>0.1205</v>
      </c>
      <c r="Q213" s="8">
        <v>398</v>
      </c>
      <c r="R213" s="8">
        <v>0</v>
      </c>
      <c r="S213" s="8">
        <v>0</v>
      </c>
      <c r="T213" s="8" t="s">
        <v>3226</v>
      </c>
      <c r="U213" s="8" t="s">
        <v>3227</v>
      </c>
      <c r="V213" s="8" t="s">
        <v>3228</v>
      </c>
      <c r="W213" s="8" t="s">
        <v>3229</v>
      </c>
    </row>
    <row r="214" spans="1:23" x14ac:dyDescent="0.3">
      <c r="A214" s="308">
        <v>45979</v>
      </c>
      <c r="B214" s="302">
        <v>2500.1610000000001</v>
      </c>
      <c r="C214" s="8">
        <v>-13.321</v>
      </c>
      <c r="D214" s="268">
        <v>-5.3E-3</v>
      </c>
      <c r="E214" s="8">
        <v>88.25</v>
      </c>
      <c r="F214" s="8">
        <v>148.47999999999999</v>
      </c>
      <c r="G214" s="8">
        <v>133.012</v>
      </c>
      <c r="H214" s="8">
        <v>103.88</v>
      </c>
      <c r="I214" s="8">
        <v>190.09</v>
      </c>
      <c r="J214" s="8">
        <v>34.78</v>
      </c>
      <c r="K214" s="268">
        <v>0.41610000000000003</v>
      </c>
      <c r="L214" s="268">
        <v>0.28510000000000002</v>
      </c>
      <c r="M214" s="268">
        <v>-9.3700000000000006E-2</v>
      </c>
      <c r="N214" s="8">
        <v>686.41</v>
      </c>
      <c r="O214" s="8">
        <v>5475.37</v>
      </c>
      <c r="P214" s="268">
        <v>0.12540000000000001</v>
      </c>
      <c r="Q214" s="8">
        <v>398</v>
      </c>
      <c r="R214" s="8">
        <v>0</v>
      </c>
      <c r="S214" s="8">
        <v>0</v>
      </c>
      <c r="T214" s="8" t="s">
        <v>3230</v>
      </c>
      <c r="U214" s="8" t="s">
        <v>3231</v>
      </c>
      <c r="V214" s="8" t="s">
        <v>3232</v>
      </c>
      <c r="W214" s="8" t="s">
        <v>3233</v>
      </c>
    </row>
    <row r="215" spans="1:23" x14ac:dyDescent="0.3">
      <c r="A215" s="308">
        <v>45978</v>
      </c>
      <c r="B215" s="302">
        <v>2513.482</v>
      </c>
      <c r="C215" s="8">
        <v>-4.1040000000000001</v>
      </c>
      <c r="D215" s="268">
        <v>-1.6000000000000001E-3</v>
      </c>
      <c r="E215" s="8">
        <v>89.46</v>
      </c>
      <c r="F215" s="8">
        <v>149.261</v>
      </c>
      <c r="G215" s="8">
        <v>133.33500000000001</v>
      </c>
      <c r="H215" s="8">
        <v>105.41</v>
      </c>
      <c r="I215" s="8">
        <v>190.43</v>
      </c>
      <c r="J215" s="8">
        <v>34.14</v>
      </c>
      <c r="K215" s="268">
        <v>0.41160000000000002</v>
      </c>
      <c r="L215" s="268">
        <v>0.27739999999999998</v>
      </c>
      <c r="M215" s="268">
        <v>-0.10390000000000001</v>
      </c>
      <c r="N215" s="8">
        <v>730.23</v>
      </c>
      <c r="O215" s="8">
        <v>5484.18</v>
      </c>
      <c r="P215" s="268">
        <v>0.13320000000000001</v>
      </c>
      <c r="Q215" s="8">
        <v>400</v>
      </c>
      <c r="R215" s="8">
        <v>0</v>
      </c>
      <c r="S215" s="8">
        <v>0</v>
      </c>
      <c r="T215" s="8" t="s">
        <v>3234</v>
      </c>
      <c r="U215" s="8" t="s">
        <v>3235</v>
      </c>
      <c r="V215" s="8" t="s">
        <v>3236</v>
      </c>
      <c r="W215" s="8" t="s">
        <v>3237</v>
      </c>
    </row>
    <row r="216" spans="1:23" x14ac:dyDescent="0.3">
      <c r="A216" s="308">
        <v>45975</v>
      </c>
      <c r="B216" s="302">
        <v>2517.5859999999998</v>
      </c>
      <c r="C216" s="8">
        <v>-17.262</v>
      </c>
      <c r="D216" s="268">
        <v>-6.7999999999999996E-3</v>
      </c>
      <c r="E216" s="8">
        <v>90.58</v>
      </c>
      <c r="F216" s="8">
        <v>149.352</v>
      </c>
      <c r="G216" s="8">
        <v>133.96899999999999</v>
      </c>
      <c r="H216" s="8">
        <v>105.65</v>
      </c>
      <c r="I216" s="8">
        <v>190.5</v>
      </c>
      <c r="J216" s="8">
        <v>34.619999999999997</v>
      </c>
      <c r="K216" s="268">
        <v>0.41149999999999998</v>
      </c>
      <c r="L216" s="268">
        <v>0.27589999999999998</v>
      </c>
      <c r="M216" s="268">
        <v>-0.1032</v>
      </c>
      <c r="N216" s="8">
        <v>723.58</v>
      </c>
      <c r="O216" s="8">
        <v>5493.97</v>
      </c>
      <c r="P216" s="268">
        <v>0.13170000000000001</v>
      </c>
      <c r="Q216" s="8">
        <v>400</v>
      </c>
      <c r="R216" s="8">
        <v>0</v>
      </c>
      <c r="S216" s="8">
        <v>0</v>
      </c>
      <c r="T216" s="8" t="s">
        <v>3238</v>
      </c>
      <c r="U216" s="8" t="s">
        <v>3239</v>
      </c>
      <c r="V216" s="8" t="s">
        <v>3240</v>
      </c>
      <c r="W216" s="8" t="s">
        <v>3241</v>
      </c>
    </row>
    <row r="217" spans="1:23" x14ac:dyDescent="0.3">
      <c r="A217" s="308">
        <v>45974</v>
      </c>
      <c r="B217" s="302">
        <v>2534.848</v>
      </c>
      <c r="C217" s="8">
        <v>28.472000000000001</v>
      </c>
      <c r="D217" s="268">
        <v>1.14E-2</v>
      </c>
      <c r="E217" s="8">
        <v>91.96</v>
      </c>
      <c r="F217" s="8">
        <v>150.501</v>
      </c>
      <c r="G217" s="8">
        <v>135.102</v>
      </c>
      <c r="H217" s="8">
        <v>106.19</v>
      </c>
      <c r="I217" s="8">
        <v>192.01</v>
      </c>
      <c r="J217" s="8">
        <v>35.72</v>
      </c>
      <c r="K217" s="268">
        <v>0.41510000000000002</v>
      </c>
      <c r="L217" s="268">
        <v>0.2777</v>
      </c>
      <c r="M217" s="268">
        <v>-0.1061</v>
      </c>
      <c r="N217" s="8">
        <v>805.26</v>
      </c>
      <c r="O217" s="8">
        <v>5498.23</v>
      </c>
      <c r="P217" s="268">
        <v>0.14649999999999999</v>
      </c>
      <c r="Q217" s="8">
        <v>400</v>
      </c>
      <c r="R217" s="8">
        <v>0</v>
      </c>
      <c r="S217" s="8">
        <v>0</v>
      </c>
      <c r="T217" s="8" t="s">
        <v>3242</v>
      </c>
      <c r="U217" s="8" t="s">
        <v>3243</v>
      </c>
      <c r="V217" s="8" t="s">
        <v>3244</v>
      </c>
      <c r="W217" s="8" t="s">
        <v>3245</v>
      </c>
    </row>
    <row r="218" spans="1:23" x14ac:dyDescent="0.3">
      <c r="A218" s="308">
        <v>45973</v>
      </c>
      <c r="B218" s="302">
        <v>2506.3760000000002</v>
      </c>
      <c r="C218" s="8">
        <v>-7.6929999999999996</v>
      </c>
      <c r="D218" s="268">
        <v>-3.0999999999999999E-3</v>
      </c>
      <c r="E218" s="8">
        <v>89.43</v>
      </c>
      <c r="F218" s="8">
        <v>148.57</v>
      </c>
      <c r="G218" s="8">
        <v>134.047</v>
      </c>
      <c r="H218" s="8">
        <v>104.91</v>
      </c>
      <c r="I218" s="8">
        <v>190.39</v>
      </c>
      <c r="J218" s="8">
        <v>35.340000000000003</v>
      </c>
      <c r="K218" s="268">
        <v>0.41820000000000002</v>
      </c>
      <c r="L218" s="268">
        <v>0.27610000000000001</v>
      </c>
      <c r="M218" s="268">
        <v>-0.1007</v>
      </c>
      <c r="N218" s="8">
        <v>633.25</v>
      </c>
      <c r="O218" s="8">
        <v>5503.63</v>
      </c>
      <c r="P218" s="268">
        <v>0.11509999999999999</v>
      </c>
      <c r="Q218" s="8">
        <v>400</v>
      </c>
      <c r="R218" s="8">
        <v>0</v>
      </c>
      <c r="S218" s="8">
        <v>0</v>
      </c>
      <c r="T218" s="8" t="s">
        <v>3246</v>
      </c>
      <c r="U218" s="8" t="s">
        <v>3247</v>
      </c>
      <c r="V218" s="8" t="s">
        <v>3248</v>
      </c>
      <c r="W218" s="8" t="s">
        <v>3249</v>
      </c>
    </row>
    <row r="219" spans="1:23" x14ac:dyDescent="0.3">
      <c r="A219" s="308">
        <v>45972</v>
      </c>
      <c r="B219" s="302">
        <v>2514.069</v>
      </c>
      <c r="C219" s="8">
        <v>-1.484</v>
      </c>
      <c r="D219" s="268">
        <v>-5.9999999999999995E-4</v>
      </c>
      <c r="E219" s="8">
        <v>90.02</v>
      </c>
      <c r="F219" s="8">
        <v>149.12299999999999</v>
      </c>
      <c r="G219" s="8">
        <v>134.20599999999999</v>
      </c>
      <c r="H219" s="8">
        <v>106.98</v>
      </c>
      <c r="I219" s="8">
        <v>190.28</v>
      </c>
      <c r="J219" s="8">
        <v>32.979999999999997</v>
      </c>
      <c r="K219" s="268">
        <v>0.41160000000000002</v>
      </c>
      <c r="L219" s="268">
        <v>0.27110000000000001</v>
      </c>
      <c r="M219" s="268">
        <v>-0.10150000000000001</v>
      </c>
      <c r="N219" s="8">
        <v>663.08</v>
      </c>
      <c r="O219" s="8">
        <v>5512.62</v>
      </c>
      <c r="P219" s="268">
        <v>0.1203</v>
      </c>
      <c r="Q219" s="8">
        <v>400</v>
      </c>
      <c r="R219" s="8">
        <v>0</v>
      </c>
      <c r="S219" s="8">
        <v>0</v>
      </c>
      <c r="T219" s="8" t="s">
        <v>3250</v>
      </c>
      <c r="U219" s="8" t="s">
        <v>3251</v>
      </c>
      <c r="V219" s="8" t="s">
        <v>3252</v>
      </c>
      <c r="W219" s="8" t="s">
        <v>3253</v>
      </c>
    </row>
    <row r="220" spans="1:23" x14ac:dyDescent="0.3">
      <c r="A220" s="308">
        <v>45971</v>
      </c>
      <c r="B220" s="302">
        <v>2515.5529999999999</v>
      </c>
      <c r="C220" s="8">
        <v>13.063000000000001</v>
      </c>
      <c r="D220" s="268">
        <v>5.1999999999999998E-3</v>
      </c>
      <c r="E220" s="8">
        <v>90.33</v>
      </c>
      <c r="F220" s="8">
        <v>149.09899999999999</v>
      </c>
      <c r="G220" s="8">
        <v>134.13499999999999</v>
      </c>
      <c r="H220" s="8">
        <v>106.93</v>
      </c>
      <c r="I220" s="8">
        <v>190.13</v>
      </c>
      <c r="J220" s="8">
        <v>32.14</v>
      </c>
      <c r="K220" s="268">
        <v>0.4103</v>
      </c>
      <c r="L220" s="268">
        <v>0.27379999999999999</v>
      </c>
      <c r="M220" s="268">
        <v>-0.1009</v>
      </c>
      <c r="N220" s="8">
        <v>741.84</v>
      </c>
      <c r="O220" s="8">
        <v>5527.28</v>
      </c>
      <c r="P220" s="268">
        <v>0.13420000000000001</v>
      </c>
      <c r="Q220" s="8">
        <v>402</v>
      </c>
      <c r="R220" s="8">
        <v>0</v>
      </c>
      <c r="S220" s="8">
        <v>0</v>
      </c>
      <c r="T220" s="8" t="s">
        <v>3254</v>
      </c>
      <c r="U220" s="8" t="s">
        <v>3255</v>
      </c>
      <c r="V220" s="8" t="s">
        <v>3256</v>
      </c>
      <c r="W220" s="8" t="s">
        <v>3257</v>
      </c>
    </row>
    <row r="221" spans="1:23" x14ac:dyDescent="0.3">
      <c r="A221" s="308">
        <v>45968</v>
      </c>
      <c r="B221" s="302">
        <v>2502.4899999999998</v>
      </c>
      <c r="C221" s="8">
        <v>-2.9820000000000002</v>
      </c>
      <c r="D221" s="268">
        <v>-1.1999999999999999E-3</v>
      </c>
      <c r="E221" s="8">
        <v>89.26</v>
      </c>
      <c r="F221" s="8">
        <v>148.65199999999999</v>
      </c>
      <c r="G221" s="8">
        <v>133.26900000000001</v>
      </c>
      <c r="H221" s="8">
        <v>106.07</v>
      </c>
      <c r="I221" s="8">
        <v>190</v>
      </c>
      <c r="J221" s="8">
        <v>31.44</v>
      </c>
      <c r="K221" s="268">
        <v>0.41349999999999998</v>
      </c>
      <c r="L221" s="268">
        <v>0.27450000000000002</v>
      </c>
      <c r="M221" s="268">
        <v>-9.5699999999999993E-2</v>
      </c>
      <c r="N221" s="8">
        <v>798.91</v>
      </c>
      <c r="O221" s="8">
        <v>5545.77</v>
      </c>
      <c r="P221" s="268">
        <v>0.14410000000000001</v>
      </c>
      <c r="Q221" s="8">
        <v>402</v>
      </c>
      <c r="R221" s="8">
        <v>0</v>
      </c>
      <c r="S221" s="8">
        <v>0</v>
      </c>
      <c r="T221" s="8" t="s">
        <v>3258</v>
      </c>
      <c r="U221" s="8" t="s">
        <v>3259</v>
      </c>
      <c r="V221" s="8" t="s">
        <v>3260</v>
      </c>
      <c r="W221" s="8" t="s">
        <v>3261</v>
      </c>
    </row>
    <row r="222" spans="1:23" x14ac:dyDescent="0.3">
      <c r="A222" s="308">
        <v>45967</v>
      </c>
      <c r="B222" s="302">
        <v>2505.4720000000002</v>
      </c>
      <c r="C222" s="8">
        <v>16.131</v>
      </c>
      <c r="D222" s="268">
        <v>6.4999999999999997E-3</v>
      </c>
      <c r="E222" s="8">
        <v>89.63</v>
      </c>
      <c r="F222" s="8">
        <v>149.232</v>
      </c>
      <c r="G222" s="8">
        <v>133.10300000000001</v>
      </c>
      <c r="H222" s="8">
        <v>106.33</v>
      </c>
      <c r="I222" s="8">
        <v>190.76</v>
      </c>
      <c r="J222" s="8">
        <v>31.92</v>
      </c>
      <c r="K222" s="268">
        <v>0.4153</v>
      </c>
      <c r="L222" s="268">
        <v>0.2732</v>
      </c>
      <c r="M222" s="268">
        <v>-9.6600000000000005E-2</v>
      </c>
      <c r="N222" s="8">
        <v>790.44</v>
      </c>
      <c r="O222" s="8">
        <v>5544.48</v>
      </c>
      <c r="P222" s="268">
        <v>0.1426</v>
      </c>
      <c r="Q222" s="8">
        <v>401</v>
      </c>
      <c r="R222" s="8">
        <v>0</v>
      </c>
      <c r="S222" s="8">
        <v>0</v>
      </c>
      <c r="T222" s="8" t="s">
        <v>3262</v>
      </c>
      <c r="U222" s="8" t="s">
        <v>3263</v>
      </c>
      <c r="V222" s="8" t="s">
        <v>3264</v>
      </c>
      <c r="W222" s="8" t="s">
        <v>3265</v>
      </c>
    </row>
    <row r="223" spans="1:23" x14ac:dyDescent="0.3">
      <c r="A223" s="308">
        <v>45966</v>
      </c>
      <c r="B223" s="302">
        <v>2489.3409999999999</v>
      </c>
      <c r="C223" s="8">
        <v>17.353000000000002</v>
      </c>
      <c r="D223" s="268">
        <v>7.0000000000000001E-3</v>
      </c>
      <c r="E223" s="8">
        <v>88.92</v>
      </c>
      <c r="F223" s="8">
        <v>147.88800000000001</v>
      </c>
      <c r="G223" s="8">
        <v>132.86000000000001</v>
      </c>
      <c r="H223" s="8">
        <v>105.19</v>
      </c>
      <c r="I223" s="8">
        <v>189.51</v>
      </c>
      <c r="J223" s="8">
        <v>33.99</v>
      </c>
      <c r="K223" s="268">
        <v>0.4163</v>
      </c>
      <c r="L223" s="268">
        <v>0.27879999999999999</v>
      </c>
      <c r="M223" s="268">
        <v>-9.3200000000000005E-2</v>
      </c>
      <c r="N223" s="8">
        <v>704.29</v>
      </c>
      <c r="O223" s="8">
        <v>5565.36</v>
      </c>
      <c r="P223" s="268">
        <v>0.1265</v>
      </c>
      <c r="Q223" s="8">
        <v>401</v>
      </c>
      <c r="R223" s="8">
        <v>0</v>
      </c>
      <c r="S223" s="8">
        <v>0</v>
      </c>
      <c r="T223" s="8" t="s">
        <v>2831</v>
      </c>
      <c r="U223" s="8" t="s">
        <v>3266</v>
      </c>
      <c r="V223" s="8" t="s">
        <v>3267</v>
      </c>
      <c r="W223" s="8" t="s">
        <v>3268</v>
      </c>
    </row>
    <row r="224" spans="1:23" x14ac:dyDescent="0.3">
      <c r="A224" s="308">
        <v>45965</v>
      </c>
      <c r="B224" s="302">
        <v>2471.9879999999998</v>
      </c>
      <c r="C224" s="8">
        <v>-22.349</v>
      </c>
      <c r="D224" s="268">
        <v>-8.9999999999999993E-3</v>
      </c>
      <c r="E224" s="8">
        <v>87.87</v>
      </c>
      <c r="F224" s="8">
        <v>146.85400000000001</v>
      </c>
      <c r="G224" s="8">
        <v>131.96299999999999</v>
      </c>
      <c r="H224" s="8">
        <v>104.75</v>
      </c>
      <c r="I224" s="8">
        <v>188.59</v>
      </c>
      <c r="J224" s="8">
        <v>34.51</v>
      </c>
      <c r="K224" s="268">
        <v>0.41739999999999999</v>
      </c>
      <c r="L224" s="268">
        <v>0.28289999999999998</v>
      </c>
      <c r="M224" s="268">
        <v>-8.9800000000000005E-2</v>
      </c>
      <c r="N224" s="8">
        <v>567.34</v>
      </c>
      <c r="O224" s="8">
        <v>5572.57</v>
      </c>
      <c r="P224" s="268">
        <v>0.1018</v>
      </c>
      <c r="Q224" s="8">
        <v>401</v>
      </c>
      <c r="R224" s="8">
        <v>0</v>
      </c>
      <c r="S224" s="8">
        <v>0</v>
      </c>
      <c r="T224" s="8" t="s">
        <v>3258</v>
      </c>
      <c r="U224" s="8" t="s">
        <v>3269</v>
      </c>
      <c r="V224" s="8" t="s">
        <v>3270</v>
      </c>
      <c r="W224" s="8" t="s">
        <v>3271</v>
      </c>
    </row>
    <row r="225" spans="1:23" x14ac:dyDescent="0.3">
      <c r="A225" s="308">
        <v>45964</v>
      </c>
      <c r="B225" s="302">
        <v>2494.337</v>
      </c>
      <c r="C225" s="8">
        <v>2.044</v>
      </c>
      <c r="D225" s="268">
        <v>8.0000000000000004E-4</v>
      </c>
      <c r="E225" s="8">
        <v>89.45</v>
      </c>
      <c r="F225" s="8">
        <v>148.375</v>
      </c>
      <c r="G225" s="8">
        <v>132.983</v>
      </c>
      <c r="H225" s="8">
        <v>105.53</v>
      </c>
      <c r="I225" s="8">
        <v>189.88</v>
      </c>
      <c r="J225" s="8">
        <v>33.83</v>
      </c>
      <c r="K225" s="268">
        <v>0.41510000000000002</v>
      </c>
      <c r="L225" s="268">
        <v>0.28260000000000002</v>
      </c>
      <c r="M225" s="268">
        <v>-9.4200000000000006E-2</v>
      </c>
      <c r="N225" s="8">
        <v>630.1</v>
      </c>
      <c r="O225" s="8">
        <v>5581.36</v>
      </c>
      <c r="P225" s="268">
        <v>0.1129</v>
      </c>
      <c r="Q225" s="8">
        <v>401</v>
      </c>
      <c r="R225" s="8">
        <v>0</v>
      </c>
      <c r="S225" s="8">
        <v>0</v>
      </c>
      <c r="T225" s="8" t="s">
        <v>2388</v>
      </c>
      <c r="U225" s="8" t="s">
        <v>3272</v>
      </c>
      <c r="V225" s="8" t="s">
        <v>3273</v>
      </c>
      <c r="W225" s="8" t="s">
        <v>3274</v>
      </c>
    </row>
    <row r="226" spans="1:23" x14ac:dyDescent="0.3">
      <c r="A226" s="308">
        <v>45961</v>
      </c>
      <c r="B226" s="302">
        <v>2492.2930000000001</v>
      </c>
      <c r="C226" s="8">
        <v>12.103</v>
      </c>
      <c r="D226" s="268">
        <v>4.8999999999999998E-3</v>
      </c>
      <c r="E226" s="8">
        <v>89.47</v>
      </c>
      <c r="F226" s="8">
        <v>148.37200000000001</v>
      </c>
      <c r="G226" s="8">
        <v>132.40899999999999</v>
      </c>
      <c r="H226" s="8">
        <v>106.3</v>
      </c>
      <c r="I226" s="8">
        <v>190.38</v>
      </c>
      <c r="J226" s="8">
        <v>34.17</v>
      </c>
      <c r="K226" s="268">
        <v>0.42009999999999997</v>
      </c>
      <c r="L226" s="268">
        <v>0.28060000000000002</v>
      </c>
      <c r="M226" s="268">
        <v>-9.2700000000000005E-2</v>
      </c>
      <c r="N226" s="8">
        <v>735.35</v>
      </c>
      <c r="O226" s="8">
        <v>5588.23</v>
      </c>
      <c r="P226" s="268">
        <v>0.13159999999999999</v>
      </c>
      <c r="Q226" s="8">
        <v>401</v>
      </c>
      <c r="R226" s="8">
        <v>0</v>
      </c>
      <c r="S226" s="8">
        <v>0</v>
      </c>
      <c r="T226" s="8" t="s">
        <v>3275</v>
      </c>
      <c r="U226" s="8" t="s">
        <v>3276</v>
      </c>
      <c r="V226" s="8" t="s">
        <v>3277</v>
      </c>
      <c r="W226" s="8" t="s">
        <v>3278</v>
      </c>
    </row>
    <row r="227" spans="1:23" x14ac:dyDescent="0.3">
      <c r="A227" s="308">
        <v>45960</v>
      </c>
      <c r="B227" s="302">
        <v>2480.19</v>
      </c>
      <c r="C227" s="8">
        <v>-22.777000000000001</v>
      </c>
      <c r="D227" s="268">
        <v>-9.1000000000000004E-3</v>
      </c>
      <c r="E227" s="8">
        <v>88.11</v>
      </c>
      <c r="F227" s="8">
        <v>147.71700000000001</v>
      </c>
      <c r="G227" s="8">
        <v>132.01900000000001</v>
      </c>
      <c r="H227" s="8">
        <v>105.78</v>
      </c>
      <c r="I227" s="8">
        <v>190</v>
      </c>
      <c r="J227" s="8">
        <v>35.26</v>
      </c>
      <c r="K227" s="268">
        <v>0.42280000000000001</v>
      </c>
      <c r="L227" s="268">
        <v>0.27529999999999999</v>
      </c>
      <c r="M227" s="268">
        <v>-9.0399999999999994E-2</v>
      </c>
      <c r="N227" s="8">
        <v>645.5</v>
      </c>
      <c r="O227" s="8">
        <v>5553.8</v>
      </c>
      <c r="P227" s="268">
        <v>0.1162</v>
      </c>
      <c r="Q227" s="8">
        <v>401</v>
      </c>
      <c r="R227" s="8">
        <v>0</v>
      </c>
      <c r="S227" s="8">
        <v>0</v>
      </c>
      <c r="T227" s="8" t="s">
        <v>3279</v>
      </c>
      <c r="U227" s="8" t="s">
        <v>3280</v>
      </c>
      <c r="V227" s="8" t="s">
        <v>3281</v>
      </c>
      <c r="W227" s="8" t="s">
        <v>3282</v>
      </c>
    </row>
    <row r="228" spans="1:23" x14ac:dyDescent="0.3">
      <c r="A228" s="308">
        <v>45959</v>
      </c>
      <c r="B228" s="302">
        <v>2502.9670000000001</v>
      </c>
      <c r="C228" s="8">
        <v>16.411000000000001</v>
      </c>
      <c r="D228" s="268">
        <v>6.6E-3</v>
      </c>
      <c r="E228" s="8">
        <v>90.37</v>
      </c>
      <c r="F228" s="8">
        <v>149.17099999999999</v>
      </c>
      <c r="G228" s="8">
        <v>133.291</v>
      </c>
      <c r="H228" s="8">
        <v>107.08</v>
      </c>
      <c r="I228" s="8">
        <v>190.95</v>
      </c>
      <c r="J228" s="8">
        <v>33.99</v>
      </c>
      <c r="K228" s="268">
        <v>0.4178</v>
      </c>
      <c r="L228" s="268">
        <v>0.26590000000000003</v>
      </c>
      <c r="M228" s="268">
        <v>-9.4399999999999998E-2</v>
      </c>
      <c r="N228" s="8">
        <v>639.26</v>
      </c>
      <c r="O228" s="8">
        <v>5560.31</v>
      </c>
      <c r="P228" s="268">
        <v>0.115</v>
      </c>
      <c r="Q228" s="8">
        <v>404</v>
      </c>
      <c r="R228" s="8">
        <v>0</v>
      </c>
      <c r="S228" s="8">
        <v>0</v>
      </c>
      <c r="T228" s="8" t="s">
        <v>3283</v>
      </c>
      <c r="U228" s="8" t="s">
        <v>3284</v>
      </c>
      <c r="V228" s="8" t="s">
        <v>3285</v>
      </c>
      <c r="W228" s="8" t="s">
        <v>3286</v>
      </c>
    </row>
    <row r="229" spans="1:23" x14ac:dyDescent="0.3">
      <c r="A229" s="308">
        <v>45958</v>
      </c>
      <c r="B229" s="302">
        <v>2486.556</v>
      </c>
      <c r="C229" s="8">
        <v>-7.5819999999999999</v>
      </c>
      <c r="D229" s="268">
        <v>-3.0000000000000001E-3</v>
      </c>
      <c r="E229" s="8">
        <v>89.89</v>
      </c>
      <c r="F229" s="8">
        <v>147.78399999999999</v>
      </c>
      <c r="G229" s="8">
        <v>132.286</v>
      </c>
      <c r="H229" s="8">
        <v>105.37</v>
      </c>
      <c r="I229" s="8">
        <v>189.24</v>
      </c>
      <c r="J229" s="8">
        <v>32.82</v>
      </c>
      <c r="K229" s="268">
        <v>0.41449999999999998</v>
      </c>
      <c r="L229" s="268">
        <v>0.26629999999999998</v>
      </c>
      <c r="M229" s="268">
        <v>-9.1899999999999996E-2</v>
      </c>
      <c r="N229" s="8">
        <v>605.44000000000005</v>
      </c>
      <c r="O229" s="8">
        <v>5564.62</v>
      </c>
      <c r="P229" s="268">
        <v>0.10879999999999999</v>
      </c>
      <c r="Q229" s="8">
        <v>404</v>
      </c>
      <c r="R229" s="8">
        <v>0</v>
      </c>
      <c r="S229" s="8">
        <v>0</v>
      </c>
      <c r="T229" s="8" t="s">
        <v>3088</v>
      </c>
      <c r="U229" s="8" t="s">
        <v>3287</v>
      </c>
      <c r="V229" s="8" t="s">
        <v>3288</v>
      </c>
      <c r="W229" s="8" t="s">
        <v>3289</v>
      </c>
    </row>
    <row r="230" spans="1:23" x14ac:dyDescent="0.3">
      <c r="A230" s="308">
        <v>45957</v>
      </c>
      <c r="B230" s="302">
        <v>2494.1379999999999</v>
      </c>
      <c r="C230" s="8">
        <v>16.672999999999998</v>
      </c>
      <c r="D230" s="268">
        <v>6.7000000000000002E-3</v>
      </c>
      <c r="E230" s="8">
        <v>90.28</v>
      </c>
      <c r="F230" s="8">
        <v>148.286</v>
      </c>
      <c r="G230" s="8">
        <v>132.87700000000001</v>
      </c>
      <c r="H230" s="8">
        <v>105.49</v>
      </c>
      <c r="I230" s="8">
        <v>189.89</v>
      </c>
      <c r="J230" s="8">
        <v>33.299999999999997</v>
      </c>
      <c r="K230" s="268">
        <v>0.41599999999999998</v>
      </c>
      <c r="L230" s="268">
        <v>0.27600000000000002</v>
      </c>
      <c r="M230" s="268">
        <v>-9.4799999999999995E-2</v>
      </c>
      <c r="N230" s="8">
        <v>698.27</v>
      </c>
      <c r="O230" s="8">
        <v>5553.29</v>
      </c>
      <c r="P230" s="268">
        <v>0.12570000000000001</v>
      </c>
      <c r="Q230" s="8">
        <v>405</v>
      </c>
      <c r="R230" s="8">
        <v>0</v>
      </c>
      <c r="S230" s="8">
        <v>0</v>
      </c>
      <c r="T230" s="8" t="s">
        <v>3290</v>
      </c>
      <c r="U230" s="8" t="s">
        <v>3291</v>
      </c>
      <c r="V230" s="8" t="s">
        <v>3292</v>
      </c>
      <c r="W230" s="8" t="s">
        <v>3293</v>
      </c>
    </row>
    <row r="231" spans="1:23" x14ac:dyDescent="0.3">
      <c r="A231" s="308">
        <v>45954</v>
      </c>
      <c r="B231" s="302">
        <v>2477.4650000000001</v>
      </c>
      <c r="C231" s="8">
        <v>25.039000000000001</v>
      </c>
      <c r="D231" s="268">
        <v>1.0200000000000001E-2</v>
      </c>
      <c r="E231" s="8">
        <v>88.98</v>
      </c>
      <c r="F231" s="8">
        <v>147.25899999999999</v>
      </c>
      <c r="G231" s="8">
        <v>132.25899999999999</v>
      </c>
      <c r="H231" s="8">
        <v>105</v>
      </c>
      <c r="I231" s="8">
        <v>188.98</v>
      </c>
      <c r="J231" s="8">
        <v>32.93</v>
      </c>
      <c r="K231" s="268">
        <v>0.41720000000000002</v>
      </c>
      <c r="L231" s="268">
        <v>0.28039999999999998</v>
      </c>
      <c r="M231" s="268">
        <v>-9.3299999999999994E-2</v>
      </c>
      <c r="N231" s="8">
        <v>612.04999999999995</v>
      </c>
      <c r="O231" s="8">
        <v>5559.65</v>
      </c>
      <c r="P231" s="268">
        <v>0.1101</v>
      </c>
      <c r="Q231" s="8">
        <v>407</v>
      </c>
      <c r="R231" s="8">
        <v>0</v>
      </c>
      <c r="S231" s="8">
        <v>0</v>
      </c>
      <c r="T231" s="8" t="s">
        <v>3290</v>
      </c>
      <c r="U231" s="8" t="s">
        <v>3294</v>
      </c>
      <c r="V231" s="8" t="s">
        <v>3295</v>
      </c>
      <c r="W231" s="8" t="s">
        <v>3296</v>
      </c>
    </row>
    <row r="232" spans="1:23" x14ac:dyDescent="0.3">
      <c r="A232" s="308">
        <v>45953</v>
      </c>
      <c r="B232" s="302">
        <v>2452.4259999999999</v>
      </c>
      <c r="C232" s="8">
        <v>0.31900000000000001</v>
      </c>
      <c r="D232" s="268">
        <v>1E-4</v>
      </c>
      <c r="E232" s="8">
        <v>87.69</v>
      </c>
      <c r="F232" s="8">
        <v>145.542</v>
      </c>
      <c r="G232" s="8">
        <v>130.64599999999999</v>
      </c>
      <c r="H232" s="8">
        <v>105.03</v>
      </c>
      <c r="I232" s="8">
        <v>186.96</v>
      </c>
      <c r="J232" s="8">
        <v>32.340000000000003</v>
      </c>
      <c r="K232" s="268">
        <v>0.41420000000000001</v>
      </c>
      <c r="L232" s="268">
        <v>0.27560000000000001</v>
      </c>
      <c r="M232" s="268">
        <v>-8.8900000000000007E-2</v>
      </c>
      <c r="N232" s="8">
        <v>556.73</v>
      </c>
      <c r="O232" s="8">
        <v>5567.27</v>
      </c>
      <c r="P232" s="268">
        <v>0.1</v>
      </c>
      <c r="Q232" s="8">
        <v>407</v>
      </c>
      <c r="R232" s="8">
        <v>0</v>
      </c>
      <c r="S232" s="8">
        <v>0</v>
      </c>
      <c r="T232" s="8" t="s">
        <v>3297</v>
      </c>
      <c r="U232" s="8" t="s">
        <v>3298</v>
      </c>
      <c r="V232" s="8" t="s">
        <v>3299</v>
      </c>
      <c r="W232" s="8" t="s">
        <v>3300</v>
      </c>
    </row>
    <row r="233" spans="1:23" x14ac:dyDescent="0.3">
      <c r="A233" s="308">
        <v>45952</v>
      </c>
      <c r="B233" s="302">
        <v>2452.107</v>
      </c>
      <c r="C233" s="8">
        <v>-10.738</v>
      </c>
      <c r="D233" s="268">
        <v>-4.4000000000000003E-3</v>
      </c>
      <c r="E233" s="8">
        <v>87.45</v>
      </c>
      <c r="F233" s="8">
        <v>146.27000000000001</v>
      </c>
      <c r="G233" s="8">
        <v>130.43700000000001</v>
      </c>
      <c r="H233" s="8">
        <v>104.63</v>
      </c>
      <c r="I233" s="8">
        <v>187.58</v>
      </c>
      <c r="J233" s="8">
        <v>31.9</v>
      </c>
      <c r="K233" s="268">
        <v>0.41310000000000002</v>
      </c>
      <c r="L233" s="268">
        <v>0.2727</v>
      </c>
      <c r="M233" s="268">
        <v>-8.9200000000000002E-2</v>
      </c>
      <c r="N233" s="8">
        <v>558.51</v>
      </c>
      <c r="O233" s="8">
        <v>5587.23</v>
      </c>
      <c r="P233" s="268">
        <v>0.1</v>
      </c>
      <c r="Q233" s="8">
        <v>408</v>
      </c>
      <c r="R233" s="8">
        <v>0</v>
      </c>
      <c r="S233" s="8">
        <v>0</v>
      </c>
      <c r="T233" s="8" t="s">
        <v>3301</v>
      </c>
      <c r="U233" s="8" t="s">
        <v>3302</v>
      </c>
      <c r="V233" s="8" t="s">
        <v>3303</v>
      </c>
      <c r="W233" s="8" t="s">
        <v>3304</v>
      </c>
    </row>
    <row r="234" spans="1:23" x14ac:dyDescent="0.3">
      <c r="A234" s="308">
        <v>45951</v>
      </c>
      <c r="B234" s="302">
        <v>2462.8449999999998</v>
      </c>
      <c r="C234" s="8">
        <v>31.63</v>
      </c>
      <c r="D234" s="268">
        <v>1.2999999999999999E-2</v>
      </c>
      <c r="E234" s="8">
        <v>88.41</v>
      </c>
      <c r="F234" s="8">
        <v>146.994</v>
      </c>
      <c r="G234" s="8">
        <v>130.63399999999999</v>
      </c>
      <c r="H234" s="8">
        <v>105.51</v>
      </c>
      <c r="I234" s="8">
        <v>188.4</v>
      </c>
      <c r="J234" s="8">
        <v>35.1</v>
      </c>
      <c r="K234" s="268">
        <v>0.41399999999999998</v>
      </c>
      <c r="L234" s="268">
        <v>0.27250000000000002</v>
      </c>
      <c r="M234" s="268">
        <v>-9.0899999999999995E-2</v>
      </c>
      <c r="N234" s="8">
        <v>655.47</v>
      </c>
      <c r="O234" s="8">
        <v>5637.48</v>
      </c>
      <c r="P234" s="268">
        <v>0.1163</v>
      </c>
      <c r="Q234" s="8">
        <v>408</v>
      </c>
      <c r="R234" s="8">
        <v>0</v>
      </c>
      <c r="S234" s="8">
        <v>0</v>
      </c>
      <c r="T234" s="8" t="s">
        <v>3305</v>
      </c>
      <c r="U234" s="8" t="s">
        <v>3306</v>
      </c>
      <c r="V234" s="8" t="s">
        <v>3307</v>
      </c>
      <c r="W234" s="8" t="s">
        <v>3308</v>
      </c>
    </row>
    <row r="235" spans="1:23" x14ac:dyDescent="0.3">
      <c r="A235" s="308">
        <v>45950</v>
      </c>
      <c r="B235" s="302">
        <v>2431.2150000000001</v>
      </c>
      <c r="C235" s="8">
        <v>9.18</v>
      </c>
      <c r="D235" s="268">
        <v>3.8E-3</v>
      </c>
      <c r="E235" s="8">
        <v>84.8</v>
      </c>
      <c r="F235" s="8">
        <v>144.77000000000001</v>
      </c>
      <c r="G235" s="8">
        <v>129.751</v>
      </c>
      <c r="H235" s="8">
        <v>103.85</v>
      </c>
      <c r="I235" s="8">
        <v>186.9</v>
      </c>
      <c r="J235" s="8">
        <v>33.89</v>
      </c>
      <c r="K235" s="268">
        <v>0.42130000000000001</v>
      </c>
      <c r="L235" s="268">
        <v>0.27879999999999999</v>
      </c>
      <c r="M235" s="268">
        <v>-8.3599999999999994E-2</v>
      </c>
      <c r="N235" s="8">
        <v>615.27</v>
      </c>
      <c r="O235" s="8">
        <v>5652.21</v>
      </c>
      <c r="P235" s="268">
        <v>0.1089</v>
      </c>
      <c r="Q235" s="8">
        <v>408</v>
      </c>
      <c r="R235" s="8">
        <v>0</v>
      </c>
      <c r="S235" s="8">
        <v>0</v>
      </c>
      <c r="T235" s="8" t="s">
        <v>3309</v>
      </c>
      <c r="U235" s="8" t="s">
        <v>3310</v>
      </c>
      <c r="V235" s="8" t="s">
        <v>3311</v>
      </c>
      <c r="W235" s="8" t="s">
        <v>3312</v>
      </c>
    </row>
    <row r="236" spans="1:23" x14ac:dyDescent="0.3">
      <c r="A236" s="308">
        <v>45947</v>
      </c>
      <c r="B236" s="302">
        <v>2422.0349999999999</v>
      </c>
      <c r="C236" s="8">
        <v>-25.305</v>
      </c>
      <c r="D236" s="268">
        <v>-1.03E-2</v>
      </c>
      <c r="E236" s="8">
        <v>83.84</v>
      </c>
      <c r="F236" s="8">
        <v>144.52199999999999</v>
      </c>
      <c r="G236" s="8">
        <v>129.69999999999999</v>
      </c>
      <c r="H236" s="8">
        <v>101.88</v>
      </c>
      <c r="I236" s="8">
        <v>187.56</v>
      </c>
      <c r="J236" s="8">
        <v>37.71</v>
      </c>
      <c r="K236" s="268">
        <v>0.4304</v>
      </c>
      <c r="L236" s="268">
        <v>0.28949999999999998</v>
      </c>
      <c r="M236" s="268">
        <v>-8.1900000000000001E-2</v>
      </c>
      <c r="N236" s="8">
        <v>603.07000000000005</v>
      </c>
      <c r="O236" s="8">
        <v>5683.04</v>
      </c>
      <c r="P236" s="268">
        <v>0.1061</v>
      </c>
      <c r="Q236" s="8">
        <v>409</v>
      </c>
      <c r="R236" s="8">
        <v>0</v>
      </c>
      <c r="S236" s="8">
        <v>0</v>
      </c>
      <c r="T236" s="8" t="s">
        <v>3313</v>
      </c>
      <c r="U236" s="8" t="s">
        <v>3314</v>
      </c>
      <c r="V236" s="8" t="s">
        <v>3315</v>
      </c>
      <c r="W236" s="8" t="s">
        <v>3316</v>
      </c>
    </row>
    <row r="237" spans="1:23" x14ac:dyDescent="0.3">
      <c r="A237" s="308">
        <v>45946</v>
      </c>
      <c r="B237" s="302">
        <v>2447.34</v>
      </c>
      <c r="C237" s="8">
        <v>-29.349</v>
      </c>
      <c r="D237" s="268">
        <v>-1.1900000000000001E-2</v>
      </c>
      <c r="E237" s="8">
        <v>86.75</v>
      </c>
      <c r="F237" s="8">
        <v>146.46199999999999</v>
      </c>
      <c r="G237" s="8">
        <v>130.488</v>
      </c>
      <c r="H237" s="8">
        <v>104.77</v>
      </c>
      <c r="I237" s="8">
        <v>187.32</v>
      </c>
      <c r="J237" s="8">
        <v>31.36</v>
      </c>
      <c r="K237" s="268">
        <v>0.40860000000000002</v>
      </c>
      <c r="L237" s="268">
        <v>0.27539999999999998</v>
      </c>
      <c r="M237" s="268">
        <v>-8.6300000000000002E-2</v>
      </c>
      <c r="N237" s="8">
        <v>648.95000000000005</v>
      </c>
      <c r="O237" s="8">
        <v>5711.61</v>
      </c>
      <c r="P237" s="268">
        <v>0.11360000000000001</v>
      </c>
      <c r="Q237" s="8">
        <v>409</v>
      </c>
      <c r="R237" s="8">
        <v>0</v>
      </c>
      <c r="S237" s="8">
        <v>0</v>
      </c>
      <c r="T237" s="8" t="s">
        <v>3055</v>
      </c>
      <c r="U237" s="8" t="s">
        <v>3317</v>
      </c>
      <c r="V237" s="8" t="s">
        <v>3318</v>
      </c>
      <c r="W237" s="8" t="s">
        <v>3319</v>
      </c>
    </row>
    <row r="238" spans="1:23" x14ac:dyDescent="0.3">
      <c r="A238" s="308">
        <v>45945</v>
      </c>
      <c r="B238" s="302">
        <v>2476.6889999999999</v>
      </c>
      <c r="C238" s="8">
        <v>15.651999999999999</v>
      </c>
      <c r="D238" s="268">
        <v>6.4000000000000003E-3</v>
      </c>
      <c r="E238" s="8">
        <v>88.49</v>
      </c>
      <c r="F238" s="8">
        <v>148.649</v>
      </c>
      <c r="G238" s="8">
        <v>131.697</v>
      </c>
      <c r="H238" s="8">
        <v>105.33</v>
      </c>
      <c r="I238" s="8">
        <v>189.49</v>
      </c>
      <c r="J238" s="8">
        <v>31.56</v>
      </c>
      <c r="K238" s="268">
        <v>0.40839999999999999</v>
      </c>
      <c r="L238" s="268">
        <v>0.26729999999999998</v>
      </c>
      <c r="M238" s="268">
        <v>-9.1800000000000007E-2</v>
      </c>
      <c r="N238" s="8">
        <v>757.91</v>
      </c>
      <c r="O238" s="8">
        <v>5753.66</v>
      </c>
      <c r="P238" s="268">
        <v>0.13170000000000001</v>
      </c>
      <c r="Q238" s="8">
        <v>410</v>
      </c>
      <c r="R238" s="8">
        <v>0</v>
      </c>
      <c r="S238" s="8">
        <v>0</v>
      </c>
      <c r="T238" s="8" t="s">
        <v>3084</v>
      </c>
      <c r="U238" s="8" t="s">
        <v>3320</v>
      </c>
      <c r="V238" s="8" t="s">
        <v>3321</v>
      </c>
      <c r="W238" s="8" t="s">
        <v>3322</v>
      </c>
    </row>
    <row r="239" spans="1:23" x14ac:dyDescent="0.3">
      <c r="A239" s="308">
        <v>45944</v>
      </c>
      <c r="B239" s="302">
        <v>2461.0369999999998</v>
      </c>
      <c r="C239" s="8">
        <v>-31.657</v>
      </c>
      <c r="D239" s="268">
        <v>-1.2699999999999999E-2</v>
      </c>
      <c r="E239" s="8">
        <v>87.36</v>
      </c>
      <c r="F239" s="8">
        <v>147.37</v>
      </c>
      <c r="G239" s="8">
        <v>130.77199999999999</v>
      </c>
      <c r="H239" s="8">
        <v>103.38</v>
      </c>
      <c r="I239" s="8">
        <v>189.29</v>
      </c>
      <c r="J239" s="8">
        <v>34.65</v>
      </c>
      <c r="K239" s="268">
        <v>0.41920000000000002</v>
      </c>
      <c r="L239" s="268">
        <v>0.27929999999999999</v>
      </c>
      <c r="M239" s="268">
        <v>-8.9099999999999999E-2</v>
      </c>
      <c r="N239" s="8">
        <v>776.29</v>
      </c>
      <c r="O239" s="8">
        <v>5792.79</v>
      </c>
      <c r="P239" s="268">
        <v>0.13400000000000001</v>
      </c>
      <c r="Q239" s="8">
        <v>412</v>
      </c>
      <c r="R239" s="8">
        <v>0</v>
      </c>
      <c r="S239" s="8">
        <v>0</v>
      </c>
      <c r="T239" s="8" t="s">
        <v>3323</v>
      </c>
      <c r="U239" s="8" t="s">
        <v>3324</v>
      </c>
      <c r="V239" s="8" t="s">
        <v>3325</v>
      </c>
      <c r="W239" s="8" t="s">
        <v>3326</v>
      </c>
    </row>
    <row r="240" spans="1:23" x14ac:dyDescent="0.3">
      <c r="A240" s="308">
        <v>45943</v>
      </c>
      <c r="B240" s="302">
        <v>2492.694</v>
      </c>
      <c r="C240" s="8">
        <v>-9.7850000000000001</v>
      </c>
      <c r="D240" s="268">
        <v>-3.8999999999999998E-3</v>
      </c>
      <c r="E240" s="8">
        <v>89.88</v>
      </c>
      <c r="F240" s="8">
        <v>149.52500000000001</v>
      </c>
      <c r="G240" s="8">
        <v>132.154</v>
      </c>
      <c r="H240" s="8">
        <v>104.26</v>
      </c>
      <c r="I240" s="8">
        <v>191.15</v>
      </c>
      <c r="J240" s="8">
        <v>34.07</v>
      </c>
      <c r="K240" s="268">
        <v>0.41620000000000001</v>
      </c>
      <c r="L240" s="268">
        <v>0.27479999999999999</v>
      </c>
      <c r="M240" s="268">
        <v>-9.4399999999999998E-2</v>
      </c>
      <c r="N240" s="8">
        <v>761.15</v>
      </c>
      <c r="O240" s="8">
        <v>5853.69</v>
      </c>
      <c r="P240" s="268">
        <v>0.13</v>
      </c>
      <c r="Q240" s="8">
        <v>413</v>
      </c>
      <c r="R240" s="8">
        <v>0</v>
      </c>
      <c r="S240" s="8">
        <v>0</v>
      </c>
      <c r="T240" s="8" t="s">
        <v>3327</v>
      </c>
      <c r="U240" s="8" t="s">
        <v>3328</v>
      </c>
      <c r="V240" s="8" t="s">
        <v>3329</v>
      </c>
      <c r="W240" s="8" t="s">
        <v>3330</v>
      </c>
    </row>
    <row r="241" spans="1:23" x14ac:dyDescent="0.3">
      <c r="A241" s="308">
        <v>45940</v>
      </c>
      <c r="B241" s="302">
        <v>2502.4789999999998</v>
      </c>
      <c r="C241" s="8">
        <v>-12.651</v>
      </c>
      <c r="D241" s="268">
        <v>-5.0000000000000001E-3</v>
      </c>
      <c r="E241" s="8">
        <v>91.37</v>
      </c>
      <c r="F241" s="8">
        <v>149.547</v>
      </c>
      <c r="G241" s="8">
        <v>132.62799999999999</v>
      </c>
      <c r="H241" s="8">
        <v>105.2</v>
      </c>
      <c r="I241" s="8">
        <v>190.94</v>
      </c>
      <c r="J241" s="8">
        <v>32.24</v>
      </c>
      <c r="K241" s="268">
        <v>0.41389999999999999</v>
      </c>
      <c r="L241" s="268">
        <v>0.27829999999999999</v>
      </c>
      <c r="M241" s="268">
        <v>-9.5500000000000002E-2</v>
      </c>
      <c r="N241" s="8">
        <v>724.12</v>
      </c>
      <c r="O241" s="8">
        <v>5773.66</v>
      </c>
      <c r="P241" s="268">
        <v>0.12540000000000001</v>
      </c>
      <c r="Q241" s="8">
        <v>412</v>
      </c>
      <c r="R241" s="8">
        <v>0</v>
      </c>
      <c r="S241" s="8">
        <v>0</v>
      </c>
      <c r="T241" s="8" t="s">
        <v>3331</v>
      </c>
      <c r="U241" s="8" t="s">
        <v>3332</v>
      </c>
      <c r="V241" s="8" t="s">
        <v>3333</v>
      </c>
      <c r="W241" s="8" t="s">
        <v>3334</v>
      </c>
    </row>
    <row r="242" spans="1:23" x14ac:dyDescent="0.3">
      <c r="A242" s="308">
        <v>45939</v>
      </c>
      <c r="B242" s="302">
        <v>2515.13</v>
      </c>
      <c r="C242" s="8">
        <v>13.285</v>
      </c>
      <c r="D242" s="268">
        <v>5.3E-3</v>
      </c>
      <c r="E242" s="8">
        <v>91.49</v>
      </c>
      <c r="F242" s="8">
        <v>151.18600000000001</v>
      </c>
      <c r="G242" s="8">
        <v>133.09</v>
      </c>
      <c r="H242" s="8">
        <v>107.14</v>
      </c>
      <c r="I242" s="8">
        <v>192.29</v>
      </c>
      <c r="J242" s="8">
        <v>35.32</v>
      </c>
      <c r="K242" s="268">
        <v>0.41099999999999998</v>
      </c>
      <c r="L242" s="268">
        <v>0.2737</v>
      </c>
      <c r="M242" s="268">
        <v>-9.7299999999999998E-2</v>
      </c>
      <c r="N242" s="8">
        <v>700.91</v>
      </c>
      <c r="O242" s="8">
        <v>5776.16</v>
      </c>
      <c r="P242" s="268">
        <v>0.12130000000000001</v>
      </c>
      <c r="Q242" s="8">
        <v>415</v>
      </c>
      <c r="R242" s="8">
        <v>0</v>
      </c>
      <c r="S242" s="8">
        <v>0</v>
      </c>
      <c r="T242" s="8" t="s">
        <v>3335</v>
      </c>
      <c r="U242" s="8" t="s">
        <v>3336</v>
      </c>
      <c r="V242" s="8" t="s">
        <v>3337</v>
      </c>
      <c r="W242" s="8" t="s">
        <v>3338</v>
      </c>
    </row>
    <row r="243" spans="1:23" ht="28" customHeight="1" x14ac:dyDescent="0.3">
      <c r="A243" s="308">
        <v>45930</v>
      </c>
      <c r="B243" s="302">
        <v>2501.8449999999998</v>
      </c>
      <c r="C243" s="8">
        <v>16.231000000000002</v>
      </c>
      <c r="D243" s="268">
        <v>6.4999999999999997E-3</v>
      </c>
      <c r="E243" s="8">
        <v>90.59</v>
      </c>
      <c r="F243" s="8">
        <v>150.22399999999999</v>
      </c>
      <c r="G243" s="8">
        <v>132.35599999999999</v>
      </c>
      <c r="H243" s="8">
        <v>104.79</v>
      </c>
      <c r="I243" s="8">
        <v>191.66</v>
      </c>
      <c r="J243" s="8">
        <v>35.14</v>
      </c>
      <c r="K243" s="268">
        <v>0.4143</v>
      </c>
      <c r="L243" s="268">
        <v>0.27760000000000001</v>
      </c>
      <c r="M243" s="268">
        <v>-9.1999999999999998E-2</v>
      </c>
      <c r="N243" s="8">
        <v>803.16</v>
      </c>
      <c r="O243" s="8">
        <v>5895.78</v>
      </c>
      <c r="P243" s="268">
        <v>0.13619999999999999</v>
      </c>
      <c r="Q243" s="8">
        <v>417</v>
      </c>
      <c r="R243" s="8">
        <v>0</v>
      </c>
      <c r="S243" s="8">
        <v>0</v>
      </c>
      <c r="T243" s="8" t="s">
        <v>3339</v>
      </c>
      <c r="U243" s="8" t="s">
        <v>3340</v>
      </c>
      <c r="V243" s="8" t="s">
        <v>3341</v>
      </c>
      <c r="W243" s="8" t="s">
        <v>3342</v>
      </c>
    </row>
    <row r="244" spans="1:23" ht="28" customHeight="1" x14ac:dyDescent="0.3">
      <c r="A244" s="308">
        <v>45929</v>
      </c>
      <c r="B244" s="302">
        <v>2485.614</v>
      </c>
      <c r="C244" s="8">
        <v>27.312000000000001</v>
      </c>
      <c r="D244" s="268">
        <v>1.11E-2</v>
      </c>
      <c r="E244" s="8">
        <v>89.77</v>
      </c>
      <c r="F244" s="8">
        <v>149.822</v>
      </c>
      <c r="G244" s="8">
        <v>131.63999999999999</v>
      </c>
      <c r="H244" s="8">
        <v>104.33</v>
      </c>
      <c r="I244" s="8">
        <v>190.87</v>
      </c>
      <c r="J244" s="8">
        <v>33</v>
      </c>
      <c r="K244" s="268">
        <v>0.41039999999999999</v>
      </c>
      <c r="L244" s="268">
        <v>0.27279999999999999</v>
      </c>
      <c r="M244" s="268">
        <v>-8.9700000000000002E-2</v>
      </c>
      <c r="N244" s="8">
        <v>828.64</v>
      </c>
      <c r="O244" s="8">
        <v>5911.88</v>
      </c>
      <c r="P244" s="268">
        <v>0.14019999999999999</v>
      </c>
      <c r="Q244" s="8">
        <v>418</v>
      </c>
      <c r="R244" s="8">
        <v>0</v>
      </c>
      <c r="S244" s="8">
        <v>0</v>
      </c>
      <c r="T244" s="8" t="s">
        <v>3343</v>
      </c>
      <c r="U244" s="8" t="s">
        <v>3344</v>
      </c>
      <c r="V244" s="8" t="s">
        <v>3345</v>
      </c>
      <c r="W244" s="8" t="s">
        <v>3346</v>
      </c>
    </row>
    <row r="245" spans="1:23" x14ac:dyDescent="0.3">
      <c r="A245" s="308">
        <v>45926</v>
      </c>
      <c r="B245" s="302">
        <v>2458.3020000000001</v>
      </c>
      <c r="C245" s="8">
        <v>-11.509</v>
      </c>
      <c r="D245" s="268">
        <v>-4.7000000000000002E-3</v>
      </c>
      <c r="E245" s="8">
        <v>87.11</v>
      </c>
      <c r="F245" s="8">
        <v>148.08799999999999</v>
      </c>
      <c r="G245" s="8">
        <v>130.26900000000001</v>
      </c>
      <c r="H245" s="8">
        <v>103.94</v>
      </c>
      <c r="I245" s="8">
        <v>188.87</v>
      </c>
      <c r="J245" s="8">
        <v>32.049999999999997</v>
      </c>
      <c r="K245" s="268">
        <v>0.4078</v>
      </c>
      <c r="L245" s="268">
        <v>0.26619999999999999</v>
      </c>
      <c r="M245" s="268">
        <v>-9.1600000000000001E-2</v>
      </c>
      <c r="N245" s="8">
        <v>761.72</v>
      </c>
      <c r="O245" s="8">
        <v>5925.05</v>
      </c>
      <c r="P245" s="268">
        <v>0.12859999999999999</v>
      </c>
      <c r="Q245" s="8">
        <v>419</v>
      </c>
      <c r="R245" s="8">
        <v>0</v>
      </c>
      <c r="S245" s="8">
        <v>0</v>
      </c>
      <c r="T245" s="8" t="s">
        <v>3339</v>
      </c>
      <c r="U245" s="8" t="s">
        <v>3347</v>
      </c>
      <c r="V245" s="8" t="s">
        <v>3348</v>
      </c>
      <c r="W245" s="8" t="s">
        <v>3349</v>
      </c>
    </row>
    <row r="246" spans="1:23" x14ac:dyDescent="0.3">
      <c r="A246" s="308">
        <v>45925</v>
      </c>
      <c r="B246" s="302">
        <v>2469.8110000000001</v>
      </c>
      <c r="C246" s="8">
        <v>8.173</v>
      </c>
      <c r="D246" s="268">
        <v>3.3E-3</v>
      </c>
      <c r="E246" s="8">
        <v>88.87</v>
      </c>
      <c r="F246" s="8">
        <v>149.37899999999999</v>
      </c>
      <c r="G246" s="8">
        <v>130.69300000000001</v>
      </c>
      <c r="H246" s="8">
        <v>104.96</v>
      </c>
      <c r="I246" s="8">
        <v>190.05</v>
      </c>
      <c r="J246" s="8">
        <v>31.21</v>
      </c>
      <c r="K246" s="268">
        <v>0.40670000000000001</v>
      </c>
      <c r="L246" s="268">
        <v>0.25969999999999999</v>
      </c>
      <c r="M246" s="268">
        <v>-9.5200000000000007E-2</v>
      </c>
      <c r="N246" s="8">
        <v>834.38</v>
      </c>
      <c r="O246" s="8">
        <v>5947.9</v>
      </c>
      <c r="P246" s="268">
        <v>0.14030000000000001</v>
      </c>
      <c r="Q246" s="8">
        <v>421</v>
      </c>
      <c r="R246" s="8">
        <v>0</v>
      </c>
      <c r="S246" s="8">
        <v>0</v>
      </c>
      <c r="T246" s="8" t="s">
        <v>2378</v>
      </c>
      <c r="U246" s="8" t="s">
        <v>3350</v>
      </c>
      <c r="V246" s="8" t="s">
        <v>3351</v>
      </c>
      <c r="W246" s="8" t="s">
        <v>3352</v>
      </c>
    </row>
    <row r="247" spans="1:23" ht="28" customHeight="1" x14ac:dyDescent="0.3">
      <c r="A247" s="308">
        <v>45924</v>
      </c>
      <c r="B247" s="302">
        <v>2461.6379999999999</v>
      </c>
      <c r="C247" s="8">
        <v>34.49</v>
      </c>
      <c r="D247" s="268">
        <v>1.4200000000000001E-2</v>
      </c>
      <c r="E247" s="8">
        <v>88.28</v>
      </c>
      <c r="F247" s="8">
        <v>148.69399999999999</v>
      </c>
      <c r="G247" s="8">
        <v>130.488</v>
      </c>
      <c r="H247" s="8">
        <v>104.76</v>
      </c>
      <c r="I247" s="8">
        <v>188.24</v>
      </c>
      <c r="J247" s="8">
        <v>27.27</v>
      </c>
      <c r="K247" s="268">
        <v>0.39550000000000002</v>
      </c>
      <c r="L247" s="268">
        <v>0.25900000000000001</v>
      </c>
      <c r="M247" s="268">
        <v>-9.3700000000000006E-2</v>
      </c>
      <c r="N247" s="8">
        <v>920.45</v>
      </c>
      <c r="O247" s="8">
        <v>5955.44</v>
      </c>
      <c r="P247" s="268">
        <v>0.15459999999999999</v>
      </c>
      <c r="Q247" s="8">
        <v>423</v>
      </c>
      <c r="R247" s="8">
        <v>0</v>
      </c>
      <c r="S247" s="8">
        <v>0</v>
      </c>
      <c r="T247" s="8" t="s">
        <v>3353</v>
      </c>
      <c r="U247" s="8" t="s">
        <v>3354</v>
      </c>
      <c r="V247" s="8" t="s">
        <v>3355</v>
      </c>
      <c r="W247" s="8" t="s">
        <v>3356</v>
      </c>
    </row>
    <row r="248" spans="1:23" ht="28" customHeight="1" x14ac:dyDescent="0.3">
      <c r="A248" s="308">
        <v>45923</v>
      </c>
      <c r="B248" s="302">
        <v>2427.1480000000001</v>
      </c>
      <c r="C248" s="8">
        <v>-5.6680000000000001</v>
      </c>
      <c r="D248" s="268">
        <v>-2.3E-3</v>
      </c>
      <c r="E248" s="8">
        <v>84.5</v>
      </c>
      <c r="F248" s="8">
        <v>146.45099999999999</v>
      </c>
      <c r="G248" s="8">
        <v>128.46299999999999</v>
      </c>
      <c r="H248" s="8">
        <v>103.05</v>
      </c>
      <c r="I248" s="8">
        <v>186.3</v>
      </c>
      <c r="J248" s="8">
        <v>26.82</v>
      </c>
      <c r="K248" s="268">
        <v>0.39839999999999998</v>
      </c>
      <c r="L248" s="268">
        <v>0.26069999999999999</v>
      </c>
      <c r="M248" s="268">
        <v>-8.9800000000000005E-2</v>
      </c>
      <c r="N248" s="8">
        <v>890.94</v>
      </c>
      <c r="O248" s="8">
        <v>5964.32</v>
      </c>
      <c r="P248" s="268">
        <v>0.14940000000000001</v>
      </c>
      <c r="Q248" s="8">
        <v>425</v>
      </c>
      <c r="R248" s="8">
        <v>0</v>
      </c>
      <c r="S248" s="8">
        <v>0</v>
      </c>
      <c r="T248" s="8" t="s">
        <v>3357</v>
      </c>
      <c r="U248" s="8" t="s">
        <v>3358</v>
      </c>
      <c r="V248" s="8" t="s">
        <v>3359</v>
      </c>
      <c r="W248" s="8" t="s">
        <v>3360</v>
      </c>
    </row>
    <row r="249" spans="1:23" x14ac:dyDescent="0.3">
      <c r="A249" s="308">
        <v>45922</v>
      </c>
      <c r="B249" s="302">
        <v>2432.8159999999998</v>
      </c>
      <c r="C249" s="8">
        <v>-9.6229999999999993</v>
      </c>
      <c r="D249" s="268">
        <v>-3.8999999999999998E-3</v>
      </c>
      <c r="E249" s="8">
        <v>85.29</v>
      </c>
      <c r="F249" s="8">
        <v>147.059</v>
      </c>
      <c r="G249" s="8">
        <v>129.089</v>
      </c>
      <c r="H249" s="8">
        <v>104.8</v>
      </c>
      <c r="I249" s="8">
        <v>185.73</v>
      </c>
      <c r="J249" s="8">
        <v>25.18</v>
      </c>
      <c r="K249" s="268">
        <v>0.38669999999999999</v>
      </c>
      <c r="L249" s="268">
        <v>0.24310000000000001</v>
      </c>
      <c r="M249" s="268">
        <v>-9.1600000000000001E-2</v>
      </c>
      <c r="N249" s="8">
        <v>821.55</v>
      </c>
      <c r="O249" s="8">
        <v>5975.31</v>
      </c>
      <c r="P249" s="268">
        <v>0.13750000000000001</v>
      </c>
      <c r="Q249" s="8">
        <v>426</v>
      </c>
      <c r="R249" s="8">
        <v>0</v>
      </c>
      <c r="S249" s="8">
        <v>0</v>
      </c>
      <c r="T249" s="8" t="s">
        <v>3361</v>
      </c>
      <c r="U249" s="8" t="s">
        <v>3362</v>
      </c>
      <c r="V249" s="8" t="s">
        <v>3363</v>
      </c>
      <c r="W249" s="8" t="s">
        <v>3364</v>
      </c>
    </row>
    <row r="250" spans="1:23" ht="28" customHeight="1" x14ac:dyDescent="0.3">
      <c r="A250" s="308">
        <v>45919</v>
      </c>
      <c r="B250" s="302">
        <v>2442.4389999999999</v>
      </c>
      <c r="C250" s="8">
        <v>-17.564</v>
      </c>
      <c r="D250" s="268">
        <v>-7.1000000000000004E-3</v>
      </c>
      <c r="E250" s="8">
        <v>86.99</v>
      </c>
      <c r="F250" s="8">
        <v>147.489</v>
      </c>
      <c r="G250" s="8">
        <v>129.71199999999999</v>
      </c>
      <c r="H250" s="8">
        <v>105.55</v>
      </c>
      <c r="I250" s="8">
        <v>186.52</v>
      </c>
      <c r="J250" s="8">
        <v>28.52</v>
      </c>
      <c r="K250" s="268">
        <v>0.39029999999999998</v>
      </c>
      <c r="L250" s="268">
        <v>0.25530000000000003</v>
      </c>
      <c r="M250" s="268">
        <v>-0.1082</v>
      </c>
      <c r="N250" s="8">
        <v>902.32</v>
      </c>
      <c r="O250" s="8">
        <v>5992.86</v>
      </c>
      <c r="P250" s="268">
        <v>0.15060000000000001</v>
      </c>
      <c r="Q250" s="8">
        <v>427</v>
      </c>
      <c r="R250" s="8">
        <v>0</v>
      </c>
      <c r="S250" s="8">
        <v>0</v>
      </c>
      <c r="T250" s="8" t="s">
        <v>3365</v>
      </c>
      <c r="U250" s="8" t="s">
        <v>3366</v>
      </c>
      <c r="V250" s="8" t="s">
        <v>3367</v>
      </c>
      <c r="W250" s="8" t="s">
        <v>3368</v>
      </c>
    </row>
    <row r="251" spans="1:23" ht="28" customHeight="1" x14ac:dyDescent="0.3">
      <c r="A251" s="308">
        <v>45918</v>
      </c>
      <c r="B251" s="302">
        <v>2460.0030000000002</v>
      </c>
      <c r="C251" s="8">
        <v>-17.141999999999999</v>
      </c>
      <c r="D251" s="268">
        <v>-6.8999999999999999E-3</v>
      </c>
      <c r="E251" s="8">
        <v>88.22</v>
      </c>
      <c r="F251" s="8">
        <v>148.71299999999999</v>
      </c>
      <c r="G251" s="8">
        <v>129.97</v>
      </c>
      <c r="H251" s="8">
        <v>104.82</v>
      </c>
      <c r="I251" s="8">
        <v>187.97</v>
      </c>
      <c r="J251" s="8">
        <v>30.19</v>
      </c>
      <c r="K251" s="268">
        <v>0.39250000000000002</v>
      </c>
      <c r="L251" s="268">
        <v>0.25469999999999998</v>
      </c>
      <c r="M251" s="268">
        <v>-0.11</v>
      </c>
      <c r="N251" s="8">
        <v>1069.98</v>
      </c>
      <c r="O251" s="8">
        <v>6000.62</v>
      </c>
      <c r="P251" s="268">
        <v>0.17829999999999999</v>
      </c>
      <c r="Q251" s="8">
        <v>428</v>
      </c>
      <c r="R251" s="8">
        <v>0</v>
      </c>
      <c r="S251" s="8">
        <v>0</v>
      </c>
      <c r="T251" s="8" t="s">
        <v>3369</v>
      </c>
      <c r="U251" s="8" t="s">
        <v>3370</v>
      </c>
      <c r="V251" s="8" t="s">
        <v>3371</v>
      </c>
      <c r="W251" s="8" t="s">
        <v>3372</v>
      </c>
    </row>
    <row r="252" spans="1:23" x14ac:dyDescent="0.3">
      <c r="A252" s="308">
        <v>45917</v>
      </c>
      <c r="B252" s="302">
        <v>2477.145</v>
      </c>
      <c r="C252" s="8">
        <v>18.587</v>
      </c>
      <c r="D252" s="268">
        <v>7.6E-3</v>
      </c>
      <c r="E252" s="8">
        <v>90.51</v>
      </c>
      <c r="F252" s="8">
        <v>149.822</v>
      </c>
      <c r="G252" s="8">
        <v>131.57900000000001</v>
      </c>
      <c r="H252" s="8">
        <v>106.6</v>
      </c>
      <c r="I252" s="8">
        <v>188.13</v>
      </c>
      <c r="J252" s="8">
        <v>27.63</v>
      </c>
      <c r="K252" s="268">
        <v>0.38300000000000001</v>
      </c>
      <c r="L252" s="268">
        <v>0.249</v>
      </c>
      <c r="M252" s="268">
        <v>-0.1128</v>
      </c>
      <c r="N252" s="8">
        <v>890.36</v>
      </c>
      <c r="O252" s="8">
        <v>6005.75</v>
      </c>
      <c r="P252" s="268">
        <v>0.14829999999999999</v>
      </c>
      <c r="Q252" s="8">
        <v>429</v>
      </c>
      <c r="R252" s="8">
        <v>0</v>
      </c>
      <c r="S252" s="8">
        <v>0</v>
      </c>
      <c r="T252" s="8" t="s">
        <v>3373</v>
      </c>
      <c r="U252" s="8" t="s">
        <v>3374</v>
      </c>
      <c r="V252" s="8" t="s">
        <v>3375</v>
      </c>
      <c r="W252" s="8" t="s">
        <v>3376</v>
      </c>
    </row>
    <row r="253" spans="1:23" ht="28" customHeight="1" x14ac:dyDescent="0.3">
      <c r="A253" s="308">
        <v>45916</v>
      </c>
      <c r="B253" s="302">
        <v>2458.558</v>
      </c>
      <c r="C253" s="8">
        <v>4.3440000000000003</v>
      </c>
      <c r="D253" s="268">
        <v>1.8E-3</v>
      </c>
      <c r="E253" s="8">
        <v>89.33</v>
      </c>
      <c r="F253" s="8">
        <v>148.53399999999999</v>
      </c>
      <c r="G253" s="8">
        <v>131.24700000000001</v>
      </c>
      <c r="H253" s="8">
        <v>105.3</v>
      </c>
      <c r="I253" s="8">
        <v>186.4</v>
      </c>
      <c r="J253" s="8">
        <v>26.21</v>
      </c>
      <c r="K253" s="268">
        <v>0.37869999999999998</v>
      </c>
      <c r="L253" s="268">
        <v>0.2581</v>
      </c>
      <c r="M253" s="268">
        <v>-0.10920000000000001</v>
      </c>
      <c r="N253" s="8">
        <v>871.83</v>
      </c>
      <c r="O253" s="8">
        <v>6014.97</v>
      </c>
      <c r="P253" s="268">
        <v>0.1449</v>
      </c>
      <c r="Q253" s="8">
        <v>431</v>
      </c>
      <c r="R253" s="8">
        <v>0</v>
      </c>
      <c r="S253" s="8">
        <v>0</v>
      </c>
      <c r="T253" s="8" t="s">
        <v>3377</v>
      </c>
      <c r="U253" s="8" t="s">
        <v>3378</v>
      </c>
      <c r="V253" s="8" t="s">
        <v>3379</v>
      </c>
      <c r="W253" s="8" t="s">
        <v>3380</v>
      </c>
    </row>
    <row r="254" spans="1:23" ht="28" customHeight="1" x14ac:dyDescent="0.3">
      <c r="A254" s="308">
        <v>45915</v>
      </c>
      <c r="B254" s="302">
        <v>2454.2139999999999</v>
      </c>
      <c r="C254" s="8">
        <v>-20.241</v>
      </c>
      <c r="D254" s="268">
        <v>-8.2000000000000007E-3</v>
      </c>
      <c r="E254" s="8">
        <v>89.38</v>
      </c>
      <c r="F254" s="8">
        <v>148.12899999999999</v>
      </c>
      <c r="G254" s="8">
        <v>131.68899999999999</v>
      </c>
      <c r="H254" s="8">
        <v>104.62</v>
      </c>
      <c r="I254" s="8">
        <v>187.04</v>
      </c>
      <c r="J254" s="8">
        <v>28.8</v>
      </c>
      <c r="K254" s="268">
        <v>0.3891</v>
      </c>
      <c r="L254" s="268">
        <v>0.25729999999999997</v>
      </c>
      <c r="M254" s="268">
        <v>-0.1099</v>
      </c>
      <c r="N254" s="8">
        <v>797.18</v>
      </c>
      <c r="O254" s="8">
        <v>6062.62</v>
      </c>
      <c r="P254" s="268">
        <v>0.13150000000000001</v>
      </c>
      <c r="Q254" s="8">
        <v>432</v>
      </c>
      <c r="R254" s="8">
        <v>0</v>
      </c>
      <c r="S254" s="8">
        <v>0</v>
      </c>
      <c r="T254" s="8" t="s">
        <v>3381</v>
      </c>
      <c r="U254" s="8" t="s">
        <v>3382</v>
      </c>
      <c r="V254" s="8" t="s">
        <v>3383</v>
      </c>
      <c r="W254" s="8" t="s">
        <v>3384</v>
      </c>
    </row>
    <row r="255" spans="1:23" ht="28" customHeight="1" x14ac:dyDescent="0.3">
      <c r="A255" s="308">
        <v>45912</v>
      </c>
      <c r="B255" s="302">
        <v>2474.4549999999999</v>
      </c>
      <c r="C255" s="8">
        <v>7.819</v>
      </c>
      <c r="D255" s="268">
        <v>3.2000000000000002E-3</v>
      </c>
      <c r="E255" s="8">
        <v>91.58</v>
      </c>
      <c r="F255" s="8">
        <v>149.63499999999999</v>
      </c>
      <c r="G255" s="8">
        <v>132.74299999999999</v>
      </c>
      <c r="H255" s="8">
        <v>105.35</v>
      </c>
      <c r="I255" s="8">
        <v>188.94</v>
      </c>
      <c r="J255" s="8">
        <v>31.33</v>
      </c>
      <c r="K255" s="268">
        <v>0.3931</v>
      </c>
      <c r="L255" s="268">
        <v>0.2717</v>
      </c>
      <c r="M255" s="268">
        <v>-0.1115</v>
      </c>
      <c r="N255" s="8">
        <v>915.8</v>
      </c>
      <c r="O255" s="8">
        <v>6072.93</v>
      </c>
      <c r="P255" s="268">
        <v>0.15079999999999999</v>
      </c>
      <c r="Q255" s="8">
        <v>433</v>
      </c>
      <c r="R255" s="8">
        <v>0</v>
      </c>
      <c r="S255" s="8">
        <v>0</v>
      </c>
      <c r="T255" s="8" t="s">
        <v>3385</v>
      </c>
      <c r="U255" s="8" t="s">
        <v>3386</v>
      </c>
      <c r="V255" s="8" t="s">
        <v>3387</v>
      </c>
      <c r="W255" s="8" t="s">
        <v>3388</v>
      </c>
    </row>
    <row r="256" spans="1:23" ht="28" customHeight="1" x14ac:dyDescent="0.3">
      <c r="A256" s="308">
        <v>45911</v>
      </c>
      <c r="B256" s="302">
        <v>2466.636</v>
      </c>
      <c r="C256" s="8">
        <v>37.936</v>
      </c>
      <c r="D256" s="268">
        <v>1.5599999999999999E-2</v>
      </c>
      <c r="E256" s="8">
        <v>91.34</v>
      </c>
      <c r="F256" s="8">
        <v>149.185</v>
      </c>
      <c r="G256" s="8">
        <v>132.614</v>
      </c>
      <c r="H256" s="8">
        <v>106.11</v>
      </c>
      <c r="I256" s="8">
        <v>187.5</v>
      </c>
      <c r="J256" s="8">
        <v>29.04</v>
      </c>
      <c r="K256" s="268">
        <v>0.38319999999999999</v>
      </c>
      <c r="L256" s="268">
        <v>0.25230000000000002</v>
      </c>
      <c r="M256" s="268">
        <v>-0.11070000000000001</v>
      </c>
      <c r="N256" s="8">
        <v>912.49</v>
      </c>
      <c r="O256" s="8">
        <v>6085.76</v>
      </c>
      <c r="P256" s="268">
        <v>0.14990000000000001</v>
      </c>
      <c r="Q256" s="8">
        <v>436</v>
      </c>
      <c r="R256" s="8">
        <v>0</v>
      </c>
      <c r="S256" s="8">
        <v>0</v>
      </c>
      <c r="T256" s="8" t="s">
        <v>3389</v>
      </c>
      <c r="U256" s="8" t="s">
        <v>3390</v>
      </c>
      <c r="V256" s="8" t="s">
        <v>3391</v>
      </c>
      <c r="W256" s="8" t="s">
        <v>3392</v>
      </c>
    </row>
    <row r="257" spans="1:23" ht="28" customHeight="1" x14ac:dyDescent="0.3">
      <c r="A257" s="308">
        <v>45910</v>
      </c>
      <c r="B257" s="302">
        <v>2428.6999999999998</v>
      </c>
      <c r="C257" s="8">
        <v>-18.722999999999999</v>
      </c>
      <c r="D257" s="268">
        <v>-7.7000000000000002E-3</v>
      </c>
      <c r="E257" s="8">
        <v>88.04</v>
      </c>
      <c r="F257" s="8">
        <v>146.65100000000001</v>
      </c>
      <c r="G257" s="8">
        <v>130.904</v>
      </c>
      <c r="H257" s="8">
        <v>104.19</v>
      </c>
      <c r="I257" s="8">
        <v>184.98</v>
      </c>
      <c r="J257" s="8">
        <v>27.13</v>
      </c>
      <c r="K257" s="268">
        <v>0.38329999999999997</v>
      </c>
      <c r="L257" s="268">
        <v>0.2576</v>
      </c>
      <c r="M257" s="268">
        <v>-0.1036</v>
      </c>
      <c r="N257" s="8">
        <v>819.89</v>
      </c>
      <c r="O257" s="8">
        <v>6096.55</v>
      </c>
      <c r="P257" s="268">
        <v>0.13450000000000001</v>
      </c>
      <c r="Q257" s="8">
        <v>434</v>
      </c>
      <c r="R257" s="8">
        <v>0</v>
      </c>
      <c r="S257" s="8">
        <v>0</v>
      </c>
      <c r="T257" s="8" t="s">
        <v>3393</v>
      </c>
      <c r="U257" s="8" t="s">
        <v>3394</v>
      </c>
      <c r="V257" s="8" t="s">
        <v>3395</v>
      </c>
      <c r="W257" s="8" t="s">
        <v>3396</v>
      </c>
    </row>
    <row r="258" spans="1:23" ht="28" customHeight="1" x14ac:dyDescent="0.3">
      <c r="A258" s="308">
        <v>45909</v>
      </c>
      <c r="B258" s="302">
        <v>2447.4229999999998</v>
      </c>
      <c r="C258" s="8">
        <v>-30.754000000000001</v>
      </c>
      <c r="D258" s="268">
        <v>-1.24E-2</v>
      </c>
      <c r="E258" s="8">
        <v>90.28</v>
      </c>
      <c r="F258" s="8">
        <v>147.738</v>
      </c>
      <c r="G258" s="8">
        <v>131.87</v>
      </c>
      <c r="H258" s="8">
        <v>104.09</v>
      </c>
      <c r="I258" s="8">
        <v>186.69</v>
      </c>
      <c r="J258" s="8">
        <v>30.19</v>
      </c>
      <c r="K258" s="268">
        <v>0.3896</v>
      </c>
      <c r="L258" s="268">
        <v>0.26329999999999998</v>
      </c>
      <c r="M258" s="268">
        <v>-0.1057</v>
      </c>
      <c r="N258" s="8">
        <v>833.9</v>
      </c>
      <c r="O258" s="8">
        <v>6106.96</v>
      </c>
      <c r="P258" s="268">
        <v>0.13650000000000001</v>
      </c>
      <c r="Q258" s="8">
        <v>434</v>
      </c>
      <c r="R258" s="8">
        <v>0</v>
      </c>
      <c r="S258" s="8">
        <v>0</v>
      </c>
      <c r="T258" s="8" t="s">
        <v>3397</v>
      </c>
      <c r="U258" s="8" t="s">
        <v>3398</v>
      </c>
      <c r="V258" s="8" t="s">
        <v>3399</v>
      </c>
      <c r="W258" s="8" t="s">
        <v>3400</v>
      </c>
    </row>
    <row r="259" spans="1:23" ht="28" customHeight="1" x14ac:dyDescent="0.3">
      <c r="A259" s="308">
        <v>45908</v>
      </c>
      <c r="B259" s="302">
        <v>2478.1770000000001</v>
      </c>
      <c r="C259" s="8">
        <v>22.032</v>
      </c>
      <c r="D259" s="268">
        <v>8.9999999999999993E-3</v>
      </c>
      <c r="E259" s="8">
        <v>92.95</v>
      </c>
      <c r="F259" s="8">
        <v>149.81200000000001</v>
      </c>
      <c r="G259" s="8">
        <v>133.64400000000001</v>
      </c>
      <c r="H259" s="8">
        <v>105.57</v>
      </c>
      <c r="I259" s="8">
        <v>188.78</v>
      </c>
      <c r="J259" s="8">
        <v>30.98</v>
      </c>
      <c r="K259" s="268">
        <v>0.38969999999999999</v>
      </c>
      <c r="L259" s="268">
        <v>0.26140000000000002</v>
      </c>
      <c r="M259" s="268">
        <v>-0.1111</v>
      </c>
      <c r="N259" s="8">
        <v>864.32</v>
      </c>
      <c r="O259" s="8">
        <v>6106</v>
      </c>
      <c r="P259" s="268">
        <v>0.1416</v>
      </c>
      <c r="Q259" s="8">
        <v>435</v>
      </c>
      <c r="R259" s="8">
        <v>0</v>
      </c>
      <c r="S259" s="8">
        <v>0</v>
      </c>
      <c r="T259" s="8" t="s">
        <v>3401</v>
      </c>
      <c r="U259" s="8" t="s">
        <v>3402</v>
      </c>
      <c r="V259" s="8" t="s">
        <v>3403</v>
      </c>
      <c r="W259" s="8" t="s">
        <v>3404</v>
      </c>
    </row>
    <row r="260" spans="1:23" ht="28" customHeight="1" x14ac:dyDescent="0.3">
      <c r="A260" s="308">
        <v>45905</v>
      </c>
      <c r="B260" s="302">
        <v>2456.145</v>
      </c>
      <c r="C260" s="8">
        <v>63.244</v>
      </c>
      <c r="D260" s="268">
        <v>2.64E-2</v>
      </c>
      <c r="E260" s="8">
        <v>91.18</v>
      </c>
      <c r="F260" s="8">
        <v>148.779</v>
      </c>
      <c r="G260" s="8">
        <v>132.33199999999999</v>
      </c>
      <c r="H260" s="8">
        <v>104.17</v>
      </c>
      <c r="I260" s="8">
        <v>188.93</v>
      </c>
      <c r="J260" s="8">
        <v>33.24</v>
      </c>
      <c r="K260" s="268">
        <v>0.40150000000000002</v>
      </c>
      <c r="L260" s="268">
        <v>0.27200000000000002</v>
      </c>
      <c r="M260" s="268">
        <v>-0.108</v>
      </c>
      <c r="N260" s="8">
        <v>926.85</v>
      </c>
      <c r="O260" s="8">
        <v>6115.27</v>
      </c>
      <c r="P260" s="268">
        <v>0.15160000000000001</v>
      </c>
      <c r="Q260" s="8">
        <v>435</v>
      </c>
      <c r="R260" s="8">
        <v>0</v>
      </c>
      <c r="S260" s="8">
        <v>0</v>
      </c>
      <c r="T260" s="8" t="s">
        <v>3405</v>
      </c>
      <c r="U260" s="8" t="s">
        <v>3406</v>
      </c>
      <c r="V260" s="8" t="s">
        <v>3407</v>
      </c>
      <c r="W260" s="8" t="s">
        <v>3408</v>
      </c>
    </row>
    <row r="261" spans="1:23" ht="28" customHeight="1" x14ac:dyDescent="0.3">
      <c r="A261" s="308">
        <v>45904</v>
      </c>
      <c r="B261" s="302">
        <v>2392.9009999999998</v>
      </c>
      <c r="C261" s="8">
        <v>-13.79</v>
      </c>
      <c r="D261" s="268">
        <v>-5.7000000000000002E-3</v>
      </c>
      <c r="E261" s="8">
        <v>84.51</v>
      </c>
      <c r="F261" s="8">
        <v>144.72800000000001</v>
      </c>
      <c r="G261" s="8">
        <v>128.95099999999999</v>
      </c>
      <c r="H261" s="8">
        <v>102.09</v>
      </c>
      <c r="I261" s="8">
        <v>184.9</v>
      </c>
      <c r="J261" s="8">
        <v>31.94</v>
      </c>
      <c r="K261" s="268">
        <v>0.4017</v>
      </c>
      <c r="L261" s="268">
        <v>0.2697</v>
      </c>
      <c r="M261" s="268">
        <v>-9.5699999999999993E-2</v>
      </c>
      <c r="N261" s="8">
        <v>891.64</v>
      </c>
      <c r="O261" s="8">
        <v>6119.64</v>
      </c>
      <c r="P261" s="268">
        <v>0.1457</v>
      </c>
      <c r="Q261" s="8">
        <v>434</v>
      </c>
      <c r="R261" s="8">
        <v>0</v>
      </c>
      <c r="S261" s="8">
        <v>0</v>
      </c>
      <c r="T261" s="8" t="s">
        <v>3409</v>
      </c>
      <c r="U261" s="8" t="s">
        <v>3410</v>
      </c>
      <c r="V261" s="8" t="s">
        <v>3411</v>
      </c>
      <c r="W261" s="8" t="s">
        <v>3412</v>
      </c>
    </row>
    <row r="262" spans="1:23" ht="28" customHeight="1" x14ac:dyDescent="0.3">
      <c r="A262" s="308">
        <v>45903</v>
      </c>
      <c r="B262" s="302">
        <v>2406.6909999999998</v>
      </c>
      <c r="C262" s="8">
        <v>2.548</v>
      </c>
      <c r="D262" s="268">
        <v>1.1000000000000001E-3</v>
      </c>
      <c r="E262" s="8">
        <v>85.48</v>
      </c>
      <c r="F262" s="8">
        <v>146.041</v>
      </c>
      <c r="G262" s="8">
        <v>128.90700000000001</v>
      </c>
      <c r="H262" s="8">
        <v>102.08</v>
      </c>
      <c r="I262" s="8">
        <v>185.95</v>
      </c>
      <c r="J262" s="8">
        <v>30.42</v>
      </c>
      <c r="K262" s="268">
        <v>0.39910000000000001</v>
      </c>
      <c r="L262" s="268">
        <v>0.26850000000000002</v>
      </c>
      <c r="M262" s="268">
        <v>-9.6799999999999997E-2</v>
      </c>
      <c r="N262" s="8">
        <v>858.09</v>
      </c>
      <c r="O262" s="8">
        <v>6131.4</v>
      </c>
      <c r="P262" s="268">
        <v>0.1399</v>
      </c>
      <c r="Q262" s="8">
        <v>436</v>
      </c>
      <c r="R262" s="8" t="s">
        <v>3413</v>
      </c>
      <c r="S262" s="8">
        <v>0</v>
      </c>
      <c r="T262" s="8" t="s">
        <v>3414</v>
      </c>
      <c r="U262" s="8" t="s">
        <v>3415</v>
      </c>
      <c r="V262" s="8" t="s">
        <v>3416</v>
      </c>
      <c r="W262" s="8" t="s">
        <v>3417</v>
      </c>
    </row>
    <row r="263" spans="1:23" ht="28" customHeight="1" x14ac:dyDescent="0.3">
      <c r="A263" s="308">
        <v>45902</v>
      </c>
      <c r="B263" s="302">
        <v>2404.143</v>
      </c>
      <c r="C263" s="8">
        <v>-30.901</v>
      </c>
      <c r="D263" s="268">
        <v>-1.2699999999999999E-2</v>
      </c>
      <c r="E263" s="8">
        <v>84.93</v>
      </c>
      <c r="F263" s="8">
        <v>145.971</v>
      </c>
      <c r="G263" s="8">
        <v>128.70400000000001</v>
      </c>
      <c r="H263" s="8">
        <v>104.03</v>
      </c>
      <c r="I263" s="8">
        <v>183.25</v>
      </c>
      <c r="J263" s="8">
        <v>24.1</v>
      </c>
      <c r="K263" s="268">
        <v>0.37280000000000002</v>
      </c>
      <c r="L263" s="268">
        <v>0.23980000000000001</v>
      </c>
      <c r="M263" s="268">
        <v>-9.7000000000000003E-2</v>
      </c>
      <c r="N263" s="8">
        <v>1057.1400000000001</v>
      </c>
      <c r="O263" s="8">
        <v>6141.06</v>
      </c>
      <c r="P263" s="268">
        <v>0.1721</v>
      </c>
      <c r="Q263" s="8">
        <v>438</v>
      </c>
      <c r="R263" s="8">
        <v>0</v>
      </c>
      <c r="S263" s="8" t="s">
        <v>3149</v>
      </c>
      <c r="T263" s="8" t="s">
        <v>3418</v>
      </c>
      <c r="U263" s="8" t="s">
        <v>3419</v>
      </c>
      <c r="V263" s="8" t="s">
        <v>3420</v>
      </c>
      <c r="W263" s="8" t="s">
        <v>3421</v>
      </c>
    </row>
    <row r="264" spans="1:23" ht="28" customHeight="1" x14ac:dyDescent="0.3">
      <c r="A264" s="308">
        <v>45901</v>
      </c>
      <c r="B264" s="302">
        <v>2435.0439999999999</v>
      </c>
      <c r="C264" s="8">
        <v>-8.6259999999999994</v>
      </c>
      <c r="D264" s="268">
        <v>-3.5000000000000001E-3</v>
      </c>
      <c r="E264" s="8">
        <v>87.83</v>
      </c>
      <c r="F264" s="8">
        <v>148.52799999999999</v>
      </c>
      <c r="G264" s="8">
        <v>129.50899999999999</v>
      </c>
      <c r="H264" s="8">
        <v>105.91</v>
      </c>
      <c r="I264" s="8">
        <v>185.08</v>
      </c>
      <c r="J264" s="8">
        <v>23.68</v>
      </c>
      <c r="K264" s="268">
        <v>0.36549999999999999</v>
      </c>
      <c r="L264" s="268">
        <v>0.22950000000000001</v>
      </c>
      <c r="M264" s="268">
        <v>-0.1019</v>
      </c>
      <c r="N264" s="8">
        <v>911.03</v>
      </c>
      <c r="O264" s="8">
        <v>6163.86</v>
      </c>
      <c r="P264" s="268">
        <v>0.14779999999999999</v>
      </c>
      <c r="Q264" s="8">
        <v>438</v>
      </c>
      <c r="R264" s="8" t="s">
        <v>3422</v>
      </c>
      <c r="S264" s="8">
        <v>0</v>
      </c>
      <c r="T264" s="8" t="s">
        <v>3423</v>
      </c>
      <c r="U264" s="8" t="s">
        <v>3424</v>
      </c>
      <c r="V264" s="8" t="s">
        <v>3425</v>
      </c>
      <c r="W264" s="8" t="s">
        <v>3426</v>
      </c>
    </row>
    <row r="265" spans="1:23" ht="28" customHeight="1" x14ac:dyDescent="0.3">
      <c r="A265" s="308">
        <v>45898</v>
      </c>
      <c r="B265" s="302">
        <v>2443.67</v>
      </c>
      <c r="C265" s="8">
        <v>-17.027999999999999</v>
      </c>
      <c r="D265" s="268">
        <v>-6.8999999999999999E-3</v>
      </c>
      <c r="E265" s="8">
        <v>89.68</v>
      </c>
      <c r="F265" s="8">
        <v>148.89699999999999</v>
      </c>
      <c r="G265" s="8">
        <v>130.53399999999999</v>
      </c>
      <c r="H265" s="8">
        <v>104.98</v>
      </c>
      <c r="I265" s="8">
        <v>187.01</v>
      </c>
      <c r="J265" s="8">
        <v>28.02</v>
      </c>
      <c r="K265" s="268">
        <v>0.38109999999999999</v>
      </c>
      <c r="L265" s="268">
        <v>0.249</v>
      </c>
      <c r="M265" s="268">
        <v>-0.1028</v>
      </c>
      <c r="N265" s="8">
        <v>987.56</v>
      </c>
      <c r="O265" s="8">
        <v>6179.61</v>
      </c>
      <c r="P265" s="268">
        <v>0.1598</v>
      </c>
      <c r="Q265" s="8">
        <v>438</v>
      </c>
      <c r="R265" s="8" t="s">
        <v>3427</v>
      </c>
      <c r="S265" s="8">
        <v>0</v>
      </c>
      <c r="T265" s="8" t="s">
        <v>3428</v>
      </c>
      <c r="U265" s="8" t="s">
        <v>3429</v>
      </c>
      <c r="V265" s="8" t="s">
        <v>3430</v>
      </c>
      <c r="W265" s="8" t="s">
        <v>3431</v>
      </c>
    </row>
    <row r="266" spans="1:23" ht="28" customHeight="1" x14ac:dyDescent="0.3">
      <c r="A266" s="308">
        <v>45897</v>
      </c>
      <c r="B266" s="302">
        <v>2460.6979999999999</v>
      </c>
      <c r="C266" s="8">
        <v>0.246</v>
      </c>
      <c r="D266" s="268">
        <v>1E-4</v>
      </c>
      <c r="E266" s="8">
        <v>91.58</v>
      </c>
      <c r="F266" s="8">
        <v>150.09299999999999</v>
      </c>
      <c r="G266" s="8">
        <v>131.976</v>
      </c>
      <c r="H266" s="8">
        <v>105.92</v>
      </c>
      <c r="I266" s="8">
        <v>188.55</v>
      </c>
      <c r="J266" s="8">
        <v>28.77</v>
      </c>
      <c r="K266" s="268">
        <v>0.3846</v>
      </c>
      <c r="L266" s="268">
        <v>0.25409999999999999</v>
      </c>
      <c r="M266" s="268">
        <v>-0.1057</v>
      </c>
      <c r="N266" s="8">
        <v>1225.1199999999999</v>
      </c>
      <c r="O266" s="8">
        <v>6200.21</v>
      </c>
      <c r="P266" s="268">
        <v>0.1976</v>
      </c>
      <c r="Q266" s="8">
        <v>440</v>
      </c>
      <c r="R266" s="8" t="s">
        <v>3432</v>
      </c>
      <c r="S266" s="8">
        <v>0</v>
      </c>
      <c r="T266" s="8" t="s">
        <v>3433</v>
      </c>
      <c r="U266" s="8" t="s">
        <v>3434</v>
      </c>
      <c r="V266" s="8" t="s">
        <v>3435</v>
      </c>
      <c r="W266" s="8" t="s">
        <v>3436</v>
      </c>
    </row>
    <row r="267" spans="1:23" ht="28" customHeight="1" x14ac:dyDescent="0.3">
      <c r="A267" s="308">
        <v>45896</v>
      </c>
      <c r="B267" s="302">
        <v>2460.4520000000002</v>
      </c>
      <c r="C267" s="8">
        <v>-82.125</v>
      </c>
      <c r="D267" s="268">
        <v>-3.2300000000000002E-2</v>
      </c>
      <c r="E267" s="8">
        <v>91.76</v>
      </c>
      <c r="F267" s="8">
        <v>149.999</v>
      </c>
      <c r="G267" s="8">
        <v>132.23500000000001</v>
      </c>
      <c r="H267" s="8">
        <v>105.22</v>
      </c>
      <c r="I267" s="8">
        <v>189.31</v>
      </c>
      <c r="J267" s="8">
        <v>31.55</v>
      </c>
      <c r="K267" s="268">
        <v>0.3931</v>
      </c>
      <c r="L267" s="268">
        <v>0.26550000000000001</v>
      </c>
      <c r="M267" s="268">
        <v>-0.10539999999999999</v>
      </c>
      <c r="N267" s="8">
        <v>1192.43</v>
      </c>
      <c r="O267" s="8">
        <v>6205.12</v>
      </c>
      <c r="P267" s="268">
        <v>0.19220000000000001</v>
      </c>
      <c r="Q267" s="8">
        <v>439</v>
      </c>
      <c r="R267" s="8" t="s">
        <v>3437</v>
      </c>
      <c r="S267" s="8">
        <v>0</v>
      </c>
      <c r="T267" s="8" t="s">
        <v>3438</v>
      </c>
      <c r="U267" s="8" t="s">
        <v>3439</v>
      </c>
      <c r="V267" s="8" t="s">
        <v>3440</v>
      </c>
      <c r="W267" s="8" t="s">
        <v>3441</v>
      </c>
    </row>
    <row r="268" spans="1:23" ht="28" customHeight="1" x14ac:dyDescent="0.3">
      <c r="A268" s="308">
        <v>45895</v>
      </c>
      <c r="B268" s="302">
        <v>2542.5770000000002</v>
      </c>
      <c r="C268" s="8">
        <v>-1.679</v>
      </c>
      <c r="D268" s="268">
        <v>-6.9999999999999999E-4</v>
      </c>
      <c r="E268" s="8">
        <v>97.11</v>
      </c>
      <c r="F268" s="8">
        <v>154.803</v>
      </c>
      <c r="G268" s="8">
        <v>136.149</v>
      </c>
      <c r="H268" s="8">
        <v>108.24</v>
      </c>
      <c r="I268" s="8">
        <v>195.08</v>
      </c>
      <c r="J268" s="8">
        <v>35.68</v>
      </c>
      <c r="K268" s="268">
        <v>0.40279999999999999</v>
      </c>
      <c r="L268" s="268">
        <v>0.28149999999999997</v>
      </c>
      <c r="M268" s="268">
        <v>-0.1201</v>
      </c>
      <c r="N268" s="8">
        <v>949.87</v>
      </c>
      <c r="O268" s="8">
        <v>6213.64</v>
      </c>
      <c r="P268" s="268">
        <v>0.15290000000000001</v>
      </c>
      <c r="Q268" s="8">
        <v>439</v>
      </c>
      <c r="R268" s="8" t="s">
        <v>3442</v>
      </c>
      <c r="S268" s="8">
        <v>0</v>
      </c>
      <c r="T268" s="8" t="s">
        <v>3443</v>
      </c>
      <c r="U268" s="8" t="s">
        <v>3444</v>
      </c>
      <c r="V268" s="8" t="s">
        <v>3445</v>
      </c>
      <c r="W268" s="8" t="s">
        <v>3446</v>
      </c>
    </row>
    <row r="269" spans="1:23" ht="28" customHeight="1" x14ac:dyDescent="0.3">
      <c r="A269" s="308">
        <v>45894</v>
      </c>
      <c r="B269" s="302">
        <v>2544.2559999999999</v>
      </c>
      <c r="C269" s="8">
        <v>13.942</v>
      </c>
      <c r="D269" s="268">
        <v>5.4999999999999997E-3</v>
      </c>
      <c r="E269" s="8">
        <v>97.63</v>
      </c>
      <c r="F269" s="8">
        <v>155.29599999999999</v>
      </c>
      <c r="G269" s="8">
        <v>135.99700000000001</v>
      </c>
      <c r="H269" s="8">
        <v>107.93</v>
      </c>
      <c r="I269" s="8">
        <v>196.33</v>
      </c>
      <c r="J269" s="8">
        <v>36.9</v>
      </c>
      <c r="K269" s="268">
        <v>0.41039999999999999</v>
      </c>
      <c r="L269" s="268">
        <v>0.2797</v>
      </c>
      <c r="M269" s="268">
        <v>-0.12130000000000001</v>
      </c>
      <c r="N269" s="8">
        <v>1041.8499999999999</v>
      </c>
      <c r="O269" s="8">
        <v>6222.86</v>
      </c>
      <c r="P269" s="268">
        <v>0.16739999999999999</v>
      </c>
      <c r="Q269" s="8">
        <v>443</v>
      </c>
      <c r="R269" s="8" t="s">
        <v>3447</v>
      </c>
      <c r="S269" s="8">
        <v>0</v>
      </c>
      <c r="T269" s="8" t="s">
        <v>3448</v>
      </c>
      <c r="U269" s="8" t="s">
        <v>3449</v>
      </c>
      <c r="V269" s="8" t="s">
        <v>3450</v>
      </c>
      <c r="W269" s="8" t="s">
        <v>3451</v>
      </c>
    </row>
    <row r="270" spans="1:23" ht="28" customHeight="1" x14ac:dyDescent="0.3">
      <c r="A270" s="308">
        <v>45891</v>
      </c>
      <c r="B270" s="302">
        <v>2530.3139999999999</v>
      </c>
      <c r="C270" s="8">
        <v>22.420999999999999</v>
      </c>
      <c r="D270" s="268">
        <v>8.8999999999999999E-3</v>
      </c>
      <c r="E270" s="8">
        <v>97.33</v>
      </c>
      <c r="F270" s="8">
        <v>153.68799999999999</v>
      </c>
      <c r="G270" s="8">
        <v>135.19300000000001</v>
      </c>
      <c r="H270" s="8">
        <v>107.24</v>
      </c>
      <c r="I270" s="8">
        <v>195.27</v>
      </c>
      <c r="J270" s="8">
        <v>36.840000000000003</v>
      </c>
      <c r="K270" s="268">
        <v>0.4158</v>
      </c>
      <c r="L270" s="268">
        <v>0.28649999999999998</v>
      </c>
      <c r="M270" s="268">
        <v>-0.1186</v>
      </c>
      <c r="N270" s="8">
        <v>984.34</v>
      </c>
      <c r="O270" s="8">
        <v>6229.89</v>
      </c>
      <c r="P270" s="268">
        <v>0.158</v>
      </c>
      <c r="Q270" s="8">
        <v>445</v>
      </c>
      <c r="R270" s="8">
        <v>0</v>
      </c>
      <c r="S270" s="8" t="s">
        <v>3452</v>
      </c>
      <c r="T270" s="8" t="s">
        <v>3453</v>
      </c>
      <c r="U270" s="8" t="s">
        <v>3454</v>
      </c>
      <c r="V270" s="8" t="s">
        <v>3455</v>
      </c>
      <c r="W270" s="8" t="s">
        <v>3456</v>
      </c>
    </row>
    <row r="271" spans="1:23" ht="28" customHeight="1" x14ac:dyDescent="0.3">
      <c r="A271" s="308">
        <v>45890</v>
      </c>
      <c r="B271" s="302">
        <v>2507.893</v>
      </c>
      <c r="C271" s="8">
        <v>10.041</v>
      </c>
      <c r="D271" s="268">
        <v>4.0000000000000001E-3</v>
      </c>
      <c r="E271" s="8">
        <v>96.77</v>
      </c>
      <c r="F271" s="8">
        <v>152.22900000000001</v>
      </c>
      <c r="G271" s="8">
        <v>134.36699999999999</v>
      </c>
      <c r="H271" s="8">
        <v>106.7</v>
      </c>
      <c r="I271" s="8">
        <v>193.29</v>
      </c>
      <c r="J271" s="8">
        <v>35.1</v>
      </c>
      <c r="K271" s="268">
        <v>0.41060000000000002</v>
      </c>
      <c r="L271" s="268">
        <v>0.28079999999999999</v>
      </c>
      <c r="M271" s="268">
        <v>-0.1145</v>
      </c>
      <c r="N271" s="8">
        <v>995.8</v>
      </c>
      <c r="O271" s="8">
        <v>6234.94</v>
      </c>
      <c r="P271" s="268">
        <v>0.15970000000000001</v>
      </c>
      <c r="Q271" s="8">
        <v>445</v>
      </c>
      <c r="R271" s="8">
        <v>0</v>
      </c>
      <c r="S271" s="8">
        <v>0</v>
      </c>
      <c r="T271" s="8" t="s">
        <v>3457</v>
      </c>
      <c r="U271" s="8" t="s">
        <v>3458</v>
      </c>
      <c r="V271" s="8" t="s">
        <v>3459</v>
      </c>
      <c r="W271" s="8" t="s">
        <v>3460</v>
      </c>
    </row>
    <row r="272" spans="1:23" ht="28" customHeight="1" x14ac:dyDescent="0.3">
      <c r="A272" s="308">
        <v>45889</v>
      </c>
      <c r="B272" s="302">
        <v>2497.8519999999999</v>
      </c>
      <c r="C272" s="8">
        <v>8.4640000000000004</v>
      </c>
      <c r="D272" s="268">
        <v>3.3999999999999998E-3</v>
      </c>
      <c r="E272" s="8">
        <v>96.33</v>
      </c>
      <c r="F272" s="8">
        <v>152.14400000000001</v>
      </c>
      <c r="G272" s="8">
        <v>134.161</v>
      </c>
      <c r="H272" s="8">
        <v>106.96</v>
      </c>
      <c r="I272" s="8">
        <v>192.37</v>
      </c>
      <c r="J272" s="8">
        <v>33.1</v>
      </c>
      <c r="K272" s="268">
        <v>0.40229999999999999</v>
      </c>
      <c r="L272" s="268">
        <v>0.27329999999999999</v>
      </c>
      <c r="M272" s="268">
        <v>-0.1129</v>
      </c>
      <c r="N272" s="8">
        <v>874.31</v>
      </c>
      <c r="O272" s="8">
        <v>6229.29</v>
      </c>
      <c r="P272" s="268">
        <v>0.1404</v>
      </c>
      <c r="Q272" s="8">
        <v>445</v>
      </c>
      <c r="R272" s="8">
        <v>0</v>
      </c>
      <c r="S272" s="8">
        <v>0</v>
      </c>
      <c r="T272" s="8" t="s">
        <v>3461</v>
      </c>
      <c r="U272" s="8" t="s">
        <v>3462</v>
      </c>
      <c r="V272" s="8" t="s">
        <v>3463</v>
      </c>
      <c r="W272" s="8" t="s">
        <v>3464</v>
      </c>
    </row>
    <row r="273" spans="1:23" ht="28" customHeight="1" x14ac:dyDescent="0.3">
      <c r="A273" s="308">
        <v>45888</v>
      </c>
      <c r="B273" s="302">
        <v>2489.3879999999999</v>
      </c>
      <c r="C273" s="8">
        <v>9.1029999999999998</v>
      </c>
      <c r="D273" s="268">
        <v>3.7000000000000002E-3</v>
      </c>
      <c r="E273" s="8">
        <v>96.29</v>
      </c>
      <c r="F273" s="8">
        <v>151.91</v>
      </c>
      <c r="G273" s="8">
        <v>133.499</v>
      </c>
      <c r="H273" s="8">
        <v>106.68</v>
      </c>
      <c r="I273" s="8">
        <v>192.2</v>
      </c>
      <c r="J273" s="8">
        <v>34.76</v>
      </c>
      <c r="K273" s="268">
        <v>0.40289999999999998</v>
      </c>
      <c r="L273" s="268">
        <v>0.27760000000000001</v>
      </c>
      <c r="M273" s="268">
        <v>-0.10929999999999999</v>
      </c>
      <c r="N273" s="8">
        <v>1059.4000000000001</v>
      </c>
      <c r="O273" s="8">
        <v>6255.94</v>
      </c>
      <c r="P273" s="268">
        <v>0.16930000000000001</v>
      </c>
      <c r="Q273" s="8">
        <v>449</v>
      </c>
      <c r="R273" s="8">
        <v>0</v>
      </c>
      <c r="S273" s="8" t="s">
        <v>3465</v>
      </c>
      <c r="T273" s="8" t="s">
        <v>3466</v>
      </c>
      <c r="U273" s="8" t="s">
        <v>3467</v>
      </c>
      <c r="V273" s="8" t="s">
        <v>3468</v>
      </c>
      <c r="W273" s="8" t="s">
        <v>3469</v>
      </c>
    </row>
    <row r="274" spans="1:23" ht="28" customHeight="1" x14ac:dyDescent="0.3">
      <c r="A274" s="308">
        <v>45887</v>
      </c>
      <c r="B274" s="302">
        <v>2480.2849999999999</v>
      </c>
      <c r="C274" s="8">
        <v>29.12</v>
      </c>
      <c r="D274" s="268">
        <v>1.1900000000000001E-2</v>
      </c>
      <c r="E274" s="8">
        <v>95.9</v>
      </c>
      <c r="F274" s="8">
        <v>151.56299999999999</v>
      </c>
      <c r="G274" s="8">
        <v>133.357</v>
      </c>
      <c r="H274" s="8">
        <v>105.78</v>
      </c>
      <c r="I274" s="8">
        <v>191.18</v>
      </c>
      <c r="J274" s="8">
        <v>35.56</v>
      </c>
      <c r="K274" s="268">
        <v>0.39610000000000001</v>
      </c>
      <c r="L274" s="268">
        <v>0.2848</v>
      </c>
      <c r="M274" s="268">
        <v>-0.10680000000000001</v>
      </c>
      <c r="N274" s="8">
        <v>1058.51</v>
      </c>
      <c r="O274" s="8">
        <v>6262.27</v>
      </c>
      <c r="P274" s="268">
        <v>0.16900000000000001</v>
      </c>
      <c r="Q274" s="8">
        <v>448</v>
      </c>
      <c r="R274" s="8">
        <v>0</v>
      </c>
      <c r="S274" s="8" t="s">
        <v>3470</v>
      </c>
      <c r="T274" s="8" t="s">
        <v>3471</v>
      </c>
      <c r="U274" s="8" t="s">
        <v>3472</v>
      </c>
      <c r="V274" s="8" t="s">
        <v>3473</v>
      </c>
      <c r="W274" s="8" t="s">
        <v>3474</v>
      </c>
    </row>
    <row r="275" spans="1:23" ht="28" customHeight="1" x14ac:dyDescent="0.3">
      <c r="A275" s="308">
        <v>45884</v>
      </c>
      <c r="B275" s="302">
        <v>2451.165</v>
      </c>
      <c r="C275" s="8">
        <v>31.6</v>
      </c>
      <c r="D275" s="268">
        <v>1.3100000000000001E-2</v>
      </c>
      <c r="E275" s="8">
        <v>94.31</v>
      </c>
      <c r="F275" s="8">
        <v>149.69499999999999</v>
      </c>
      <c r="G275" s="8">
        <v>132.126</v>
      </c>
      <c r="H275" s="8">
        <v>104.67</v>
      </c>
      <c r="I275" s="8">
        <v>189.64</v>
      </c>
      <c r="J275" s="8">
        <v>35.14</v>
      </c>
      <c r="K275" s="268">
        <v>0.39939999999999998</v>
      </c>
      <c r="L275" s="268">
        <v>0.2863</v>
      </c>
      <c r="M275" s="268">
        <v>-0.1089</v>
      </c>
      <c r="N275" s="8">
        <v>1079.72</v>
      </c>
      <c r="O275" s="8">
        <v>6268.31</v>
      </c>
      <c r="P275" s="268">
        <v>0.17230000000000001</v>
      </c>
      <c r="Q275" s="8">
        <v>450</v>
      </c>
      <c r="R275" s="8">
        <v>0</v>
      </c>
      <c r="S275" s="8" t="s">
        <v>3475</v>
      </c>
      <c r="T275" s="8" t="s">
        <v>3476</v>
      </c>
      <c r="U275" s="8" t="s">
        <v>3477</v>
      </c>
      <c r="V275" s="8" t="s">
        <v>3478</v>
      </c>
      <c r="W275" s="8" t="s">
        <v>3479</v>
      </c>
    </row>
    <row r="276" spans="1:23" ht="28" customHeight="1" x14ac:dyDescent="0.3">
      <c r="A276" s="308">
        <v>45883</v>
      </c>
      <c r="B276" s="302">
        <v>2419.5650000000001</v>
      </c>
      <c r="C276" s="8">
        <v>-16.419</v>
      </c>
      <c r="D276" s="268">
        <v>-6.7000000000000002E-3</v>
      </c>
      <c r="E276" s="8">
        <v>92.46</v>
      </c>
      <c r="F276" s="8">
        <v>147.70599999999999</v>
      </c>
      <c r="G276" s="8">
        <v>130.584</v>
      </c>
      <c r="H276" s="8">
        <v>103.52</v>
      </c>
      <c r="I276" s="8">
        <v>188.88</v>
      </c>
      <c r="J276" s="8">
        <v>37.43</v>
      </c>
      <c r="K276" s="268">
        <v>0.4118</v>
      </c>
      <c r="L276" s="268">
        <v>0.2964</v>
      </c>
      <c r="M276" s="268">
        <v>-0.1021</v>
      </c>
      <c r="N276" s="8">
        <v>1002.91</v>
      </c>
      <c r="O276" s="8">
        <v>6274.78</v>
      </c>
      <c r="P276" s="268">
        <v>0.1598</v>
      </c>
      <c r="Q276" s="8">
        <v>451</v>
      </c>
      <c r="R276" s="8">
        <v>0</v>
      </c>
      <c r="S276" s="8" t="s">
        <v>3480</v>
      </c>
      <c r="T276" s="8" t="s">
        <v>3481</v>
      </c>
      <c r="U276" s="8" t="s">
        <v>3482</v>
      </c>
      <c r="V276" s="8" t="s">
        <v>3483</v>
      </c>
      <c r="W276" s="8" t="s">
        <v>3484</v>
      </c>
    </row>
    <row r="277" spans="1:23" ht="28" customHeight="1" x14ac:dyDescent="0.3">
      <c r="A277" s="308">
        <v>45882</v>
      </c>
      <c r="B277" s="302">
        <v>2435.9839999999999</v>
      </c>
      <c r="C277" s="8">
        <v>23.498000000000001</v>
      </c>
      <c r="D277" s="268">
        <v>9.7000000000000003E-3</v>
      </c>
      <c r="E277" s="8">
        <v>94.13</v>
      </c>
      <c r="F277" s="8">
        <v>148.36000000000001</v>
      </c>
      <c r="G277" s="8">
        <v>132.02600000000001</v>
      </c>
      <c r="H277" s="8">
        <v>104.7</v>
      </c>
      <c r="I277" s="8">
        <v>187.67</v>
      </c>
      <c r="J277" s="8">
        <v>31.92</v>
      </c>
      <c r="K277" s="268">
        <v>0.3931</v>
      </c>
      <c r="L277" s="268">
        <v>0.27560000000000001</v>
      </c>
      <c r="M277" s="268">
        <v>-0.1052</v>
      </c>
      <c r="N277" s="8">
        <v>1021.16</v>
      </c>
      <c r="O277" s="8">
        <v>6284.67</v>
      </c>
      <c r="P277" s="268">
        <v>0.16250000000000001</v>
      </c>
      <c r="Q277" s="8">
        <v>452</v>
      </c>
      <c r="R277" s="8">
        <v>0</v>
      </c>
      <c r="S277" s="8" t="s">
        <v>3485</v>
      </c>
      <c r="T277" s="8" t="s">
        <v>3486</v>
      </c>
      <c r="U277" s="8" t="s">
        <v>3487</v>
      </c>
      <c r="V277" s="8" t="s">
        <v>3488</v>
      </c>
      <c r="W277" s="8" t="s">
        <v>3489</v>
      </c>
    </row>
    <row r="278" spans="1:23" ht="28" customHeight="1" x14ac:dyDescent="0.3">
      <c r="A278" s="308">
        <v>45881</v>
      </c>
      <c r="B278" s="302">
        <v>2412.4859999999999</v>
      </c>
      <c r="C278" s="8">
        <v>-8.4979999999999993</v>
      </c>
      <c r="D278" s="268">
        <v>-3.5000000000000001E-3</v>
      </c>
      <c r="E278" s="8">
        <v>92.45</v>
      </c>
      <c r="F278" s="8">
        <v>146.53100000000001</v>
      </c>
      <c r="G278" s="8">
        <v>130.97</v>
      </c>
      <c r="H278" s="8">
        <v>104.07</v>
      </c>
      <c r="I278" s="8">
        <v>185.63</v>
      </c>
      <c r="J278" s="8">
        <v>31.28</v>
      </c>
      <c r="K278" s="268">
        <v>0.39100000000000001</v>
      </c>
      <c r="L278" s="268">
        <v>0.26950000000000002</v>
      </c>
      <c r="M278" s="268">
        <v>-0.1004</v>
      </c>
      <c r="N278" s="8">
        <v>873.05</v>
      </c>
      <c r="O278" s="8">
        <v>6297.55</v>
      </c>
      <c r="P278" s="268">
        <v>0.1386</v>
      </c>
      <c r="Q278" s="8">
        <v>454</v>
      </c>
      <c r="R278" s="8">
        <v>0</v>
      </c>
      <c r="S278" s="8" t="s">
        <v>3490</v>
      </c>
      <c r="T278" s="8" t="s">
        <v>3491</v>
      </c>
      <c r="U278" s="8" t="s">
        <v>3492</v>
      </c>
      <c r="V278" s="8" t="s">
        <v>3493</v>
      </c>
      <c r="W278" s="8" t="s">
        <v>3494</v>
      </c>
    </row>
    <row r="279" spans="1:23" ht="28" customHeight="1" x14ac:dyDescent="0.3">
      <c r="A279" s="308">
        <v>45880</v>
      </c>
      <c r="B279" s="302">
        <v>2420.9839999999999</v>
      </c>
      <c r="C279" s="8">
        <v>26.152000000000001</v>
      </c>
      <c r="D279" s="268">
        <v>1.09E-2</v>
      </c>
      <c r="E279" s="8">
        <v>93.75</v>
      </c>
      <c r="F279" s="8">
        <v>147.24799999999999</v>
      </c>
      <c r="G279" s="8">
        <v>131.5</v>
      </c>
      <c r="H279" s="8">
        <v>104.29</v>
      </c>
      <c r="I279" s="8">
        <v>186.47</v>
      </c>
      <c r="J279" s="8">
        <v>32</v>
      </c>
      <c r="K279" s="268">
        <v>0.39229999999999998</v>
      </c>
      <c r="L279" s="268">
        <v>0.27579999999999999</v>
      </c>
      <c r="M279" s="268">
        <v>-0.1012</v>
      </c>
      <c r="N279" s="8">
        <v>841.25</v>
      </c>
      <c r="O279" s="8">
        <v>6310.63</v>
      </c>
      <c r="P279" s="268">
        <v>0.1333</v>
      </c>
      <c r="Q279" s="8">
        <v>454</v>
      </c>
      <c r="R279" s="8">
        <v>0</v>
      </c>
      <c r="S279" s="8" t="s">
        <v>3495</v>
      </c>
      <c r="T279" s="8" t="s">
        <v>3496</v>
      </c>
      <c r="U279" s="8" t="s">
        <v>3497</v>
      </c>
      <c r="V279" s="8" t="s">
        <v>3498</v>
      </c>
      <c r="W279" s="8" t="s">
        <v>3499</v>
      </c>
    </row>
    <row r="280" spans="1:23" ht="28" customHeight="1" x14ac:dyDescent="0.3">
      <c r="A280" s="308">
        <v>45877</v>
      </c>
      <c r="B280" s="302">
        <v>2394.8319999999999</v>
      </c>
      <c r="C280" s="8">
        <v>3.4670000000000001</v>
      </c>
      <c r="D280" s="268">
        <v>1.4E-3</v>
      </c>
      <c r="E280" s="8">
        <v>92.01</v>
      </c>
      <c r="F280" s="8">
        <v>145.46600000000001</v>
      </c>
      <c r="G280" s="8">
        <v>130.321</v>
      </c>
      <c r="H280" s="8">
        <v>103.14</v>
      </c>
      <c r="I280" s="8">
        <v>185.53</v>
      </c>
      <c r="J280" s="8">
        <v>32.5</v>
      </c>
      <c r="K280" s="268">
        <v>0.40060000000000001</v>
      </c>
      <c r="L280" s="268">
        <v>0.27900000000000003</v>
      </c>
      <c r="M280" s="268">
        <v>-9.4399999999999998E-2</v>
      </c>
      <c r="N280" s="8">
        <v>862.23</v>
      </c>
      <c r="O280" s="8">
        <v>6324.6</v>
      </c>
      <c r="P280" s="268">
        <v>0.1363</v>
      </c>
      <c r="Q280" s="8">
        <v>456</v>
      </c>
      <c r="R280" s="8">
        <v>0</v>
      </c>
      <c r="S280" s="8" t="s">
        <v>3500</v>
      </c>
      <c r="T280" s="8" t="s">
        <v>3501</v>
      </c>
      <c r="U280" s="8" t="s">
        <v>3502</v>
      </c>
      <c r="V280" s="8" t="s">
        <v>3503</v>
      </c>
      <c r="W280" s="8" t="s">
        <v>3504</v>
      </c>
    </row>
    <row r="281" spans="1:23" ht="28" customHeight="1" x14ac:dyDescent="0.3">
      <c r="A281" s="308">
        <v>45876</v>
      </c>
      <c r="B281" s="302">
        <v>2391.3649999999998</v>
      </c>
      <c r="C281" s="8">
        <v>-3.4729999999999999</v>
      </c>
      <c r="D281" s="268">
        <v>-1.4E-3</v>
      </c>
      <c r="E281" s="8">
        <v>92.04</v>
      </c>
      <c r="F281" s="8">
        <v>145.32599999999999</v>
      </c>
      <c r="G281" s="8">
        <v>130.16300000000001</v>
      </c>
      <c r="H281" s="8">
        <v>102.9</v>
      </c>
      <c r="I281" s="8">
        <v>185.32</v>
      </c>
      <c r="J281" s="8">
        <v>34.119999999999997</v>
      </c>
      <c r="K281" s="268">
        <v>0.39989999999999998</v>
      </c>
      <c r="L281" s="268">
        <v>0.28299999999999997</v>
      </c>
      <c r="M281" s="268">
        <v>-9.2999999999999999E-2</v>
      </c>
      <c r="N281" s="8">
        <v>948.41</v>
      </c>
      <c r="O281" s="8">
        <v>6331.08</v>
      </c>
      <c r="P281" s="268">
        <v>0.14979999999999999</v>
      </c>
      <c r="Q281" s="8">
        <v>456</v>
      </c>
      <c r="R281" s="8">
        <v>0</v>
      </c>
      <c r="S281" s="8" t="s">
        <v>3505</v>
      </c>
      <c r="T281" s="8" t="s">
        <v>3506</v>
      </c>
      <c r="U281" s="8" t="s">
        <v>3507</v>
      </c>
      <c r="V281" s="8" t="s">
        <v>3508</v>
      </c>
      <c r="W281" s="8" t="s">
        <v>3509</v>
      </c>
    </row>
    <row r="282" spans="1:23" ht="28" customHeight="1" x14ac:dyDescent="0.3">
      <c r="A282" s="308">
        <v>45875</v>
      </c>
      <c r="B282" s="302">
        <v>2394.8380000000002</v>
      </c>
      <c r="C282" s="8">
        <v>18.087</v>
      </c>
      <c r="D282" s="268">
        <v>7.6E-3</v>
      </c>
      <c r="E282" s="8">
        <v>92.68</v>
      </c>
      <c r="F282" s="8">
        <v>145.49299999999999</v>
      </c>
      <c r="G282" s="8">
        <v>130.565</v>
      </c>
      <c r="H282" s="8">
        <v>103.52</v>
      </c>
      <c r="I282" s="8">
        <v>185.34</v>
      </c>
      <c r="J282" s="8">
        <v>34.299999999999997</v>
      </c>
      <c r="K282" s="268">
        <v>0.39850000000000002</v>
      </c>
      <c r="L282" s="268">
        <v>0.28060000000000002</v>
      </c>
      <c r="M282" s="268">
        <v>-9.5500000000000002E-2</v>
      </c>
      <c r="N282" s="8">
        <v>944.92</v>
      </c>
      <c r="O282" s="8">
        <v>6337.9</v>
      </c>
      <c r="P282" s="268">
        <v>0.14910000000000001</v>
      </c>
      <c r="Q282" s="8">
        <v>458</v>
      </c>
      <c r="R282" s="8">
        <v>0</v>
      </c>
      <c r="S282" s="8" t="s">
        <v>3510</v>
      </c>
      <c r="T282" s="8" t="s">
        <v>3511</v>
      </c>
      <c r="U282" s="8" t="s">
        <v>3512</v>
      </c>
      <c r="V282" s="8" t="s">
        <v>3513</v>
      </c>
      <c r="W282" s="8" t="s">
        <v>3514</v>
      </c>
    </row>
    <row r="283" spans="1:23" ht="28" customHeight="1" x14ac:dyDescent="0.3">
      <c r="A283" s="308">
        <v>45874</v>
      </c>
      <c r="B283" s="302">
        <v>2376.7510000000002</v>
      </c>
      <c r="C283" s="8">
        <v>19.260999999999999</v>
      </c>
      <c r="D283" s="268">
        <v>8.2000000000000007E-3</v>
      </c>
      <c r="E283" s="8">
        <v>91.3</v>
      </c>
      <c r="F283" s="8">
        <v>144.30500000000001</v>
      </c>
      <c r="G283" s="8">
        <v>129.9</v>
      </c>
      <c r="H283" s="8">
        <v>103</v>
      </c>
      <c r="I283" s="8">
        <v>183.95</v>
      </c>
      <c r="J283" s="8">
        <v>33.36</v>
      </c>
      <c r="K283" s="268">
        <v>0.39639999999999997</v>
      </c>
      <c r="L283" s="268">
        <v>0.27889999999999998</v>
      </c>
      <c r="M283" s="268">
        <v>-9.1800000000000007E-2</v>
      </c>
      <c r="N283" s="8">
        <v>919.29</v>
      </c>
      <c r="O283" s="8">
        <v>6349.32</v>
      </c>
      <c r="P283" s="268">
        <v>0.14480000000000001</v>
      </c>
      <c r="Q283" s="8">
        <v>459</v>
      </c>
      <c r="R283" s="8">
        <v>0</v>
      </c>
      <c r="S283" s="8" t="s">
        <v>3515</v>
      </c>
      <c r="T283" s="8" t="s">
        <v>3389</v>
      </c>
      <c r="U283" s="8" t="s">
        <v>3516</v>
      </c>
      <c r="V283" s="8" t="s">
        <v>3517</v>
      </c>
      <c r="W283" s="8" t="s">
        <v>3518</v>
      </c>
    </row>
    <row r="284" spans="1:23" ht="28" customHeight="1" x14ac:dyDescent="0.3">
      <c r="A284" s="308">
        <v>45873</v>
      </c>
      <c r="B284" s="302">
        <v>2357.4899999999998</v>
      </c>
      <c r="C284" s="8">
        <v>26.571999999999999</v>
      </c>
      <c r="D284" s="268">
        <v>1.14E-2</v>
      </c>
      <c r="E284" s="8">
        <v>89.53</v>
      </c>
      <c r="F284" s="8">
        <v>143.11199999999999</v>
      </c>
      <c r="G284" s="8">
        <v>129.08000000000001</v>
      </c>
      <c r="H284" s="8">
        <v>101.39</v>
      </c>
      <c r="I284" s="8">
        <v>183.07</v>
      </c>
      <c r="J284" s="8">
        <v>33.06</v>
      </c>
      <c r="K284" s="268">
        <v>0.39960000000000001</v>
      </c>
      <c r="L284" s="268">
        <v>0.27879999999999999</v>
      </c>
      <c r="M284" s="268">
        <v>-8.7400000000000005E-2</v>
      </c>
      <c r="N284" s="8">
        <v>802.41</v>
      </c>
      <c r="O284" s="8">
        <v>6358.97</v>
      </c>
      <c r="P284" s="268">
        <v>0.12620000000000001</v>
      </c>
      <c r="Q284" s="8">
        <v>460</v>
      </c>
      <c r="R284" s="8">
        <v>0</v>
      </c>
      <c r="S284" s="8" t="s">
        <v>3519</v>
      </c>
      <c r="T284" s="8" t="s">
        <v>3520</v>
      </c>
      <c r="U284" s="8" t="s">
        <v>3521</v>
      </c>
      <c r="V284" s="8" t="s">
        <v>3522</v>
      </c>
      <c r="W284" s="8" t="s">
        <v>3523</v>
      </c>
    </row>
    <row r="285" spans="1:23" ht="28" customHeight="1" x14ac:dyDescent="0.3">
      <c r="A285" s="308">
        <v>45870</v>
      </c>
      <c r="B285" s="302">
        <v>2330.9180000000001</v>
      </c>
      <c r="C285" s="8">
        <v>8.6850000000000005</v>
      </c>
      <c r="D285" s="268">
        <v>3.7000000000000002E-3</v>
      </c>
      <c r="E285" s="8">
        <v>85.42</v>
      </c>
      <c r="F285" s="8">
        <v>141.38200000000001</v>
      </c>
      <c r="G285" s="8">
        <v>127.626</v>
      </c>
      <c r="H285" s="8">
        <v>100.82</v>
      </c>
      <c r="I285" s="8">
        <v>181.37</v>
      </c>
      <c r="J285" s="8">
        <v>32.96</v>
      </c>
      <c r="K285" s="268">
        <v>0.39979999999999999</v>
      </c>
      <c r="L285" s="268">
        <v>0.2727</v>
      </c>
      <c r="M285" s="268">
        <v>-8.2000000000000003E-2</v>
      </c>
      <c r="N285" s="8">
        <v>792.07</v>
      </c>
      <c r="O285" s="8">
        <v>6369.12</v>
      </c>
      <c r="P285" s="268">
        <v>0.1244</v>
      </c>
      <c r="Q285" s="8">
        <v>460</v>
      </c>
      <c r="R285" s="8">
        <v>0</v>
      </c>
      <c r="S285" s="8" t="s">
        <v>3524</v>
      </c>
      <c r="T285" s="8" t="s">
        <v>3525</v>
      </c>
      <c r="U285" s="8" t="s">
        <v>3526</v>
      </c>
      <c r="V285" s="8" t="s">
        <v>3527</v>
      </c>
      <c r="W285" s="8" t="s">
        <v>3528</v>
      </c>
    </row>
    <row r="286" spans="1:23" ht="28" customHeight="1" x14ac:dyDescent="0.3">
      <c r="A286" s="308">
        <v>45869</v>
      </c>
      <c r="B286" s="302">
        <v>2322.2330000000002</v>
      </c>
      <c r="C286" s="8">
        <v>-20.664000000000001</v>
      </c>
      <c r="D286" s="268">
        <v>-8.8000000000000005E-3</v>
      </c>
      <c r="E286" s="8">
        <v>84.67</v>
      </c>
      <c r="F286" s="8">
        <v>140.881</v>
      </c>
      <c r="G286" s="8">
        <v>127.14400000000001</v>
      </c>
      <c r="H286" s="8">
        <v>99.9</v>
      </c>
      <c r="I286" s="8">
        <v>181.22</v>
      </c>
      <c r="J286" s="8">
        <v>33.56</v>
      </c>
      <c r="K286" s="268">
        <v>0.40339999999999998</v>
      </c>
      <c r="L286" s="268">
        <v>0.2792</v>
      </c>
      <c r="M286" s="268">
        <v>-7.9899999999999999E-2</v>
      </c>
      <c r="N286" s="8">
        <v>806.32</v>
      </c>
      <c r="O286" s="8">
        <v>6375.89</v>
      </c>
      <c r="P286" s="268">
        <v>0.1265</v>
      </c>
      <c r="Q286" s="8">
        <v>459</v>
      </c>
      <c r="R286" s="8">
        <v>0</v>
      </c>
      <c r="S286" s="8" t="s">
        <v>3529</v>
      </c>
      <c r="T286" s="8" t="s">
        <v>3218</v>
      </c>
      <c r="U286" s="8" t="s">
        <v>3530</v>
      </c>
      <c r="V286" s="8" t="s">
        <v>3531</v>
      </c>
      <c r="W286" s="8" t="s">
        <v>3532</v>
      </c>
    </row>
    <row r="287" spans="1:23" ht="28" customHeight="1" x14ac:dyDescent="0.3">
      <c r="A287" s="308">
        <v>45868</v>
      </c>
      <c r="B287" s="302">
        <v>2342.8969999999999</v>
      </c>
      <c r="C287" s="8">
        <v>-3.238</v>
      </c>
      <c r="D287" s="268">
        <v>-1.4E-3</v>
      </c>
      <c r="E287" s="8">
        <v>88.8</v>
      </c>
      <c r="F287" s="8">
        <v>142.39500000000001</v>
      </c>
      <c r="G287" s="8">
        <v>128.71</v>
      </c>
      <c r="H287" s="8">
        <v>101.77</v>
      </c>
      <c r="I287" s="8">
        <v>181.79</v>
      </c>
      <c r="J287" s="8">
        <v>32.36</v>
      </c>
      <c r="K287" s="268">
        <v>0.39400000000000002</v>
      </c>
      <c r="L287" s="268">
        <v>0.27179999999999999</v>
      </c>
      <c r="M287" s="268">
        <v>-8.3500000000000005E-2</v>
      </c>
      <c r="N287" s="8">
        <v>843.76</v>
      </c>
      <c r="O287" s="8">
        <v>6383.95</v>
      </c>
      <c r="P287" s="268">
        <v>0.13220000000000001</v>
      </c>
      <c r="Q287" s="8">
        <v>461</v>
      </c>
      <c r="R287" s="8">
        <v>0</v>
      </c>
      <c r="S287" s="8" t="s">
        <v>3533</v>
      </c>
      <c r="T287" s="8" t="s">
        <v>3534</v>
      </c>
      <c r="U287" s="8" t="s">
        <v>3535</v>
      </c>
      <c r="V287" s="8" t="s">
        <v>3536</v>
      </c>
      <c r="W287" s="8" t="s">
        <v>3537</v>
      </c>
    </row>
    <row r="288" spans="1:23" ht="28" customHeight="1" x14ac:dyDescent="0.3">
      <c r="A288" s="308">
        <v>45867</v>
      </c>
      <c r="B288" s="302">
        <v>2346.1350000000002</v>
      </c>
      <c r="C288" s="8">
        <v>7.367</v>
      </c>
      <c r="D288" s="268">
        <v>3.2000000000000002E-3</v>
      </c>
      <c r="E288" s="8">
        <v>89.21</v>
      </c>
      <c r="F288" s="8">
        <v>142.761</v>
      </c>
      <c r="G288" s="8">
        <v>128.30000000000001</v>
      </c>
      <c r="H288" s="8">
        <v>102.24</v>
      </c>
      <c r="I288" s="8">
        <v>181.66</v>
      </c>
      <c r="J288" s="8">
        <v>29.33</v>
      </c>
      <c r="K288" s="268">
        <v>0.38900000000000001</v>
      </c>
      <c r="L288" s="268">
        <v>0.26700000000000002</v>
      </c>
      <c r="M288" s="268">
        <v>-8.4400000000000003E-2</v>
      </c>
      <c r="N288" s="8">
        <v>849.29</v>
      </c>
      <c r="O288" s="8">
        <v>6391.2</v>
      </c>
      <c r="P288" s="268">
        <v>0.13289999999999999</v>
      </c>
      <c r="Q288" s="8">
        <v>461</v>
      </c>
      <c r="R288" s="8">
        <v>0</v>
      </c>
      <c r="S288" s="8" t="s">
        <v>3538</v>
      </c>
      <c r="T288" s="8" t="s">
        <v>3539</v>
      </c>
      <c r="U288" s="8" t="s">
        <v>3540</v>
      </c>
      <c r="V288" s="8" t="s">
        <v>3541</v>
      </c>
      <c r="W288" s="8" t="s">
        <v>3542</v>
      </c>
    </row>
    <row r="289" spans="1:23" ht="28" customHeight="1" x14ac:dyDescent="0.3">
      <c r="A289" s="308">
        <v>45866</v>
      </c>
      <c r="B289" s="302">
        <v>2338.768</v>
      </c>
      <c r="C289" s="8">
        <v>-13.739000000000001</v>
      </c>
      <c r="D289" s="268">
        <v>-5.7999999999999996E-3</v>
      </c>
      <c r="E289" s="8">
        <v>88.83</v>
      </c>
      <c r="F289" s="8">
        <v>142.18899999999999</v>
      </c>
      <c r="G289" s="8">
        <v>128.21</v>
      </c>
      <c r="H289" s="8">
        <v>102.34</v>
      </c>
      <c r="I289" s="8">
        <v>180.95</v>
      </c>
      <c r="J289" s="8">
        <v>28.22</v>
      </c>
      <c r="K289" s="268">
        <v>0.3876</v>
      </c>
      <c r="L289" s="268">
        <v>0.26179999999999998</v>
      </c>
      <c r="M289" s="268">
        <v>-8.2699999999999996E-2</v>
      </c>
      <c r="N289" s="8">
        <v>817.47</v>
      </c>
      <c r="O289" s="8">
        <v>6378.19</v>
      </c>
      <c r="P289" s="268">
        <v>0.12820000000000001</v>
      </c>
      <c r="Q289" s="8">
        <v>463</v>
      </c>
      <c r="R289" s="8">
        <v>0</v>
      </c>
      <c r="S289" s="8" t="s">
        <v>3543</v>
      </c>
      <c r="T289" s="8" t="s">
        <v>3544</v>
      </c>
      <c r="U289" s="8" t="s">
        <v>3545</v>
      </c>
      <c r="V289" s="8" t="s">
        <v>3546</v>
      </c>
      <c r="W289" s="8" t="s">
        <v>3547</v>
      </c>
    </row>
    <row r="290" spans="1:23" ht="28" customHeight="1" x14ac:dyDescent="0.3">
      <c r="A290" s="308">
        <v>45863</v>
      </c>
      <c r="B290" s="302">
        <v>2352.5070000000001</v>
      </c>
      <c r="C290" s="8">
        <v>4.016</v>
      </c>
      <c r="D290" s="268">
        <v>1.6999999999999999E-3</v>
      </c>
      <c r="E290" s="8">
        <v>90.83</v>
      </c>
      <c r="F290" s="8">
        <v>142.833</v>
      </c>
      <c r="G290" s="8">
        <v>129.38</v>
      </c>
      <c r="H290" s="8">
        <v>102.1</v>
      </c>
      <c r="I290" s="8">
        <v>182.93</v>
      </c>
      <c r="J290" s="8">
        <v>31.91</v>
      </c>
      <c r="K290" s="268">
        <v>0.40100000000000002</v>
      </c>
      <c r="L290" s="268">
        <v>0.27500000000000002</v>
      </c>
      <c r="M290" s="268">
        <v>-8.3599999999999994E-2</v>
      </c>
      <c r="N290" s="8">
        <v>827.8</v>
      </c>
      <c r="O290" s="8">
        <v>6333.18</v>
      </c>
      <c r="P290" s="268">
        <v>0.13070000000000001</v>
      </c>
      <c r="Q290" s="8">
        <v>463</v>
      </c>
      <c r="R290" s="8">
        <v>0</v>
      </c>
      <c r="S290" s="8" t="s">
        <v>3548</v>
      </c>
      <c r="T290" s="8" t="s">
        <v>3549</v>
      </c>
      <c r="U290" s="8" t="s">
        <v>3550</v>
      </c>
      <c r="V290" s="8" t="s">
        <v>3551</v>
      </c>
      <c r="W290" s="8" t="s">
        <v>3552</v>
      </c>
    </row>
    <row r="291" spans="1:23" ht="28" customHeight="1" x14ac:dyDescent="0.3">
      <c r="A291" s="308">
        <v>45862</v>
      </c>
      <c r="B291" s="302">
        <v>2348.491</v>
      </c>
      <c r="C291" s="8">
        <v>23.16</v>
      </c>
      <c r="D291" s="268">
        <v>0.01</v>
      </c>
      <c r="E291" s="8">
        <v>91.41</v>
      </c>
      <c r="F291" s="8">
        <v>142.446</v>
      </c>
      <c r="G291" s="8">
        <v>129.334</v>
      </c>
      <c r="H291" s="8">
        <v>101.75</v>
      </c>
      <c r="I291" s="8">
        <v>182.7</v>
      </c>
      <c r="J291" s="8">
        <v>31.54</v>
      </c>
      <c r="K291" s="268">
        <v>0.40250000000000002</v>
      </c>
      <c r="L291" s="268">
        <v>0.27210000000000001</v>
      </c>
      <c r="M291" s="268">
        <v>-8.2299999999999998E-2</v>
      </c>
      <c r="N291" s="8">
        <v>836.3</v>
      </c>
      <c r="O291" s="8">
        <v>6337.68</v>
      </c>
      <c r="P291" s="268">
        <v>0.13200000000000001</v>
      </c>
      <c r="Q291" s="8">
        <v>464</v>
      </c>
      <c r="R291" s="8">
        <v>0</v>
      </c>
      <c r="S291" s="8" t="s">
        <v>3553</v>
      </c>
      <c r="T291" s="8" t="s">
        <v>3554</v>
      </c>
      <c r="U291" s="8" t="s">
        <v>3555</v>
      </c>
      <c r="V291" s="8" t="s">
        <v>3556</v>
      </c>
      <c r="W291" s="8" t="s">
        <v>3557</v>
      </c>
    </row>
    <row r="292" spans="1:23" ht="28" customHeight="1" x14ac:dyDescent="0.3">
      <c r="A292" s="308">
        <v>45861</v>
      </c>
      <c r="B292" s="302">
        <v>2325.3310000000001</v>
      </c>
      <c r="C292" s="8">
        <v>-6.5289999999999999</v>
      </c>
      <c r="D292" s="268">
        <v>-2.8E-3</v>
      </c>
      <c r="E292" s="8">
        <v>88.84</v>
      </c>
      <c r="F292" s="8">
        <v>141.51</v>
      </c>
      <c r="G292" s="8">
        <v>128.096</v>
      </c>
      <c r="H292" s="8">
        <v>100.18</v>
      </c>
      <c r="I292" s="8">
        <v>182.08</v>
      </c>
      <c r="J292" s="8">
        <v>31.21</v>
      </c>
      <c r="K292" s="268">
        <v>0.40570000000000001</v>
      </c>
      <c r="L292" s="268">
        <v>0.27550000000000002</v>
      </c>
      <c r="M292" s="268">
        <v>-9.0700000000000003E-2</v>
      </c>
      <c r="N292" s="8">
        <v>899.02</v>
      </c>
      <c r="O292" s="8">
        <v>6343.82</v>
      </c>
      <c r="P292" s="268">
        <v>0.14169999999999999</v>
      </c>
      <c r="Q292" s="8">
        <v>465</v>
      </c>
      <c r="R292" s="8">
        <v>0</v>
      </c>
      <c r="S292" s="8" t="s">
        <v>3558</v>
      </c>
      <c r="T292" s="8" t="s">
        <v>3559</v>
      </c>
      <c r="U292" s="8" t="s">
        <v>3560</v>
      </c>
      <c r="V292" s="8" t="s">
        <v>3561</v>
      </c>
      <c r="W292" s="8" t="s">
        <v>3562</v>
      </c>
    </row>
    <row r="293" spans="1:23" ht="28" customHeight="1" x14ac:dyDescent="0.3">
      <c r="A293" s="308">
        <v>45860</v>
      </c>
      <c r="B293" s="302">
        <v>2331.86</v>
      </c>
      <c r="C293" s="8">
        <v>11.047000000000001</v>
      </c>
      <c r="D293" s="268">
        <v>4.7999999999999996E-3</v>
      </c>
      <c r="E293" s="8">
        <v>89.61</v>
      </c>
      <c r="F293" s="8">
        <v>141.845</v>
      </c>
      <c r="G293" s="8">
        <v>128.749</v>
      </c>
      <c r="H293" s="8">
        <v>101.39</v>
      </c>
      <c r="I293" s="8">
        <v>182.3</v>
      </c>
      <c r="J293" s="8">
        <v>30.03</v>
      </c>
      <c r="K293" s="268">
        <v>0.40460000000000002</v>
      </c>
      <c r="L293" s="268">
        <v>0.26450000000000001</v>
      </c>
      <c r="M293" s="268">
        <v>-9.1700000000000004E-2</v>
      </c>
      <c r="N293" s="8">
        <v>890.27</v>
      </c>
      <c r="O293" s="8">
        <v>6342.56</v>
      </c>
      <c r="P293" s="268">
        <v>0.1404</v>
      </c>
      <c r="Q293" s="8">
        <v>464</v>
      </c>
      <c r="R293" s="8" t="s">
        <v>3563</v>
      </c>
      <c r="S293" s="8" t="s">
        <v>2857</v>
      </c>
      <c r="T293" s="8" t="s">
        <v>3564</v>
      </c>
      <c r="U293" s="8" t="s">
        <v>3565</v>
      </c>
      <c r="V293" s="8" t="s">
        <v>3566</v>
      </c>
      <c r="W293" s="8" t="s">
        <v>3567</v>
      </c>
    </row>
    <row r="294" spans="1:23" ht="28" customHeight="1" x14ac:dyDescent="0.3">
      <c r="A294" s="308">
        <v>45859</v>
      </c>
      <c r="B294" s="302">
        <v>2320.8130000000001</v>
      </c>
      <c r="C294" s="8">
        <v>23.547000000000001</v>
      </c>
      <c r="D294" s="268">
        <v>1.0200000000000001E-2</v>
      </c>
      <c r="E294" s="8">
        <v>89.08</v>
      </c>
      <c r="F294" s="8">
        <v>141.32300000000001</v>
      </c>
      <c r="G294" s="8">
        <v>128.43199999999999</v>
      </c>
      <c r="H294" s="8">
        <v>101.66</v>
      </c>
      <c r="I294" s="8">
        <v>181.98</v>
      </c>
      <c r="J294" s="8">
        <v>29.73</v>
      </c>
      <c r="K294" s="268">
        <v>0.40660000000000002</v>
      </c>
      <c r="L294" s="268">
        <v>0.26860000000000001</v>
      </c>
      <c r="M294" s="268">
        <v>-8.8499999999999995E-2</v>
      </c>
      <c r="N294" s="8">
        <v>801.45</v>
      </c>
      <c r="O294" s="8">
        <v>6347.51</v>
      </c>
      <c r="P294" s="268">
        <v>0.1263</v>
      </c>
      <c r="Q294" s="8">
        <v>465</v>
      </c>
      <c r="R294" s="8" t="s">
        <v>3568</v>
      </c>
      <c r="S294" s="8" t="s">
        <v>3569</v>
      </c>
      <c r="T294" s="8" t="s">
        <v>3570</v>
      </c>
      <c r="U294" s="8" t="s">
        <v>3571</v>
      </c>
      <c r="V294" s="8" t="s">
        <v>3572</v>
      </c>
      <c r="W294" s="8" t="s">
        <v>3573</v>
      </c>
    </row>
    <row r="295" spans="1:23" ht="28" customHeight="1" x14ac:dyDescent="0.3">
      <c r="A295" s="308">
        <v>45856</v>
      </c>
      <c r="B295" s="302">
        <v>2297.2660000000001</v>
      </c>
      <c r="C295" s="8">
        <v>5.5</v>
      </c>
      <c r="D295" s="268">
        <v>2.3999999999999998E-3</v>
      </c>
      <c r="E295" s="8">
        <v>85.71</v>
      </c>
      <c r="F295" s="8">
        <v>140.11600000000001</v>
      </c>
      <c r="G295" s="8">
        <v>127.2</v>
      </c>
      <c r="H295" s="8">
        <v>100.44</v>
      </c>
      <c r="I295" s="8">
        <v>181.55</v>
      </c>
      <c r="J295" s="8">
        <v>33.200000000000003</v>
      </c>
      <c r="K295" s="268">
        <v>0.41439999999999999</v>
      </c>
      <c r="L295" s="268">
        <v>0.2767</v>
      </c>
      <c r="M295" s="268">
        <v>-8.2000000000000003E-2</v>
      </c>
      <c r="N295" s="8">
        <v>735.87</v>
      </c>
      <c r="O295" s="8">
        <v>6356.08</v>
      </c>
      <c r="P295" s="268">
        <v>0.1158</v>
      </c>
      <c r="Q295" s="8">
        <v>465</v>
      </c>
      <c r="R295" s="8" t="s">
        <v>3574</v>
      </c>
      <c r="S295" s="8" t="s">
        <v>3575</v>
      </c>
      <c r="T295" s="8" t="s">
        <v>3576</v>
      </c>
      <c r="U295" s="8" t="s">
        <v>3577</v>
      </c>
      <c r="V295" s="8" t="s">
        <v>3578</v>
      </c>
      <c r="W295" s="8" t="s">
        <v>3579</v>
      </c>
    </row>
    <row r="296" spans="1:23" ht="28" customHeight="1" x14ac:dyDescent="0.3">
      <c r="A296" s="308">
        <v>45855</v>
      </c>
      <c r="B296" s="302">
        <v>2291.7660000000001</v>
      </c>
      <c r="C296" s="8">
        <v>25.181999999999999</v>
      </c>
      <c r="D296" s="268">
        <v>1.11E-2</v>
      </c>
      <c r="E296" s="8">
        <v>84.75</v>
      </c>
      <c r="F296" s="8">
        <v>139.69</v>
      </c>
      <c r="G296" s="8">
        <v>126.801</v>
      </c>
      <c r="H296" s="8">
        <v>100.05</v>
      </c>
      <c r="I296" s="8">
        <v>180.98</v>
      </c>
      <c r="J296" s="8">
        <v>32.229999999999997</v>
      </c>
      <c r="K296" s="268">
        <v>0.41289999999999999</v>
      </c>
      <c r="L296" s="268">
        <v>0.27389999999999998</v>
      </c>
      <c r="M296" s="268">
        <v>-8.0600000000000005E-2</v>
      </c>
      <c r="N296" s="8">
        <v>758.96</v>
      </c>
      <c r="O296" s="8">
        <v>6367.26</v>
      </c>
      <c r="P296" s="268">
        <v>0.1192</v>
      </c>
      <c r="Q296" s="8">
        <v>466</v>
      </c>
      <c r="R296" s="8" t="s">
        <v>3580</v>
      </c>
      <c r="S296" s="8" t="s">
        <v>3581</v>
      </c>
      <c r="T296" s="8" t="s">
        <v>3582</v>
      </c>
      <c r="U296" s="8" t="s">
        <v>3583</v>
      </c>
      <c r="V296" s="8" t="s">
        <v>3584</v>
      </c>
      <c r="W296" s="8" t="s">
        <v>3585</v>
      </c>
    </row>
    <row r="297" spans="1:23" ht="28" customHeight="1" x14ac:dyDescent="0.3">
      <c r="A297" s="308">
        <v>45854</v>
      </c>
      <c r="B297" s="302">
        <v>2266.5839999999998</v>
      </c>
      <c r="C297" s="8">
        <v>13.563000000000001</v>
      </c>
      <c r="D297" s="268">
        <v>6.0000000000000001E-3</v>
      </c>
      <c r="E297" s="8">
        <v>80.5</v>
      </c>
      <c r="F297" s="8">
        <v>138.12100000000001</v>
      </c>
      <c r="G297" s="8">
        <v>125.24299999999999</v>
      </c>
      <c r="H297" s="8">
        <v>99.03</v>
      </c>
      <c r="I297" s="8">
        <v>179.29</v>
      </c>
      <c r="J297" s="8">
        <v>30.73</v>
      </c>
      <c r="K297" s="268">
        <v>0.41170000000000001</v>
      </c>
      <c r="L297" s="268">
        <v>0.27</v>
      </c>
      <c r="M297" s="268">
        <v>-7.5499999999999998E-2</v>
      </c>
      <c r="N297" s="8">
        <v>740.31</v>
      </c>
      <c r="O297" s="8">
        <v>6369.14</v>
      </c>
      <c r="P297" s="268">
        <v>0.1162</v>
      </c>
      <c r="Q297" s="8">
        <v>466</v>
      </c>
      <c r="R297" s="8" t="s">
        <v>3586</v>
      </c>
      <c r="S297" s="8" t="s">
        <v>3587</v>
      </c>
      <c r="T297" s="8" t="s">
        <v>3588</v>
      </c>
      <c r="U297" s="8" t="s">
        <v>3277</v>
      </c>
      <c r="V297" s="8" t="s">
        <v>3589</v>
      </c>
      <c r="W297" s="8" t="s">
        <v>3590</v>
      </c>
    </row>
    <row r="298" spans="1:23" ht="28" customHeight="1" x14ac:dyDescent="0.3">
      <c r="A298" s="308">
        <v>45853</v>
      </c>
      <c r="B298" s="302">
        <v>2253.0210000000002</v>
      </c>
      <c r="C298" s="8">
        <v>-9.4339999999999993</v>
      </c>
      <c r="D298" s="268">
        <v>-4.1999999999999997E-3</v>
      </c>
      <c r="E298" s="8">
        <v>78.489999999999995</v>
      </c>
      <c r="F298" s="8">
        <v>137.49299999999999</v>
      </c>
      <c r="G298" s="8">
        <v>125.03400000000001</v>
      </c>
      <c r="H298" s="8">
        <v>98.95</v>
      </c>
      <c r="I298" s="8">
        <v>178.71</v>
      </c>
      <c r="J298" s="8">
        <v>29.95</v>
      </c>
      <c r="K298" s="268">
        <v>0.41220000000000001</v>
      </c>
      <c r="L298" s="268">
        <v>0.26819999999999999</v>
      </c>
      <c r="M298" s="268">
        <v>-7.2800000000000004E-2</v>
      </c>
      <c r="N298" s="8">
        <v>740.87</v>
      </c>
      <c r="O298" s="8">
        <v>6380.63</v>
      </c>
      <c r="P298" s="268">
        <v>0.11609999999999999</v>
      </c>
      <c r="Q298" s="8">
        <v>466</v>
      </c>
      <c r="R298" s="8" t="s">
        <v>3591</v>
      </c>
      <c r="S298" s="8" t="s">
        <v>3592</v>
      </c>
      <c r="T298" s="8" t="s">
        <v>3593</v>
      </c>
      <c r="U298" s="8" t="s">
        <v>3594</v>
      </c>
      <c r="V298" s="8" t="s">
        <v>3595</v>
      </c>
      <c r="W298" s="8" t="s">
        <v>3596</v>
      </c>
    </row>
    <row r="299" spans="1:23" ht="28" customHeight="1" x14ac:dyDescent="0.3">
      <c r="A299" s="308">
        <v>45852</v>
      </c>
      <c r="B299" s="302">
        <v>2262.4549999999999</v>
      </c>
      <c r="C299" s="8">
        <v>-4.5339999999999998</v>
      </c>
      <c r="D299" s="268">
        <v>-2E-3</v>
      </c>
      <c r="E299" s="8">
        <v>80.84</v>
      </c>
      <c r="F299" s="8">
        <v>137.755</v>
      </c>
      <c r="G299" s="8">
        <v>125.54</v>
      </c>
      <c r="H299" s="8">
        <v>100.59</v>
      </c>
      <c r="I299" s="8">
        <v>178.38</v>
      </c>
      <c r="J299" s="8">
        <v>28.28</v>
      </c>
      <c r="K299" s="268">
        <v>0.40629999999999999</v>
      </c>
      <c r="L299" s="268">
        <v>0.25790000000000002</v>
      </c>
      <c r="M299" s="268">
        <v>-7.4700000000000003E-2</v>
      </c>
      <c r="N299" s="8">
        <v>669.14</v>
      </c>
      <c r="O299" s="8">
        <v>6388.4</v>
      </c>
      <c r="P299" s="268">
        <v>0.1047</v>
      </c>
      <c r="Q299" s="8">
        <v>468</v>
      </c>
      <c r="R299" s="8" t="s">
        <v>3597</v>
      </c>
      <c r="S299" s="8" t="s">
        <v>3598</v>
      </c>
      <c r="T299" s="8" t="s">
        <v>3599</v>
      </c>
      <c r="U299" s="8" t="s">
        <v>3600</v>
      </c>
      <c r="V299" s="8" t="s">
        <v>3601</v>
      </c>
      <c r="W299" s="8" t="s">
        <v>3602</v>
      </c>
    </row>
    <row r="300" spans="1:23" ht="28" customHeight="1" x14ac:dyDescent="0.3">
      <c r="A300" s="308">
        <v>45849</v>
      </c>
      <c r="B300" s="302">
        <v>2266.989</v>
      </c>
      <c r="C300" s="8">
        <v>5.4279999999999999</v>
      </c>
      <c r="D300" s="268">
        <v>2.3999999999999998E-3</v>
      </c>
      <c r="E300" s="8">
        <v>82.98</v>
      </c>
      <c r="F300" s="8">
        <v>138.40100000000001</v>
      </c>
      <c r="G300" s="8">
        <v>125.822</v>
      </c>
      <c r="H300" s="8">
        <v>99.09</v>
      </c>
      <c r="I300" s="8">
        <v>180.56</v>
      </c>
      <c r="J300" s="8">
        <v>34.799999999999997</v>
      </c>
      <c r="K300" s="268">
        <v>0.42159999999999997</v>
      </c>
      <c r="L300" s="268">
        <v>0.2722</v>
      </c>
      <c r="M300" s="268">
        <v>-7.4399999999999994E-2</v>
      </c>
      <c r="N300" s="8">
        <v>694.27</v>
      </c>
      <c r="O300" s="8">
        <v>6394.75</v>
      </c>
      <c r="P300" s="268">
        <v>0.1086</v>
      </c>
      <c r="Q300" s="8">
        <v>468</v>
      </c>
      <c r="R300" s="8" t="s">
        <v>3603</v>
      </c>
      <c r="S300" s="8" t="s">
        <v>3604</v>
      </c>
      <c r="T300" s="8" t="s">
        <v>3605</v>
      </c>
      <c r="U300" s="8" t="s">
        <v>3606</v>
      </c>
      <c r="V300" s="8" t="s">
        <v>3607</v>
      </c>
      <c r="W300" s="8" t="s">
        <v>3608</v>
      </c>
    </row>
    <row r="301" spans="1:23" ht="28" customHeight="1" x14ac:dyDescent="0.3">
      <c r="A301" s="308">
        <v>45848</v>
      </c>
      <c r="B301" s="302">
        <v>2261.5610000000001</v>
      </c>
      <c r="C301" s="8">
        <v>6.202</v>
      </c>
      <c r="D301" s="268">
        <v>2.8E-3</v>
      </c>
      <c r="E301" s="8">
        <v>82.19</v>
      </c>
      <c r="F301" s="8">
        <v>137.99600000000001</v>
      </c>
      <c r="G301" s="8">
        <v>125.801</v>
      </c>
      <c r="H301" s="8">
        <v>98.42</v>
      </c>
      <c r="I301" s="8">
        <v>179.83</v>
      </c>
      <c r="J301" s="8">
        <v>33.58</v>
      </c>
      <c r="K301" s="268">
        <v>0.41830000000000001</v>
      </c>
      <c r="L301" s="268">
        <v>0.26840000000000003</v>
      </c>
      <c r="M301" s="268">
        <v>-7.3899999999999993E-2</v>
      </c>
      <c r="N301" s="8">
        <v>681.83</v>
      </c>
      <c r="O301" s="8">
        <v>6392.53</v>
      </c>
      <c r="P301" s="268">
        <v>0.1067</v>
      </c>
      <c r="Q301" s="8">
        <v>466</v>
      </c>
      <c r="R301" s="8" t="s">
        <v>3609</v>
      </c>
      <c r="S301" s="8" t="s">
        <v>3610</v>
      </c>
      <c r="T301" s="8" t="s">
        <v>3611</v>
      </c>
      <c r="U301" s="8" t="s">
        <v>3612</v>
      </c>
      <c r="V301" s="8" t="s">
        <v>3613</v>
      </c>
      <c r="W301" s="8" t="s">
        <v>3614</v>
      </c>
    </row>
    <row r="302" spans="1:23" ht="28" customHeight="1" x14ac:dyDescent="0.3">
      <c r="A302" s="308">
        <v>45847</v>
      </c>
      <c r="B302" s="302">
        <v>2255.3589999999999</v>
      </c>
      <c r="C302" s="8">
        <v>-8.5120000000000005</v>
      </c>
      <c r="D302" s="268">
        <v>-3.8E-3</v>
      </c>
      <c r="E302" s="8">
        <v>80.319999999999993</v>
      </c>
      <c r="F302" s="8">
        <v>137.46700000000001</v>
      </c>
      <c r="G302" s="8">
        <v>125.336</v>
      </c>
      <c r="H302" s="8">
        <v>98.76</v>
      </c>
      <c r="I302" s="8">
        <v>179.43</v>
      </c>
      <c r="J302" s="8">
        <v>33.24</v>
      </c>
      <c r="K302" s="268">
        <v>0.41970000000000002</v>
      </c>
      <c r="L302" s="268">
        <v>0.2646</v>
      </c>
      <c r="M302" s="268">
        <v>-7.2099999999999997E-2</v>
      </c>
      <c r="N302" s="8">
        <v>693.71</v>
      </c>
      <c r="O302" s="8">
        <v>6399.05</v>
      </c>
      <c r="P302" s="268">
        <v>0.1084</v>
      </c>
      <c r="Q302" s="8">
        <v>466</v>
      </c>
      <c r="R302" s="8" t="s">
        <v>3615</v>
      </c>
      <c r="S302" s="8" t="s">
        <v>3615</v>
      </c>
      <c r="T302" s="8" t="s">
        <v>3616</v>
      </c>
      <c r="U302" s="8" t="s">
        <v>3617</v>
      </c>
      <c r="V302" s="8" t="s">
        <v>3618</v>
      </c>
      <c r="W302" s="8" t="s">
        <v>3619</v>
      </c>
    </row>
    <row r="303" spans="1:23" ht="28" customHeight="1" x14ac:dyDescent="0.3">
      <c r="A303" s="308">
        <v>45846</v>
      </c>
      <c r="B303" s="302">
        <v>2263.8710000000001</v>
      </c>
      <c r="C303" s="8">
        <v>18.48</v>
      </c>
      <c r="D303" s="268">
        <v>8.2000000000000007E-3</v>
      </c>
      <c r="E303" s="8">
        <v>81.44</v>
      </c>
      <c r="F303" s="8">
        <v>137.51900000000001</v>
      </c>
      <c r="G303" s="8">
        <v>125.82899999999999</v>
      </c>
      <c r="H303" s="8">
        <v>98.3</v>
      </c>
      <c r="I303" s="8">
        <v>179.48</v>
      </c>
      <c r="J303" s="8">
        <v>32.840000000000003</v>
      </c>
      <c r="K303" s="268">
        <v>0.41959999999999997</v>
      </c>
      <c r="L303" s="268">
        <v>0.26740000000000003</v>
      </c>
      <c r="M303" s="268">
        <v>-7.3899999999999993E-2</v>
      </c>
      <c r="N303" s="8">
        <v>768.82</v>
      </c>
      <c r="O303" s="8">
        <v>6406.98</v>
      </c>
      <c r="P303" s="268">
        <v>0.12</v>
      </c>
      <c r="Q303" s="8">
        <v>466</v>
      </c>
      <c r="R303" s="8" t="s">
        <v>3610</v>
      </c>
      <c r="S303" s="8" t="s">
        <v>3620</v>
      </c>
      <c r="T303" s="8" t="s">
        <v>3621</v>
      </c>
      <c r="U303" s="8" t="s">
        <v>3622</v>
      </c>
      <c r="V303" s="8" t="s">
        <v>3623</v>
      </c>
      <c r="W303" s="8" t="s">
        <v>3624</v>
      </c>
    </row>
    <row r="304" spans="1:23" ht="28" customHeight="1" x14ac:dyDescent="0.3">
      <c r="A304" s="308">
        <v>45845</v>
      </c>
      <c r="B304" s="302">
        <v>2245.3910000000001</v>
      </c>
      <c r="C304" s="8">
        <v>-2.855</v>
      </c>
      <c r="D304" s="268">
        <v>-1.2999999999999999E-3</v>
      </c>
      <c r="E304" s="8">
        <v>78.06</v>
      </c>
      <c r="F304" s="8">
        <v>136.66900000000001</v>
      </c>
      <c r="G304" s="8">
        <v>124.649</v>
      </c>
      <c r="H304" s="8">
        <v>97.25</v>
      </c>
      <c r="I304" s="8">
        <v>179.34</v>
      </c>
      <c r="J304" s="8">
        <v>32.75</v>
      </c>
      <c r="K304" s="268">
        <v>0.42670000000000002</v>
      </c>
      <c r="L304" s="268">
        <v>0.27860000000000001</v>
      </c>
      <c r="M304" s="268">
        <v>-7.0000000000000007E-2</v>
      </c>
      <c r="N304" s="8">
        <v>723.21</v>
      </c>
      <c r="O304" s="8">
        <v>6418.8</v>
      </c>
      <c r="P304" s="268">
        <v>0.11269999999999999</v>
      </c>
      <c r="Q304" s="8">
        <v>468</v>
      </c>
      <c r="R304" s="8" t="s">
        <v>3625</v>
      </c>
      <c r="S304" s="8" t="s">
        <v>3626</v>
      </c>
      <c r="T304" s="8" t="s">
        <v>3627</v>
      </c>
      <c r="U304" s="8" t="s">
        <v>3628</v>
      </c>
      <c r="V304" s="8" t="s">
        <v>3629</v>
      </c>
      <c r="W304" s="8" t="s">
        <v>3630</v>
      </c>
    </row>
    <row r="305" spans="1:23" ht="28" customHeight="1" x14ac:dyDescent="0.3">
      <c r="A305" s="308">
        <v>45842</v>
      </c>
      <c r="B305" s="302">
        <v>2248.2460000000001</v>
      </c>
      <c r="C305" s="8">
        <v>-5.6349999999999998</v>
      </c>
      <c r="D305" s="268">
        <v>-2.5000000000000001E-3</v>
      </c>
      <c r="E305" s="8">
        <v>79.02</v>
      </c>
      <c r="F305" s="8">
        <v>136.834</v>
      </c>
      <c r="G305" s="8">
        <v>124.77200000000001</v>
      </c>
      <c r="H305" s="8">
        <v>96.66</v>
      </c>
      <c r="I305" s="8">
        <v>180.52</v>
      </c>
      <c r="J305" s="8">
        <v>35.71</v>
      </c>
      <c r="K305" s="268">
        <v>0.43690000000000001</v>
      </c>
      <c r="L305" s="268">
        <v>0.28570000000000001</v>
      </c>
      <c r="M305" s="268">
        <v>-6.9099999999999995E-2</v>
      </c>
      <c r="N305" s="8">
        <v>825.31</v>
      </c>
      <c r="O305" s="8">
        <v>6410.66</v>
      </c>
      <c r="P305" s="268">
        <v>0.12870000000000001</v>
      </c>
      <c r="Q305" s="8">
        <v>466</v>
      </c>
      <c r="R305" s="8" t="s">
        <v>3603</v>
      </c>
      <c r="S305" s="8" t="s">
        <v>3631</v>
      </c>
      <c r="T305" s="8" t="s">
        <v>3632</v>
      </c>
      <c r="U305" s="8" t="s">
        <v>3633</v>
      </c>
      <c r="V305" s="8" t="s">
        <v>3634</v>
      </c>
      <c r="W305" s="8" t="s">
        <v>3635</v>
      </c>
    </row>
    <row r="306" spans="1:23" ht="28" customHeight="1" x14ac:dyDescent="0.3">
      <c r="A306" s="308">
        <v>45841</v>
      </c>
      <c r="B306" s="302">
        <v>2253.8809999999999</v>
      </c>
      <c r="C306" s="8">
        <v>14.422000000000001</v>
      </c>
      <c r="D306" s="268">
        <v>6.4000000000000003E-3</v>
      </c>
      <c r="E306" s="8">
        <v>80.069999999999993</v>
      </c>
      <c r="F306" s="8">
        <v>136.97999999999999</v>
      </c>
      <c r="G306" s="8">
        <v>124.86499999999999</v>
      </c>
      <c r="H306" s="8">
        <v>97.18</v>
      </c>
      <c r="I306" s="8">
        <v>179.99</v>
      </c>
      <c r="J306" s="8">
        <v>34.57</v>
      </c>
      <c r="K306" s="268">
        <v>0.43009999999999998</v>
      </c>
      <c r="L306" s="268">
        <v>0.2762</v>
      </c>
      <c r="M306" s="268">
        <v>-7.0099999999999996E-2</v>
      </c>
      <c r="N306" s="8">
        <v>677.88</v>
      </c>
      <c r="O306" s="8">
        <v>6412.39</v>
      </c>
      <c r="P306" s="268">
        <v>0.1057</v>
      </c>
      <c r="Q306" s="8">
        <v>466</v>
      </c>
      <c r="R306" s="8" t="s">
        <v>3636</v>
      </c>
      <c r="S306" s="8" t="s">
        <v>3637</v>
      </c>
      <c r="T306" s="8" t="s">
        <v>3638</v>
      </c>
      <c r="U306" s="8" t="s">
        <v>3639</v>
      </c>
      <c r="V306" s="8" t="s">
        <v>3640</v>
      </c>
      <c r="W306" s="8" t="s">
        <v>3641</v>
      </c>
    </row>
    <row r="307" spans="1:23" ht="28" customHeight="1" x14ac:dyDescent="0.3">
      <c r="A307" s="308">
        <v>45840</v>
      </c>
      <c r="B307" s="302">
        <v>2239.4589999999998</v>
      </c>
      <c r="C307" s="8">
        <v>-14.061999999999999</v>
      </c>
      <c r="D307" s="268">
        <v>-6.1999999999999998E-3</v>
      </c>
      <c r="E307" s="8">
        <v>78.11</v>
      </c>
      <c r="F307" s="8">
        <v>135.74600000000001</v>
      </c>
      <c r="G307" s="8">
        <v>123.90600000000001</v>
      </c>
      <c r="H307" s="8">
        <v>95.86</v>
      </c>
      <c r="I307" s="8">
        <v>179.09</v>
      </c>
      <c r="J307" s="8">
        <v>35.97</v>
      </c>
      <c r="K307" s="268">
        <v>0.4335</v>
      </c>
      <c r="L307" s="268">
        <v>0.28499999999999998</v>
      </c>
      <c r="M307" s="268">
        <v>-6.7000000000000004E-2</v>
      </c>
      <c r="N307" s="8">
        <v>666.51</v>
      </c>
      <c r="O307" s="8">
        <v>6418.01</v>
      </c>
      <c r="P307" s="268">
        <v>0.10390000000000001</v>
      </c>
      <c r="Q307" s="8">
        <v>466</v>
      </c>
      <c r="R307" s="8" t="s">
        <v>3642</v>
      </c>
      <c r="S307" s="8">
        <v>0</v>
      </c>
      <c r="T307" s="8" t="s">
        <v>3643</v>
      </c>
      <c r="U307" s="8" t="s">
        <v>3644</v>
      </c>
      <c r="V307" s="8" t="s">
        <v>3645</v>
      </c>
      <c r="W307" s="8" t="s">
        <v>3646</v>
      </c>
    </row>
    <row r="308" spans="1:23" ht="28" customHeight="1" x14ac:dyDescent="0.3">
      <c r="A308" s="308">
        <v>45839</v>
      </c>
      <c r="B308" s="302">
        <v>2253.5210000000002</v>
      </c>
      <c r="C308" s="8">
        <v>11.032999999999999</v>
      </c>
      <c r="D308" s="268">
        <v>4.8999999999999998E-3</v>
      </c>
      <c r="E308" s="8">
        <v>80.790000000000006</v>
      </c>
      <c r="F308" s="8">
        <v>136.74100000000001</v>
      </c>
      <c r="G308" s="8">
        <v>124.898</v>
      </c>
      <c r="H308" s="8">
        <v>96.64</v>
      </c>
      <c r="I308" s="8">
        <v>180.69</v>
      </c>
      <c r="J308" s="8">
        <v>35.049999999999997</v>
      </c>
      <c r="K308" s="268">
        <v>0.4395</v>
      </c>
      <c r="L308" s="268">
        <v>0.29320000000000002</v>
      </c>
      <c r="M308" s="268">
        <v>-6.9500000000000006E-2</v>
      </c>
      <c r="N308" s="8">
        <v>645.83000000000004</v>
      </c>
      <c r="O308" s="8">
        <v>6422.88</v>
      </c>
      <c r="P308" s="268">
        <v>0.10059999999999999</v>
      </c>
      <c r="Q308" s="8">
        <v>467</v>
      </c>
      <c r="R308" s="8" t="s">
        <v>3647</v>
      </c>
      <c r="S308" s="8">
        <v>0</v>
      </c>
      <c r="T308" s="8" t="s">
        <v>3648</v>
      </c>
      <c r="U308" s="8" t="s">
        <v>3649</v>
      </c>
      <c r="V308" s="8" t="s">
        <v>3650</v>
      </c>
      <c r="W308" s="8" t="s">
        <v>3651</v>
      </c>
    </row>
    <row r="309" spans="1:23" ht="28" customHeight="1" x14ac:dyDescent="0.3">
      <c r="A309" s="308">
        <v>45838</v>
      </c>
      <c r="B309" s="302">
        <v>2242.4879999999998</v>
      </c>
      <c r="C309" s="8">
        <v>14.128</v>
      </c>
      <c r="D309" s="268">
        <v>6.3E-3</v>
      </c>
      <c r="E309" s="8">
        <v>78.67</v>
      </c>
      <c r="F309" s="8">
        <v>136.00200000000001</v>
      </c>
      <c r="G309" s="8">
        <v>124.27</v>
      </c>
      <c r="H309" s="8">
        <v>96.15</v>
      </c>
      <c r="I309" s="8">
        <v>180.01</v>
      </c>
      <c r="J309" s="8">
        <v>37.17</v>
      </c>
      <c r="K309" s="268">
        <v>0.44009999999999999</v>
      </c>
      <c r="L309" s="268">
        <v>0.29449999999999998</v>
      </c>
      <c r="M309" s="268">
        <v>-6.6900000000000001E-2</v>
      </c>
      <c r="N309" s="8">
        <v>582.63</v>
      </c>
      <c r="O309" s="8">
        <v>6427.48</v>
      </c>
      <c r="P309" s="268">
        <v>9.06E-2</v>
      </c>
      <c r="Q309" s="8">
        <v>467</v>
      </c>
      <c r="R309" s="8" t="s">
        <v>3652</v>
      </c>
      <c r="S309" s="8">
        <v>0</v>
      </c>
      <c r="T309" s="8" t="s">
        <v>3653</v>
      </c>
      <c r="U309" s="8" t="s">
        <v>3654</v>
      </c>
      <c r="V309" s="8" t="s">
        <v>3655</v>
      </c>
      <c r="W309" s="8" t="s">
        <v>3656</v>
      </c>
    </row>
    <row r="310" spans="1:23" ht="28" customHeight="1" x14ac:dyDescent="0.3">
      <c r="A310" s="308">
        <v>45835</v>
      </c>
      <c r="B310" s="302">
        <v>2228.36</v>
      </c>
      <c r="C310" s="8">
        <v>7.7939999999999996</v>
      </c>
      <c r="D310" s="268">
        <v>3.5000000000000001E-3</v>
      </c>
      <c r="E310" s="8">
        <v>77.36</v>
      </c>
      <c r="F310" s="8">
        <v>135.02500000000001</v>
      </c>
      <c r="G310" s="8">
        <v>123.473</v>
      </c>
      <c r="H310" s="8">
        <v>94.91</v>
      </c>
      <c r="I310" s="8">
        <v>180.14</v>
      </c>
      <c r="J310" s="8">
        <v>38.619999999999997</v>
      </c>
      <c r="K310" s="268">
        <v>0.4511</v>
      </c>
      <c r="L310" s="268">
        <v>0.29920000000000002</v>
      </c>
      <c r="M310" s="268">
        <v>-6.3200000000000006E-2</v>
      </c>
      <c r="N310" s="8">
        <v>651.1</v>
      </c>
      <c r="O310" s="8">
        <v>6552.02</v>
      </c>
      <c r="P310" s="268">
        <v>9.9400000000000002E-2</v>
      </c>
      <c r="Q310" s="8">
        <v>468</v>
      </c>
      <c r="R310" s="8" t="s">
        <v>3657</v>
      </c>
      <c r="S310" s="8">
        <v>0</v>
      </c>
      <c r="T310" s="8" t="s">
        <v>3658</v>
      </c>
      <c r="U310" s="8" t="s">
        <v>3659</v>
      </c>
      <c r="V310" s="8" t="s">
        <v>3660</v>
      </c>
      <c r="W310" s="8" t="s">
        <v>3661</v>
      </c>
    </row>
    <row r="311" spans="1:23" ht="28" customHeight="1" x14ac:dyDescent="0.3">
      <c r="A311" s="308">
        <v>45834</v>
      </c>
      <c r="B311" s="302">
        <v>2220.5659999999998</v>
      </c>
      <c r="C311" s="8">
        <v>-4.0039999999999996</v>
      </c>
      <c r="D311" s="268">
        <v>-1.8E-3</v>
      </c>
      <c r="E311" s="8">
        <v>76.23</v>
      </c>
      <c r="F311" s="8">
        <v>134.64599999999999</v>
      </c>
      <c r="G311" s="8">
        <v>122.935</v>
      </c>
      <c r="H311" s="8">
        <v>94.73</v>
      </c>
      <c r="I311" s="8">
        <v>180.05</v>
      </c>
      <c r="J311" s="8">
        <v>40.229999999999997</v>
      </c>
      <c r="K311" s="268">
        <v>0.45400000000000001</v>
      </c>
      <c r="L311" s="268">
        <v>0.30180000000000001</v>
      </c>
      <c r="M311" s="268">
        <v>-6.1499999999999999E-2</v>
      </c>
      <c r="N311" s="8">
        <v>678.12</v>
      </c>
      <c r="O311" s="8">
        <v>6560.58</v>
      </c>
      <c r="P311" s="268">
        <v>0.10340000000000001</v>
      </c>
      <c r="Q311" s="8">
        <v>468</v>
      </c>
      <c r="R311" s="8" t="s">
        <v>3475</v>
      </c>
      <c r="S311" s="8" t="s">
        <v>3662</v>
      </c>
      <c r="T311" s="8" t="s">
        <v>3663</v>
      </c>
      <c r="U311" s="8" t="s">
        <v>3664</v>
      </c>
      <c r="V311" s="8" t="s">
        <v>3665</v>
      </c>
      <c r="W311" s="8" t="s">
        <v>3666</v>
      </c>
    </row>
    <row r="312" spans="1:23" ht="28" customHeight="1" x14ac:dyDescent="0.3">
      <c r="A312" s="308">
        <v>45833</v>
      </c>
      <c r="B312" s="302">
        <v>2224.5700000000002</v>
      </c>
      <c r="C312" s="8">
        <v>18.837</v>
      </c>
      <c r="D312" s="268">
        <v>8.5000000000000006E-3</v>
      </c>
      <c r="E312" s="8">
        <v>77.459999999999994</v>
      </c>
      <c r="F312" s="8">
        <v>134.81100000000001</v>
      </c>
      <c r="G312" s="8">
        <v>123.221</v>
      </c>
      <c r="H312" s="8">
        <v>95</v>
      </c>
      <c r="I312" s="8">
        <v>179.65</v>
      </c>
      <c r="J312" s="8">
        <v>38.04</v>
      </c>
      <c r="K312" s="268">
        <v>0.44840000000000002</v>
      </c>
      <c r="L312" s="268">
        <v>0.29580000000000001</v>
      </c>
      <c r="M312" s="268">
        <v>-6.2100000000000002E-2</v>
      </c>
      <c r="N312" s="8">
        <v>659.19</v>
      </c>
      <c r="O312" s="8">
        <v>6569.07</v>
      </c>
      <c r="P312" s="268">
        <v>0.1003</v>
      </c>
      <c r="Q312" s="8">
        <v>468</v>
      </c>
      <c r="R312" s="8" t="s">
        <v>3667</v>
      </c>
      <c r="S312" s="8" t="s">
        <v>3668</v>
      </c>
      <c r="T312" s="8" t="s">
        <v>3669</v>
      </c>
      <c r="U312" s="8" t="s">
        <v>3670</v>
      </c>
      <c r="V312" s="8" t="s">
        <v>3671</v>
      </c>
      <c r="W312" s="8" t="s">
        <v>3672</v>
      </c>
    </row>
    <row r="313" spans="1:23" ht="28" customHeight="1" x14ac:dyDescent="0.3">
      <c r="A313" s="308">
        <v>45832</v>
      </c>
      <c r="B313" s="302">
        <v>2205.7330000000002</v>
      </c>
      <c r="C313" s="8">
        <v>21.643999999999998</v>
      </c>
      <c r="D313" s="268">
        <v>9.9000000000000008E-3</v>
      </c>
      <c r="E313" s="8">
        <v>71.760000000000005</v>
      </c>
      <c r="F313" s="8">
        <v>133.64400000000001</v>
      </c>
      <c r="G313" s="8">
        <v>122.125</v>
      </c>
      <c r="H313" s="8">
        <v>94.3</v>
      </c>
      <c r="I313" s="8">
        <v>178.76</v>
      </c>
      <c r="J313" s="8">
        <v>37.49</v>
      </c>
      <c r="K313" s="268">
        <v>0.4511</v>
      </c>
      <c r="L313" s="268">
        <v>0.29709999999999998</v>
      </c>
      <c r="M313" s="268">
        <v>-5.8400000000000001E-2</v>
      </c>
      <c r="N313" s="8">
        <v>623.86</v>
      </c>
      <c r="O313" s="8">
        <v>6579.32</v>
      </c>
      <c r="P313" s="268">
        <v>9.4799999999999995E-2</v>
      </c>
      <c r="Q313" s="8">
        <v>468</v>
      </c>
      <c r="R313" s="8" t="s">
        <v>2490</v>
      </c>
      <c r="S313" s="8" t="s">
        <v>3673</v>
      </c>
      <c r="T313" s="8" t="s">
        <v>3674</v>
      </c>
      <c r="U313" s="8" t="s">
        <v>3675</v>
      </c>
      <c r="V313" s="8" t="s">
        <v>3676</v>
      </c>
      <c r="W313" s="8" t="s">
        <v>3677</v>
      </c>
    </row>
    <row r="314" spans="1:23" ht="28" customHeight="1" x14ac:dyDescent="0.3">
      <c r="A314" s="308">
        <v>45831</v>
      </c>
      <c r="B314" s="302">
        <v>2184.0889999999999</v>
      </c>
      <c r="C314" s="8">
        <v>12.055</v>
      </c>
      <c r="D314" s="268">
        <v>5.5999999999999999E-3</v>
      </c>
      <c r="E314" s="8">
        <v>67.430000000000007</v>
      </c>
      <c r="F314" s="8">
        <v>132.16399999999999</v>
      </c>
      <c r="G314" s="8">
        <v>121.307</v>
      </c>
      <c r="H314" s="8">
        <v>91.89</v>
      </c>
      <c r="I314" s="8">
        <v>178.88</v>
      </c>
      <c r="J314" s="8">
        <v>42.36</v>
      </c>
      <c r="K314" s="268">
        <v>0.46710000000000002</v>
      </c>
      <c r="L314" s="268">
        <v>0.30640000000000001</v>
      </c>
      <c r="M314" s="268">
        <v>-5.3900000000000003E-2</v>
      </c>
      <c r="N314" s="8">
        <v>561.17999999999995</v>
      </c>
      <c r="O314" s="8">
        <v>6607.49</v>
      </c>
      <c r="P314" s="268">
        <v>8.4900000000000003E-2</v>
      </c>
      <c r="Q314" s="8">
        <v>468</v>
      </c>
      <c r="R314" s="8" t="s">
        <v>2693</v>
      </c>
      <c r="S314" s="8" t="s">
        <v>3678</v>
      </c>
      <c r="T314" s="8" t="s">
        <v>3679</v>
      </c>
      <c r="U314" s="8" t="s">
        <v>3680</v>
      </c>
      <c r="V314" s="8" t="s">
        <v>2580</v>
      </c>
      <c r="W314" s="8" t="s">
        <v>3681</v>
      </c>
    </row>
    <row r="315" spans="1:23" ht="28" customHeight="1" x14ac:dyDescent="0.3">
      <c r="A315" s="308">
        <v>45828</v>
      </c>
      <c r="B315" s="302">
        <v>2172.0340000000001</v>
      </c>
      <c r="C315" s="8">
        <v>-5.5750000000000002</v>
      </c>
      <c r="D315" s="268">
        <v>-2.5999999999999999E-3</v>
      </c>
      <c r="E315" s="8">
        <v>63.67</v>
      </c>
      <c r="F315" s="8">
        <v>131.315</v>
      </c>
      <c r="G315" s="8">
        <v>120.65900000000001</v>
      </c>
      <c r="H315" s="8">
        <v>90.76</v>
      </c>
      <c r="I315" s="8">
        <v>179.28</v>
      </c>
      <c r="J315" s="8">
        <v>45.16</v>
      </c>
      <c r="K315" s="268">
        <v>0.47970000000000002</v>
      </c>
      <c r="L315" s="268">
        <v>0.31430000000000002</v>
      </c>
      <c r="M315" s="268">
        <v>-5.0900000000000001E-2</v>
      </c>
      <c r="N315" s="8">
        <v>602.5</v>
      </c>
      <c r="O315" s="8">
        <v>6611.13</v>
      </c>
      <c r="P315" s="268">
        <v>9.11E-2</v>
      </c>
      <c r="Q315" s="8">
        <v>468</v>
      </c>
      <c r="R315" s="8" t="s">
        <v>2397</v>
      </c>
      <c r="S315" s="8" t="s">
        <v>3682</v>
      </c>
      <c r="T315" s="8" t="s">
        <v>3683</v>
      </c>
      <c r="U315" s="8" t="s">
        <v>3684</v>
      </c>
      <c r="V315" s="8" t="s">
        <v>3685</v>
      </c>
      <c r="W315" s="8" t="s">
        <v>3686</v>
      </c>
    </row>
    <row r="316" spans="1:23" ht="28" customHeight="1" x14ac:dyDescent="0.3">
      <c r="A316" s="308">
        <v>45827</v>
      </c>
      <c r="B316" s="302">
        <v>2177.6089999999999</v>
      </c>
      <c r="C316" s="8">
        <v>-13.122</v>
      </c>
      <c r="D316" s="268">
        <v>-6.0000000000000001E-3</v>
      </c>
      <c r="E316" s="8">
        <v>65.25</v>
      </c>
      <c r="F316" s="8">
        <v>131.68899999999999</v>
      </c>
      <c r="G316" s="8">
        <v>120.55200000000001</v>
      </c>
      <c r="H316" s="8">
        <v>91.15</v>
      </c>
      <c r="I316" s="8">
        <v>180.28</v>
      </c>
      <c r="J316" s="8">
        <v>44.18</v>
      </c>
      <c r="K316" s="268">
        <v>0.4859</v>
      </c>
      <c r="L316" s="268">
        <v>0.32019999999999998</v>
      </c>
      <c r="M316" s="268">
        <v>-5.0999999999999997E-2</v>
      </c>
      <c r="N316" s="8">
        <v>607.83000000000004</v>
      </c>
      <c r="O316" s="8">
        <v>6613.87</v>
      </c>
      <c r="P316" s="268">
        <v>9.1899999999999996E-2</v>
      </c>
      <c r="Q316" s="8">
        <v>469</v>
      </c>
      <c r="R316" s="8" t="s">
        <v>3687</v>
      </c>
      <c r="S316" s="8" t="s">
        <v>3688</v>
      </c>
      <c r="T316" s="8" t="s">
        <v>3689</v>
      </c>
      <c r="U316" s="8" t="s">
        <v>3690</v>
      </c>
      <c r="V316" s="8" t="s">
        <v>3691</v>
      </c>
      <c r="W316" s="8" t="s">
        <v>3692</v>
      </c>
    </row>
    <row r="317" spans="1:23" ht="28" customHeight="1" x14ac:dyDescent="0.3">
      <c r="A317" s="308">
        <v>45826</v>
      </c>
      <c r="B317" s="302">
        <v>2190.7310000000002</v>
      </c>
      <c r="C317" s="8">
        <v>0.54800000000000004</v>
      </c>
      <c r="D317" s="268">
        <v>2.9999999999999997E-4</v>
      </c>
      <c r="E317" s="8">
        <v>66.41</v>
      </c>
      <c r="F317" s="8">
        <v>132.672</v>
      </c>
      <c r="G317" s="8">
        <v>121.4</v>
      </c>
      <c r="H317" s="8">
        <v>92.52</v>
      </c>
      <c r="I317" s="8">
        <v>179.87</v>
      </c>
      <c r="J317" s="8">
        <v>41.26</v>
      </c>
      <c r="K317" s="268">
        <v>0.47199999999999998</v>
      </c>
      <c r="L317" s="268">
        <v>0.30869999999999997</v>
      </c>
      <c r="M317" s="268">
        <v>-5.3600000000000002E-2</v>
      </c>
      <c r="N317" s="8">
        <v>597.5</v>
      </c>
      <c r="O317" s="8">
        <v>6615.87</v>
      </c>
      <c r="P317" s="268">
        <v>9.0300000000000005E-2</v>
      </c>
      <c r="Q317" s="8">
        <v>469</v>
      </c>
      <c r="R317" s="8" t="s">
        <v>3693</v>
      </c>
      <c r="S317" s="8" t="s">
        <v>2742</v>
      </c>
      <c r="T317" s="8" t="s">
        <v>3694</v>
      </c>
      <c r="U317" s="8" t="s">
        <v>3695</v>
      </c>
      <c r="V317" s="8" t="s">
        <v>3696</v>
      </c>
      <c r="W317" s="8" t="s">
        <v>3697</v>
      </c>
    </row>
    <row r="318" spans="1:23" ht="28" customHeight="1" x14ac:dyDescent="0.3">
      <c r="A318" s="308">
        <v>45825</v>
      </c>
      <c r="B318" s="302">
        <v>2190.183</v>
      </c>
      <c r="C318" s="8">
        <v>-2.0830000000000002</v>
      </c>
      <c r="D318" s="268">
        <v>-1E-3</v>
      </c>
      <c r="E318" s="8">
        <v>67.78</v>
      </c>
      <c r="F318" s="8">
        <v>132.583</v>
      </c>
      <c r="G318" s="8">
        <v>121.211</v>
      </c>
      <c r="H318" s="8">
        <v>92.88</v>
      </c>
      <c r="I318" s="8">
        <v>178.93</v>
      </c>
      <c r="J318" s="8">
        <v>40.47</v>
      </c>
      <c r="K318" s="268">
        <v>0.46350000000000002</v>
      </c>
      <c r="L318" s="268">
        <v>0.3019</v>
      </c>
      <c r="M318" s="268">
        <v>-5.3699999999999998E-2</v>
      </c>
      <c r="N318" s="8">
        <v>636.54999999999995</v>
      </c>
      <c r="O318" s="8">
        <v>6615.59</v>
      </c>
      <c r="P318" s="268">
        <v>9.6199999999999994E-2</v>
      </c>
      <c r="Q318" s="8">
        <v>468</v>
      </c>
      <c r="R318" s="8" t="s">
        <v>3698</v>
      </c>
      <c r="S318" s="8" t="s">
        <v>3699</v>
      </c>
      <c r="T318" s="8" t="s">
        <v>3700</v>
      </c>
      <c r="U318" s="8" t="s">
        <v>3701</v>
      </c>
      <c r="V318" s="8" t="s">
        <v>3702</v>
      </c>
      <c r="W318" s="8" t="s">
        <v>3703</v>
      </c>
    </row>
    <row r="319" spans="1:23" ht="28" customHeight="1" x14ac:dyDescent="0.3">
      <c r="A319" s="308">
        <v>45824</v>
      </c>
      <c r="B319" s="302">
        <v>2192.2660000000001</v>
      </c>
      <c r="C319" s="8">
        <v>9.234</v>
      </c>
      <c r="D319" s="268">
        <v>4.1999999999999997E-3</v>
      </c>
      <c r="E319" s="8">
        <v>67.63</v>
      </c>
      <c r="F319" s="8">
        <v>132.529</v>
      </c>
      <c r="G319" s="8">
        <v>121.399</v>
      </c>
      <c r="H319" s="8">
        <v>92.6</v>
      </c>
      <c r="I319" s="8">
        <v>178.68</v>
      </c>
      <c r="J319" s="8">
        <v>38.86</v>
      </c>
      <c r="K319" s="268">
        <v>0.46150000000000002</v>
      </c>
      <c r="L319" s="268">
        <v>0.3014</v>
      </c>
      <c r="M319" s="268">
        <v>-5.4100000000000002E-2</v>
      </c>
      <c r="N319" s="8">
        <v>691.61</v>
      </c>
      <c r="O319" s="8">
        <v>6619.58</v>
      </c>
      <c r="P319" s="268">
        <v>0.1045</v>
      </c>
      <c r="Q319" s="8">
        <v>469</v>
      </c>
      <c r="R319" s="8" t="s">
        <v>3704</v>
      </c>
      <c r="S319" s="8" t="s">
        <v>2731</v>
      </c>
      <c r="T319" s="8" t="s">
        <v>3705</v>
      </c>
      <c r="U319" s="8" t="s">
        <v>3706</v>
      </c>
      <c r="V319" s="8" t="s">
        <v>3707</v>
      </c>
      <c r="W319" s="8" t="s">
        <v>3708</v>
      </c>
    </row>
    <row r="320" spans="1:23" ht="28" customHeight="1" x14ac:dyDescent="0.3">
      <c r="A320" s="308">
        <v>45821</v>
      </c>
      <c r="B320" s="302">
        <v>2183.0320000000002</v>
      </c>
      <c r="C320" s="8">
        <v>-16.318999999999999</v>
      </c>
      <c r="D320" s="268">
        <v>-7.4000000000000003E-3</v>
      </c>
      <c r="E320" s="8">
        <v>66.180000000000007</v>
      </c>
      <c r="F320" s="8">
        <v>132.072</v>
      </c>
      <c r="G320" s="8">
        <v>120.997</v>
      </c>
      <c r="H320" s="8">
        <v>91.94</v>
      </c>
      <c r="I320" s="8">
        <v>178.59</v>
      </c>
      <c r="J320" s="8">
        <v>38.479999999999997</v>
      </c>
      <c r="K320" s="268">
        <v>0.4652</v>
      </c>
      <c r="L320" s="268">
        <v>0.31019999999999998</v>
      </c>
      <c r="M320" s="268">
        <v>-5.1999999999999998E-2</v>
      </c>
      <c r="N320" s="8">
        <v>623.38</v>
      </c>
      <c r="O320" s="8">
        <v>6620.23</v>
      </c>
      <c r="P320" s="268">
        <v>9.4200000000000006E-2</v>
      </c>
      <c r="Q320" s="8">
        <v>469</v>
      </c>
      <c r="R320" s="8" t="s">
        <v>2676</v>
      </c>
      <c r="S320" s="8" t="s">
        <v>3246</v>
      </c>
      <c r="T320" s="8" t="s">
        <v>3709</v>
      </c>
      <c r="U320" s="8" t="s">
        <v>3710</v>
      </c>
      <c r="V320" s="8" t="s">
        <v>3711</v>
      </c>
      <c r="W320" s="8" t="s">
        <v>3712</v>
      </c>
    </row>
    <row r="321" spans="1:23" ht="28" customHeight="1" x14ac:dyDescent="0.3">
      <c r="A321" s="308">
        <v>45820</v>
      </c>
      <c r="B321" s="302">
        <v>2199.3510000000001</v>
      </c>
      <c r="C321" s="8">
        <v>0.17599999999999999</v>
      </c>
      <c r="D321" s="268">
        <v>1E-4</v>
      </c>
      <c r="E321" s="8">
        <v>70.27</v>
      </c>
      <c r="F321" s="8">
        <v>133.22399999999999</v>
      </c>
      <c r="G321" s="8">
        <v>121.765</v>
      </c>
      <c r="H321" s="8">
        <v>94.26</v>
      </c>
      <c r="I321" s="8">
        <v>178.04</v>
      </c>
      <c r="J321" s="8">
        <v>34.86</v>
      </c>
      <c r="K321" s="268">
        <v>0.44819999999999999</v>
      </c>
      <c r="L321" s="268">
        <v>0.29509999999999997</v>
      </c>
      <c r="M321" s="268">
        <v>-5.5399999999999998E-2</v>
      </c>
      <c r="N321" s="8">
        <v>695.77</v>
      </c>
      <c r="O321" s="8">
        <v>6623.7</v>
      </c>
      <c r="P321" s="268">
        <v>0.105</v>
      </c>
      <c r="Q321" s="8">
        <v>469</v>
      </c>
      <c r="R321" s="8" t="s">
        <v>3713</v>
      </c>
      <c r="S321" s="8" t="s">
        <v>3297</v>
      </c>
      <c r="T321" s="8" t="s">
        <v>3714</v>
      </c>
      <c r="U321" s="8" t="s">
        <v>3715</v>
      </c>
      <c r="V321" s="8" t="s">
        <v>3716</v>
      </c>
      <c r="W321" s="8" t="s">
        <v>3295</v>
      </c>
    </row>
    <row r="322" spans="1:23" ht="28" customHeight="1" x14ac:dyDescent="0.3">
      <c r="A322" s="308">
        <v>45819</v>
      </c>
      <c r="B322" s="302">
        <v>2199.1750000000002</v>
      </c>
      <c r="C322" s="8">
        <v>7.08</v>
      </c>
      <c r="D322" s="268">
        <v>3.2000000000000002E-3</v>
      </c>
      <c r="E322" s="8">
        <v>70.31</v>
      </c>
      <c r="F322" s="8">
        <v>133.19399999999999</v>
      </c>
      <c r="G322" s="8">
        <v>122.212</v>
      </c>
      <c r="H322" s="8">
        <v>94.42</v>
      </c>
      <c r="I322" s="8">
        <v>177.78</v>
      </c>
      <c r="J322" s="8">
        <v>35.42</v>
      </c>
      <c r="K322" s="268">
        <v>0.44590000000000002</v>
      </c>
      <c r="L322" s="268">
        <v>0.29449999999999998</v>
      </c>
      <c r="M322" s="268">
        <v>-5.5199999999999999E-2</v>
      </c>
      <c r="N322" s="8">
        <v>715.12</v>
      </c>
      <c r="O322" s="8">
        <v>6626.74</v>
      </c>
      <c r="P322" s="268">
        <v>0.1079</v>
      </c>
      <c r="Q322" s="8">
        <v>470</v>
      </c>
      <c r="R322" s="8" t="s">
        <v>3717</v>
      </c>
      <c r="S322" s="8" t="s">
        <v>3718</v>
      </c>
      <c r="T322" s="8" t="s">
        <v>3719</v>
      </c>
      <c r="U322" s="8" t="s">
        <v>3720</v>
      </c>
      <c r="V322" s="8" t="s">
        <v>3721</v>
      </c>
      <c r="W322" s="8" t="s">
        <v>3722</v>
      </c>
    </row>
    <row r="323" spans="1:23" ht="28" customHeight="1" x14ac:dyDescent="0.3">
      <c r="A323" s="308">
        <v>45818</v>
      </c>
      <c r="B323" s="302">
        <v>2192.0949999999998</v>
      </c>
      <c r="C323" s="8">
        <v>-11.103999999999999</v>
      </c>
      <c r="D323" s="268">
        <v>-5.0000000000000001E-3</v>
      </c>
      <c r="E323" s="8">
        <v>69.349999999999994</v>
      </c>
      <c r="F323" s="8">
        <v>132.85300000000001</v>
      </c>
      <c r="G323" s="8">
        <v>121.40900000000001</v>
      </c>
      <c r="H323" s="8">
        <v>93.63</v>
      </c>
      <c r="I323" s="8">
        <v>178.66</v>
      </c>
      <c r="J323" s="8">
        <v>36.479999999999997</v>
      </c>
      <c r="K323" s="268">
        <v>0.45810000000000001</v>
      </c>
      <c r="L323" s="268">
        <v>0.28999999999999998</v>
      </c>
      <c r="M323" s="268">
        <v>-5.3999999999999999E-2</v>
      </c>
      <c r="N323" s="8">
        <v>742.24</v>
      </c>
      <c r="O323" s="8">
        <v>6631.85</v>
      </c>
      <c r="P323" s="268">
        <v>0.1119</v>
      </c>
      <c r="Q323" s="8">
        <v>470</v>
      </c>
      <c r="R323" s="8" t="s">
        <v>3723</v>
      </c>
      <c r="S323" s="8" t="s">
        <v>3724</v>
      </c>
      <c r="T323" s="8" t="s">
        <v>3725</v>
      </c>
      <c r="U323" s="8" t="s">
        <v>3726</v>
      </c>
      <c r="V323" s="8" t="s">
        <v>3727</v>
      </c>
      <c r="W323" s="8" t="s">
        <v>3728</v>
      </c>
    </row>
    <row r="324" spans="1:23" ht="28" customHeight="1" x14ac:dyDescent="0.3">
      <c r="A324" s="308">
        <v>45817</v>
      </c>
      <c r="B324" s="302">
        <v>2203.1990000000001</v>
      </c>
      <c r="C324" s="8">
        <v>13.14</v>
      </c>
      <c r="D324" s="268">
        <v>6.0000000000000001E-3</v>
      </c>
      <c r="E324" s="8">
        <v>73.59</v>
      </c>
      <c r="F324" s="8">
        <v>133.61199999999999</v>
      </c>
      <c r="G324" s="8">
        <v>122.233</v>
      </c>
      <c r="H324" s="8">
        <v>94.56</v>
      </c>
      <c r="I324" s="8">
        <v>178.7</v>
      </c>
      <c r="J324" s="8">
        <v>35.31</v>
      </c>
      <c r="K324" s="268">
        <v>0.45090000000000002</v>
      </c>
      <c r="L324" s="268">
        <v>0.2893</v>
      </c>
      <c r="M324" s="268">
        <v>-5.6099999999999997E-2</v>
      </c>
      <c r="N324" s="8">
        <v>696.68</v>
      </c>
      <c r="O324" s="8">
        <v>6637.07</v>
      </c>
      <c r="P324" s="268">
        <v>0.105</v>
      </c>
      <c r="Q324" s="8">
        <v>470</v>
      </c>
      <c r="R324" s="8" t="s">
        <v>3729</v>
      </c>
      <c r="S324" s="8" t="s">
        <v>3730</v>
      </c>
      <c r="T324" s="8" t="s">
        <v>3731</v>
      </c>
      <c r="U324" s="8" t="s">
        <v>3732</v>
      </c>
      <c r="V324" s="8" t="s">
        <v>3733</v>
      </c>
      <c r="W324" s="8" t="s">
        <v>3734</v>
      </c>
    </row>
    <row r="325" spans="1:23" ht="28" customHeight="1" x14ac:dyDescent="0.3">
      <c r="A325" s="308">
        <v>45814</v>
      </c>
      <c r="B325" s="302">
        <v>2190.0590000000002</v>
      </c>
      <c r="C325" s="8">
        <v>0.72199999999999998</v>
      </c>
      <c r="D325" s="268">
        <v>2.9999999999999997E-4</v>
      </c>
      <c r="E325" s="8">
        <v>70.540000000000006</v>
      </c>
      <c r="F325" s="8">
        <v>132.86799999999999</v>
      </c>
      <c r="G325" s="8">
        <v>121.762</v>
      </c>
      <c r="H325" s="8">
        <v>93.43</v>
      </c>
      <c r="I325" s="8">
        <v>178.61</v>
      </c>
      <c r="J325" s="8">
        <v>36.07</v>
      </c>
      <c r="K325" s="268">
        <v>0.45739999999999997</v>
      </c>
      <c r="L325" s="268">
        <v>0.29759999999999998</v>
      </c>
      <c r="M325" s="268">
        <v>-5.2900000000000003E-2</v>
      </c>
      <c r="N325" s="8">
        <v>695.2</v>
      </c>
      <c r="O325" s="8">
        <v>6645.11</v>
      </c>
      <c r="P325" s="268">
        <v>0.1046</v>
      </c>
      <c r="Q325" s="8">
        <v>472</v>
      </c>
      <c r="R325" s="8" t="s">
        <v>2552</v>
      </c>
      <c r="S325" s="8" t="s">
        <v>3735</v>
      </c>
      <c r="T325" s="8" t="s">
        <v>3259</v>
      </c>
      <c r="U325" s="8" t="s">
        <v>3736</v>
      </c>
      <c r="V325" s="8" t="s">
        <v>3737</v>
      </c>
      <c r="W325" s="8" t="s">
        <v>3738</v>
      </c>
    </row>
    <row r="326" spans="1:23" ht="28" customHeight="1" x14ac:dyDescent="0.3">
      <c r="A326" s="308">
        <v>45813</v>
      </c>
      <c r="B326" s="302">
        <v>2189.337</v>
      </c>
      <c r="C326" s="8">
        <v>10.632</v>
      </c>
      <c r="D326" s="268">
        <v>4.8999999999999998E-3</v>
      </c>
      <c r="E326" s="8">
        <v>69.73</v>
      </c>
      <c r="F326" s="8">
        <v>132.97499999999999</v>
      </c>
      <c r="G326" s="8">
        <v>121.941</v>
      </c>
      <c r="H326" s="8">
        <v>93.73</v>
      </c>
      <c r="I326" s="8">
        <v>178.96</v>
      </c>
      <c r="J326" s="8">
        <v>37.229999999999997</v>
      </c>
      <c r="K326" s="268">
        <v>0.45979999999999999</v>
      </c>
      <c r="L326" s="268">
        <v>0.29730000000000001</v>
      </c>
      <c r="M326" s="268">
        <v>-5.2400000000000002E-2</v>
      </c>
      <c r="N326" s="8">
        <v>677.12</v>
      </c>
      <c r="O326" s="8">
        <v>6635.56</v>
      </c>
      <c r="P326" s="268">
        <v>0.10199999999999999</v>
      </c>
      <c r="Q326" s="8">
        <v>471</v>
      </c>
      <c r="R326" s="8" t="s">
        <v>3739</v>
      </c>
      <c r="S326" s="8" t="s">
        <v>3740</v>
      </c>
      <c r="T326" s="8" t="s">
        <v>3741</v>
      </c>
      <c r="U326" s="8" t="s">
        <v>3742</v>
      </c>
      <c r="V326" s="8" t="s">
        <v>3743</v>
      </c>
      <c r="W326" s="8" t="s">
        <v>3744</v>
      </c>
    </row>
    <row r="327" spans="1:23" ht="28" customHeight="1" x14ac:dyDescent="0.3">
      <c r="A327" s="308">
        <v>45812</v>
      </c>
      <c r="B327" s="302">
        <v>2178.7049999999999</v>
      </c>
      <c r="C327" s="8">
        <v>15.381</v>
      </c>
      <c r="D327" s="268">
        <v>7.1000000000000004E-3</v>
      </c>
      <c r="E327" s="8">
        <v>67.400000000000006</v>
      </c>
      <c r="F327" s="8">
        <v>132.06100000000001</v>
      </c>
      <c r="G327" s="8">
        <v>121.28400000000001</v>
      </c>
      <c r="H327" s="8">
        <v>92.71</v>
      </c>
      <c r="I327" s="8">
        <v>177.69</v>
      </c>
      <c r="J327" s="8">
        <v>36.83</v>
      </c>
      <c r="K327" s="268">
        <v>0.45619999999999999</v>
      </c>
      <c r="L327" s="268">
        <v>0.30020000000000002</v>
      </c>
      <c r="M327" s="268">
        <v>-0.05</v>
      </c>
      <c r="N327" s="8">
        <v>650.42999999999995</v>
      </c>
      <c r="O327" s="8">
        <v>6629.05</v>
      </c>
      <c r="P327" s="268">
        <v>9.8100000000000007E-2</v>
      </c>
      <c r="Q327" s="8">
        <v>470</v>
      </c>
      <c r="R327" s="8" t="s">
        <v>3745</v>
      </c>
      <c r="S327" s="8" t="s">
        <v>3746</v>
      </c>
      <c r="T327" s="8" t="s">
        <v>3747</v>
      </c>
      <c r="U327" s="8" t="s">
        <v>3748</v>
      </c>
      <c r="V327" s="8" t="s">
        <v>3749</v>
      </c>
      <c r="W327" s="8" t="s">
        <v>3750</v>
      </c>
    </row>
    <row r="328" spans="1:23" ht="28" customHeight="1" x14ac:dyDescent="0.3">
      <c r="A328" s="308">
        <v>45811</v>
      </c>
      <c r="B328" s="302">
        <v>2163.3240000000001</v>
      </c>
      <c r="C328" s="8">
        <v>7.03</v>
      </c>
      <c r="D328" s="268">
        <v>3.3E-3</v>
      </c>
      <c r="E328" s="8">
        <v>64.739999999999995</v>
      </c>
      <c r="F328" s="8">
        <v>130.70500000000001</v>
      </c>
      <c r="G328" s="8">
        <v>120.48399999999999</v>
      </c>
      <c r="H328" s="8">
        <v>92.31</v>
      </c>
      <c r="I328" s="8">
        <v>177.02</v>
      </c>
      <c r="J328" s="8">
        <v>37.880000000000003</v>
      </c>
      <c r="K328" s="268">
        <v>0.46310000000000001</v>
      </c>
      <c r="L328" s="268">
        <v>0.30270000000000002</v>
      </c>
      <c r="M328" s="268">
        <v>-4.6600000000000003E-2</v>
      </c>
      <c r="N328" s="8">
        <v>554.53</v>
      </c>
      <c r="O328" s="8">
        <v>6647.54</v>
      </c>
      <c r="P328" s="268">
        <v>8.3400000000000002E-2</v>
      </c>
      <c r="Q328" s="8">
        <v>471</v>
      </c>
      <c r="R328" s="8" t="s">
        <v>3751</v>
      </c>
      <c r="S328" s="8" t="s">
        <v>3752</v>
      </c>
      <c r="T328" s="8" t="s">
        <v>3753</v>
      </c>
      <c r="U328" s="8" t="s">
        <v>3754</v>
      </c>
      <c r="V328" s="8" t="s">
        <v>3755</v>
      </c>
      <c r="W328" s="8" t="s">
        <v>3756</v>
      </c>
    </row>
    <row r="329" spans="1:23" ht="28" customHeight="1" x14ac:dyDescent="0.3">
      <c r="A329" s="308">
        <v>45807</v>
      </c>
      <c r="B329" s="302">
        <v>2156.2939999999999</v>
      </c>
      <c r="C329" s="8">
        <v>-6.7489999999999997</v>
      </c>
      <c r="D329" s="268">
        <v>-3.0999999999999999E-3</v>
      </c>
      <c r="E329" s="8">
        <v>61.62</v>
      </c>
      <c r="F329" s="8">
        <v>130.56299999999999</v>
      </c>
      <c r="G329" s="8">
        <v>120.28400000000001</v>
      </c>
      <c r="H329" s="8">
        <v>92.36</v>
      </c>
      <c r="I329" s="8">
        <v>177.64</v>
      </c>
      <c r="J329" s="8">
        <v>39.43</v>
      </c>
      <c r="K329" s="268">
        <v>0.4708</v>
      </c>
      <c r="L329" s="268">
        <v>0.30859999999999999</v>
      </c>
      <c r="M329" s="268">
        <v>-4.4900000000000002E-2</v>
      </c>
      <c r="N329" s="8">
        <v>592.79999999999995</v>
      </c>
      <c r="O329" s="8">
        <v>6656.23</v>
      </c>
      <c r="P329" s="268">
        <v>8.9099999999999999E-2</v>
      </c>
      <c r="Q329" s="8">
        <v>471</v>
      </c>
      <c r="R329" s="8" t="s">
        <v>3757</v>
      </c>
      <c r="S329" s="8" t="s">
        <v>2427</v>
      </c>
      <c r="T329" s="8" t="s">
        <v>3758</v>
      </c>
      <c r="U329" s="8" t="s">
        <v>3759</v>
      </c>
      <c r="V329" s="8" t="s">
        <v>3760</v>
      </c>
      <c r="W329" s="8" t="s">
        <v>3761</v>
      </c>
    </row>
    <row r="330" spans="1:23" ht="28" customHeight="1" x14ac:dyDescent="0.3">
      <c r="A330" s="308">
        <v>45806</v>
      </c>
      <c r="B330" s="302">
        <v>2163.0430000000001</v>
      </c>
      <c r="C330" s="8">
        <v>17.337</v>
      </c>
      <c r="D330" s="268">
        <v>8.0999999999999996E-3</v>
      </c>
      <c r="E330" s="8">
        <v>64.25</v>
      </c>
      <c r="F330" s="8">
        <v>130.92699999999999</v>
      </c>
      <c r="G330" s="8">
        <v>120.75700000000001</v>
      </c>
      <c r="H330" s="8">
        <v>93.45</v>
      </c>
      <c r="I330" s="8">
        <v>176.76</v>
      </c>
      <c r="J330" s="8">
        <v>37.14</v>
      </c>
      <c r="K330" s="268">
        <v>0.45829999999999999</v>
      </c>
      <c r="L330" s="268">
        <v>0.29899999999999999</v>
      </c>
      <c r="M330" s="268">
        <v>-4.6300000000000001E-2</v>
      </c>
      <c r="N330" s="8">
        <v>573.5</v>
      </c>
      <c r="O330" s="8">
        <v>6666.98</v>
      </c>
      <c r="P330" s="268">
        <v>8.5999999999999993E-2</v>
      </c>
      <c r="Q330" s="8">
        <v>471</v>
      </c>
      <c r="R330" s="8" t="s">
        <v>3762</v>
      </c>
      <c r="S330" s="8" t="s">
        <v>3763</v>
      </c>
      <c r="T330" s="8" t="s">
        <v>3764</v>
      </c>
      <c r="U330" s="8" t="s">
        <v>3765</v>
      </c>
      <c r="V330" s="8" t="s">
        <v>3766</v>
      </c>
      <c r="W330" s="8" t="s">
        <v>3767</v>
      </c>
    </row>
    <row r="331" spans="1:23" ht="28" customHeight="1" x14ac:dyDescent="0.3">
      <c r="A331" s="308">
        <v>45805</v>
      </c>
      <c r="B331" s="302">
        <v>2145.7060000000001</v>
      </c>
      <c r="C331" s="8">
        <v>-0.107</v>
      </c>
      <c r="D331" s="268">
        <v>-1E-4</v>
      </c>
      <c r="E331" s="8">
        <v>59.22</v>
      </c>
      <c r="F331" s="8">
        <v>129.86000000000001</v>
      </c>
      <c r="G331" s="8">
        <v>119.643</v>
      </c>
      <c r="H331" s="8">
        <v>92.48</v>
      </c>
      <c r="I331" s="8">
        <v>176.86</v>
      </c>
      <c r="J331" s="8">
        <v>39.4</v>
      </c>
      <c r="K331" s="268">
        <v>0.47</v>
      </c>
      <c r="L331" s="268">
        <v>0.30209999999999998</v>
      </c>
      <c r="M331" s="268">
        <v>-4.2500000000000003E-2</v>
      </c>
      <c r="N331" s="8">
        <v>509.21</v>
      </c>
      <c r="O331" s="8">
        <v>6681.13</v>
      </c>
      <c r="P331" s="268">
        <v>7.6200000000000004E-2</v>
      </c>
      <c r="Q331" s="8">
        <v>471</v>
      </c>
      <c r="R331" s="8" t="s">
        <v>2539</v>
      </c>
      <c r="S331" s="8" t="s">
        <v>3768</v>
      </c>
      <c r="T331" s="8" t="s">
        <v>3769</v>
      </c>
      <c r="U331" s="8" t="s">
        <v>2391</v>
      </c>
      <c r="V331" s="8" t="s">
        <v>3770</v>
      </c>
      <c r="W331" s="8" t="s">
        <v>3771</v>
      </c>
    </row>
    <row r="332" spans="1:23" ht="28" customHeight="1" x14ac:dyDescent="0.3">
      <c r="A332" s="308">
        <v>45804</v>
      </c>
      <c r="B332" s="302">
        <v>2145.8130000000001</v>
      </c>
      <c r="C332" s="8">
        <v>-8.4009999999999998</v>
      </c>
      <c r="D332" s="268">
        <v>-3.8999999999999998E-3</v>
      </c>
      <c r="E332" s="8">
        <v>59.98</v>
      </c>
      <c r="F332" s="8">
        <v>129.85</v>
      </c>
      <c r="G332" s="8">
        <v>119.55</v>
      </c>
      <c r="H332" s="8">
        <v>92.48</v>
      </c>
      <c r="I332" s="8">
        <v>176.47</v>
      </c>
      <c r="J332" s="8">
        <v>37.11</v>
      </c>
      <c r="K332" s="268">
        <v>0.4662</v>
      </c>
      <c r="L332" s="268">
        <v>0.2888</v>
      </c>
      <c r="M332" s="268">
        <v>-4.24E-2</v>
      </c>
      <c r="N332" s="8">
        <v>558.54</v>
      </c>
      <c r="O332" s="8">
        <v>6726.51</v>
      </c>
      <c r="P332" s="268">
        <v>8.3000000000000004E-2</v>
      </c>
      <c r="Q332" s="8">
        <v>471</v>
      </c>
      <c r="R332" s="8" t="s">
        <v>2417</v>
      </c>
      <c r="S332" s="8" t="s">
        <v>3772</v>
      </c>
      <c r="T332" s="8" t="s">
        <v>3773</v>
      </c>
      <c r="U332" s="8" t="s">
        <v>3774</v>
      </c>
      <c r="V332" s="8" t="s">
        <v>3775</v>
      </c>
      <c r="W332" s="8" t="s">
        <v>3776</v>
      </c>
    </row>
    <row r="333" spans="1:23" ht="28" customHeight="1" x14ac:dyDescent="0.3">
      <c r="A333" s="308">
        <v>45803</v>
      </c>
      <c r="B333" s="302">
        <v>2154.2139999999999</v>
      </c>
      <c r="C333" s="8">
        <v>-1.2929999999999999</v>
      </c>
      <c r="D333" s="268">
        <v>-5.9999999999999995E-4</v>
      </c>
      <c r="E333" s="8">
        <v>60.76</v>
      </c>
      <c r="F333" s="8">
        <v>130.38499999999999</v>
      </c>
      <c r="G333" s="8">
        <v>120.163</v>
      </c>
      <c r="H333" s="8">
        <v>92.35</v>
      </c>
      <c r="I333" s="8">
        <v>177.51</v>
      </c>
      <c r="J333" s="8">
        <v>37.840000000000003</v>
      </c>
      <c r="K333" s="268">
        <v>0.4713</v>
      </c>
      <c r="L333" s="268">
        <v>0.30209999999999998</v>
      </c>
      <c r="M333" s="268">
        <v>-4.3999999999999997E-2</v>
      </c>
      <c r="N333" s="8">
        <v>541.66999999999996</v>
      </c>
      <c r="O333" s="8">
        <v>6732.28</v>
      </c>
      <c r="P333" s="268">
        <v>8.0500000000000002E-2</v>
      </c>
      <c r="Q333" s="8">
        <v>471</v>
      </c>
      <c r="R333" s="8" t="s">
        <v>3777</v>
      </c>
      <c r="S333" s="8" t="s">
        <v>3778</v>
      </c>
      <c r="T333" s="8" t="s">
        <v>3779</v>
      </c>
      <c r="U333" s="8" t="s">
        <v>3780</v>
      </c>
      <c r="V333" s="8" t="s">
        <v>3781</v>
      </c>
      <c r="W333" s="8" t="s">
        <v>3782</v>
      </c>
    </row>
    <row r="334" spans="1:23" ht="28" customHeight="1" x14ac:dyDescent="0.3">
      <c r="A334" s="308">
        <v>45800</v>
      </c>
      <c r="B334" s="302">
        <v>2155.5070000000001</v>
      </c>
      <c r="C334" s="8">
        <v>-4.6230000000000002</v>
      </c>
      <c r="D334" s="268">
        <v>-2.0999999999999999E-3</v>
      </c>
      <c r="E334" s="8">
        <v>62.02</v>
      </c>
      <c r="F334" s="8">
        <v>130.38399999999999</v>
      </c>
      <c r="G334" s="8">
        <v>120.35</v>
      </c>
      <c r="H334" s="8">
        <v>91.38</v>
      </c>
      <c r="I334" s="8">
        <v>178.6</v>
      </c>
      <c r="J334" s="8">
        <v>42.13</v>
      </c>
      <c r="K334" s="268">
        <v>0.48220000000000002</v>
      </c>
      <c r="L334" s="268">
        <v>0.31109999999999999</v>
      </c>
      <c r="M334" s="268">
        <v>-4.3099999999999999E-2</v>
      </c>
      <c r="N334" s="8">
        <v>555.99</v>
      </c>
      <c r="O334" s="8">
        <v>6735.4</v>
      </c>
      <c r="P334" s="268">
        <v>8.2500000000000004E-2</v>
      </c>
      <c r="Q334" s="8">
        <v>471</v>
      </c>
      <c r="R334" s="8" t="s">
        <v>2670</v>
      </c>
      <c r="S334" s="8" t="s">
        <v>2442</v>
      </c>
      <c r="T334" s="8" t="s">
        <v>2542</v>
      </c>
      <c r="U334" s="8" t="s">
        <v>3783</v>
      </c>
      <c r="V334" s="8" t="s">
        <v>3784</v>
      </c>
      <c r="W334" s="8" t="s">
        <v>3785</v>
      </c>
    </row>
    <row r="335" spans="1:23" ht="28" customHeight="1" x14ac:dyDescent="0.3">
      <c r="A335" s="308">
        <v>45799</v>
      </c>
      <c r="B335" s="302">
        <v>2160.13</v>
      </c>
      <c r="C335" s="8">
        <v>-14.372999999999999</v>
      </c>
      <c r="D335" s="268">
        <v>-6.6E-3</v>
      </c>
      <c r="E335" s="8">
        <v>63.94</v>
      </c>
      <c r="F335" s="8">
        <v>130.52099999999999</v>
      </c>
      <c r="G335" s="8">
        <v>120.733</v>
      </c>
      <c r="H335" s="8">
        <v>91.57</v>
      </c>
      <c r="I335" s="8">
        <v>177.85</v>
      </c>
      <c r="J335" s="8">
        <v>38.71</v>
      </c>
      <c r="K335" s="268">
        <v>0.4733</v>
      </c>
      <c r="L335" s="268">
        <v>0.30430000000000001</v>
      </c>
      <c r="M335" s="268">
        <v>-4.4200000000000003E-2</v>
      </c>
      <c r="N335" s="8">
        <v>503.22</v>
      </c>
      <c r="O335" s="8">
        <v>6743.09</v>
      </c>
      <c r="P335" s="268">
        <v>7.46E-2</v>
      </c>
      <c r="Q335" s="8">
        <v>471</v>
      </c>
      <c r="R335" s="8" t="s">
        <v>3443</v>
      </c>
      <c r="S335" s="8" t="s">
        <v>3786</v>
      </c>
      <c r="T335" s="8" t="s">
        <v>3787</v>
      </c>
      <c r="U335" s="8" t="s">
        <v>3788</v>
      </c>
      <c r="V335" s="8" t="s">
        <v>3789</v>
      </c>
      <c r="W335" s="8" t="s">
        <v>3790</v>
      </c>
    </row>
    <row r="336" spans="1:23" ht="28" customHeight="1" x14ac:dyDescent="0.3">
      <c r="A336" s="308">
        <v>45798</v>
      </c>
      <c r="B336" s="302">
        <v>2174.5030000000002</v>
      </c>
      <c r="C336" s="8">
        <v>-3.419</v>
      </c>
      <c r="D336" s="268">
        <v>-1.6000000000000001E-3</v>
      </c>
      <c r="E336" s="8">
        <v>67.72</v>
      </c>
      <c r="F336" s="8">
        <v>131.30799999999999</v>
      </c>
      <c r="G336" s="8">
        <v>121.32299999999999</v>
      </c>
      <c r="H336" s="8">
        <v>93.35</v>
      </c>
      <c r="I336" s="8">
        <v>177.81</v>
      </c>
      <c r="J336" s="8">
        <v>36.33</v>
      </c>
      <c r="K336" s="268">
        <v>0.46500000000000002</v>
      </c>
      <c r="L336" s="268">
        <v>0.30120000000000002</v>
      </c>
      <c r="M336" s="268">
        <v>-4.6899999999999997E-2</v>
      </c>
      <c r="N336" s="8">
        <v>552.01</v>
      </c>
      <c r="O336" s="8">
        <v>6754.93</v>
      </c>
      <c r="P336" s="268">
        <v>8.1699999999999995E-2</v>
      </c>
      <c r="Q336" s="8">
        <v>472</v>
      </c>
      <c r="R336" s="8" t="s">
        <v>3791</v>
      </c>
      <c r="S336" s="8" t="s">
        <v>3792</v>
      </c>
      <c r="T336" s="8" t="s">
        <v>3793</v>
      </c>
      <c r="U336" s="8" t="s">
        <v>3794</v>
      </c>
      <c r="V336" s="8" t="s">
        <v>3795</v>
      </c>
      <c r="W336" s="8" t="s">
        <v>3796</v>
      </c>
    </row>
    <row r="337" spans="1:23" ht="28" customHeight="1" x14ac:dyDescent="0.3">
      <c r="A337" s="308">
        <v>45797</v>
      </c>
      <c r="B337" s="302">
        <v>2177.922</v>
      </c>
      <c r="C337" s="8">
        <v>8.7629999999999999</v>
      </c>
      <c r="D337" s="268">
        <v>4.0000000000000001E-3</v>
      </c>
      <c r="E337" s="8">
        <v>67.7</v>
      </c>
      <c r="F337" s="8">
        <v>131.66800000000001</v>
      </c>
      <c r="G337" s="8">
        <v>121.26</v>
      </c>
      <c r="H337" s="8">
        <v>93.26</v>
      </c>
      <c r="I337" s="8">
        <v>177.6</v>
      </c>
      <c r="J337" s="8">
        <v>34.9</v>
      </c>
      <c r="K337" s="268">
        <v>0.45939999999999998</v>
      </c>
      <c r="L337" s="268">
        <v>0.29759999999999998</v>
      </c>
      <c r="M337" s="268">
        <v>-4.7100000000000003E-2</v>
      </c>
      <c r="N337" s="8">
        <v>579.08000000000004</v>
      </c>
      <c r="O337" s="8">
        <v>6767.92</v>
      </c>
      <c r="P337" s="268">
        <v>8.5599999999999996E-2</v>
      </c>
      <c r="Q337" s="8">
        <v>473</v>
      </c>
      <c r="R337" s="8" t="s">
        <v>2455</v>
      </c>
      <c r="S337" s="8" t="s">
        <v>3797</v>
      </c>
      <c r="T337" s="8" t="s">
        <v>3798</v>
      </c>
      <c r="U337" s="8" t="s">
        <v>3799</v>
      </c>
      <c r="V337" s="8" t="s">
        <v>3800</v>
      </c>
      <c r="W337" s="8" t="s">
        <v>3801</v>
      </c>
    </row>
    <row r="338" spans="1:23" ht="28" customHeight="1" x14ac:dyDescent="0.3">
      <c r="A338" s="308">
        <v>45796</v>
      </c>
      <c r="B338" s="302">
        <v>2169.1590000000001</v>
      </c>
      <c r="C338" s="8">
        <v>4.157</v>
      </c>
      <c r="D338" s="268">
        <v>1.9E-3</v>
      </c>
      <c r="E338" s="8">
        <v>65.34</v>
      </c>
      <c r="F338" s="8">
        <v>131.06299999999999</v>
      </c>
      <c r="G338" s="8">
        <v>120.74</v>
      </c>
      <c r="H338" s="8">
        <v>92.49</v>
      </c>
      <c r="I338" s="8">
        <v>177.65</v>
      </c>
      <c r="J338" s="8">
        <v>36.14</v>
      </c>
      <c r="K338" s="268">
        <v>0.46589999999999998</v>
      </c>
      <c r="L338" s="268">
        <v>0.307</v>
      </c>
      <c r="M338" s="268">
        <v>-4.4900000000000002E-2</v>
      </c>
      <c r="N338" s="8">
        <v>559.79999999999995</v>
      </c>
      <c r="O338" s="8">
        <v>6770.05</v>
      </c>
      <c r="P338" s="268">
        <v>8.2699999999999996E-2</v>
      </c>
      <c r="Q338" s="8">
        <v>473</v>
      </c>
      <c r="R338" s="8" t="s">
        <v>3802</v>
      </c>
      <c r="S338" s="8" t="s">
        <v>2423</v>
      </c>
      <c r="T338" s="8" t="s">
        <v>3803</v>
      </c>
      <c r="U338" s="8" t="s">
        <v>3804</v>
      </c>
      <c r="V338" s="8" t="s">
        <v>3805</v>
      </c>
      <c r="W338" s="8" t="s">
        <v>3806</v>
      </c>
    </row>
    <row r="339" spans="1:23" ht="28" customHeight="1" x14ac:dyDescent="0.3">
      <c r="A339" s="308">
        <v>45793</v>
      </c>
      <c r="B339" s="302">
        <v>2165.002</v>
      </c>
      <c r="C339" s="8">
        <v>6.0880000000000001</v>
      </c>
      <c r="D339" s="268">
        <v>2.8E-3</v>
      </c>
      <c r="E339" s="8">
        <v>63.97</v>
      </c>
      <c r="F339" s="8">
        <v>131.01300000000001</v>
      </c>
      <c r="G339" s="8">
        <v>120.267</v>
      </c>
      <c r="H339" s="8">
        <v>91.7</v>
      </c>
      <c r="I339" s="8">
        <v>178.05</v>
      </c>
      <c r="J339" s="8">
        <v>37.96</v>
      </c>
      <c r="K339" s="268">
        <v>0.47039999999999998</v>
      </c>
      <c r="L339" s="268">
        <v>0.31359999999999999</v>
      </c>
      <c r="M339" s="268">
        <v>-4.3499999999999997E-2</v>
      </c>
      <c r="N339" s="8">
        <v>669.32</v>
      </c>
      <c r="O339" s="8">
        <v>6774.54</v>
      </c>
      <c r="P339" s="268">
        <v>9.8799999999999999E-2</v>
      </c>
      <c r="Q339" s="8">
        <v>474</v>
      </c>
      <c r="R339" s="8" t="s">
        <v>3807</v>
      </c>
      <c r="S339" s="8" t="s">
        <v>3808</v>
      </c>
      <c r="T339" s="8" t="s">
        <v>2654</v>
      </c>
      <c r="U339" s="8" t="s">
        <v>3809</v>
      </c>
      <c r="V339" s="8" t="s">
        <v>3810</v>
      </c>
      <c r="W339" s="8" t="s">
        <v>3811</v>
      </c>
    </row>
    <row r="340" spans="1:23" ht="28" customHeight="1" x14ac:dyDescent="0.3">
      <c r="A340" s="308">
        <v>45792</v>
      </c>
      <c r="B340" s="302">
        <v>2158.9140000000002</v>
      </c>
      <c r="C340" s="8">
        <v>-10.195</v>
      </c>
      <c r="D340" s="268">
        <v>-4.7000000000000002E-3</v>
      </c>
      <c r="E340" s="8">
        <v>63.34</v>
      </c>
      <c r="F340" s="8">
        <v>130.59700000000001</v>
      </c>
      <c r="G340" s="8">
        <v>120.34</v>
      </c>
      <c r="H340" s="8">
        <v>91.79</v>
      </c>
      <c r="I340" s="8">
        <v>177.91</v>
      </c>
      <c r="J340" s="8">
        <v>38.450000000000003</v>
      </c>
      <c r="K340" s="268">
        <v>0.47310000000000002</v>
      </c>
      <c r="L340" s="268">
        <v>0.30790000000000001</v>
      </c>
      <c r="M340" s="268">
        <v>-4.2599999999999999E-2</v>
      </c>
      <c r="N340" s="8">
        <v>584.52</v>
      </c>
      <c r="O340" s="8">
        <v>6781.55</v>
      </c>
      <c r="P340" s="268">
        <v>8.6199999999999999E-2</v>
      </c>
      <c r="Q340" s="8">
        <v>475</v>
      </c>
      <c r="R340" s="8" t="s">
        <v>3812</v>
      </c>
      <c r="S340" s="8" t="s">
        <v>3813</v>
      </c>
      <c r="T340" s="8" t="s">
        <v>3814</v>
      </c>
      <c r="U340" s="8" t="s">
        <v>3815</v>
      </c>
      <c r="V340" s="8" t="s">
        <v>3816</v>
      </c>
      <c r="W340" s="8" t="s">
        <v>3817</v>
      </c>
    </row>
    <row r="341" spans="1:23" ht="28" customHeight="1" x14ac:dyDescent="0.3">
      <c r="A341" s="308">
        <v>45791</v>
      </c>
      <c r="B341" s="302">
        <v>2169.1089999999999</v>
      </c>
      <c r="C341" s="8">
        <v>-4.9790000000000001</v>
      </c>
      <c r="D341" s="268">
        <v>-2.3E-3</v>
      </c>
      <c r="E341" s="8">
        <v>65.849999999999994</v>
      </c>
      <c r="F341" s="8">
        <v>131.435</v>
      </c>
      <c r="G341" s="8">
        <v>121</v>
      </c>
      <c r="H341" s="8">
        <v>93.17</v>
      </c>
      <c r="I341" s="8">
        <v>177.97</v>
      </c>
      <c r="J341" s="8">
        <v>36.729999999999997</v>
      </c>
      <c r="K341" s="268">
        <v>0.46529999999999999</v>
      </c>
      <c r="L341" s="268">
        <v>0.31140000000000001</v>
      </c>
      <c r="M341" s="268">
        <v>-4.4600000000000001E-2</v>
      </c>
      <c r="N341" s="8">
        <v>665.5</v>
      </c>
      <c r="O341" s="8">
        <v>6841.44</v>
      </c>
      <c r="P341" s="268">
        <v>9.7299999999999998E-2</v>
      </c>
      <c r="Q341" s="8">
        <v>475</v>
      </c>
      <c r="R341" s="8" t="s">
        <v>3818</v>
      </c>
      <c r="S341" s="8" t="s">
        <v>3819</v>
      </c>
      <c r="T341" s="8" t="s">
        <v>3820</v>
      </c>
      <c r="U341" s="8" t="s">
        <v>3821</v>
      </c>
      <c r="V341" s="8" t="s">
        <v>3822</v>
      </c>
      <c r="W341" s="8" t="s">
        <v>3823</v>
      </c>
    </row>
    <row r="342" spans="1:23" ht="28" customHeight="1" x14ac:dyDescent="0.3">
      <c r="A342" s="308">
        <v>45790</v>
      </c>
      <c r="B342" s="302">
        <v>2174.0880000000002</v>
      </c>
      <c r="C342" s="8">
        <v>0.95599999999999996</v>
      </c>
      <c r="D342" s="268">
        <v>4.0000000000000002E-4</v>
      </c>
      <c r="E342" s="8">
        <v>67.95</v>
      </c>
      <c r="F342" s="8">
        <v>131.78100000000001</v>
      </c>
      <c r="G342" s="8">
        <v>121.523</v>
      </c>
      <c r="H342" s="8">
        <v>92.87</v>
      </c>
      <c r="I342" s="8">
        <v>178.56</v>
      </c>
      <c r="J342" s="8">
        <v>37.770000000000003</v>
      </c>
      <c r="K342" s="268">
        <v>0.46779999999999999</v>
      </c>
      <c r="L342" s="268">
        <v>0.31309999999999999</v>
      </c>
      <c r="M342" s="268">
        <v>-4.5499999999999999E-2</v>
      </c>
      <c r="N342" s="8">
        <v>626.95000000000005</v>
      </c>
      <c r="O342" s="8">
        <v>6848.94</v>
      </c>
      <c r="P342" s="268">
        <v>9.1499999999999998E-2</v>
      </c>
      <c r="Q342" s="8">
        <v>475</v>
      </c>
      <c r="R342" s="8" t="s">
        <v>3824</v>
      </c>
      <c r="S342" s="8" t="s">
        <v>2523</v>
      </c>
      <c r="T342" s="8" t="s">
        <v>3825</v>
      </c>
      <c r="U342" s="8" t="s">
        <v>3826</v>
      </c>
      <c r="V342" s="8" t="s">
        <v>3827</v>
      </c>
      <c r="W342" s="8" t="s">
        <v>3260</v>
      </c>
    </row>
    <row r="343" spans="1:23" ht="28" customHeight="1" x14ac:dyDescent="0.3">
      <c r="A343" s="308">
        <v>45789</v>
      </c>
      <c r="B343" s="302">
        <v>2173.1320000000001</v>
      </c>
      <c r="C343" s="8">
        <v>17.119</v>
      </c>
      <c r="D343" s="268">
        <v>7.9000000000000008E-3</v>
      </c>
      <c r="E343" s="8">
        <v>67.58</v>
      </c>
      <c r="F343" s="8">
        <v>131.745</v>
      </c>
      <c r="G343" s="8">
        <v>121.58</v>
      </c>
      <c r="H343" s="8">
        <v>92.48</v>
      </c>
      <c r="I343" s="8">
        <v>178.84</v>
      </c>
      <c r="J343" s="8">
        <v>38.130000000000003</v>
      </c>
      <c r="K343" s="268">
        <v>0.47089999999999999</v>
      </c>
      <c r="L343" s="268">
        <v>0.31359999999999999</v>
      </c>
      <c r="M343" s="268">
        <v>-4.5199999999999997E-2</v>
      </c>
      <c r="N343" s="8">
        <v>629.47</v>
      </c>
      <c r="O343" s="8">
        <v>6853.76</v>
      </c>
      <c r="P343" s="268">
        <v>9.1800000000000007E-2</v>
      </c>
      <c r="Q343" s="8">
        <v>475</v>
      </c>
      <c r="R343" s="8" t="s">
        <v>3828</v>
      </c>
      <c r="S343" s="8" t="s">
        <v>3829</v>
      </c>
      <c r="T343" s="8" t="s">
        <v>3830</v>
      </c>
      <c r="U343" s="8" t="s">
        <v>3831</v>
      </c>
      <c r="V343" s="8" t="s">
        <v>3832</v>
      </c>
      <c r="W343" s="8" t="s">
        <v>3833</v>
      </c>
    </row>
    <row r="344" spans="1:23" ht="28" customHeight="1" x14ac:dyDescent="0.3">
      <c r="A344" s="308">
        <v>45786</v>
      </c>
      <c r="B344" s="302">
        <v>2156.0129999999999</v>
      </c>
      <c r="C344" s="8">
        <v>-12.621</v>
      </c>
      <c r="D344" s="268">
        <v>-5.7999999999999996E-3</v>
      </c>
      <c r="E344" s="8">
        <v>62.53</v>
      </c>
      <c r="F344" s="8">
        <v>130.45699999999999</v>
      </c>
      <c r="G344" s="8">
        <v>120.64100000000001</v>
      </c>
      <c r="H344" s="8">
        <v>91.42</v>
      </c>
      <c r="I344" s="8">
        <v>178.3</v>
      </c>
      <c r="J344" s="8">
        <v>39.85</v>
      </c>
      <c r="K344" s="268">
        <v>0.47839999999999999</v>
      </c>
      <c r="L344" s="268">
        <v>0.3206</v>
      </c>
      <c r="M344" s="268">
        <v>-4.19E-2</v>
      </c>
      <c r="N344" s="8">
        <v>607.02</v>
      </c>
      <c r="O344" s="8">
        <v>6868.71</v>
      </c>
      <c r="P344" s="268">
        <v>8.8400000000000006E-2</v>
      </c>
      <c r="Q344" s="8">
        <v>475</v>
      </c>
      <c r="R344" s="8" t="s">
        <v>3834</v>
      </c>
      <c r="S344" s="8" t="s">
        <v>3835</v>
      </c>
      <c r="T344" s="8" t="s">
        <v>3836</v>
      </c>
      <c r="U344" s="8" t="s">
        <v>3837</v>
      </c>
      <c r="V344" s="8" t="s">
        <v>3838</v>
      </c>
      <c r="W344" s="8" t="s">
        <v>3839</v>
      </c>
    </row>
    <row r="345" spans="1:23" ht="28" customHeight="1" x14ac:dyDescent="0.3">
      <c r="A345" s="308">
        <v>45785</v>
      </c>
      <c r="B345" s="302">
        <v>2168.634</v>
      </c>
      <c r="C345" s="8">
        <v>15.845000000000001</v>
      </c>
      <c r="D345" s="268">
        <v>7.4000000000000003E-3</v>
      </c>
      <c r="E345" s="8">
        <v>67.69</v>
      </c>
      <c r="F345" s="8">
        <v>131.38399999999999</v>
      </c>
      <c r="G345" s="8">
        <v>121.399</v>
      </c>
      <c r="H345" s="8">
        <v>92.66</v>
      </c>
      <c r="I345" s="8">
        <v>178.77</v>
      </c>
      <c r="J345" s="8">
        <v>39.04</v>
      </c>
      <c r="K345" s="268">
        <v>0.4738</v>
      </c>
      <c r="L345" s="268">
        <v>0.31790000000000002</v>
      </c>
      <c r="M345" s="268">
        <v>-4.4299999999999999E-2</v>
      </c>
      <c r="N345" s="8">
        <v>631.09</v>
      </c>
      <c r="O345" s="8">
        <v>6879.51</v>
      </c>
      <c r="P345" s="268">
        <v>9.1700000000000004E-2</v>
      </c>
      <c r="Q345" s="8">
        <v>475</v>
      </c>
      <c r="R345" s="8" t="s">
        <v>3840</v>
      </c>
      <c r="S345" s="8" t="s">
        <v>3841</v>
      </c>
      <c r="T345" s="8" t="s">
        <v>3842</v>
      </c>
      <c r="U345" s="8" t="s">
        <v>3843</v>
      </c>
      <c r="V345" s="8" t="s">
        <v>3844</v>
      </c>
      <c r="W345" s="8" t="s">
        <v>3845</v>
      </c>
    </row>
    <row r="346" spans="1:23" ht="28" customHeight="1" x14ac:dyDescent="0.3">
      <c r="A346" s="308">
        <v>45784</v>
      </c>
      <c r="B346" s="302">
        <v>2152.7890000000002</v>
      </c>
      <c r="C346" s="8">
        <v>0.79600000000000004</v>
      </c>
      <c r="D346" s="268">
        <v>4.0000000000000002E-4</v>
      </c>
      <c r="E346" s="8">
        <v>64.180000000000007</v>
      </c>
      <c r="F346" s="8">
        <v>130.10300000000001</v>
      </c>
      <c r="G346" s="8">
        <v>120.7</v>
      </c>
      <c r="H346" s="8">
        <v>91.8</v>
      </c>
      <c r="I346" s="8">
        <v>178.19</v>
      </c>
      <c r="J346" s="8">
        <v>38.82</v>
      </c>
      <c r="K346" s="268">
        <v>0.48080000000000001</v>
      </c>
      <c r="L346" s="268">
        <v>0.3145</v>
      </c>
      <c r="M346" s="268">
        <v>-4.1399999999999999E-2</v>
      </c>
      <c r="N346" s="8">
        <v>647.54999999999995</v>
      </c>
      <c r="O346" s="8">
        <v>6884.17</v>
      </c>
      <c r="P346" s="268">
        <v>9.4100000000000003E-2</v>
      </c>
      <c r="Q346" s="8">
        <v>476</v>
      </c>
      <c r="R346" s="8" t="s">
        <v>2830</v>
      </c>
      <c r="S346" s="8" t="s">
        <v>3846</v>
      </c>
      <c r="T346" s="8" t="s">
        <v>3847</v>
      </c>
      <c r="U346" s="8" t="s">
        <v>3848</v>
      </c>
      <c r="V346" s="8" t="s">
        <v>3849</v>
      </c>
      <c r="W346" s="8" t="s">
        <v>3850</v>
      </c>
    </row>
    <row r="347" spans="1:23" ht="28" customHeight="1" x14ac:dyDescent="0.3">
      <c r="A347" s="308">
        <v>45783</v>
      </c>
      <c r="B347" s="302">
        <v>2151.9929999999999</v>
      </c>
      <c r="C347" s="8">
        <v>27.134</v>
      </c>
      <c r="D347" s="268">
        <v>1.2800000000000001E-2</v>
      </c>
      <c r="E347" s="8">
        <v>63.98</v>
      </c>
      <c r="F347" s="8">
        <v>130.07499999999999</v>
      </c>
      <c r="G347" s="8">
        <v>120.86799999999999</v>
      </c>
      <c r="H347" s="8">
        <v>91.37</v>
      </c>
      <c r="I347" s="8">
        <v>179.13</v>
      </c>
      <c r="J347" s="8">
        <v>41.22</v>
      </c>
      <c r="K347" s="268">
        <v>0.49059999999999998</v>
      </c>
      <c r="L347" s="268">
        <v>0.32950000000000002</v>
      </c>
      <c r="M347" s="268">
        <v>-4.07E-2</v>
      </c>
      <c r="N347" s="8">
        <v>618.32000000000005</v>
      </c>
      <c r="O347" s="8">
        <v>6873.43</v>
      </c>
      <c r="P347" s="268">
        <v>0.09</v>
      </c>
      <c r="Q347" s="8">
        <v>475</v>
      </c>
      <c r="R347" s="8" t="s">
        <v>3851</v>
      </c>
      <c r="S347" s="8" t="s">
        <v>3852</v>
      </c>
      <c r="T347" s="8" t="s">
        <v>3853</v>
      </c>
      <c r="U347" s="8" t="s">
        <v>3854</v>
      </c>
      <c r="V347" s="8" t="s">
        <v>3855</v>
      </c>
      <c r="W347" s="8" t="s">
        <v>3856</v>
      </c>
    </row>
    <row r="348" spans="1:23" ht="28" customHeight="1" x14ac:dyDescent="0.3">
      <c r="A348" s="308">
        <v>45777</v>
      </c>
      <c r="B348" s="302">
        <v>2124.8589999999999</v>
      </c>
      <c r="C348" s="8">
        <v>7.9169999999999998</v>
      </c>
      <c r="D348" s="268">
        <v>3.7000000000000002E-3</v>
      </c>
      <c r="E348" s="8">
        <v>56.47</v>
      </c>
      <c r="F348" s="8">
        <v>128.244</v>
      </c>
      <c r="G348" s="8">
        <v>119.313</v>
      </c>
      <c r="H348" s="8">
        <v>88.28</v>
      </c>
      <c r="I348" s="8">
        <v>178.4</v>
      </c>
      <c r="J348" s="8">
        <v>44.91</v>
      </c>
      <c r="K348" s="268">
        <v>0.50160000000000005</v>
      </c>
      <c r="L348" s="268">
        <v>0.34749999999999998</v>
      </c>
      <c r="M348" s="268">
        <v>-3.49E-2</v>
      </c>
      <c r="N348" s="8">
        <v>637.1</v>
      </c>
      <c r="O348" s="8">
        <v>6860.76</v>
      </c>
      <c r="P348" s="268">
        <v>9.2899999999999996E-2</v>
      </c>
      <c r="Q348" s="8">
        <v>472</v>
      </c>
      <c r="R348" s="8" t="s">
        <v>3857</v>
      </c>
      <c r="S348" s="8" t="s">
        <v>3858</v>
      </c>
      <c r="T348" s="8" t="s">
        <v>3859</v>
      </c>
      <c r="U348" s="8" t="s">
        <v>3860</v>
      </c>
      <c r="V348" s="8" t="s">
        <v>3861</v>
      </c>
      <c r="W348" s="8" t="s">
        <v>3862</v>
      </c>
    </row>
    <row r="349" spans="1:23" ht="28" customHeight="1" x14ac:dyDescent="0.3">
      <c r="A349" s="308">
        <v>45776</v>
      </c>
      <c r="B349" s="302">
        <v>2116.942</v>
      </c>
      <c r="C349" s="8">
        <v>13.4</v>
      </c>
      <c r="D349" s="268">
        <v>6.4000000000000003E-3</v>
      </c>
      <c r="E349" s="8">
        <v>55.21</v>
      </c>
      <c r="F349" s="8">
        <v>127.601</v>
      </c>
      <c r="G349" s="8">
        <v>119.074</v>
      </c>
      <c r="H349" s="8">
        <v>87.06</v>
      </c>
      <c r="I349" s="8">
        <v>179.46</v>
      </c>
      <c r="J349" s="8">
        <v>46.65</v>
      </c>
      <c r="K349" s="268">
        <v>0.51859999999999995</v>
      </c>
      <c r="L349" s="268">
        <v>0.3569</v>
      </c>
      <c r="M349" s="268">
        <v>-3.3300000000000003E-2</v>
      </c>
      <c r="N349" s="8">
        <v>666.7</v>
      </c>
      <c r="O349" s="8">
        <v>6888.93</v>
      </c>
      <c r="P349" s="268">
        <v>9.6799999999999997E-2</v>
      </c>
      <c r="Q349" s="8">
        <v>475</v>
      </c>
      <c r="R349" s="8" t="s">
        <v>3863</v>
      </c>
      <c r="S349" s="8" t="s">
        <v>2529</v>
      </c>
      <c r="T349" s="8" t="s">
        <v>3864</v>
      </c>
      <c r="U349" s="8" t="s">
        <v>3865</v>
      </c>
      <c r="V349" s="8" t="s">
        <v>3866</v>
      </c>
      <c r="W349" s="8" t="s">
        <v>3867</v>
      </c>
    </row>
    <row r="350" spans="1:23" ht="28" customHeight="1" x14ac:dyDescent="0.3">
      <c r="A350" s="308">
        <v>45775</v>
      </c>
      <c r="B350" s="302">
        <v>2103.5419999999999</v>
      </c>
      <c r="C350" s="8">
        <v>-18.183</v>
      </c>
      <c r="D350" s="268">
        <v>-8.6E-3</v>
      </c>
      <c r="E350" s="8">
        <v>51.3</v>
      </c>
      <c r="F350" s="8">
        <v>126.562</v>
      </c>
      <c r="G350" s="8">
        <v>118.193</v>
      </c>
      <c r="H350" s="8">
        <v>86.21</v>
      </c>
      <c r="I350" s="8">
        <v>179.54</v>
      </c>
      <c r="J350" s="8">
        <v>48.39</v>
      </c>
      <c r="K350" s="268">
        <v>0.52980000000000005</v>
      </c>
      <c r="L350" s="268">
        <v>0.35799999999999998</v>
      </c>
      <c r="M350" s="268">
        <v>-3.09E-2</v>
      </c>
      <c r="N350" s="8">
        <v>504.38</v>
      </c>
      <c r="O350" s="8">
        <v>6894.79</v>
      </c>
      <c r="P350" s="268">
        <v>7.3200000000000001E-2</v>
      </c>
      <c r="Q350" s="8">
        <v>475</v>
      </c>
      <c r="R350" s="8" t="s">
        <v>3868</v>
      </c>
      <c r="S350" s="8" t="s">
        <v>3869</v>
      </c>
      <c r="T350" s="8" t="s">
        <v>3394</v>
      </c>
      <c r="U350" s="8" t="s">
        <v>3870</v>
      </c>
      <c r="V350" s="8" t="s">
        <v>3871</v>
      </c>
      <c r="W350" s="8" t="s">
        <v>3872</v>
      </c>
    </row>
    <row r="351" spans="1:23" ht="28" customHeight="1" x14ac:dyDescent="0.3">
      <c r="A351" s="308">
        <v>45772</v>
      </c>
      <c r="B351" s="302">
        <v>2121.7249999999999</v>
      </c>
      <c r="C351" s="8">
        <v>5.3760000000000003</v>
      </c>
      <c r="D351" s="268">
        <v>2.5000000000000001E-3</v>
      </c>
      <c r="E351" s="8">
        <v>57.39</v>
      </c>
      <c r="F351" s="8">
        <v>127.86499999999999</v>
      </c>
      <c r="G351" s="8">
        <v>119.443</v>
      </c>
      <c r="H351" s="8">
        <v>87.76</v>
      </c>
      <c r="I351" s="8">
        <v>179.81</v>
      </c>
      <c r="J351" s="8">
        <v>48.54</v>
      </c>
      <c r="K351" s="268">
        <v>0.51949999999999996</v>
      </c>
      <c r="L351" s="268">
        <v>0.3483</v>
      </c>
      <c r="M351" s="268">
        <v>-3.4500000000000003E-2</v>
      </c>
      <c r="N351" s="8">
        <v>609.34</v>
      </c>
      <c r="O351" s="8">
        <v>6880.75</v>
      </c>
      <c r="P351" s="268">
        <v>8.8599999999999998E-2</v>
      </c>
      <c r="Q351" s="8">
        <v>472</v>
      </c>
      <c r="R351" s="8" t="s">
        <v>3873</v>
      </c>
      <c r="S351" s="8" t="s">
        <v>3874</v>
      </c>
      <c r="T351" s="8" t="s">
        <v>3875</v>
      </c>
      <c r="U351" s="8" t="s">
        <v>3876</v>
      </c>
      <c r="V351" s="8" t="s">
        <v>3877</v>
      </c>
      <c r="W351" s="8" t="s">
        <v>3878</v>
      </c>
    </row>
    <row r="352" spans="1:23" ht="28" customHeight="1" x14ac:dyDescent="0.3">
      <c r="A352" s="308">
        <v>45771</v>
      </c>
      <c r="B352" s="302">
        <v>2116.3490000000002</v>
      </c>
      <c r="C352" s="8">
        <v>-10.87</v>
      </c>
      <c r="D352" s="268">
        <v>-5.1000000000000004E-3</v>
      </c>
      <c r="E352" s="8">
        <v>57.03</v>
      </c>
      <c r="F352" s="8">
        <v>127.59399999999999</v>
      </c>
      <c r="G352" s="8">
        <v>119.038</v>
      </c>
      <c r="H352" s="8">
        <v>87.78</v>
      </c>
      <c r="I352" s="8">
        <v>179.41</v>
      </c>
      <c r="J352" s="8">
        <v>48.76</v>
      </c>
      <c r="K352" s="268">
        <v>0.5181</v>
      </c>
      <c r="L352" s="268">
        <v>0.34639999999999999</v>
      </c>
      <c r="M352" s="268">
        <v>-3.3300000000000003E-2</v>
      </c>
      <c r="N352" s="8">
        <v>560.4</v>
      </c>
      <c r="O352" s="8">
        <v>6883.65</v>
      </c>
      <c r="P352" s="268">
        <v>8.14E-2</v>
      </c>
      <c r="Q352" s="8">
        <v>472</v>
      </c>
      <c r="R352" s="8" t="s">
        <v>3879</v>
      </c>
      <c r="S352" s="8" t="s">
        <v>3880</v>
      </c>
      <c r="T352" s="8" t="s">
        <v>3881</v>
      </c>
      <c r="U352" s="8" t="s">
        <v>3882</v>
      </c>
      <c r="V352" s="8" t="s">
        <v>3883</v>
      </c>
      <c r="W352" s="8" t="s">
        <v>3884</v>
      </c>
    </row>
    <row r="353" spans="1:23" ht="28" customHeight="1" x14ac:dyDescent="0.3">
      <c r="A353" s="308">
        <v>45770</v>
      </c>
      <c r="B353" s="302">
        <v>2127.2190000000001</v>
      </c>
      <c r="C353" s="8">
        <v>14.829000000000001</v>
      </c>
      <c r="D353" s="268">
        <v>7.0000000000000001E-3</v>
      </c>
      <c r="E353" s="8">
        <v>59.31</v>
      </c>
      <c r="F353" s="8">
        <v>128.38300000000001</v>
      </c>
      <c r="G353" s="8">
        <v>119.62</v>
      </c>
      <c r="H353" s="8">
        <v>87.99</v>
      </c>
      <c r="I353" s="8">
        <v>180.08</v>
      </c>
      <c r="J353" s="8">
        <v>48.53</v>
      </c>
      <c r="K353" s="268">
        <v>0.51700000000000002</v>
      </c>
      <c r="L353" s="268">
        <v>0.34939999999999999</v>
      </c>
      <c r="M353" s="268">
        <v>-3.56E-2</v>
      </c>
      <c r="N353" s="8">
        <v>600.97</v>
      </c>
      <c r="O353" s="8">
        <v>6875.62</v>
      </c>
      <c r="P353" s="268">
        <v>8.7400000000000005E-2</v>
      </c>
      <c r="Q353" s="8">
        <v>471</v>
      </c>
      <c r="R353" s="8" t="s">
        <v>3885</v>
      </c>
      <c r="S353" s="8" t="s">
        <v>3886</v>
      </c>
      <c r="T353" s="8" t="s">
        <v>3887</v>
      </c>
      <c r="U353" s="8" t="s">
        <v>3888</v>
      </c>
      <c r="V353" s="8" t="s">
        <v>3889</v>
      </c>
      <c r="W353" s="8" t="s">
        <v>3890</v>
      </c>
    </row>
    <row r="354" spans="1:23" ht="28" customHeight="1" x14ac:dyDescent="0.3">
      <c r="A354" s="308">
        <v>45769</v>
      </c>
      <c r="B354" s="302">
        <v>2112.39</v>
      </c>
      <c r="C354" s="8">
        <v>5.9189999999999996</v>
      </c>
      <c r="D354" s="268">
        <v>2.8E-3</v>
      </c>
      <c r="E354" s="8">
        <v>55.97</v>
      </c>
      <c r="F354" s="8">
        <v>127.471</v>
      </c>
      <c r="G354" s="8">
        <v>119.167</v>
      </c>
      <c r="H354" s="8">
        <v>87.56</v>
      </c>
      <c r="I354" s="8">
        <v>179.72</v>
      </c>
      <c r="J354" s="8">
        <v>48.23</v>
      </c>
      <c r="K354" s="268">
        <v>0.52249999999999996</v>
      </c>
      <c r="L354" s="268">
        <v>0.35089999999999999</v>
      </c>
      <c r="M354" s="268">
        <v>-3.2899999999999999E-2</v>
      </c>
      <c r="N354" s="8">
        <v>504</v>
      </c>
      <c r="O354" s="8">
        <v>6876.68</v>
      </c>
      <c r="P354" s="268">
        <v>7.3300000000000004E-2</v>
      </c>
      <c r="Q354" s="8">
        <v>471</v>
      </c>
      <c r="R354" s="8" t="s">
        <v>3891</v>
      </c>
      <c r="S354" s="8" t="s">
        <v>3892</v>
      </c>
      <c r="T354" s="8" t="s">
        <v>3893</v>
      </c>
      <c r="U354" s="8" t="s">
        <v>3894</v>
      </c>
      <c r="V354" s="8" t="s">
        <v>3895</v>
      </c>
      <c r="W354" s="8" t="s">
        <v>3896</v>
      </c>
    </row>
    <row r="355" spans="1:23" ht="28" customHeight="1" x14ac:dyDescent="0.3">
      <c r="A355" s="308">
        <v>45768</v>
      </c>
      <c r="B355" s="302">
        <v>2106.471</v>
      </c>
      <c r="C355" s="8">
        <v>17.609000000000002</v>
      </c>
      <c r="D355" s="268">
        <v>8.3999999999999995E-3</v>
      </c>
      <c r="E355" s="8">
        <v>53.46</v>
      </c>
      <c r="F355" s="8">
        <v>127.274</v>
      </c>
      <c r="G355" s="8">
        <v>118.57899999999999</v>
      </c>
      <c r="H355" s="8">
        <v>87.69</v>
      </c>
      <c r="I355" s="8">
        <v>179.4</v>
      </c>
      <c r="J355" s="8">
        <v>48.46</v>
      </c>
      <c r="K355" s="268">
        <v>0.52129999999999999</v>
      </c>
      <c r="L355" s="268">
        <v>0.34910000000000002</v>
      </c>
      <c r="M355" s="268">
        <v>-3.1399999999999997E-2</v>
      </c>
      <c r="N355" s="8">
        <v>533.88</v>
      </c>
      <c r="O355" s="8">
        <v>6879.76</v>
      </c>
      <c r="P355" s="268">
        <v>7.7600000000000002E-2</v>
      </c>
      <c r="Q355" s="8">
        <v>473</v>
      </c>
      <c r="R355" s="8" t="s">
        <v>3897</v>
      </c>
      <c r="S355" s="8" t="s">
        <v>3898</v>
      </c>
      <c r="T355" s="8" t="s">
        <v>3899</v>
      </c>
      <c r="U355" s="8" t="s">
        <v>3900</v>
      </c>
      <c r="V355" s="8" t="s">
        <v>3901</v>
      </c>
      <c r="W355" s="8" t="s">
        <v>3902</v>
      </c>
    </row>
    <row r="356" spans="1:23" ht="28" customHeight="1" x14ac:dyDescent="0.3">
      <c r="A356" s="308">
        <v>45765</v>
      </c>
      <c r="B356" s="302">
        <v>2088.8620000000001</v>
      </c>
      <c r="C356" s="8">
        <v>-1.1910000000000001</v>
      </c>
      <c r="D356" s="268">
        <v>-5.9999999999999995E-4</v>
      </c>
      <c r="E356" s="8">
        <v>50.6</v>
      </c>
      <c r="F356" s="8">
        <v>126.16500000000001</v>
      </c>
      <c r="G356" s="8">
        <v>117.777</v>
      </c>
      <c r="H356" s="8">
        <v>86.6</v>
      </c>
      <c r="I356" s="8">
        <v>179.85</v>
      </c>
      <c r="J356" s="8">
        <v>51.85</v>
      </c>
      <c r="K356" s="268">
        <v>0.53690000000000004</v>
      </c>
      <c r="L356" s="268">
        <v>0.36459999999999998</v>
      </c>
      <c r="M356" s="268">
        <v>-2.81E-2</v>
      </c>
      <c r="N356" s="8">
        <v>452.38</v>
      </c>
      <c r="O356" s="8">
        <v>6882.61</v>
      </c>
      <c r="P356" s="268">
        <v>6.5699999999999995E-2</v>
      </c>
      <c r="Q356" s="8">
        <v>473</v>
      </c>
      <c r="R356" s="8" t="s">
        <v>2382</v>
      </c>
      <c r="S356" s="8" t="s">
        <v>3903</v>
      </c>
      <c r="T356" s="8" t="s">
        <v>3904</v>
      </c>
      <c r="U356" s="8" t="s">
        <v>3905</v>
      </c>
      <c r="V356" s="8" t="s">
        <v>3906</v>
      </c>
      <c r="W356" s="8" t="s">
        <v>3907</v>
      </c>
    </row>
    <row r="357" spans="1:23" ht="28" customHeight="1" x14ac:dyDescent="0.3">
      <c r="A357" s="308">
        <v>45764</v>
      </c>
      <c r="B357" s="302">
        <v>2090.0529999999999</v>
      </c>
      <c r="C357" s="8">
        <v>4.859</v>
      </c>
      <c r="D357" s="268">
        <v>2.3E-3</v>
      </c>
      <c r="E357" s="8">
        <v>51.3</v>
      </c>
      <c r="F357" s="8">
        <v>126.562</v>
      </c>
      <c r="G357" s="8">
        <v>118</v>
      </c>
      <c r="H357" s="8">
        <v>86.5</v>
      </c>
      <c r="I357" s="8">
        <v>179.8</v>
      </c>
      <c r="J357" s="8">
        <v>51.53</v>
      </c>
      <c r="K357" s="268">
        <v>0.53239999999999998</v>
      </c>
      <c r="L357" s="268">
        <v>0.36049999999999999</v>
      </c>
      <c r="M357" s="268">
        <v>-2.8799999999999999E-2</v>
      </c>
      <c r="N357" s="8">
        <v>477.08</v>
      </c>
      <c r="O357" s="8">
        <v>6886.46</v>
      </c>
      <c r="P357" s="268">
        <v>6.93E-2</v>
      </c>
      <c r="Q357" s="8">
        <v>475</v>
      </c>
      <c r="R357" s="8" t="s">
        <v>3908</v>
      </c>
      <c r="S357" s="8" t="s">
        <v>2547</v>
      </c>
      <c r="T357" s="8" t="s">
        <v>3909</v>
      </c>
      <c r="U357" s="8" t="s">
        <v>3910</v>
      </c>
      <c r="V357" s="8" t="s">
        <v>3911</v>
      </c>
      <c r="W357" s="8" t="s">
        <v>3912</v>
      </c>
    </row>
    <row r="358" spans="1:23" ht="28" customHeight="1" x14ac:dyDescent="0.3">
      <c r="A358" s="308">
        <v>45763</v>
      </c>
      <c r="B358" s="302">
        <v>2085.194</v>
      </c>
      <c r="C358" s="8">
        <v>-18.045999999999999</v>
      </c>
      <c r="D358" s="268">
        <v>-8.6E-3</v>
      </c>
      <c r="E358" s="8">
        <v>49.79</v>
      </c>
      <c r="F358" s="8">
        <v>126.53400000000001</v>
      </c>
      <c r="G358" s="8">
        <v>117.479</v>
      </c>
      <c r="H358" s="8">
        <v>85.95</v>
      </c>
      <c r="I358" s="8">
        <v>180.33</v>
      </c>
      <c r="J358" s="8">
        <v>53.74</v>
      </c>
      <c r="K358" s="268">
        <v>0.53800000000000003</v>
      </c>
      <c r="L358" s="268">
        <v>0.35670000000000002</v>
      </c>
      <c r="M358" s="268">
        <v>-2.7699999999999999E-2</v>
      </c>
      <c r="N358" s="8">
        <v>506.42</v>
      </c>
      <c r="O358" s="8">
        <v>6860.94</v>
      </c>
      <c r="P358" s="268">
        <v>7.3800000000000004E-2</v>
      </c>
      <c r="Q358" s="8">
        <v>474</v>
      </c>
      <c r="R358" s="8" t="s">
        <v>3913</v>
      </c>
      <c r="S358" s="8" t="s">
        <v>3914</v>
      </c>
      <c r="T358" s="8" t="s">
        <v>3915</v>
      </c>
      <c r="U358" s="8" t="s">
        <v>3916</v>
      </c>
      <c r="V358" s="8" t="s">
        <v>3917</v>
      </c>
      <c r="W358" s="8" t="s">
        <v>3918</v>
      </c>
    </row>
    <row r="359" spans="1:23" ht="28" customHeight="1" x14ac:dyDescent="0.3">
      <c r="A359" s="308">
        <v>45762</v>
      </c>
      <c r="B359" s="302">
        <v>2103.2399999999998</v>
      </c>
      <c r="C359" s="8">
        <v>-11.015000000000001</v>
      </c>
      <c r="D359" s="268">
        <v>-5.1999999999999998E-3</v>
      </c>
      <c r="E359" s="8">
        <v>53.34</v>
      </c>
      <c r="F359" s="8">
        <v>127.78</v>
      </c>
      <c r="G359" s="8">
        <v>118.678</v>
      </c>
      <c r="H359" s="8">
        <v>87.54</v>
      </c>
      <c r="I359" s="8">
        <v>180.54</v>
      </c>
      <c r="J359" s="8">
        <v>50.7</v>
      </c>
      <c r="K359" s="268">
        <v>0.52759999999999996</v>
      </c>
      <c r="L359" s="268">
        <v>0.3523</v>
      </c>
      <c r="M359" s="268">
        <v>-3.1099999999999999E-2</v>
      </c>
      <c r="N359" s="8">
        <v>589.35</v>
      </c>
      <c r="O359" s="8">
        <v>6862.21</v>
      </c>
      <c r="P359" s="268">
        <v>8.5900000000000004E-2</v>
      </c>
      <c r="Q359" s="8">
        <v>474</v>
      </c>
      <c r="R359" s="8" t="s">
        <v>2646</v>
      </c>
      <c r="S359" s="8" t="s">
        <v>3919</v>
      </c>
      <c r="T359" s="8" t="s">
        <v>3920</v>
      </c>
      <c r="U359" s="8" t="s">
        <v>3921</v>
      </c>
      <c r="V359" s="8" t="s">
        <v>3922</v>
      </c>
      <c r="W359" s="8" t="s">
        <v>3923</v>
      </c>
    </row>
    <row r="360" spans="1:23" ht="28" customHeight="1" x14ac:dyDescent="0.3">
      <c r="A360" s="308">
        <v>45761</v>
      </c>
      <c r="B360" s="302">
        <v>2114.2550000000001</v>
      </c>
      <c r="C360" s="8">
        <v>9.2620000000000005</v>
      </c>
      <c r="D360" s="268">
        <v>4.4000000000000003E-3</v>
      </c>
      <c r="E360" s="8">
        <v>55.82</v>
      </c>
      <c r="F360" s="8">
        <v>128.42699999999999</v>
      </c>
      <c r="G360" s="8">
        <v>119.143</v>
      </c>
      <c r="H360" s="8">
        <v>87.6</v>
      </c>
      <c r="I360" s="8">
        <v>181.72</v>
      </c>
      <c r="J360" s="8">
        <v>53.97</v>
      </c>
      <c r="K360" s="268">
        <v>0.53300000000000003</v>
      </c>
      <c r="L360" s="268">
        <v>0.36259999999999998</v>
      </c>
      <c r="M360" s="268">
        <v>-3.3500000000000002E-2</v>
      </c>
      <c r="N360" s="8">
        <v>718.57</v>
      </c>
      <c r="O360" s="8">
        <v>6867.35</v>
      </c>
      <c r="P360" s="268">
        <v>0.1046</v>
      </c>
      <c r="Q360" s="8">
        <v>475</v>
      </c>
      <c r="R360" s="8" t="s">
        <v>2563</v>
      </c>
      <c r="S360" s="8" t="s">
        <v>3924</v>
      </c>
      <c r="T360" s="8" t="s">
        <v>3925</v>
      </c>
      <c r="U360" s="8" t="s">
        <v>3926</v>
      </c>
      <c r="V360" s="8" t="s">
        <v>3927</v>
      </c>
      <c r="W360" s="8" t="s">
        <v>3928</v>
      </c>
    </row>
    <row r="361" spans="1:23" ht="28" customHeight="1" x14ac:dyDescent="0.3">
      <c r="A361" s="308">
        <v>45758</v>
      </c>
      <c r="B361" s="302">
        <v>2104.9929999999999</v>
      </c>
      <c r="C361" s="8">
        <v>-5.6139999999999999</v>
      </c>
      <c r="D361" s="268">
        <v>-2.7000000000000001E-3</v>
      </c>
      <c r="E361" s="8">
        <v>54.1</v>
      </c>
      <c r="F361" s="8">
        <v>127.798</v>
      </c>
      <c r="G361" s="8">
        <v>118.69799999999999</v>
      </c>
      <c r="H361" s="8">
        <v>86.38</v>
      </c>
      <c r="I361" s="8">
        <v>182.79</v>
      </c>
      <c r="J361" s="8">
        <v>57.51</v>
      </c>
      <c r="K361" s="268">
        <v>0.54990000000000006</v>
      </c>
      <c r="L361" s="268">
        <v>0.37580000000000002</v>
      </c>
      <c r="M361" s="268">
        <v>-3.1E-2</v>
      </c>
      <c r="N361" s="8">
        <v>794.92</v>
      </c>
      <c r="O361" s="8">
        <v>6820.62</v>
      </c>
      <c r="P361" s="268">
        <v>0.11650000000000001</v>
      </c>
      <c r="Q361" s="8">
        <v>475</v>
      </c>
      <c r="R361" s="8" t="s">
        <v>3929</v>
      </c>
      <c r="S361" s="8" t="s">
        <v>3930</v>
      </c>
      <c r="T361" s="8" t="s">
        <v>3931</v>
      </c>
      <c r="U361" s="8" t="s">
        <v>3932</v>
      </c>
      <c r="V361" s="8" t="s">
        <v>3933</v>
      </c>
      <c r="W361" s="8" t="s">
        <v>3934</v>
      </c>
    </row>
    <row r="362" spans="1:23" ht="28" customHeight="1" x14ac:dyDescent="0.3">
      <c r="A362" s="308">
        <v>45757</v>
      </c>
      <c r="B362" s="302">
        <v>2110.607</v>
      </c>
      <c r="C362" s="8">
        <v>28.34</v>
      </c>
      <c r="D362" s="268">
        <v>1.3599999999999999E-2</v>
      </c>
      <c r="E362" s="8">
        <v>56.82</v>
      </c>
      <c r="F362" s="8">
        <v>128.113</v>
      </c>
      <c r="G362" s="8">
        <v>119.337</v>
      </c>
      <c r="H362" s="8">
        <v>85.82</v>
      </c>
      <c r="I362" s="8">
        <v>184.42</v>
      </c>
      <c r="J362" s="8">
        <v>61.82</v>
      </c>
      <c r="K362" s="268">
        <v>0.56299999999999994</v>
      </c>
      <c r="L362" s="268">
        <v>0.38729999999999998</v>
      </c>
      <c r="M362" s="268">
        <v>-3.2399999999999998E-2</v>
      </c>
      <c r="N362" s="8">
        <v>959.57</v>
      </c>
      <c r="O362" s="8">
        <v>6823.45</v>
      </c>
      <c r="P362" s="268">
        <v>0.1406</v>
      </c>
      <c r="Q362" s="8">
        <v>476</v>
      </c>
      <c r="R362" s="8" t="s">
        <v>3935</v>
      </c>
      <c r="S362" s="8" t="s">
        <v>3936</v>
      </c>
      <c r="T362" s="8" t="s">
        <v>3937</v>
      </c>
      <c r="U362" s="8" t="s">
        <v>3938</v>
      </c>
      <c r="V362" s="8" t="s">
        <v>3939</v>
      </c>
      <c r="W362" s="8" t="s">
        <v>3940</v>
      </c>
    </row>
    <row r="363" spans="1:23" ht="28" customHeight="1" x14ac:dyDescent="0.3">
      <c r="A363" s="308">
        <v>45756</v>
      </c>
      <c r="B363" s="302">
        <v>2082.2669999999998</v>
      </c>
      <c r="C363" s="8">
        <v>29.559000000000001</v>
      </c>
      <c r="D363" s="268">
        <v>1.44E-2</v>
      </c>
      <c r="E363" s="8">
        <v>50.74</v>
      </c>
      <c r="F363" s="8">
        <v>126.167</v>
      </c>
      <c r="G363" s="8">
        <v>117.78</v>
      </c>
      <c r="H363" s="8">
        <v>84.11</v>
      </c>
      <c r="I363" s="8">
        <v>184.64</v>
      </c>
      <c r="J363" s="8">
        <v>65.62</v>
      </c>
      <c r="K363" s="268">
        <v>0.5847</v>
      </c>
      <c r="L363" s="268">
        <v>0.40310000000000001</v>
      </c>
      <c r="M363" s="268">
        <v>-2.7E-2</v>
      </c>
      <c r="N363" s="8">
        <v>1131.9000000000001</v>
      </c>
      <c r="O363" s="8">
        <v>6827.63</v>
      </c>
      <c r="P363" s="268">
        <v>0.1658</v>
      </c>
      <c r="Q363" s="8">
        <v>477</v>
      </c>
      <c r="R363" s="8" t="s">
        <v>3941</v>
      </c>
      <c r="S363" s="8" t="s">
        <v>3942</v>
      </c>
      <c r="T363" s="8" t="s">
        <v>3943</v>
      </c>
      <c r="U363" s="8" t="s">
        <v>3944</v>
      </c>
      <c r="V363" s="8" t="s">
        <v>3945</v>
      </c>
      <c r="W363" s="8" t="s">
        <v>3946</v>
      </c>
    </row>
    <row r="364" spans="1:23" ht="28" customHeight="1" x14ac:dyDescent="0.3">
      <c r="A364" s="308">
        <v>45755</v>
      </c>
      <c r="B364" s="302">
        <v>2052.7080000000001</v>
      </c>
      <c r="C364" s="8">
        <v>22.696000000000002</v>
      </c>
      <c r="D364" s="268">
        <v>1.12E-2</v>
      </c>
      <c r="E364" s="8">
        <v>42.76</v>
      </c>
      <c r="F364" s="8">
        <v>123.91500000000001</v>
      </c>
      <c r="G364" s="8">
        <v>115.96899999999999</v>
      </c>
      <c r="H364" s="8">
        <v>82.04</v>
      </c>
      <c r="I364" s="8">
        <v>183.25</v>
      </c>
      <c r="J364" s="8">
        <v>64.77</v>
      </c>
      <c r="K364" s="268">
        <v>0.59330000000000005</v>
      </c>
      <c r="L364" s="268">
        <v>0.40350000000000003</v>
      </c>
      <c r="M364" s="268">
        <v>-2.0799999999999999E-2</v>
      </c>
      <c r="N364" s="8">
        <v>956.48</v>
      </c>
      <c r="O364" s="8">
        <v>6813.84</v>
      </c>
      <c r="P364" s="268">
        <v>0.1404</v>
      </c>
      <c r="Q364" s="8">
        <v>476</v>
      </c>
      <c r="R364" s="8" t="s">
        <v>3471</v>
      </c>
      <c r="S364" s="8" t="s">
        <v>2418</v>
      </c>
      <c r="T364" s="8" t="s">
        <v>3947</v>
      </c>
      <c r="U364" s="8" t="s">
        <v>3948</v>
      </c>
      <c r="V364" s="8" t="s">
        <v>3949</v>
      </c>
      <c r="W364" s="8" t="s">
        <v>3950</v>
      </c>
    </row>
    <row r="365" spans="1:23" ht="28" customHeight="1" x14ac:dyDescent="0.3">
      <c r="A365" s="308">
        <v>45754</v>
      </c>
      <c r="B365" s="302">
        <v>2030.0119999999999</v>
      </c>
      <c r="C365" s="8">
        <v>-115.084</v>
      </c>
      <c r="D365" s="268">
        <v>-5.3699999999999998E-2</v>
      </c>
      <c r="E365" s="8">
        <v>38.99</v>
      </c>
      <c r="F365" s="8">
        <v>122.324</v>
      </c>
      <c r="G365" s="8">
        <v>115</v>
      </c>
      <c r="H365" s="8">
        <v>81.78</v>
      </c>
      <c r="I365" s="8">
        <v>180.69</v>
      </c>
      <c r="J365" s="8">
        <v>62.63</v>
      </c>
      <c r="K365" s="268">
        <v>0.5837</v>
      </c>
      <c r="L365" s="268">
        <v>0.3982</v>
      </c>
      <c r="M365" s="268">
        <v>-1.5900000000000001E-2</v>
      </c>
      <c r="N365" s="8">
        <v>964.82</v>
      </c>
      <c r="O365" s="8">
        <v>6811.83</v>
      </c>
      <c r="P365" s="268">
        <v>0.1416</v>
      </c>
      <c r="Q365" s="8">
        <v>476</v>
      </c>
      <c r="R365" s="8" t="s">
        <v>3951</v>
      </c>
      <c r="S365" s="8" t="s">
        <v>3952</v>
      </c>
      <c r="T365" s="8" t="s">
        <v>3953</v>
      </c>
      <c r="U365" s="8" t="s">
        <v>3954</v>
      </c>
      <c r="V365" s="8" t="s">
        <v>3955</v>
      </c>
      <c r="W365" s="8" t="s">
        <v>3956</v>
      </c>
    </row>
    <row r="366" spans="1:23" ht="28" customHeight="1" x14ac:dyDescent="0.3">
      <c r="A366" s="308">
        <v>45750</v>
      </c>
      <c r="B366" s="302">
        <v>2145.096</v>
      </c>
      <c r="C366" s="8">
        <v>-15.035</v>
      </c>
      <c r="D366" s="268">
        <v>-7.0000000000000001E-3</v>
      </c>
      <c r="E366" s="8">
        <v>64.400000000000006</v>
      </c>
      <c r="F366" s="8">
        <v>130.42099999999999</v>
      </c>
      <c r="G366" s="8">
        <v>120.495</v>
      </c>
      <c r="H366" s="8">
        <v>93.29</v>
      </c>
      <c r="I366" s="8">
        <v>176.26</v>
      </c>
      <c r="J366" s="8">
        <v>36.340000000000003</v>
      </c>
      <c r="K366" s="268">
        <v>0.45839999999999997</v>
      </c>
      <c r="L366" s="268">
        <v>0.29120000000000001</v>
      </c>
      <c r="M366" s="268">
        <v>-3.8100000000000002E-2</v>
      </c>
      <c r="N366" s="8">
        <v>686.32</v>
      </c>
      <c r="O366" s="8">
        <v>6803.84</v>
      </c>
      <c r="P366" s="268">
        <v>0.1009</v>
      </c>
      <c r="Q366" s="8">
        <v>476</v>
      </c>
      <c r="R366" s="8" t="s">
        <v>3957</v>
      </c>
      <c r="S366" s="8" t="s">
        <v>3958</v>
      </c>
      <c r="T366" s="8" t="s">
        <v>3959</v>
      </c>
      <c r="U366" s="8" t="s">
        <v>3960</v>
      </c>
      <c r="V366" s="8" t="s">
        <v>3961</v>
      </c>
      <c r="W366" s="8" t="s">
        <v>3962</v>
      </c>
    </row>
    <row r="367" spans="1:23" ht="28" customHeight="1" x14ac:dyDescent="0.3">
      <c r="A367" s="308">
        <v>45749</v>
      </c>
      <c r="B367" s="302">
        <v>2160.1309999999999</v>
      </c>
      <c r="C367" s="8">
        <v>8.2629999999999999</v>
      </c>
      <c r="D367" s="268">
        <v>3.8E-3</v>
      </c>
      <c r="E367" s="8">
        <v>67.45</v>
      </c>
      <c r="F367" s="8">
        <v>131.60300000000001</v>
      </c>
      <c r="G367" s="8">
        <v>121.18</v>
      </c>
      <c r="H367" s="8">
        <v>94.7</v>
      </c>
      <c r="I367" s="8">
        <v>176.51</v>
      </c>
      <c r="J367" s="8">
        <v>34.380000000000003</v>
      </c>
      <c r="K367" s="268">
        <v>0.4491</v>
      </c>
      <c r="L367" s="268">
        <v>0.28670000000000001</v>
      </c>
      <c r="M367" s="268">
        <v>-4.0800000000000003E-2</v>
      </c>
      <c r="N367" s="8">
        <v>630.54999999999995</v>
      </c>
      <c r="O367" s="8">
        <v>6808.08</v>
      </c>
      <c r="P367" s="268">
        <v>9.2600000000000002E-2</v>
      </c>
      <c r="Q367" s="8">
        <v>479</v>
      </c>
      <c r="R367" s="8" t="s">
        <v>3963</v>
      </c>
      <c r="S367" s="8" t="s">
        <v>3964</v>
      </c>
      <c r="T367" s="8" t="s">
        <v>3965</v>
      </c>
      <c r="U367" s="8" t="s">
        <v>3966</v>
      </c>
      <c r="V367" s="8" t="s">
        <v>3967</v>
      </c>
      <c r="W367" s="8" t="s">
        <v>3968</v>
      </c>
    </row>
    <row r="368" spans="1:23" ht="28" customHeight="1" x14ac:dyDescent="0.3">
      <c r="A368" s="308">
        <v>45748</v>
      </c>
      <c r="B368" s="302">
        <v>2151.8679999999999</v>
      </c>
      <c r="C368" s="8">
        <v>10.045</v>
      </c>
      <c r="D368" s="268">
        <v>4.7000000000000002E-3</v>
      </c>
      <c r="E368" s="8">
        <v>66.67</v>
      </c>
      <c r="F368" s="8">
        <v>130.96799999999999</v>
      </c>
      <c r="G368" s="8">
        <v>121.009</v>
      </c>
      <c r="H368" s="8">
        <v>93.43</v>
      </c>
      <c r="I368" s="8">
        <v>175.69</v>
      </c>
      <c r="J368" s="8">
        <v>33.01</v>
      </c>
      <c r="K368" s="268">
        <v>0.44719999999999999</v>
      </c>
      <c r="L368" s="268">
        <v>0.28670000000000001</v>
      </c>
      <c r="M368" s="268">
        <v>-3.9399999999999998E-2</v>
      </c>
      <c r="N368" s="8">
        <v>605.03</v>
      </c>
      <c r="O368" s="8">
        <v>6841.09</v>
      </c>
      <c r="P368" s="268">
        <v>8.8400000000000006E-2</v>
      </c>
      <c r="Q368" s="8">
        <v>480</v>
      </c>
      <c r="R368" s="8" t="s">
        <v>3969</v>
      </c>
      <c r="S368" s="8" t="s">
        <v>3970</v>
      </c>
      <c r="T368" s="8" t="s">
        <v>3971</v>
      </c>
      <c r="U368" s="8" t="s">
        <v>3972</v>
      </c>
      <c r="V368" s="8" t="s">
        <v>3973</v>
      </c>
      <c r="W368" s="8" t="s">
        <v>3974</v>
      </c>
    </row>
    <row r="369" spans="1:23" ht="28" customHeight="1" x14ac:dyDescent="0.3">
      <c r="A369" s="308">
        <v>45747</v>
      </c>
      <c r="B369" s="302">
        <v>2141.8229999999999</v>
      </c>
      <c r="C369" s="8">
        <v>-8.3859999999999992</v>
      </c>
      <c r="D369" s="268">
        <v>-3.8999999999999998E-3</v>
      </c>
      <c r="E369" s="8">
        <v>62.87</v>
      </c>
      <c r="F369" s="8">
        <v>130.42400000000001</v>
      </c>
      <c r="G369" s="8">
        <v>120.383</v>
      </c>
      <c r="H369" s="8">
        <v>92.69</v>
      </c>
      <c r="I369" s="8">
        <v>176.05</v>
      </c>
      <c r="J369" s="8">
        <v>35.46</v>
      </c>
      <c r="K369" s="268">
        <v>0.45629999999999998</v>
      </c>
      <c r="L369" s="268">
        <v>0.29620000000000002</v>
      </c>
      <c r="M369" s="268">
        <v>-3.7400000000000003E-2</v>
      </c>
      <c r="N369" s="8">
        <v>621.66999999999996</v>
      </c>
      <c r="O369" s="8">
        <v>6841.02</v>
      </c>
      <c r="P369" s="268">
        <v>9.0899999999999995E-2</v>
      </c>
      <c r="Q369" s="8">
        <v>480</v>
      </c>
      <c r="R369" s="8" t="s">
        <v>3975</v>
      </c>
      <c r="S369" s="8" t="s">
        <v>3976</v>
      </c>
      <c r="T369" s="8" t="s">
        <v>3977</v>
      </c>
      <c r="U369" s="8" t="s">
        <v>3978</v>
      </c>
      <c r="V369" s="8" t="s">
        <v>3979</v>
      </c>
      <c r="W369" s="8" t="s">
        <v>3980</v>
      </c>
    </row>
    <row r="370" spans="1:23" ht="28" customHeight="1" x14ac:dyDescent="0.3">
      <c r="A370" s="308">
        <v>45744</v>
      </c>
      <c r="B370" s="302">
        <v>2150.2089999999998</v>
      </c>
      <c r="C370" s="8">
        <v>-12.936</v>
      </c>
      <c r="D370" s="268">
        <v>-6.0000000000000001E-3</v>
      </c>
      <c r="E370" s="8">
        <v>65.540000000000006</v>
      </c>
      <c r="F370" s="8">
        <v>130.691</v>
      </c>
      <c r="G370" s="8">
        <v>121.134</v>
      </c>
      <c r="H370" s="8">
        <v>94.4</v>
      </c>
      <c r="I370" s="8">
        <v>175.05</v>
      </c>
      <c r="J370" s="8">
        <v>30.75</v>
      </c>
      <c r="K370" s="268">
        <v>0.44359999999999999</v>
      </c>
      <c r="L370" s="268">
        <v>0.27489999999999998</v>
      </c>
      <c r="M370" s="268">
        <v>-3.9199999999999999E-2</v>
      </c>
      <c r="N370" s="8">
        <v>567.03</v>
      </c>
      <c r="O370" s="8">
        <v>6846.11</v>
      </c>
      <c r="P370" s="268">
        <v>8.2799999999999999E-2</v>
      </c>
      <c r="Q370" s="8">
        <v>482</v>
      </c>
      <c r="R370" s="8" t="s">
        <v>3981</v>
      </c>
      <c r="S370" s="8" t="s">
        <v>3982</v>
      </c>
      <c r="T370" s="8" t="s">
        <v>3983</v>
      </c>
      <c r="U370" s="8" t="s">
        <v>3960</v>
      </c>
      <c r="V370" s="8" t="s">
        <v>3984</v>
      </c>
      <c r="W370" s="8" t="s">
        <v>3985</v>
      </c>
    </row>
    <row r="371" spans="1:23" ht="28" customHeight="1" x14ac:dyDescent="0.3">
      <c r="A371" s="308">
        <v>45743</v>
      </c>
      <c r="B371" s="302">
        <v>2163.145</v>
      </c>
      <c r="C371" s="8">
        <v>-0.13</v>
      </c>
      <c r="D371" s="268">
        <v>-1E-4</v>
      </c>
      <c r="E371" s="8">
        <v>69.48</v>
      </c>
      <c r="F371" s="8">
        <v>131.53299999999999</v>
      </c>
      <c r="G371" s="8">
        <v>121.64700000000001</v>
      </c>
      <c r="H371" s="8">
        <v>95.97</v>
      </c>
      <c r="I371" s="8">
        <v>174.56</v>
      </c>
      <c r="J371" s="8">
        <v>29.27</v>
      </c>
      <c r="K371" s="268">
        <v>0.43020000000000003</v>
      </c>
      <c r="L371" s="268">
        <v>0.26490000000000002</v>
      </c>
      <c r="M371" s="268">
        <v>-4.1399999999999999E-2</v>
      </c>
      <c r="N371" s="8">
        <v>627.33000000000004</v>
      </c>
      <c r="O371" s="8">
        <v>6857.17</v>
      </c>
      <c r="P371" s="268">
        <v>9.1499999999999998E-2</v>
      </c>
      <c r="Q371" s="8">
        <v>484</v>
      </c>
      <c r="R371" s="8" t="s">
        <v>3986</v>
      </c>
      <c r="S371" s="8" t="s">
        <v>3987</v>
      </c>
      <c r="T371" s="8" t="s">
        <v>3988</v>
      </c>
      <c r="U371" s="8" t="s">
        <v>3989</v>
      </c>
      <c r="V371" s="8" t="s">
        <v>3990</v>
      </c>
      <c r="W371" s="8" t="s">
        <v>3991</v>
      </c>
    </row>
    <row r="372" spans="1:23" ht="28" customHeight="1" x14ac:dyDescent="0.3">
      <c r="A372" s="308">
        <v>45742</v>
      </c>
      <c r="B372" s="302">
        <v>2163.2750000000001</v>
      </c>
      <c r="C372" s="8">
        <v>12.795</v>
      </c>
      <c r="D372" s="268">
        <v>5.8999999999999999E-3</v>
      </c>
      <c r="E372" s="8">
        <v>69.69</v>
      </c>
      <c r="F372" s="8">
        <v>131.81200000000001</v>
      </c>
      <c r="G372" s="8">
        <v>121.989</v>
      </c>
      <c r="H372" s="8">
        <v>96.22</v>
      </c>
      <c r="I372" s="8">
        <v>174.37</v>
      </c>
      <c r="J372" s="8">
        <v>27.71</v>
      </c>
      <c r="K372" s="268">
        <v>0.42549999999999999</v>
      </c>
      <c r="L372" s="268">
        <v>0.26889999999999997</v>
      </c>
      <c r="M372" s="268">
        <v>-4.1500000000000002E-2</v>
      </c>
      <c r="N372" s="8">
        <v>596.17999999999995</v>
      </c>
      <c r="O372" s="8">
        <v>6860.75</v>
      </c>
      <c r="P372" s="268">
        <v>8.6900000000000005E-2</v>
      </c>
      <c r="Q372" s="8">
        <v>485</v>
      </c>
      <c r="R372" s="8" t="s">
        <v>3992</v>
      </c>
      <c r="S372" s="8" t="s">
        <v>3963</v>
      </c>
      <c r="T372" s="8" t="s">
        <v>3462</v>
      </c>
      <c r="U372" s="8" t="s">
        <v>3993</v>
      </c>
      <c r="V372" s="8" t="s">
        <v>3994</v>
      </c>
      <c r="W372" s="8" t="s">
        <v>3995</v>
      </c>
    </row>
    <row r="373" spans="1:23" ht="28" customHeight="1" x14ac:dyDescent="0.3">
      <c r="A373" s="308">
        <v>45741</v>
      </c>
      <c r="B373" s="302">
        <v>2150.48</v>
      </c>
      <c r="C373" s="8">
        <v>4.0140000000000002</v>
      </c>
      <c r="D373" s="268">
        <v>1.9E-3</v>
      </c>
      <c r="E373" s="8">
        <v>66.489999999999995</v>
      </c>
      <c r="F373" s="8">
        <v>130.696</v>
      </c>
      <c r="G373" s="8">
        <v>120.994</v>
      </c>
      <c r="H373" s="8">
        <v>95.75</v>
      </c>
      <c r="I373" s="8">
        <v>173.89</v>
      </c>
      <c r="J373" s="8">
        <v>28.26</v>
      </c>
      <c r="K373" s="268">
        <v>0.43190000000000001</v>
      </c>
      <c r="L373" s="268">
        <v>0.26939999999999997</v>
      </c>
      <c r="M373" s="268">
        <v>-3.9199999999999999E-2</v>
      </c>
      <c r="N373" s="8">
        <v>603.13</v>
      </c>
      <c r="O373" s="8">
        <v>6865.2</v>
      </c>
      <c r="P373" s="268">
        <v>8.7900000000000006E-2</v>
      </c>
      <c r="Q373" s="8">
        <v>487</v>
      </c>
      <c r="R373" s="8" t="s">
        <v>3996</v>
      </c>
      <c r="S373" s="8" t="s">
        <v>3997</v>
      </c>
      <c r="T373" s="8" t="s">
        <v>3998</v>
      </c>
      <c r="U373" s="8" t="s">
        <v>3999</v>
      </c>
      <c r="V373" s="8" t="s">
        <v>4000</v>
      </c>
      <c r="W373" s="8" t="s">
        <v>4001</v>
      </c>
    </row>
    <row r="374" spans="1:23" ht="28" customHeight="1" x14ac:dyDescent="0.3">
      <c r="A374" s="308">
        <v>45740</v>
      </c>
      <c r="B374" s="302">
        <v>2146.4659999999999</v>
      </c>
      <c r="C374" s="8">
        <v>-19.231000000000002</v>
      </c>
      <c r="D374" s="268">
        <v>-8.8999999999999999E-3</v>
      </c>
      <c r="E374" s="8">
        <v>65.56</v>
      </c>
      <c r="F374" s="8">
        <v>130.69200000000001</v>
      </c>
      <c r="G374" s="8">
        <v>120.324</v>
      </c>
      <c r="H374" s="8">
        <v>95.87</v>
      </c>
      <c r="I374" s="8">
        <v>173.38</v>
      </c>
      <c r="J374" s="8">
        <v>26.53</v>
      </c>
      <c r="K374" s="268">
        <v>0.42680000000000001</v>
      </c>
      <c r="L374" s="268">
        <v>0.2666</v>
      </c>
      <c r="M374" s="268">
        <v>-3.8199999999999998E-2</v>
      </c>
      <c r="N374" s="8">
        <v>583.80999999999995</v>
      </c>
      <c r="O374" s="8">
        <v>6871.64</v>
      </c>
      <c r="P374" s="268">
        <v>8.5000000000000006E-2</v>
      </c>
      <c r="Q374" s="8">
        <v>488</v>
      </c>
      <c r="R374" s="8" t="s">
        <v>4002</v>
      </c>
      <c r="S374" s="8" t="s">
        <v>4003</v>
      </c>
      <c r="T374" s="8" t="s">
        <v>4004</v>
      </c>
      <c r="U374" s="8" t="s">
        <v>4005</v>
      </c>
      <c r="V374" s="8" t="s">
        <v>4006</v>
      </c>
      <c r="W374" s="8" t="s">
        <v>4007</v>
      </c>
    </row>
    <row r="375" spans="1:23" ht="28" customHeight="1" x14ac:dyDescent="0.3">
      <c r="A375" s="308">
        <v>45737</v>
      </c>
      <c r="B375" s="302">
        <v>2165.6970000000001</v>
      </c>
      <c r="C375" s="8">
        <v>-30.283000000000001</v>
      </c>
      <c r="D375" s="268">
        <v>-1.38E-2</v>
      </c>
      <c r="E375" s="8">
        <v>69.319999999999993</v>
      </c>
      <c r="F375" s="8">
        <v>131.83699999999999</v>
      </c>
      <c r="G375" s="8">
        <v>121.557</v>
      </c>
      <c r="H375" s="8">
        <v>96.51</v>
      </c>
      <c r="I375" s="8">
        <v>173.55</v>
      </c>
      <c r="J375" s="8">
        <v>27.01</v>
      </c>
      <c r="K375" s="268">
        <v>0.41710000000000003</v>
      </c>
      <c r="L375" s="268">
        <v>0.25719999999999998</v>
      </c>
      <c r="M375" s="268">
        <v>-4.1700000000000001E-2</v>
      </c>
      <c r="N375" s="8">
        <v>627.4</v>
      </c>
      <c r="O375" s="8">
        <v>6882.92</v>
      </c>
      <c r="P375" s="268">
        <v>9.1200000000000003E-2</v>
      </c>
      <c r="Q375" s="8">
        <v>490</v>
      </c>
      <c r="R375" s="8" t="s">
        <v>3717</v>
      </c>
      <c r="S375" s="8" t="s">
        <v>4008</v>
      </c>
      <c r="T375" s="8" t="s">
        <v>4009</v>
      </c>
      <c r="U375" s="8" t="s">
        <v>4010</v>
      </c>
      <c r="V375" s="8" t="s">
        <v>4011</v>
      </c>
      <c r="W375" s="8" t="s">
        <v>4012</v>
      </c>
    </row>
    <row r="376" spans="1:23" ht="28" customHeight="1" x14ac:dyDescent="0.3">
      <c r="A376" s="308">
        <v>45736</v>
      </c>
      <c r="B376" s="302">
        <v>2195.98</v>
      </c>
      <c r="C376" s="8">
        <v>-4.93</v>
      </c>
      <c r="D376" s="268">
        <v>-2.2000000000000001E-3</v>
      </c>
      <c r="E376" s="8">
        <v>73.72</v>
      </c>
      <c r="F376" s="8">
        <v>133.804</v>
      </c>
      <c r="G376" s="8">
        <v>123.333</v>
      </c>
      <c r="H376" s="8">
        <v>97.87</v>
      </c>
      <c r="I376" s="8">
        <v>174.95</v>
      </c>
      <c r="J376" s="8">
        <v>26.36</v>
      </c>
      <c r="K376" s="268">
        <v>0.41149999999999998</v>
      </c>
      <c r="L376" s="268">
        <v>0.24909999999999999</v>
      </c>
      <c r="M376" s="268">
        <v>-4.7399999999999998E-2</v>
      </c>
      <c r="N376" s="8">
        <v>687.27</v>
      </c>
      <c r="O376" s="8">
        <v>6889.79</v>
      </c>
      <c r="P376" s="268">
        <v>9.98E-2</v>
      </c>
      <c r="Q376" s="8">
        <v>491</v>
      </c>
      <c r="R376" s="8" t="s">
        <v>4013</v>
      </c>
      <c r="S376" s="8" t="s">
        <v>3958</v>
      </c>
      <c r="T376" s="8" t="s">
        <v>2359</v>
      </c>
      <c r="U376" s="8" t="s">
        <v>4014</v>
      </c>
      <c r="V376" s="8" t="s">
        <v>4015</v>
      </c>
      <c r="W376" s="8" t="s">
        <v>4016</v>
      </c>
    </row>
    <row r="377" spans="1:23" ht="28" customHeight="1" x14ac:dyDescent="0.3">
      <c r="A377" s="308">
        <v>45735</v>
      </c>
      <c r="B377" s="302">
        <v>2200.91</v>
      </c>
      <c r="C377" s="8">
        <v>-17.503</v>
      </c>
      <c r="D377" s="268">
        <v>-7.9000000000000008E-3</v>
      </c>
      <c r="E377" s="8">
        <v>75</v>
      </c>
      <c r="F377" s="8">
        <v>134.089</v>
      </c>
      <c r="G377" s="8">
        <v>123.563</v>
      </c>
      <c r="H377" s="8">
        <v>97.7</v>
      </c>
      <c r="I377" s="8">
        <v>175.17</v>
      </c>
      <c r="J377" s="8">
        <v>25.82</v>
      </c>
      <c r="K377" s="268">
        <v>0.4108</v>
      </c>
      <c r="L377" s="268">
        <v>0.25919999999999999</v>
      </c>
      <c r="M377" s="268">
        <v>-4.8300000000000003E-2</v>
      </c>
      <c r="N377" s="8">
        <v>725.59</v>
      </c>
      <c r="O377" s="8">
        <v>6904.17</v>
      </c>
      <c r="P377" s="268">
        <v>0.1051</v>
      </c>
      <c r="Q377" s="8">
        <v>491</v>
      </c>
      <c r="R377" s="8" t="s">
        <v>2826</v>
      </c>
      <c r="S377" s="8" t="s">
        <v>4017</v>
      </c>
      <c r="T377" s="8" t="s">
        <v>4018</v>
      </c>
      <c r="U377" s="8" t="s">
        <v>4019</v>
      </c>
      <c r="V377" s="8" t="s">
        <v>4020</v>
      </c>
      <c r="W377" s="8" t="s">
        <v>4021</v>
      </c>
    </row>
    <row r="378" spans="1:23" ht="28" customHeight="1" x14ac:dyDescent="0.3">
      <c r="A378" s="308">
        <v>45734</v>
      </c>
      <c r="B378" s="302">
        <v>2218.413</v>
      </c>
      <c r="C378" s="8">
        <v>6.0620000000000003</v>
      </c>
      <c r="D378" s="268">
        <v>2.7000000000000001E-3</v>
      </c>
      <c r="E378" s="8">
        <v>80.95</v>
      </c>
      <c r="F378" s="8">
        <v>135.14599999999999</v>
      </c>
      <c r="G378" s="8">
        <v>124.375</v>
      </c>
      <c r="H378" s="8">
        <v>98.11</v>
      </c>
      <c r="I378" s="8">
        <v>176.78</v>
      </c>
      <c r="J378" s="8">
        <v>26.85</v>
      </c>
      <c r="K378" s="268">
        <v>0.4163</v>
      </c>
      <c r="L378" s="268">
        <v>0.26200000000000001</v>
      </c>
      <c r="M378" s="268">
        <v>-5.1400000000000001E-2</v>
      </c>
      <c r="N378" s="8">
        <v>707.34</v>
      </c>
      <c r="O378" s="8">
        <v>6909.53</v>
      </c>
      <c r="P378" s="268">
        <v>0.1024</v>
      </c>
      <c r="Q378" s="8">
        <v>491</v>
      </c>
      <c r="R378" s="8" t="s">
        <v>4022</v>
      </c>
      <c r="S378" s="8" t="s">
        <v>3258</v>
      </c>
      <c r="T378" s="8" t="s">
        <v>4023</v>
      </c>
      <c r="U378" s="8" t="s">
        <v>4024</v>
      </c>
      <c r="V378" s="8" t="s">
        <v>4025</v>
      </c>
      <c r="W378" s="8" t="s">
        <v>4026</v>
      </c>
    </row>
    <row r="379" spans="1:23" ht="28" customHeight="1" x14ac:dyDescent="0.3">
      <c r="A379" s="308">
        <v>45733</v>
      </c>
      <c r="B379" s="302">
        <v>2212.3510000000001</v>
      </c>
      <c r="C379" s="8">
        <v>8.2210000000000001</v>
      </c>
      <c r="D379" s="268">
        <v>3.7000000000000002E-3</v>
      </c>
      <c r="E379" s="8">
        <v>80.12</v>
      </c>
      <c r="F379" s="8">
        <v>134.62799999999999</v>
      </c>
      <c r="G379" s="8">
        <v>124.36199999999999</v>
      </c>
      <c r="H379" s="8">
        <v>97.64</v>
      </c>
      <c r="I379" s="8">
        <v>176.77</v>
      </c>
      <c r="J379" s="8">
        <v>27.56</v>
      </c>
      <c r="K379" s="268">
        <v>0.4214</v>
      </c>
      <c r="L379" s="268">
        <v>0.26700000000000002</v>
      </c>
      <c r="M379" s="268">
        <v>-5.0599999999999999E-2</v>
      </c>
      <c r="N379" s="8">
        <v>695.13</v>
      </c>
      <c r="O379" s="8">
        <v>6917.27</v>
      </c>
      <c r="P379" s="268">
        <v>0.10050000000000001</v>
      </c>
      <c r="Q379" s="8">
        <v>492</v>
      </c>
      <c r="R379" s="8" t="s">
        <v>4027</v>
      </c>
      <c r="S379" s="8" t="s">
        <v>4028</v>
      </c>
      <c r="T379" s="8" t="s">
        <v>4029</v>
      </c>
      <c r="U379" s="8" t="s">
        <v>4030</v>
      </c>
      <c r="V379" s="8" t="s">
        <v>4031</v>
      </c>
      <c r="W379" s="8" t="s">
        <v>4032</v>
      </c>
    </row>
    <row r="380" spans="1:23" ht="28" customHeight="1" x14ac:dyDescent="0.3">
      <c r="A380" s="308">
        <v>45730</v>
      </c>
      <c r="B380" s="302">
        <v>2204.13</v>
      </c>
      <c r="C380" s="8">
        <v>19.248999999999999</v>
      </c>
      <c r="D380" s="268">
        <v>8.8000000000000005E-3</v>
      </c>
      <c r="E380" s="8">
        <v>77.430000000000007</v>
      </c>
      <c r="F380" s="8">
        <v>134.10300000000001</v>
      </c>
      <c r="G380" s="8">
        <v>124</v>
      </c>
      <c r="H380" s="8">
        <v>97.19</v>
      </c>
      <c r="I380" s="8">
        <v>177.09</v>
      </c>
      <c r="J380" s="8">
        <v>30.38</v>
      </c>
      <c r="K380" s="268">
        <v>0.4299</v>
      </c>
      <c r="L380" s="268">
        <v>0.26690000000000003</v>
      </c>
      <c r="M380" s="268">
        <v>-4.9099999999999998E-2</v>
      </c>
      <c r="N380" s="8">
        <v>890.04</v>
      </c>
      <c r="O380" s="8">
        <v>6919.17</v>
      </c>
      <c r="P380" s="268">
        <v>0.12859999999999999</v>
      </c>
      <c r="Q380" s="8">
        <v>491</v>
      </c>
      <c r="R380" s="8" t="s">
        <v>3667</v>
      </c>
      <c r="S380" s="8" t="s">
        <v>4033</v>
      </c>
      <c r="T380" s="8" t="s">
        <v>4034</v>
      </c>
      <c r="U380" s="8" t="s">
        <v>4035</v>
      </c>
      <c r="V380" s="8" t="s">
        <v>4036</v>
      </c>
      <c r="W380" s="8" t="s">
        <v>4037</v>
      </c>
    </row>
    <row r="381" spans="1:23" ht="28" customHeight="1" x14ac:dyDescent="0.3">
      <c r="A381" s="308">
        <v>45729</v>
      </c>
      <c r="B381" s="302">
        <v>2184.8809999999999</v>
      </c>
      <c r="C381" s="8">
        <v>-20.911000000000001</v>
      </c>
      <c r="D381" s="268">
        <v>-9.4999999999999998E-3</v>
      </c>
      <c r="E381" s="8">
        <v>73.66</v>
      </c>
      <c r="F381" s="8">
        <v>132.749</v>
      </c>
      <c r="G381" s="8">
        <v>122.92100000000001</v>
      </c>
      <c r="H381" s="8">
        <v>95.85</v>
      </c>
      <c r="I381" s="8">
        <v>176.81</v>
      </c>
      <c r="J381" s="8">
        <v>32.71</v>
      </c>
      <c r="K381" s="268">
        <v>0.44059999999999999</v>
      </c>
      <c r="L381" s="268">
        <v>0.2727</v>
      </c>
      <c r="M381" s="268">
        <v>-4.5900000000000003E-2</v>
      </c>
      <c r="N381" s="8">
        <v>753.91</v>
      </c>
      <c r="O381" s="8">
        <v>6925.66</v>
      </c>
      <c r="P381" s="268">
        <v>0.1089</v>
      </c>
      <c r="Q381" s="8">
        <v>492</v>
      </c>
      <c r="R381" s="8" t="s">
        <v>4038</v>
      </c>
      <c r="S381" s="8" t="s">
        <v>4039</v>
      </c>
      <c r="T381" s="8" t="s">
        <v>4040</v>
      </c>
      <c r="U381" s="8" t="s">
        <v>4041</v>
      </c>
      <c r="V381" s="8" t="s">
        <v>4042</v>
      </c>
      <c r="W381" s="8" t="s">
        <v>4043</v>
      </c>
    </row>
    <row r="382" spans="1:23" ht="28" customHeight="1" x14ac:dyDescent="0.3">
      <c r="A382" s="308">
        <v>45728</v>
      </c>
      <c r="B382" s="302">
        <v>2205.7919999999999</v>
      </c>
      <c r="C382" s="8">
        <v>8.8970000000000002</v>
      </c>
      <c r="D382" s="268">
        <v>4.1000000000000003E-3</v>
      </c>
      <c r="E382" s="8">
        <v>76.03</v>
      </c>
      <c r="F382" s="8">
        <v>134.38900000000001</v>
      </c>
      <c r="G382" s="8">
        <v>123.687</v>
      </c>
      <c r="H382" s="8">
        <v>96.88</v>
      </c>
      <c r="I382" s="8">
        <v>178.15</v>
      </c>
      <c r="J382" s="8">
        <v>31.94</v>
      </c>
      <c r="K382" s="268">
        <v>0.43759999999999999</v>
      </c>
      <c r="L382" s="268">
        <v>0.27079999999999999</v>
      </c>
      <c r="M382" s="268">
        <v>-4.8899999999999999E-2</v>
      </c>
      <c r="N382" s="8">
        <v>838.26</v>
      </c>
      <c r="O382" s="8">
        <v>6930.64</v>
      </c>
      <c r="P382" s="268">
        <v>0.121</v>
      </c>
      <c r="Q382" s="8">
        <v>491</v>
      </c>
      <c r="R382" s="8" t="s">
        <v>4044</v>
      </c>
      <c r="S382" s="8" t="s">
        <v>4045</v>
      </c>
      <c r="T382" s="8" t="s">
        <v>4046</v>
      </c>
      <c r="U382" s="8" t="s">
        <v>4047</v>
      </c>
      <c r="V382" s="8" t="s">
        <v>4048</v>
      </c>
      <c r="W382" s="8" t="s">
        <v>4049</v>
      </c>
    </row>
    <row r="383" spans="1:23" ht="28" customHeight="1" x14ac:dyDescent="0.3">
      <c r="A383" s="308">
        <v>45727</v>
      </c>
      <c r="B383" s="302">
        <v>2196.895</v>
      </c>
      <c r="C383" s="8">
        <v>-11.327999999999999</v>
      </c>
      <c r="D383" s="268">
        <v>-5.1000000000000004E-3</v>
      </c>
      <c r="E383" s="8">
        <v>74.540000000000006</v>
      </c>
      <c r="F383" s="8">
        <v>133.75200000000001</v>
      </c>
      <c r="G383" s="8">
        <v>123.32</v>
      </c>
      <c r="H383" s="8">
        <v>96.67</v>
      </c>
      <c r="I383" s="8">
        <v>177.12</v>
      </c>
      <c r="J383" s="8">
        <v>31.99</v>
      </c>
      <c r="K383" s="268">
        <v>0.43369999999999997</v>
      </c>
      <c r="L383" s="268">
        <v>0.2656</v>
      </c>
      <c r="M383" s="268">
        <v>-5.04E-2</v>
      </c>
      <c r="N383" s="8">
        <v>787.96</v>
      </c>
      <c r="O383" s="8">
        <v>6940.79</v>
      </c>
      <c r="P383" s="268">
        <v>0.1135</v>
      </c>
      <c r="Q383" s="8">
        <v>492</v>
      </c>
      <c r="R383" s="8" t="s">
        <v>4050</v>
      </c>
      <c r="S383" s="8" t="s">
        <v>4051</v>
      </c>
      <c r="T383" s="8" t="s">
        <v>4052</v>
      </c>
      <c r="U383" s="8" t="s">
        <v>4053</v>
      </c>
      <c r="V383" s="8" t="s">
        <v>4054</v>
      </c>
      <c r="W383" s="8" t="s">
        <v>4055</v>
      </c>
    </row>
    <row r="384" spans="1:23" ht="28" customHeight="1" x14ac:dyDescent="0.3">
      <c r="A384" s="308">
        <v>45726</v>
      </c>
      <c r="B384" s="302">
        <v>2208.223</v>
      </c>
      <c r="C384" s="8">
        <v>5.4409999999999998</v>
      </c>
      <c r="D384" s="268">
        <v>2.5000000000000001E-3</v>
      </c>
      <c r="E384" s="8">
        <v>79.53</v>
      </c>
      <c r="F384" s="8">
        <v>134.44</v>
      </c>
      <c r="G384" s="8">
        <v>124.262</v>
      </c>
      <c r="H384" s="8">
        <v>96.59</v>
      </c>
      <c r="I384" s="8">
        <v>179.77</v>
      </c>
      <c r="J384" s="8">
        <v>36.29</v>
      </c>
      <c r="K384" s="268">
        <v>0.45329999999999998</v>
      </c>
      <c r="L384" s="268">
        <v>0.28249999999999997</v>
      </c>
      <c r="M384" s="268">
        <v>-5.16E-2</v>
      </c>
      <c r="N384" s="8">
        <v>724.5</v>
      </c>
      <c r="O384" s="8">
        <v>6948.11</v>
      </c>
      <c r="P384" s="268">
        <v>0.1043</v>
      </c>
      <c r="Q384" s="8">
        <v>493</v>
      </c>
      <c r="R384" s="8" t="s">
        <v>4056</v>
      </c>
      <c r="S384" s="8" t="s">
        <v>4057</v>
      </c>
      <c r="T384" s="8" t="s">
        <v>4058</v>
      </c>
      <c r="U384" s="8" t="s">
        <v>4059</v>
      </c>
      <c r="V384" s="8" t="s">
        <v>4060</v>
      </c>
      <c r="W384" s="8" t="s">
        <v>4061</v>
      </c>
    </row>
    <row r="385" spans="1:23" ht="28" customHeight="1" x14ac:dyDescent="0.3">
      <c r="A385" s="308">
        <v>45723</v>
      </c>
      <c r="B385" s="302">
        <v>2202.7820000000002</v>
      </c>
      <c r="C385" s="8">
        <v>2.0470000000000002</v>
      </c>
      <c r="D385" s="268">
        <v>8.9999999999999998E-4</v>
      </c>
      <c r="E385" s="8">
        <v>77.12</v>
      </c>
      <c r="F385" s="8">
        <v>134.14099999999999</v>
      </c>
      <c r="G385" s="8">
        <v>124.074</v>
      </c>
      <c r="H385" s="8">
        <v>95.74</v>
      </c>
      <c r="I385" s="8">
        <v>180.52</v>
      </c>
      <c r="J385" s="8">
        <v>36.9</v>
      </c>
      <c r="K385" s="268">
        <v>0.46379999999999999</v>
      </c>
      <c r="L385" s="268">
        <v>0.29120000000000001</v>
      </c>
      <c r="M385" s="268">
        <v>-4.99E-2</v>
      </c>
      <c r="N385" s="8">
        <v>908.12</v>
      </c>
      <c r="O385" s="8">
        <v>6962.15</v>
      </c>
      <c r="P385" s="268">
        <v>0.13039999999999999</v>
      </c>
      <c r="Q385" s="8">
        <v>494</v>
      </c>
      <c r="R385" s="8" t="s">
        <v>4062</v>
      </c>
      <c r="S385" s="8" t="s">
        <v>4063</v>
      </c>
      <c r="T385" s="8" t="s">
        <v>4064</v>
      </c>
      <c r="U385" s="8" t="s">
        <v>4065</v>
      </c>
      <c r="V385" s="8" t="s">
        <v>4066</v>
      </c>
      <c r="W385" s="8" t="s">
        <v>4067</v>
      </c>
    </row>
    <row r="386" spans="1:23" ht="28" customHeight="1" x14ac:dyDescent="0.3">
      <c r="A386" s="308">
        <v>45722</v>
      </c>
      <c r="B386" s="302">
        <v>2200.7350000000001</v>
      </c>
      <c r="C386" s="8">
        <v>27.963999999999999</v>
      </c>
      <c r="D386" s="268">
        <v>1.29E-2</v>
      </c>
      <c r="E386" s="8">
        <v>77.14</v>
      </c>
      <c r="F386" s="8">
        <v>134.09800000000001</v>
      </c>
      <c r="G386" s="8">
        <v>124.226</v>
      </c>
      <c r="H386" s="8">
        <v>95.62</v>
      </c>
      <c r="I386" s="8">
        <v>180.54</v>
      </c>
      <c r="J386" s="8">
        <v>37.369999999999997</v>
      </c>
      <c r="K386" s="268">
        <v>0.46439999999999998</v>
      </c>
      <c r="L386" s="268">
        <v>0.28660000000000002</v>
      </c>
      <c r="M386" s="268">
        <v>-0.05</v>
      </c>
      <c r="N386" s="8">
        <v>892.39</v>
      </c>
      <c r="O386" s="8">
        <v>6967.63</v>
      </c>
      <c r="P386" s="268">
        <v>0.12809999999999999</v>
      </c>
      <c r="Q386" s="8">
        <v>494</v>
      </c>
      <c r="R386" s="8" t="s">
        <v>4068</v>
      </c>
      <c r="S386" s="8" t="s">
        <v>4069</v>
      </c>
      <c r="T386" s="8" t="s">
        <v>4070</v>
      </c>
      <c r="U386" s="8" t="s">
        <v>4071</v>
      </c>
      <c r="V386" s="8" t="s">
        <v>4072</v>
      </c>
      <c r="W386" s="8" t="s">
        <v>4073</v>
      </c>
    </row>
    <row r="387" spans="1:23" ht="28" customHeight="1" x14ac:dyDescent="0.3">
      <c r="A387" s="308">
        <v>45721</v>
      </c>
      <c r="B387" s="302">
        <v>2172.7710000000002</v>
      </c>
      <c r="C387" s="8">
        <v>10.638</v>
      </c>
      <c r="D387" s="268">
        <v>4.8999999999999998E-3</v>
      </c>
      <c r="E387" s="8">
        <v>72.33</v>
      </c>
      <c r="F387" s="8">
        <v>132.012</v>
      </c>
      <c r="G387" s="8">
        <v>122.504</v>
      </c>
      <c r="H387" s="8">
        <v>94.63</v>
      </c>
      <c r="I387" s="8">
        <v>179.05</v>
      </c>
      <c r="J387" s="8">
        <v>37.130000000000003</v>
      </c>
      <c r="K387" s="268">
        <v>0.47039999999999998</v>
      </c>
      <c r="L387" s="268">
        <v>0.29670000000000002</v>
      </c>
      <c r="M387" s="268">
        <v>-4.5199999999999997E-2</v>
      </c>
      <c r="N387" s="8">
        <v>713.67</v>
      </c>
      <c r="O387" s="8">
        <v>6977.93</v>
      </c>
      <c r="P387" s="268">
        <v>0.1023</v>
      </c>
      <c r="Q387" s="8">
        <v>495</v>
      </c>
      <c r="R387" s="8" t="s">
        <v>4074</v>
      </c>
      <c r="S387" s="8" t="s">
        <v>4075</v>
      </c>
      <c r="T387" s="8" t="s">
        <v>4076</v>
      </c>
      <c r="U387" s="8" t="s">
        <v>4077</v>
      </c>
      <c r="V387" s="8" t="s">
        <v>4078</v>
      </c>
      <c r="W387" s="8" t="s">
        <v>4079</v>
      </c>
    </row>
    <row r="388" spans="1:23" ht="28" customHeight="1" x14ac:dyDescent="0.3">
      <c r="A388" s="308">
        <v>45720</v>
      </c>
      <c r="B388" s="302">
        <v>2162.1329999999998</v>
      </c>
      <c r="C388" s="8">
        <v>13.407999999999999</v>
      </c>
      <c r="D388" s="268">
        <v>6.1999999999999998E-3</v>
      </c>
      <c r="E388" s="8">
        <v>71.77</v>
      </c>
      <c r="F388" s="8">
        <v>131.227</v>
      </c>
      <c r="G388" s="8">
        <v>122.3</v>
      </c>
      <c r="H388" s="8">
        <v>94.27</v>
      </c>
      <c r="I388" s="8">
        <v>177.85</v>
      </c>
      <c r="J388" s="8">
        <v>36.770000000000003</v>
      </c>
      <c r="K388" s="268">
        <v>0.4662</v>
      </c>
      <c r="L388" s="268">
        <v>0.29680000000000001</v>
      </c>
      <c r="M388" s="268">
        <v>-4.2999999999999997E-2</v>
      </c>
      <c r="N388" s="8">
        <v>735.08</v>
      </c>
      <c r="O388" s="8">
        <v>6981.73</v>
      </c>
      <c r="P388" s="268">
        <v>0.1053</v>
      </c>
      <c r="Q388" s="8">
        <v>495</v>
      </c>
      <c r="R388" s="8" t="s">
        <v>4080</v>
      </c>
      <c r="S388" s="8" t="s">
        <v>4081</v>
      </c>
      <c r="T388" s="8" t="s">
        <v>4082</v>
      </c>
      <c r="U388" s="8" t="s">
        <v>4083</v>
      </c>
      <c r="V388" s="8" t="s">
        <v>4084</v>
      </c>
      <c r="W388" s="8" t="s">
        <v>4085</v>
      </c>
    </row>
    <row r="389" spans="1:23" ht="28" customHeight="1" x14ac:dyDescent="0.3">
      <c r="A389" s="308">
        <v>45719</v>
      </c>
      <c r="B389" s="302">
        <v>2148.7249999999999</v>
      </c>
      <c r="C389" s="8">
        <v>-7.5469999999999997</v>
      </c>
      <c r="D389" s="268">
        <v>-3.5000000000000001E-3</v>
      </c>
      <c r="E389" s="8">
        <v>69.13</v>
      </c>
      <c r="F389" s="8">
        <v>130.196</v>
      </c>
      <c r="G389" s="8">
        <v>121.51300000000001</v>
      </c>
      <c r="H389" s="8">
        <v>92.98</v>
      </c>
      <c r="I389" s="8">
        <v>177.37</v>
      </c>
      <c r="J389" s="8">
        <v>38.9</v>
      </c>
      <c r="K389" s="268">
        <v>0.47170000000000001</v>
      </c>
      <c r="L389" s="268">
        <v>0.30149999999999999</v>
      </c>
      <c r="M389" s="268">
        <v>-4.4900000000000002E-2</v>
      </c>
      <c r="N389" s="8">
        <v>733.15</v>
      </c>
      <c r="O389" s="8">
        <v>6990.44</v>
      </c>
      <c r="P389" s="268">
        <v>0.10489999999999999</v>
      </c>
      <c r="Q389" s="8">
        <v>496</v>
      </c>
      <c r="R389" s="8" t="s">
        <v>4086</v>
      </c>
      <c r="S389" s="8" t="s">
        <v>3564</v>
      </c>
      <c r="T389" s="8" t="s">
        <v>4087</v>
      </c>
      <c r="U389" s="8" t="s">
        <v>4088</v>
      </c>
      <c r="V389" s="8" t="s">
        <v>4089</v>
      </c>
      <c r="W389" s="8" t="s">
        <v>4090</v>
      </c>
    </row>
    <row r="390" spans="1:23" ht="28" customHeight="1" x14ac:dyDescent="0.3">
      <c r="A390" s="308">
        <v>45716</v>
      </c>
      <c r="B390" s="302">
        <v>2156.2719999999999</v>
      </c>
      <c r="C390" s="8">
        <v>-40.866999999999997</v>
      </c>
      <c r="D390" s="268">
        <v>-1.8599999999999998E-2</v>
      </c>
      <c r="E390" s="8">
        <v>71.06</v>
      </c>
      <c r="F390" s="8">
        <v>130.571</v>
      </c>
      <c r="G390" s="8">
        <v>121.752</v>
      </c>
      <c r="H390" s="8">
        <v>92.82</v>
      </c>
      <c r="I390" s="8">
        <v>179.16</v>
      </c>
      <c r="J390" s="8">
        <v>41.47</v>
      </c>
      <c r="K390" s="268">
        <v>0.4859</v>
      </c>
      <c r="L390" s="268">
        <v>0.31180000000000002</v>
      </c>
      <c r="M390" s="268">
        <v>-4.3099999999999999E-2</v>
      </c>
      <c r="N390" s="8">
        <v>693.71</v>
      </c>
      <c r="O390" s="8">
        <v>6996.16</v>
      </c>
      <c r="P390" s="268">
        <v>9.9199999999999997E-2</v>
      </c>
      <c r="Q390" s="8">
        <v>496</v>
      </c>
      <c r="R390" s="8" t="s">
        <v>4091</v>
      </c>
      <c r="S390" s="8" t="s">
        <v>4092</v>
      </c>
      <c r="T390" s="8" t="s">
        <v>4093</v>
      </c>
      <c r="U390" s="8" t="s">
        <v>4094</v>
      </c>
      <c r="V390" s="8" t="s">
        <v>4095</v>
      </c>
      <c r="W390" s="8" t="s">
        <v>4096</v>
      </c>
    </row>
    <row r="391" spans="1:23" ht="28" customHeight="1" x14ac:dyDescent="0.3">
      <c r="A391" s="308">
        <v>45715</v>
      </c>
      <c r="B391" s="302">
        <v>2197.1390000000001</v>
      </c>
      <c r="C391" s="8">
        <v>-13.484999999999999</v>
      </c>
      <c r="D391" s="268">
        <v>-6.1000000000000004E-3</v>
      </c>
      <c r="E391" s="8">
        <v>78.33</v>
      </c>
      <c r="F391" s="8">
        <v>133.39099999999999</v>
      </c>
      <c r="G391" s="8">
        <v>123.608</v>
      </c>
      <c r="H391" s="8">
        <v>94.21</v>
      </c>
      <c r="I391" s="8">
        <v>180.14</v>
      </c>
      <c r="J391" s="8">
        <v>37.64</v>
      </c>
      <c r="K391" s="268">
        <v>0.46739999999999998</v>
      </c>
      <c r="L391" s="268">
        <v>0.29189999999999999</v>
      </c>
      <c r="M391" s="268">
        <v>-5.0099999999999999E-2</v>
      </c>
      <c r="N391" s="8">
        <v>846.11</v>
      </c>
      <c r="O391" s="8">
        <v>7002.88</v>
      </c>
      <c r="P391" s="268">
        <v>0.1208</v>
      </c>
      <c r="Q391" s="8">
        <v>498</v>
      </c>
      <c r="R391" s="8" t="s">
        <v>4097</v>
      </c>
      <c r="S391" s="8" t="s">
        <v>4098</v>
      </c>
      <c r="T391" s="8" t="s">
        <v>4099</v>
      </c>
      <c r="U391" s="8" t="s">
        <v>4100</v>
      </c>
      <c r="V391" s="8" t="s">
        <v>4101</v>
      </c>
      <c r="W391" s="8" t="s">
        <v>4102</v>
      </c>
    </row>
    <row r="392" spans="1:23" ht="28" customHeight="1" x14ac:dyDescent="0.3">
      <c r="A392" s="308">
        <v>45714</v>
      </c>
      <c r="B392" s="302">
        <v>2210.6239999999998</v>
      </c>
      <c r="C392" s="8">
        <v>18.393000000000001</v>
      </c>
      <c r="D392" s="268">
        <v>8.3999999999999995E-3</v>
      </c>
      <c r="E392" s="8">
        <v>80.61</v>
      </c>
      <c r="F392" s="8">
        <v>134.27000000000001</v>
      </c>
      <c r="G392" s="8">
        <v>124.23099999999999</v>
      </c>
      <c r="H392" s="8">
        <v>94.87</v>
      </c>
      <c r="I392" s="8">
        <v>181.03</v>
      </c>
      <c r="J392" s="8">
        <v>36.590000000000003</v>
      </c>
      <c r="K392" s="268">
        <v>0.46760000000000002</v>
      </c>
      <c r="L392" s="268">
        <v>0.2989</v>
      </c>
      <c r="M392" s="268">
        <v>-5.2400000000000002E-2</v>
      </c>
      <c r="N392" s="8">
        <v>965.26</v>
      </c>
      <c r="O392" s="8">
        <v>7015.76</v>
      </c>
      <c r="P392" s="268">
        <v>0.1376</v>
      </c>
      <c r="Q392" s="8">
        <v>500</v>
      </c>
      <c r="R392" s="8" t="s">
        <v>4103</v>
      </c>
      <c r="S392" s="8" t="s">
        <v>4104</v>
      </c>
      <c r="T392" s="8" t="s">
        <v>4105</v>
      </c>
      <c r="U392" s="8" t="s">
        <v>4106</v>
      </c>
      <c r="V392" s="8" t="s">
        <v>4107</v>
      </c>
      <c r="W392" s="8" t="s">
        <v>4108</v>
      </c>
    </row>
    <row r="393" spans="1:23" ht="28" customHeight="1" x14ac:dyDescent="0.3">
      <c r="A393" s="308">
        <v>45713</v>
      </c>
      <c r="B393" s="302">
        <v>2192.2310000000002</v>
      </c>
      <c r="C393" s="8">
        <v>2.3210000000000002</v>
      </c>
      <c r="D393" s="268">
        <v>1.1000000000000001E-3</v>
      </c>
      <c r="E393" s="8">
        <v>76.91</v>
      </c>
      <c r="F393" s="8">
        <v>133.071</v>
      </c>
      <c r="G393" s="8">
        <v>122.886</v>
      </c>
      <c r="H393" s="8">
        <v>93.33</v>
      </c>
      <c r="I393" s="8">
        <v>181.71</v>
      </c>
      <c r="J393" s="8">
        <v>39.47</v>
      </c>
      <c r="K393" s="268">
        <v>0.4864</v>
      </c>
      <c r="L393" s="268">
        <v>0.30809999999999998</v>
      </c>
      <c r="M393" s="268">
        <v>-4.8899999999999999E-2</v>
      </c>
      <c r="N393" s="8">
        <v>900.52</v>
      </c>
      <c r="O393" s="8">
        <v>7025.48</v>
      </c>
      <c r="P393" s="268">
        <v>0.12820000000000001</v>
      </c>
      <c r="Q393" s="8">
        <v>500</v>
      </c>
      <c r="R393" s="8" t="s">
        <v>4109</v>
      </c>
      <c r="S393" s="8" t="s">
        <v>4110</v>
      </c>
      <c r="T393" s="8" t="s">
        <v>4111</v>
      </c>
      <c r="U393" s="8" t="s">
        <v>4112</v>
      </c>
      <c r="V393" s="8" t="s">
        <v>4113</v>
      </c>
      <c r="W393" s="8" t="s">
        <v>4114</v>
      </c>
    </row>
    <row r="394" spans="1:23" ht="28" customHeight="1" x14ac:dyDescent="0.3">
      <c r="A394" s="308">
        <v>45712</v>
      </c>
      <c r="B394" s="302">
        <v>2189.91</v>
      </c>
      <c r="C394" s="8">
        <v>-2.8290000000000002</v>
      </c>
      <c r="D394" s="268">
        <v>-1.2999999999999999E-3</v>
      </c>
      <c r="E394" s="8">
        <v>78.19</v>
      </c>
      <c r="F394" s="8">
        <v>132.89599999999999</v>
      </c>
      <c r="G394" s="8">
        <v>123.127</v>
      </c>
      <c r="H394" s="8">
        <v>94.04</v>
      </c>
      <c r="I394" s="8">
        <v>180.99</v>
      </c>
      <c r="J394" s="8">
        <v>37.47</v>
      </c>
      <c r="K394" s="268">
        <v>0.48089999999999999</v>
      </c>
      <c r="L394" s="268">
        <v>0.30159999999999998</v>
      </c>
      <c r="M394" s="268">
        <v>-5.04E-2</v>
      </c>
      <c r="N394" s="8">
        <v>848.55</v>
      </c>
      <c r="O394" s="8">
        <v>7033.23</v>
      </c>
      <c r="P394" s="268">
        <v>0.1206</v>
      </c>
      <c r="Q394" s="8">
        <v>500</v>
      </c>
      <c r="R394" s="8" t="s">
        <v>4115</v>
      </c>
      <c r="S394" s="8" t="s">
        <v>4116</v>
      </c>
      <c r="T394" s="8" t="s">
        <v>4117</v>
      </c>
      <c r="U394" s="8" t="s">
        <v>4118</v>
      </c>
      <c r="V394" s="8" t="s">
        <v>4119</v>
      </c>
      <c r="W394" s="8" t="s">
        <v>4120</v>
      </c>
    </row>
    <row r="395" spans="1:23" ht="28" customHeight="1" x14ac:dyDescent="0.3">
      <c r="A395" s="308">
        <v>45709</v>
      </c>
      <c r="B395" s="302">
        <v>2192.739</v>
      </c>
      <c r="C395" s="8">
        <v>21.795999999999999</v>
      </c>
      <c r="D395" s="268">
        <v>0.01</v>
      </c>
      <c r="E395" s="8">
        <v>78.33</v>
      </c>
      <c r="F395" s="8">
        <v>133.12299999999999</v>
      </c>
      <c r="G395" s="8">
        <v>123.40300000000001</v>
      </c>
      <c r="H395" s="8">
        <v>93.5</v>
      </c>
      <c r="I395" s="8">
        <v>182.01</v>
      </c>
      <c r="J395" s="8">
        <v>42.23</v>
      </c>
      <c r="K395" s="268">
        <v>0.4889</v>
      </c>
      <c r="L395" s="268">
        <v>0.30880000000000002</v>
      </c>
      <c r="M395" s="268">
        <v>-0.05</v>
      </c>
      <c r="N395" s="8">
        <v>1004.24</v>
      </c>
      <c r="O395" s="8">
        <v>7042.35</v>
      </c>
      <c r="P395" s="268">
        <v>0.1426</v>
      </c>
      <c r="Q395" s="8">
        <v>501</v>
      </c>
      <c r="R395" s="8" t="s">
        <v>4121</v>
      </c>
      <c r="S395" s="8" t="s">
        <v>4122</v>
      </c>
      <c r="T395" s="8" t="s">
        <v>4123</v>
      </c>
      <c r="U395" s="8" t="s">
        <v>4124</v>
      </c>
      <c r="V395" s="8" t="s">
        <v>4125</v>
      </c>
      <c r="W395" s="8" t="s">
        <v>4126</v>
      </c>
    </row>
    <row r="396" spans="1:23" ht="28" customHeight="1" x14ac:dyDescent="0.3">
      <c r="A396" s="308">
        <v>45708</v>
      </c>
      <c r="B396" s="302">
        <v>2170.9430000000002</v>
      </c>
      <c r="C396" s="8">
        <v>12.798</v>
      </c>
      <c r="D396" s="268">
        <v>5.8999999999999999E-3</v>
      </c>
      <c r="E396" s="8">
        <v>76.849999999999994</v>
      </c>
      <c r="F396" s="8">
        <v>131.547</v>
      </c>
      <c r="G396" s="8">
        <v>122.6</v>
      </c>
      <c r="H396" s="8">
        <v>93.5</v>
      </c>
      <c r="I396" s="8">
        <v>180.33</v>
      </c>
      <c r="J396" s="8">
        <v>39.36</v>
      </c>
      <c r="K396" s="268">
        <v>0.48780000000000001</v>
      </c>
      <c r="L396" s="268">
        <v>0.31230000000000002</v>
      </c>
      <c r="M396" s="268">
        <v>-5.0299999999999997E-2</v>
      </c>
      <c r="N396" s="8">
        <v>825.01</v>
      </c>
      <c r="O396" s="8">
        <v>7050.91</v>
      </c>
      <c r="P396" s="268">
        <v>0.11700000000000001</v>
      </c>
      <c r="Q396" s="8">
        <v>501</v>
      </c>
      <c r="R396" s="8" t="s">
        <v>3673</v>
      </c>
      <c r="S396" s="8" t="s">
        <v>4127</v>
      </c>
      <c r="T396" s="8" t="s">
        <v>4128</v>
      </c>
      <c r="U396" s="8" t="s">
        <v>4129</v>
      </c>
      <c r="V396" s="8" t="s">
        <v>4130</v>
      </c>
      <c r="W396" s="8" t="s">
        <v>4131</v>
      </c>
    </row>
    <row r="397" spans="1:23" ht="28" customHeight="1" x14ac:dyDescent="0.3">
      <c r="A397" s="308">
        <v>45707</v>
      </c>
      <c r="B397" s="302">
        <v>2158.145</v>
      </c>
      <c r="C397" s="8">
        <v>26.707000000000001</v>
      </c>
      <c r="D397" s="268">
        <v>1.2500000000000001E-2</v>
      </c>
      <c r="E397" s="8">
        <v>74.290000000000006</v>
      </c>
      <c r="F397" s="8">
        <v>130.78700000000001</v>
      </c>
      <c r="G397" s="8">
        <v>122.1</v>
      </c>
      <c r="H397" s="8">
        <v>92.57</v>
      </c>
      <c r="I397" s="8">
        <v>180.34</v>
      </c>
      <c r="J397" s="8">
        <v>41.38</v>
      </c>
      <c r="K397" s="268">
        <v>0.4955</v>
      </c>
      <c r="L397" s="268">
        <v>0.30669999999999997</v>
      </c>
      <c r="M397" s="268">
        <v>-4.8399999999999999E-2</v>
      </c>
      <c r="N397" s="8">
        <v>810.18</v>
      </c>
      <c r="O397" s="8">
        <v>7059.13</v>
      </c>
      <c r="P397" s="268">
        <v>0.1148</v>
      </c>
      <c r="Q397" s="8">
        <v>501</v>
      </c>
      <c r="R397" s="8" t="s">
        <v>4132</v>
      </c>
      <c r="S397" s="8" t="s">
        <v>4133</v>
      </c>
      <c r="T397" s="8" t="s">
        <v>4134</v>
      </c>
      <c r="U397" s="8" t="s">
        <v>4135</v>
      </c>
      <c r="V397" s="8" t="s">
        <v>3478</v>
      </c>
      <c r="W397" s="8" t="s">
        <v>4136</v>
      </c>
    </row>
    <row r="398" spans="1:23" ht="28" customHeight="1" x14ac:dyDescent="0.3">
      <c r="A398" s="308">
        <v>45706</v>
      </c>
      <c r="B398" s="302">
        <v>2131.4380000000001</v>
      </c>
      <c r="C398" s="8">
        <v>-19.638999999999999</v>
      </c>
      <c r="D398" s="268">
        <v>-9.1000000000000004E-3</v>
      </c>
      <c r="E398" s="8">
        <v>70.02</v>
      </c>
      <c r="F398" s="8">
        <v>128.93199999999999</v>
      </c>
      <c r="G398" s="8">
        <v>121.2</v>
      </c>
      <c r="H398" s="8">
        <v>91.16</v>
      </c>
      <c r="I398" s="8">
        <v>179.97</v>
      </c>
      <c r="J398" s="8">
        <v>43.46</v>
      </c>
      <c r="K398" s="268">
        <v>0.51039999999999996</v>
      </c>
      <c r="L398" s="268">
        <v>0.32179999999999997</v>
      </c>
      <c r="M398" s="268">
        <v>-4.3200000000000002E-2</v>
      </c>
      <c r="N398" s="8">
        <v>716.52</v>
      </c>
      <c r="O398" s="8">
        <v>7067.35</v>
      </c>
      <c r="P398" s="268">
        <v>0.1014</v>
      </c>
      <c r="Q398" s="8">
        <v>501</v>
      </c>
      <c r="R398" s="8" t="s">
        <v>2618</v>
      </c>
      <c r="S398" s="8" t="s">
        <v>4137</v>
      </c>
      <c r="T398" s="8" t="s">
        <v>4138</v>
      </c>
      <c r="U398" s="8" t="s">
        <v>4139</v>
      </c>
      <c r="V398" s="8" t="s">
        <v>4140</v>
      </c>
      <c r="W398" s="8" t="s">
        <v>4141</v>
      </c>
    </row>
    <row r="399" spans="1:23" ht="28" customHeight="1" x14ac:dyDescent="0.3">
      <c r="A399" s="308">
        <v>45705</v>
      </c>
      <c r="B399" s="302">
        <v>2151.0770000000002</v>
      </c>
      <c r="C399" s="8">
        <v>8.6769999999999996</v>
      </c>
      <c r="D399" s="268">
        <v>4.1000000000000003E-3</v>
      </c>
      <c r="E399" s="8">
        <v>75.3</v>
      </c>
      <c r="F399" s="8">
        <v>130.19800000000001</v>
      </c>
      <c r="G399" s="8">
        <v>122.49</v>
      </c>
      <c r="H399" s="8">
        <v>92.28</v>
      </c>
      <c r="I399" s="8">
        <v>179.48</v>
      </c>
      <c r="J399" s="8">
        <v>41.83</v>
      </c>
      <c r="K399" s="268">
        <v>0.49280000000000002</v>
      </c>
      <c r="L399" s="268">
        <v>0.31680000000000003</v>
      </c>
      <c r="M399" s="268">
        <v>-4.7399999999999998E-2</v>
      </c>
      <c r="N399" s="8">
        <v>746.12</v>
      </c>
      <c r="O399" s="8">
        <v>7076.12</v>
      </c>
      <c r="P399" s="268">
        <v>0.10539999999999999</v>
      </c>
      <c r="Q399" s="8">
        <v>501</v>
      </c>
      <c r="R399" s="8" t="s">
        <v>4142</v>
      </c>
      <c r="S399" s="8" t="s">
        <v>4143</v>
      </c>
      <c r="T399" s="8" t="s">
        <v>4144</v>
      </c>
      <c r="U399" s="8" t="s">
        <v>4145</v>
      </c>
      <c r="V399" s="8" t="s">
        <v>4146</v>
      </c>
      <c r="W399" s="8" t="s">
        <v>4147</v>
      </c>
    </row>
    <row r="400" spans="1:23" ht="28" customHeight="1" x14ac:dyDescent="0.3">
      <c r="A400" s="308">
        <v>45702</v>
      </c>
      <c r="B400" s="302">
        <v>2142.4</v>
      </c>
      <c r="C400" s="8">
        <v>4.66</v>
      </c>
      <c r="D400" s="268">
        <v>2.2000000000000001E-3</v>
      </c>
      <c r="E400" s="8">
        <v>73.790000000000006</v>
      </c>
      <c r="F400" s="8">
        <v>129.41800000000001</v>
      </c>
      <c r="G400" s="8">
        <v>121.85</v>
      </c>
      <c r="H400" s="8">
        <v>91.91</v>
      </c>
      <c r="I400" s="8">
        <v>179.77</v>
      </c>
      <c r="J400" s="8">
        <v>43.13</v>
      </c>
      <c r="K400" s="268">
        <v>0.50349999999999995</v>
      </c>
      <c r="L400" s="268">
        <v>0.32119999999999999</v>
      </c>
      <c r="M400" s="268">
        <v>-4.4600000000000001E-2</v>
      </c>
      <c r="N400" s="8">
        <v>716.72</v>
      </c>
      <c r="O400" s="8">
        <v>7078.67</v>
      </c>
      <c r="P400" s="268">
        <v>0.1013</v>
      </c>
      <c r="Q400" s="8">
        <v>501</v>
      </c>
      <c r="R400" s="8" t="s">
        <v>4148</v>
      </c>
      <c r="S400" s="8" t="s">
        <v>4149</v>
      </c>
      <c r="T400" s="8" t="s">
        <v>4150</v>
      </c>
      <c r="U400" s="8" t="s">
        <v>4151</v>
      </c>
      <c r="V400" s="8" t="s">
        <v>4152</v>
      </c>
      <c r="W400" s="8" t="s">
        <v>4153</v>
      </c>
    </row>
    <row r="401" spans="1:23" ht="28" customHeight="1" x14ac:dyDescent="0.3">
      <c r="A401" s="308">
        <v>45701</v>
      </c>
      <c r="B401" s="302">
        <v>2137.7399999999998</v>
      </c>
      <c r="C401" s="8">
        <v>-8.8219999999999992</v>
      </c>
      <c r="D401" s="268">
        <v>-4.1000000000000003E-3</v>
      </c>
      <c r="E401" s="8">
        <v>72.53</v>
      </c>
      <c r="F401" s="8">
        <v>129.12200000000001</v>
      </c>
      <c r="G401" s="8">
        <v>121.31699999999999</v>
      </c>
      <c r="H401" s="8">
        <v>91.3</v>
      </c>
      <c r="I401" s="8">
        <v>180.15</v>
      </c>
      <c r="J401" s="8">
        <v>44.12</v>
      </c>
      <c r="K401" s="268">
        <v>0.51029999999999998</v>
      </c>
      <c r="L401" s="268">
        <v>0.32490000000000002</v>
      </c>
      <c r="M401" s="268">
        <v>-4.36E-2</v>
      </c>
      <c r="N401" s="8">
        <v>619.05999999999995</v>
      </c>
      <c r="O401" s="8">
        <v>7068.84</v>
      </c>
      <c r="P401" s="268">
        <v>8.7599999999999997E-2</v>
      </c>
      <c r="Q401" s="8">
        <v>501</v>
      </c>
      <c r="R401" s="8" t="s">
        <v>4154</v>
      </c>
      <c r="S401" s="8" t="s">
        <v>3520</v>
      </c>
      <c r="T401" s="8" t="s">
        <v>4155</v>
      </c>
      <c r="U401" s="8" t="s">
        <v>4156</v>
      </c>
      <c r="V401" s="8" t="s">
        <v>4157</v>
      </c>
      <c r="W401" s="8" t="s">
        <v>4158</v>
      </c>
    </row>
    <row r="402" spans="1:23" ht="28" customHeight="1" x14ac:dyDescent="0.3">
      <c r="A402" s="308">
        <v>45700</v>
      </c>
      <c r="B402" s="302">
        <v>2146.5619999999999</v>
      </c>
      <c r="C402" s="8">
        <v>10.891999999999999</v>
      </c>
      <c r="D402" s="268">
        <v>5.1000000000000004E-3</v>
      </c>
      <c r="E402" s="8">
        <v>75.75</v>
      </c>
      <c r="F402" s="8">
        <v>129.64500000000001</v>
      </c>
      <c r="G402" s="8">
        <v>121.66800000000001</v>
      </c>
      <c r="H402" s="8">
        <v>92.45</v>
      </c>
      <c r="I402" s="8">
        <v>179.71</v>
      </c>
      <c r="J402" s="8">
        <v>39.24</v>
      </c>
      <c r="K402" s="268">
        <v>0.50070000000000003</v>
      </c>
      <c r="L402" s="268">
        <v>0.31390000000000001</v>
      </c>
      <c r="M402" s="268">
        <v>-4.5499999999999999E-2</v>
      </c>
      <c r="N402" s="8">
        <v>639.27</v>
      </c>
      <c r="O402" s="8">
        <v>7079.19</v>
      </c>
      <c r="P402" s="268">
        <v>9.0300000000000005E-2</v>
      </c>
      <c r="Q402" s="8">
        <v>501</v>
      </c>
      <c r="R402" s="8" t="s">
        <v>4159</v>
      </c>
      <c r="S402" s="8" t="s">
        <v>4160</v>
      </c>
      <c r="T402" s="8" t="s">
        <v>4161</v>
      </c>
      <c r="U402" s="8" t="s">
        <v>4162</v>
      </c>
      <c r="V402" s="8" t="s">
        <v>4163</v>
      </c>
      <c r="W402" s="8" t="s">
        <v>4164</v>
      </c>
    </row>
    <row r="403" spans="1:23" ht="28" customHeight="1" x14ac:dyDescent="0.3">
      <c r="A403" s="308">
        <v>45699</v>
      </c>
      <c r="B403" s="302">
        <v>2135.67</v>
      </c>
      <c r="C403" s="8">
        <v>-5.9969999999999999</v>
      </c>
      <c r="D403" s="268">
        <v>-2.8E-3</v>
      </c>
      <c r="E403" s="8">
        <v>73.66</v>
      </c>
      <c r="F403" s="8">
        <v>128.81100000000001</v>
      </c>
      <c r="G403" s="8">
        <v>121.354</v>
      </c>
      <c r="H403" s="8">
        <v>91.29</v>
      </c>
      <c r="I403" s="8">
        <v>179.82</v>
      </c>
      <c r="J403" s="8">
        <v>44.32</v>
      </c>
      <c r="K403" s="268">
        <v>0.5101</v>
      </c>
      <c r="L403" s="268">
        <v>0.31940000000000002</v>
      </c>
      <c r="M403" s="268">
        <v>-4.3499999999999997E-2</v>
      </c>
      <c r="N403" s="8">
        <v>571.88</v>
      </c>
      <c r="O403" s="8">
        <v>7089.99</v>
      </c>
      <c r="P403" s="268">
        <v>8.0699999999999994E-2</v>
      </c>
      <c r="Q403" s="8">
        <v>502</v>
      </c>
      <c r="R403" s="8" t="s">
        <v>4165</v>
      </c>
      <c r="S403" s="8" t="s">
        <v>4166</v>
      </c>
      <c r="T403" s="8" t="s">
        <v>4167</v>
      </c>
      <c r="U403" s="8" t="s">
        <v>4168</v>
      </c>
      <c r="V403" s="8" t="s">
        <v>4169</v>
      </c>
      <c r="W403" s="8" t="s">
        <v>4170</v>
      </c>
    </row>
    <row r="404" spans="1:23" ht="28" customHeight="1" x14ac:dyDescent="0.3">
      <c r="A404" s="308">
        <v>45698</v>
      </c>
      <c r="B404" s="302">
        <v>2141.6669999999999</v>
      </c>
      <c r="C404" s="8">
        <v>8.2349999999999994</v>
      </c>
      <c r="D404" s="268">
        <v>3.8999999999999998E-3</v>
      </c>
      <c r="E404" s="8">
        <v>75.709999999999994</v>
      </c>
      <c r="F404" s="8">
        <v>129.214</v>
      </c>
      <c r="G404" s="8">
        <v>122.045</v>
      </c>
      <c r="H404" s="8">
        <v>91.54</v>
      </c>
      <c r="I404" s="8">
        <v>180.33</v>
      </c>
      <c r="J404" s="8">
        <v>44.18</v>
      </c>
      <c r="K404" s="268">
        <v>0.51119999999999999</v>
      </c>
      <c r="L404" s="268">
        <v>0.32069999999999999</v>
      </c>
      <c r="M404" s="268">
        <v>-4.4600000000000001E-2</v>
      </c>
      <c r="N404" s="8">
        <v>582.07000000000005</v>
      </c>
      <c r="O404" s="8">
        <v>7094.68</v>
      </c>
      <c r="P404" s="268">
        <v>8.2000000000000003E-2</v>
      </c>
      <c r="Q404" s="8">
        <v>501</v>
      </c>
      <c r="R404" s="8" t="s">
        <v>3987</v>
      </c>
      <c r="S404" s="8" t="s">
        <v>4171</v>
      </c>
      <c r="T404" s="8" t="s">
        <v>4172</v>
      </c>
      <c r="U404" s="8" t="s">
        <v>4173</v>
      </c>
      <c r="V404" s="8" t="s">
        <v>4174</v>
      </c>
      <c r="W404" s="8" t="s">
        <v>4175</v>
      </c>
    </row>
    <row r="405" spans="1:23" ht="28" customHeight="1" x14ac:dyDescent="0.3">
      <c r="A405" s="308">
        <v>45695</v>
      </c>
      <c r="B405" s="302">
        <v>2133.4319999999998</v>
      </c>
      <c r="C405" s="8">
        <v>9.7270000000000003</v>
      </c>
      <c r="D405" s="268">
        <v>4.5999999999999999E-3</v>
      </c>
      <c r="E405" s="8">
        <v>75.349999999999994</v>
      </c>
      <c r="F405" s="8">
        <v>128.75899999999999</v>
      </c>
      <c r="G405" s="8">
        <v>121.5</v>
      </c>
      <c r="H405" s="8">
        <v>90.54</v>
      </c>
      <c r="I405" s="8">
        <v>181.54</v>
      </c>
      <c r="J405" s="8">
        <v>46.54</v>
      </c>
      <c r="K405" s="268">
        <v>0.52780000000000005</v>
      </c>
      <c r="L405" s="268">
        <v>0.33189999999999997</v>
      </c>
      <c r="M405" s="268">
        <v>-4.48E-2</v>
      </c>
      <c r="N405" s="8">
        <v>676.6</v>
      </c>
      <c r="O405" s="8">
        <v>7093.72</v>
      </c>
      <c r="P405" s="268">
        <v>9.5399999999999999E-2</v>
      </c>
      <c r="Q405" s="8">
        <v>500</v>
      </c>
      <c r="R405" s="8" t="s">
        <v>4176</v>
      </c>
      <c r="S405" s="8" t="s">
        <v>4177</v>
      </c>
      <c r="T405" s="8" t="s">
        <v>4178</v>
      </c>
      <c r="U405" s="8" t="s">
        <v>4179</v>
      </c>
      <c r="V405" s="8" t="s">
        <v>4180</v>
      </c>
      <c r="W405" s="8" t="s">
        <v>4181</v>
      </c>
    </row>
    <row r="406" spans="1:23" ht="28" customHeight="1" x14ac:dyDescent="0.3">
      <c r="A406" s="308">
        <v>45694</v>
      </c>
      <c r="B406" s="302">
        <v>2123.7049999999999</v>
      </c>
      <c r="C406" s="8">
        <v>24.332000000000001</v>
      </c>
      <c r="D406" s="268">
        <v>1.1599999999999999E-2</v>
      </c>
      <c r="E406" s="8">
        <v>72.72</v>
      </c>
      <c r="F406" s="8">
        <v>128.245</v>
      </c>
      <c r="G406" s="8">
        <v>120.964</v>
      </c>
      <c r="H406" s="8">
        <v>89.43</v>
      </c>
      <c r="I406" s="8">
        <v>182.72</v>
      </c>
      <c r="J406" s="8">
        <v>51.32</v>
      </c>
      <c r="K406" s="268">
        <v>0.54469999999999996</v>
      </c>
      <c r="L406" s="268">
        <v>0.3417</v>
      </c>
      <c r="M406" s="268">
        <v>-4.3900000000000002E-2</v>
      </c>
      <c r="N406" s="8">
        <v>603.07000000000005</v>
      </c>
      <c r="O406" s="8">
        <v>7096.8</v>
      </c>
      <c r="P406" s="268">
        <v>8.5000000000000006E-2</v>
      </c>
      <c r="Q406" s="8">
        <v>500</v>
      </c>
      <c r="R406" s="8" t="s">
        <v>4182</v>
      </c>
      <c r="S406" s="8" t="s">
        <v>4183</v>
      </c>
      <c r="T406" s="8" t="s">
        <v>4184</v>
      </c>
      <c r="U406" s="8" t="s">
        <v>4185</v>
      </c>
      <c r="V406" s="8" t="s">
        <v>4186</v>
      </c>
      <c r="W406" s="8" t="s">
        <v>4187</v>
      </c>
    </row>
    <row r="407" spans="1:23" ht="28" customHeight="1" x14ac:dyDescent="0.3">
      <c r="A407" s="308">
        <v>45693</v>
      </c>
      <c r="B407" s="302">
        <v>2099.373</v>
      </c>
      <c r="C407" s="8">
        <v>14.531000000000001</v>
      </c>
      <c r="D407" s="268">
        <v>7.0000000000000001E-3</v>
      </c>
      <c r="E407" s="8">
        <v>68.569999999999993</v>
      </c>
      <c r="F407" s="8">
        <v>126.611</v>
      </c>
      <c r="G407" s="8">
        <v>120.07599999999999</v>
      </c>
      <c r="H407" s="8">
        <v>88.39</v>
      </c>
      <c r="I407" s="8">
        <v>182.6</v>
      </c>
      <c r="J407" s="8">
        <v>54.85</v>
      </c>
      <c r="K407" s="268">
        <v>0.55989999999999995</v>
      </c>
      <c r="L407" s="268">
        <v>0.3553</v>
      </c>
      <c r="M407" s="268">
        <v>-3.8399999999999997E-2</v>
      </c>
      <c r="N407" s="8">
        <v>506.64</v>
      </c>
      <c r="O407" s="8">
        <v>7105.63</v>
      </c>
      <c r="P407" s="268">
        <v>7.1300000000000002E-2</v>
      </c>
      <c r="Q407" s="8">
        <v>501</v>
      </c>
      <c r="R407" s="8" t="s">
        <v>4188</v>
      </c>
      <c r="S407" s="8" t="s">
        <v>4189</v>
      </c>
      <c r="T407" s="8" t="s">
        <v>4190</v>
      </c>
      <c r="U407" s="8" t="s">
        <v>4191</v>
      </c>
      <c r="V407" s="8" t="s">
        <v>4192</v>
      </c>
      <c r="W407" s="8" t="s">
        <v>4193</v>
      </c>
    </row>
    <row r="408" spans="1:23" ht="28" customHeight="1" x14ac:dyDescent="0.3">
      <c r="A408" s="308">
        <v>45684</v>
      </c>
      <c r="B408" s="302">
        <v>2084.8420000000001</v>
      </c>
      <c r="C408" s="8">
        <v>-17.533999999999999</v>
      </c>
      <c r="D408" s="268">
        <v>-8.3000000000000001E-3</v>
      </c>
      <c r="E408" s="8">
        <v>66.06</v>
      </c>
      <c r="F408" s="8">
        <v>125.66200000000001</v>
      </c>
      <c r="G408" s="8">
        <v>119.336</v>
      </c>
      <c r="H408" s="8">
        <v>87.83</v>
      </c>
      <c r="I408" s="8">
        <v>181.73</v>
      </c>
      <c r="J408" s="8">
        <v>55.56</v>
      </c>
      <c r="K408" s="268">
        <v>0.56069999999999998</v>
      </c>
      <c r="L408" s="268">
        <v>0.3669</v>
      </c>
      <c r="M408" s="268">
        <v>-3.39E-2</v>
      </c>
      <c r="N408" s="8">
        <v>433.06</v>
      </c>
      <c r="O408" s="8">
        <v>7111.66</v>
      </c>
      <c r="P408" s="268">
        <v>6.0900000000000003E-2</v>
      </c>
      <c r="Q408" s="8">
        <v>501</v>
      </c>
      <c r="R408" s="8" t="s">
        <v>4194</v>
      </c>
      <c r="S408" s="8" t="s">
        <v>4195</v>
      </c>
      <c r="T408" s="8" t="s">
        <v>4196</v>
      </c>
      <c r="U408" s="8" t="s">
        <v>4197</v>
      </c>
      <c r="V408" s="8" t="s">
        <v>4198</v>
      </c>
      <c r="W408" s="8" t="s">
        <v>4199</v>
      </c>
    </row>
    <row r="409" spans="1:23" ht="28" customHeight="1" x14ac:dyDescent="0.3">
      <c r="A409" s="308">
        <v>45681</v>
      </c>
      <c r="B409" s="302">
        <v>2102.3760000000002</v>
      </c>
      <c r="C409" s="8">
        <v>14.324</v>
      </c>
      <c r="D409" s="268">
        <v>6.8999999999999999E-3</v>
      </c>
      <c r="E409" s="8">
        <v>69.569999999999993</v>
      </c>
      <c r="F409" s="8">
        <v>126.765</v>
      </c>
      <c r="G409" s="8">
        <v>120.13200000000001</v>
      </c>
      <c r="H409" s="8">
        <v>87.86</v>
      </c>
      <c r="I409" s="8">
        <v>182.95</v>
      </c>
      <c r="J409" s="8">
        <v>57.1</v>
      </c>
      <c r="K409" s="268">
        <v>0.56189999999999996</v>
      </c>
      <c r="L409" s="268">
        <v>0.36909999999999998</v>
      </c>
      <c r="M409" s="268">
        <v>-3.8600000000000002E-2</v>
      </c>
      <c r="N409" s="8">
        <v>627.89</v>
      </c>
      <c r="O409" s="8">
        <v>7115.63</v>
      </c>
      <c r="P409" s="268">
        <v>8.8200000000000001E-2</v>
      </c>
      <c r="Q409" s="8">
        <v>501</v>
      </c>
      <c r="R409" s="8" t="s">
        <v>4200</v>
      </c>
      <c r="S409" s="8" t="s">
        <v>3525</v>
      </c>
      <c r="T409" s="8" t="s">
        <v>4201</v>
      </c>
      <c r="U409" s="8" t="s">
        <v>4202</v>
      </c>
      <c r="V409" s="8" t="s">
        <v>4203</v>
      </c>
      <c r="W409" s="8" t="s">
        <v>4204</v>
      </c>
    </row>
    <row r="410" spans="1:23" ht="28" customHeight="1" x14ac:dyDescent="0.3">
      <c r="A410" s="308">
        <v>45680</v>
      </c>
      <c r="B410" s="302">
        <v>2088.0520000000001</v>
      </c>
      <c r="C410" s="8">
        <v>-2.76</v>
      </c>
      <c r="D410" s="268">
        <v>-1.2999999999999999E-3</v>
      </c>
      <c r="E410" s="8">
        <v>65.849999999999994</v>
      </c>
      <c r="F410" s="8">
        <v>125.874</v>
      </c>
      <c r="G410" s="8">
        <v>119.77</v>
      </c>
      <c r="H410" s="8">
        <v>86.9</v>
      </c>
      <c r="I410" s="8">
        <v>182.75</v>
      </c>
      <c r="J410" s="8">
        <v>60.06</v>
      </c>
      <c r="K410" s="268">
        <v>0.56879999999999997</v>
      </c>
      <c r="L410" s="268">
        <v>0.3765</v>
      </c>
      <c r="M410" s="268">
        <v>-3.56E-2</v>
      </c>
      <c r="N410" s="8">
        <v>526.51</v>
      </c>
      <c r="O410" s="8">
        <v>7132.41</v>
      </c>
      <c r="P410" s="268">
        <v>7.3800000000000004E-2</v>
      </c>
      <c r="Q410" s="8">
        <v>503</v>
      </c>
      <c r="R410" s="8" t="s">
        <v>4205</v>
      </c>
      <c r="S410" s="8" t="s">
        <v>4206</v>
      </c>
      <c r="T410" s="8" t="s">
        <v>4207</v>
      </c>
      <c r="U410" s="8" t="s">
        <v>4208</v>
      </c>
      <c r="V410" s="8" t="s">
        <v>4209</v>
      </c>
      <c r="W410" s="8" t="s">
        <v>4210</v>
      </c>
    </row>
    <row r="411" spans="1:23" ht="28" customHeight="1" x14ac:dyDescent="0.3">
      <c r="A411" s="308">
        <v>45679</v>
      </c>
      <c r="B411" s="302">
        <v>2090.8119999999999</v>
      </c>
      <c r="C411" s="8">
        <v>-3.4969999999999999</v>
      </c>
      <c r="D411" s="268">
        <v>-1.6999999999999999E-3</v>
      </c>
      <c r="E411" s="8">
        <v>65.06</v>
      </c>
      <c r="F411" s="8">
        <v>126.142</v>
      </c>
      <c r="G411" s="8">
        <v>119.8</v>
      </c>
      <c r="H411" s="8">
        <v>86.71</v>
      </c>
      <c r="I411" s="8">
        <v>183.3</v>
      </c>
      <c r="J411" s="8">
        <v>59.1</v>
      </c>
      <c r="K411" s="268">
        <v>0.5716</v>
      </c>
      <c r="L411" s="268">
        <v>0.37659999999999999</v>
      </c>
      <c r="M411" s="268">
        <v>-3.6499999999999998E-2</v>
      </c>
      <c r="N411" s="8">
        <v>473.51</v>
      </c>
      <c r="O411" s="8">
        <v>7137.69</v>
      </c>
      <c r="P411" s="268">
        <v>6.6299999999999998E-2</v>
      </c>
      <c r="Q411" s="8">
        <v>503</v>
      </c>
      <c r="R411" s="8" t="s">
        <v>4211</v>
      </c>
      <c r="S411" s="8" t="s">
        <v>4212</v>
      </c>
      <c r="T411" s="8" t="s">
        <v>4213</v>
      </c>
      <c r="U411" s="8" t="s">
        <v>4214</v>
      </c>
      <c r="V411" s="8" t="s">
        <v>4215</v>
      </c>
      <c r="W411" s="8" t="s">
        <v>4216</v>
      </c>
    </row>
    <row r="412" spans="1:23" ht="28" customHeight="1" x14ac:dyDescent="0.3">
      <c r="A412" s="308">
        <v>45678</v>
      </c>
      <c r="B412" s="302">
        <v>2094.3090000000002</v>
      </c>
      <c r="C412" s="8">
        <v>6.556</v>
      </c>
      <c r="D412" s="268">
        <v>3.0999999999999999E-3</v>
      </c>
      <c r="E412" s="8">
        <v>66.11</v>
      </c>
      <c r="F412" s="8">
        <v>126.334</v>
      </c>
      <c r="G412" s="8">
        <v>119.589</v>
      </c>
      <c r="H412" s="8">
        <v>87.31</v>
      </c>
      <c r="I412" s="8">
        <v>182.35</v>
      </c>
      <c r="J412" s="8">
        <v>54.99</v>
      </c>
      <c r="K412" s="268">
        <v>0.56010000000000004</v>
      </c>
      <c r="L412" s="268">
        <v>0.36130000000000001</v>
      </c>
      <c r="M412" s="268">
        <v>-3.8100000000000002E-2</v>
      </c>
      <c r="N412" s="8">
        <v>521.66</v>
      </c>
      <c r="O412" s="8">
        <v>7140.3</v>
      </c>
      <c r="P412" s="268">
        <v>7.3099999999999998E-2</v>
      </c>
      <c r="Q412" s="8">
        <v>502</v>
      </c>
      <c r="R412" s="8" t="s">
        <v>4217</v>
      </c>
      <c r="S412" s="8" t="s">
        <v>2418</v>
      </c>
      <c r="T412" s="8" t="s">
        <v>4218</v>
      </c>
      <c r="U412" s="8" t="s">
        <v>4219</v>
      </c>
      <c r="V412" s="8" t="s">
        <v>4220</v>
      </c>
      <c r="W412" s="8" t="s">
        <v>4221</v>
      </c>
    </row>
    <row r="413" spans="1:23" ht="28" customHeight="1" x14ac:dyDescent="0.3">
      <c r="A413" s="308">
        <v>45677</v>
      </c>
      <c r="B413" s="302">
        <v>2087.7530000000002</v>
      </c>
      <c r="C413" s="8">
        <v>13.05</v>
      </c>
      <c r="D413" s="268">
        <v>6.3E-3</v>
      </c>
      <c r="E413" s="8">
        <v>65.09</v>
      </c>
      <c r="F413" s="8">
        <v>125.872</v>
      </c>
      <c r="G413" s="8">
        <v>119.544</v>
      </c>
      <c r="H413" s="8">
        <v>87.76</v>
      </c>
      <c r="I413" s="8">
        <v>181.04</v>
      </c>
      <c r="J413" s="8">
        <v>54.45</v>
      </c>
      <c r="K413" s="268">
        <v>0.55169999999999997</v>
      </c>
      <c r="L413" s="268">
        <v>0.3594</v>
      </c>
      <c r="M413" s="268">
        <v>-3.8899999999999997E-2</v>
      </c>
      <c r="N413" s="8">
        <v>501.92</v>
      </c>
      <c r="O413" s="8">
        <v>7138.09</v>
      </c>
      <c r="P413" s="268">
        <v>7.0300000000000001E-2</v>
      </c>
      <c r="Q413" s="8">
        <v>502</v>
      </c>
      <c r="R413" s="8" t="s">
        <v>2787</v>
      </c>
      <c r="S413" s="8" t="s">
        <v>4222</v>
      </c>
      <c r="T413" s="8" t="s">
        <v>4223</v>
      </c>
      <c r="U413" s="8" t="s">
        <v>4224</v>
      </c>
      <c r="V413" s="8" t="s">
        <v>4225</v>
      </c>
      <c r="W413" s="8" t="s">
        <v>4226</v>
      </c>
    </row>
    <row r="414" spans="1:23" ht="28" customHeight="1" x14ac:dyDescent="0.3">
      <c r="A414" s="308">
        <v>45674</v>
      </c>
      <c r="B414" s="302">
        <v>2074.703</v>
      </c>
      <c r="C414" s="8">
        <v>8.266</v>
      </c>
      <c r="D414" s="268">
        <v>4.0000000000000001E-3</v>
      </c>
      <c r="E414" s="8">
        <v>60.63</v>
      </c>
      <c r="F414" s="8">
        <v>125.024</v>
      </c>
      <c r="G414" s="8">
        <v>118.693</v>
      </c>
      <c r="H414" s="8">
        <v>86.99</v>
      </c>
      <c r="I414" s="8">
        <v>180.79</v>
      </c>
      <c r="J414" s="8">
        <v>57.36</v>
      </c>
      <c r="K414" s="268">
        <v>0.55769999999999997</v>
      </c>
      <c r="L414" s="268">
        <v>0.35560000000000003</v>
      </c>
      <c r="M414" s="268">
        <v>-3.5299999999999998E-2</v>
      </c>
      <c r="N414" s="8">
        <v>466.36</v>
      </c>
      <c r="O414" s="8">
        <v>7149.4</v>
      </c>
      <c r="P414" s="268">
        <v>6.5199999999999994E-2</v>
      </c>
      <c r="Q414" s="8">
        <v>504</v>
      </c>
      <c r="R414" s="8" t="s">
        <v>4227</v>
      </c>
      <c r="S414" s="8" t="s">
        <v>4228</v>
      </c>
      <c r="T414" s="8" t="s">
        <v>4229</v>
      </c>
      <c r="U414" s="8" t="s">
        <v>4230</v>
      </c>
      <c r="V414" s="8" t="s">
        <v>4231</v>
      </c>
      <c r="W414" s="8" t="s">
        <v>4232</v>
      </c>
    </row>
    <row r="415" spans="1:23" ht="28" customHeight="1" x14ac:dyDescent="0.3">
      <c r="A415" s="308">
        <v>45673</v>
      </c>
      <c r="B415" s="302">
        <v>2066.4369999999999</v>
      </c>
      <c r="C415" s="8">
        <v>-3.6230000000000002</v>
      </c>
      <c r="D415" s="268">
        <v>-1.6999999999999999E-3</v>
      </c>
      <c r="E415" s="8">
        <v>57.73</v>
      </c>
      <c r="F415" s="8">
        <v>124.596</v>
      </c>
      <c r="G415" s="8">
        <v>118.374</v>
      </c>
      <c r="H415" s="8">
        <v>86.34</v>
      </c>
      <c r="I415" s="8">
        <v>180.28</v>
      </c>
      <c r="J415" s="8">
        <v>56.32</v>
      </c>
      <c r="K415" s="268">
        <v>0.55679999999999996</v>
      </c>
      <c r="L415" s="268">
        <v>0.36009999999999998</v>
      </c>
      <c r="M415" s="268">
        <v>-3.3399999999999999E-2</v>
      </c>
      <c r="N415" s="8">
        <v>486.16</v>
      </c>
      <c r="O415" s="8">
        <v>7186.77</v>
      </c>
      <c r="P415" s="268">
        <v>6.7599999999999993E-2</v>
      </c>
      <c r="Q415" s="8">
        <v>504</v>
      </c>
      <c r="R415" s="8" t="s">
        <v>4233</v>
      </c>
      <c r="S415" s="8" t="s">
        <v>3126</v>
      </c>
      <c r="T415" s="8" t="s">
        <v>4234</v>
      </c>
      <c r="U415" s="8" t="s">
        <v>4235</v>
      </c>
      <c r="V415" s="8" t="s">
        <v>4236</v>
      </c>
      <c r="W415" s="8" t="s">
        <v>4237</v>
      </c>
    </row>
    <row r="416" spans="1:23" ht="28" customHeight="1" x14ac:dyDescent="0.3">
      <c r="A416" s="308">
        <v>45672</v>
      </c>
      <c r="B416" s="302">
        <v>2070.06</v>
      </c>
      <c r="C416" s="8">
        <v>1.9650000000000001</v>
      </c>
      <c r="D416" s="268">
        <v>1E-3</v>
      </c>
      <c r="E416" s="8">
        <v>59.63</v>
      </c>
      <c r="F416" s="8">
        <v>124.80200000000001</v>
      </c>
      <c r="G416" s="8">
        <v>118.75</v>
      </c>
      <c r="H416" s="8">
        <v>86.32</v>
      </c>
      <c r="I416" s="8">
        <v>181.88</v>
      </c>
      <c r="J416" s="8">
        <v>59.49</v>
      </c>
      <c r="K416" s="268">
        <v>0.57079999999999997</v>
      </c>
      <c r="L416" s="268">
        <v>0.36670000000000003</v>
      </c>
      <c r="M416" s="268">
        <v>-3.4200000000000001E-2</v>
      </c>
      <c r="N416" s="8">
        <v>465.8</v>
      </c>
      <c r="O416" s="8">
        <v>7179.47</v>
      </c>
      <c r="P416" s="268">
        <v>6.4899999999999999E-2</v>
      </c>
      <c r="Q416" s="8">
        <v>503</v>
      </c>
      <c r="R416" s="8" t="s">
        <v>4238</v>
      </c>
      <c r="S416" s="8" t="s">
        <v>2754</v>
      </c>
      <c r="T416" s="8" t="s">
        <v>4239</v>
      </c>
      <c r="U416" s="8" t="s">
        <v>4240</v>
      </c>
      <c r="V416" s="8" t="s">
        <v>4241</v>
      </c>
      <c r="W416" s="8" t="s">
        <v>4242</v>
      </c>
    </row>
    <row r="417" spans="1:23" ht="28" customHeight="1" x14ac:dyDescent="0.3">
      <c r="A417" s="308">
        <v>45671</v>
      </c>
      <c r="B417" s="302">
        <v>2068.0949999999998</v>
      </c>
      <c r="C417" s="8">
        <v>30.120999999999999</v>
      </c>
      <c r="D417" s="268">
        <v>1.4800000000000001E-2</v>
      </c>
      <c r="E417" s="8">
        <v>60.14</v>
      </c>
      <c r="F417" s="8">
        <v>124.657</v>
      </c>
      <c r="G417" s="8">
        <v>118.61</v>
      </c>
      <c r="H417" s="8">
        <v>86.71</v>
      </c>
      <c r="I417" s="8">
        <v>180.82</v>
      </c>
      <c r="J417" s="8">
        <v>56.52</v>
      </c>
      <c r="K417" s="268">
        <v>0.56159999999999999</v>
      </c>
      <c r="L417" s="268">
        <v>0.35499999999999998</v>
      </c>
      <c r="M417" s="268">
        <v>-3.3500000000000002E-2</v>
      </c>
      <c r="N417" s="8">
        <v>626.57000000000005</v>
      </c>
      <c r="O417" s="8">
        <v>7184.97</v>
      </c>
      <c r="P417" s="268">
        <v>8.72E-2</v>
      </c>
      <c r="Q417" s="8">
        <v>503</v>
      </c>
      <c r="R417" s="8" t="s">
        <v>4243</v>
      </c>
      <c r="S417" s="8" t="s">
        <v>4244</v>
      </c>
      <c r="T417" s="8" t="s">
        <v>4245</v>
      </c>
      <c r="U417" s="8" t="s">
        <v>4246</v>
      </c>
      <c r="V417" s="8" t="s">
        <v>4247</v>
      </c>
      <c r="W417" s="8" t="s">
        <v>4248</v>
      </c>
    </row>
    <row r="418" spans="1:23" ht="28" customHeight="1" x14ac:dyDescent="0.3">
      <c r="A418" s="308">
        <v>45670</v>
      </c>
      <c r="B418" s="302">
        <v>2037.9739999999999</v>
      </c>
      <c r="C418" s="8">
        <v>-1.101</v>
      </c>
      <c r="D418" s="268">
        <v>-5.0000000000000001E-4</v>
      </c>
      <c r="E418" s="8">
        <v>51.94</v>
      </c>
      <c r="F418" s="8">
        <v>122.82</v>
      </c>
      <c r="G418" s="8">
        <v>116.84399999999999</v>
      </c>
      <c r="H418" s="8">
        <v>83.08</v>
      </c>
      <c r="I418" s="8">
        <v>183.23</v>
      </c>
      <c r="J418" s="8">
        <v>65.510000000000005</v>
      </c>
      <c r="K418" s="268">
        <v>0.60409999999999997</v>
      </c>
      <c r="L418" s="268">
        <v>0.39100000000000001</v>
      </c>
      <c r="M418" s="268">
        <v>-2.6700000000000002E-2</v>
      </c>
      <c r="N418" s="8">
        <v>416.82</v>
      </c>
      <c r="O418" s="8">
        <v>7188.34</v>
      </c>
      <c r="P418" s="268">
        <v>5.8000000000000003E-2</v>
      </c>
      <c r="Q418" s="8">
        <v>504</v>
      </c>
      <c r="R418" s="8" t="s">
        <v>4249</v>
      </c>
      <c r="S418" s="8" t="s">
        <v>4250</v>
      </c>
      <c r="T418" s="8" t="s">
        <v>4251</v>
      </c>
      <c r="U418" s="8" t="s">
        <v>4252</v>
      </c>
      <c r="V418" s="8" t="s">
        <v>4253</v>
      </c>
      <c r="W418" s="8" t="s">
        <v>4254</v>
      </c>
    </row>
    <row r="419" spans="1:23" ht="28" customHeight="1" x14ac:dyDescent="0.3">
      <c r="A419" s="308">
        <v>45667</v>
      </c>
      <c r="B419" s="302">
        <v>2039.075</v>
      </c>
      <c r="C419" s="8">
        <v>-10.247</v>
      </c>
      <c r="D419" s="268">
        <v>-5.0000000000000001E-3</v>
      </c>
      <c r="E419" s="8">
        <v>51.68</v>
      </c>
      <c r="F419" s="8">
        <v>122.997</v>
      </c>
      <c r="G419" s="8">
        <v>117.26</v>
      </c>
      <c r="H419" s="8">
        <v>82.83</v>
      </c>
      <c r="I419" s="8">
        <v>184.15</v>
      </c>
      <c r="J419" s="8">
        <v>68.08</v>
      </c>
      <c r="K419" s="268">
        <v>0.61150000000000004</v>
      </c>
      <c r="L419" s="268">
        <v>0.39679999999999999</v>
      </c>
      <c r="M419" s="268">
        <v>-2.7300000000000001E-2</v>
      </c>
      <c r="N419" s="8">
        <v>437.14</v>
      </c>
      <c r="O419" s="8">
        <v>7193.19</v>
      </c>
      <c r="P419" s="268">
        <v>6.08E-2</v>
      </c>
      <c r="Q419" s="8">
        <v>505</v>
      </c>
      <c r="R419" s="8" t="s">
        <v>4255</v>
      </c>
      <c r="S419" s="8" t="s">
        <v>4256</v>
      </c>
      <c r="T419" s="8" t="s">
        <v>4257</v>
      </c>
      <c r="U419" s="8" t="s">
        <v>4258</v>
      </c>
      <c r="V419" s="8" t="s">
        <v>4259</v>
      </c>
      <c r="W419" s="8" t="s">
        <v>4260</v>
      </c>
    </row>
    <row r="420" spans="1:23" ht="28" customHeight="1" x14ac:dyDescent="0.3">
      <c r="A420" s="308">
        <v>45666</v>
      </c>
      <c r="B420" s="302">
        <v>2049.3220000000001</v>
      </c>
      <c r="C420" s="8">
        <v>9.7690000000000001</v>
      </c>
      <c r="D420" s="268">
        <v>4.7999999999999996E-3</v>
      </c>
      <c r="E420" s="8">
        <v>53.49</v>
      </c>
      <c r="F420" s="8">
        <v>123.81399999999999</v>
      </c>
      <c r="G420" s="8">
        <v>117.90600000000001</v>
      </c>
      <c r="H420" s="8">
        <v>84.86</v>
      </c>
      <c r="I420" s="8">
        <v>181.64</v>
      </c>
      <c r="J420" s="8">
        <v>61.44</v>
      </c>
      <c r="K420" s="268">
        <v>0.57830000000000004</v>
      </c>
      <c r="L420" s="268">
        <v>0.37669999999999998</v>
      </c>
      <c r="M420" s="268">
        <v>-2.9600000000000001E-2</v>
      </c>
      <c r="N420" s="8">
        <v>473.16</v>
      </c>
      <c r="O420" s="8">
        <v>7190.85</v>
      </c>
      <c r="P420" s="268">
        <v>6.5799999999999997E-2</v>
      </c>
      <c r="Q420" s="8">
        <v>505</v>
      </c>
      <c r="R420" s="8" t="s">
        <v>4261</v>
      </c>
      <c r="S420" s="8" t="s">
        <v>4262</v>
      </c>
      <c r="T420" s="8" t="s">
        <v>4263</v>
      </c>
      <c r="U420" s="8" t="s">
        <v>4264</v>
      </c>
      <c r="V420" s="8" t="s">
        <v>4265</v>
      </c>
      <c r="W420" s="8" t="s">
        <v>4266</v>
      </c>
    </row>
    <row r="421" spans="1:23" ht="28" customHeight="1" x14ac:dyDescent="0.3">
      <c r="A421" s="308">
        <v>45665</v>
      </c>
      <c r="B421" s="302">
        <v>2039.5530000000001</v>
      </c>
      <c r="C421" s="8">
        <v>-2.512</v>
      </c>
      <c r="D421" s="268">
        <v>-1.1999999999999999E-3</v>
      </c>
      <c r="E421" s="8">
        <v>52.76</v>
      </c>
      <c r="F421" s="8">
        <v>123.336</v>
      </c>
      <c r="G421" s="8">
        <v>117.45</v>
      </c>
      <c r="H421" s="8">
        <v>85.45</v>
      </c>
      <c r="I421" s="8">
        <v>180.79</v>
      </c>
      <c r="J421" s="8">
        <v>60.53</v>
      </c>
      <c r="K421" s="268">
        <v>0.57450000000000001</v>
      </c>
      <c r="L421" s="268">
        <v>0.36359999999999998</v>
      </c>
      <c r="M421" s="268">
        <v>-2.7099999999999999E-2</v>
      </c>
      <c r="N421" s="8">
        <v>485.64</v>
      </c>
      <c r="O421" s="8">
        <v>7197.16</v>
      </c>
      <c r="P421" s="268">
        <v>6.7500000000000004E-2</v>
      </c>
      <c r="Q421" s="8">
        <v>505</v>
      </c>
      <c r="R421" s="8" t="s">
        <v>4267</v>
      </c>
      <c r="S421" s="8" t="s">
        <v>4268</v>
      </c>
      <c r="T421" s="8" t="s">
        <v>4269</v>
      </c>
      <c r="U421" s="8" t="s">
        <v>4270</v>
      </c>
      <c r="V421" s="8" t="s">
        <v>4271</v>
      </c>
      <c r="W421" s="8" t="s">
        <v>4272</v>
      </c>
    </row>
    <row r="422" spans="1:23" ht="28" customHeight="1" x14ac:dyDescent="0.3">
      <c r="A422" s="308">
        <v>45664</v>
      </c>
      <c r="B422" s="302">
        <v>2042.0650000000001</v>
      </c>
      <c r="C422" s="8">
        <v>23.416</v>
      </c>
      <c r="D422" s="268">
        <v>1.1599999999999999E-2</v>
      </c>
      <c r="E422" s="8">
        <v>54.18</v>
      </c>
      <c r="F422" s="8">
        <v>123.44799999999999</v>
      </c>
      <c r="G422" s="8">
        <v>117.404</v>
      </c>
      <c r="H422" s="8">
        <v>86.11</v>
      </c>
      <c r="I422" s="8">
        <v>180.17</v>
      </c>
      <c r="J422" s="8">
        <v>59.7</v>
      </c>
      <c r="K422" s="268">
        <v>0.56720000000000004</v>
      </c>
      <c r="L422" s="268">
        <v>0.36159999999999998</v>
      </c>
      <c r="M422" s="268">
        <v>-2.7799999999999998E-2</v>
      </c>
      <c r="N422" s="8">
        <v>528.97</v>
      </c>
      <c r="O422" s="8">
        <v>7203.71</v>
      </c>
      <c r="P422" s="268">
        <v>7.3400000000000007E-2</v>
      </c>
      <c r="Q422" s="8">
        <v>505</v>
      </c>
      <c r="R422" s="8" t="s">
        <v>4273</v>
      </c>
      <c r="S422" s="8" t="s">
        <v>4274</v>
      </c>
      <c r="T422" s="8" t="s">
        <v>4275</v>
      </c>
      <c r="U422" s="8" t="s">
        <v>4276</v>
      </c>
      <c r="V422" s="8" t="s">
        <v>4277</v>
      </c>
      <c r="W422" s="8" t="s">
        <v>4278</v>
      </c>
    </row>
    <row r="423" spans="1:23" ht="28" customHeight="1" x14ac:dyDescent="0.3">
      <c r="A423" s="308">
        <v>45663</v>
      </c>
      <c r="B423" s="302">
        <v>2018.6489999999999</v>
      </c>
      <c r="C423" s="8">
        <v>-7.883</v>
      </c>
      <c r="D423" s="268">
        <v>-3.8999999999999998E-3</v>
      </c>
      <c r="E423" s="8">
        <v>47</v>
      </c>
      <c r="F423" s="8">
        <v>122.004</v>
      </c>
      <c r="G423" s="8">
        <v>116.179</v>
      </c>
      <c r="H423" s="8">
        <v>84.47</v>
      </c>
      <c r="I423" s="8">
        <v>179.6</v>
      </c>
      <c r="J423" s="8">
        <v>61.21</v>
      </c>
      <c r="K423" s="268">
        <v>0.57589999999999997</v>
      </c>
      <c r="L423" s="268">
        <v>0.36309999999999998</v>
      </c>
      <c r="M423" s="268">
        <v>-2.3199999999999998E-2</v>
      </c>
      <c r="N423" s="8">
        <v>481.27</v>
      </c>
      <c r="O423" s="8">
        <v>7205.64</v>
      </c>
      <c r="P423" s="268">
        <v>6.6799999999999998E-2</v>
      </c>
      <c r="Q423" s="8">
        <v>506</v>
      </c>
      <c r="R423" s="8" t="s">
        <v>4279</v>
      </c>
      <c r="S423" s="8" t="s">
        <v>4280</v>
      </c>
      <c r="T423" s="8" t="s">
        <v>4281</v>
      </c>
      <c r="U423" s="8" t="s">
        <v>4282</v>
      </c>
      <c r="V423" s="8" t="s">
        <v>4283</v>
      </c>
      <c r="W423" s="8" t="s">
        <v>4284</v>
      </c>
    </row>
    <row r="424" spans="1:23" ht="28" customHeight="1" x14ac:dyDescent="0.3">
      <c r="A424" s="308">
        <v>45660</v>
      </c>
      <c r="B424" s="302">
        <v>2026.5319999999999</v>
      </c>
      <c r="C424" s="8">
        <v>-13.093999999999999</v>
      </c>
      <c r="D424" s="268">
        <v>-6.4000000000000003E-3</v>
      </c>
      <c r="E424" s="8">
        <v>48.9</v>
      </c>
      <c r="F424" s="8">
        <v>122.57</v>
      </c>
      <c r="G424" s="8">
        <v>116.7</v>
      </c>
      <c r="H424" s="8">
        <v>84.11</v>
      </c>
      <c r="I424" s="8">
        <v>180.63</v>
      </c>
      <c r="J424" s="8">
        <v>62.19</v>
      </c>
      <c r="K424" s="268">
        <v>0.5806</v>
      </c>
      <c r="L424" s="268">
        <v>0.37230000000000002</v>
      </c>
      <c r="M424" s="268">
        <v>-2.4799999999999999E-2</v>
      </c>
      <c r="N424" s="8">
        <v>498.28</v>
      </c>
      <c r="O424" s="8">
        <v>7223.45</v>
      </c>
      <c r="P424" s="268">
        <v>6.9000000000000006E-2</v>
      </c>
      <c r="Q424" s="8">
        <v>507</v>
      </c>
      <c r="R424" s="8" t="s">
        <v>4285</v>
      </c>
      <c r="S424" s="8" t="s">
        <v>4286</v>
      </c>
      <c r="T424" s="8" t="s">
        <v>4287</v>
      </c>
      <c r="U424" s="8" t="s">
        <v>4288</v>
      </c>
      <c r="V424" s="8" t="s">
        <v>4289</v>
      </c>
      <c r="W424" s="8" t="s">
        <v>4290</v>
      </c>
    </row>
    <row r="425" spans="1:23" ht="28" customHeight="1" x14ac:dyDescent="0.3">
      <c r="A425" s="308">
        <v>45659</v>
      </c>
      <c r="B425" s="302">
        <v>2039.626</v>
      </c>
      <c r="C425" s="8">
        <v>-12.993</v>
      </c>
      <c r="D425" s="268">
        <v>-6.3E-3</v>
      </c>
      <c r="E425" s="8">
        <v>52.12</v>
      </c>
      <c r="F425" s="8">
        <v>123.449</v>
      </c>
      <c r="G425" s="8">
        <v>116.901</v>
      </c>
      <c r="H425" s="8">
        <v>86.99</v>
      </c>
      <c r="I425" s="8">
        <v>176.82</v>
      </c>
      <c r="J425" s="8">
        <v>51.69</v>
      </c>
      <c r="K425" s="268">
        <v>0.53369999999999995</v>
      </c>
      <c r="L425" s="268">
        <v>0.33129999999999998</v>
      </c>
      <c r="M425" s="268">
        <v>-2.76E-2</v>
      </c>
      <c r="N425" s="8">
        <v>506.85</v>
      </c>
      <c r="O425" s="8">
        <v>7225.61</v>
      </c>
      <c r="P425" s="268">
        <v>7.0099999999999996E-2</v>
      </c>
      <c r="Q425" s="8">
        <v>507</v>
      </c>
      <c r="R425" s="8" t="s">
        <v>4291</v>
      </c>
      <c r="S425" s="8" t="s">
        <v>4292</v>
      </c>
      <c r="T425" s="8" t="s">
        <v>4293</v>
      </c>
      <c r="U425" s="8" t="s">
        <v>4294</v>
      </c>
      <c r="V425" s="8" t="s">
        <v>4295</v>
      </c>
      <c r="W425" s="8" t="s">
        <v>4296</v>
      </c>
    </row>
    <row r="426" spans="1:23" ht="28" customHeight="1" x14ac:dyDescent="0.3">
      <c r="A426" s="308">
        <v>45657</v>
      </c>
      <c r="B426" s="302">
        <v>2052.6190000000001</v>
      </c>
      <c r="C426" s="8">
        <v>-22.41</v>
      </c>
      <c r="D426" s="268">
        <v>-1.0800000000000001E-2</v>
      </c>
      <c r="E426" s="8">
        <v>55.18</v>
      </c>
      <c r="F426" s="8">
        <v>124.176</v>
      </c>
      <c r="G426" s="8">
        <v>117.6</v>
      </c>
      <c r="H426" s="8">
        <v>89.14</v>
      </c>
      <c r="I426" s="8">
        <v>174.94</v>
      </c>
      <c r="J426" s="8">
        <v>47.79</v>
      </c>
      <c r="K426" s="268">
        <v>0.50770000000000004</v>
      </c>
      <c r="L426" s="268">
        <v>0.3155</v>
      </c>
      <c r="M426" s="268">
        <v>-3.09E-2</v>
      </c>
      <c r="N426" s="8">
        <v>522.29</v>
      </c>
      <c r="O426" s="8">
        <v>7231.1</v>
      </c>
      <c r="P426" s="268">
        <v>7.22E-2</v>
      </c>
      <c r="Q426" s="8">
        <v>507</v>
      </c>
      <c r="R426" s="8" t="s">
        <v>4297</v>
      </c>
      <c r="S426" s="8" t="s">
        <v>2853</v>
      </c>
      <c r="T426" s="8" t="s">
        <v>4298</v>
      </c>
      <c r="U426" s="8" t="s">
        <v>4299</v>
      </c>
      <c r="V426" s="8" t="s">
        <v>4300</v>
      </c>
      <c r="W426" s="8" t="s">
        <v>4301</v>
      </c>
    </row>
    <row r="427" spans="1:23" ht="28" customHeight="1" x14ac:dyDescent="0.3">
      <c r="A427" s="308">
        <v>45656</v>
      </c>
      <c r="B427" s="302">
        <v>2075.029</v>
      </c>
      <c r="C427" s="8">
        <v>-6.7030000000000003</v>
      </c>
      <c r="D427" s="268">
        <v>-3.2000000000000002E-3</v>
      </c>
      <c r="E427" s="8">
        <v>61.08</v>
      </c>
      <c r="F427" s="8">
        <v>125.66500000000001</v>
      </c>
      <c r="G427" s="8">
        <v>118.59699999999999</v>
      </c>
      <c r="H427" s="8">
        <v>91.25</v>
      </c>
      <c r="I427" s="8">
        <v>174.39</v>
      </c>
      <c r="J427" s="8">
        <v>40.340000000000003</v>
      </c>
      <c r="K427" s="268">
        <v>0.48720000000000002</v>
      </c>
      <c r="L427" s="268">
        <v>0.29870000000000002</v>
      </c>
      <c r="M427" s="268">
        <v>-3.6400000000000002E-2</v>
      </c>
      <c r="N427" s="8">
        <v>604.91</v>
      </c>
      <c r="O427" s="8">
        <v>7244.63</v>
      </c>
      <c r="P427" s="268">
        <v>8.3500000000000005E-2</v>
      </c>
      <c r="Q427" s="8">
        <v>507</v>
      </c>
      <c r="R427" s="8" t="s">
        <v>4302</v>
      </c>
      <c r="S427" s="8" t="s">
        <v>4303</v>
      </c>
      <c r="T427" s="8" t="s">
        <v>4304</v>
      </c>
      <c r="U427" s="8" t="s">
        <v>4305</v>
      </c>
      <c r="V427" s="8" t="s">
        <v>4306</v>
      </c>
      <c r="W427" s="8" t="s">
        <v>4307</v>
      </c>
    </row>
    <row r="428" spans="1:23" ht="28" customHeight="1" x14ac:dyDescent="0.3">
      <c r="A428" s="308">
        <v>45653</v>
      </c>
      <c r="B428" s="302">
        <v>2081.732</v>
      </c>
      <c r="C428" s="8">
        <v>7.6120000000000001</v>
      </c>
      <c r="D428" s="268">
        <v>3.7000000000000002E-3</v>
      </c>
      <c r="E428" s="8">
        <v>62.73</v>
      </c>
      <c r="F428" s="8">
        <v>126.078</v>
      </c>
      <c r="G428" s="8">
        <v>118.883</v>
      </c>
      <c r="H428" s="8">
        <v>91.91</v>
      </c>
      <c r="I428" s="8">
        <v>173.98</v>
      </c>
      <c r="J428" s="8">
        <v>39.51</v>
      </c>
      <c r="K428" s="268">
        <v>0.47899999999999998</v>
      </c>
      <c r="L428" s="268">
        <v>0.29530000000000001</v>
      </c>
      <c r="M428" s="268">
        <v>-4.0099999999999997E-2</v>
      </c>
      <c r="N428" s="8">
        <v>631.08000000000004</v>
      </c>
      <c r="O428" s="8">
        <v>7249</v>
      </c>
      <c r="P428" s="268">
        <v>8.7099999999999997E-2</v>
      </c>
      <c r="Q428" s="8">
        <v>507</v>
      </c>
      <c r="R428" s="8" t="s">
        <v>4308</v>
      </c>
      <c r="S428" s="8" t="s">
        <v>4309</v>
      </c>
      <c r="T428" s="8" t="s">
        <v>4310</v>
      </c>
      <c r="U428" s="8" t="s">
        <v>4311</v>
      </c>
      <c r="V428" s="8" t="s">
        <v>4312</v>
      </c>
      <c r="W428" s="8" t="s">
        <v>4313</v>
      </c>
    </row>
    <row r="429" spans="1:23" ht="28" customHeight="1" x14ac:dyDescent="0.3">
      <c r="A429" s="308">
        <v>45652</v>
      </c>
      <c r="B429" s="302">
        <v>2074.12</v>
      </c>
      <c r="C429" s="8">
        <v>13.231</v>
      </c>
      <c r="D429" s="268">
        <v>6.4000000000000003E-3</v>
      </c>
      <c r="E429" s="8">
        <v>59.33</v>
      </c>
      <c r="F429" s="8">
        <v>125.67400000000001</v>
      </c>
      <c r="G429" s="8">
        <v>118.386</v>
      </c>
      <c r="H429" s="8">
        <v>90.63</v>
      </c>
      <c r="I429" s="8">
        <v>174.19</v>
      </c>
      <c r="J429" s="8">
        <v>40.729999999999997</v>
      </c>
      <c r="K429" s="268">
        <v>0.48509999999999998</v>
      </c>
      <c r="L429" s="268">
        <v>0.29799999999999999</v>
      </c>
      <c r="M429" s="268">
        <v>-3.7699999999999997E-2</v>
      </c>
      <c r="N429" s="8">
        <v>695.93</v>
      </c>
      <c r="O429" s="8">
        <v>7255.43</v>
      </c>
      <c r="P429" s="268">
        <v>9.5899999999999999E-2</v>
      </c>
      <c r="Q429" s="8">
        <v>507</v>
      </c>
      <c r="R429" s="8" t="s">
        <v>4314</v>
      </c>
      <c r="S429" s="8" t="s">
        <v>4315</v>
      </c>
      <c r="T429" s="8" t="s">
        <v>4316</v>
      </c>
      <c r="U429" s="8" t="s">
        <v>4317</v>
      </c>
      <c r="V429" s="8" t="s">
        <v>4318</v>
      </c>
      <c r="W429" s="8" t="s">
        <v>4319</v>
      </c>
    </row>
    <row r="430" spans="1:23" ht="28" customHeight="1" x14ac:dyDescent="0.3">
      <c r="A430" s="308">
        <v>45651</v>
      </c>
      <c r="B430" s="302">
        <v>2060.8890000000001</v>
      </c>
      <c r="C430" s="8">
        <v>-11.669</v>
      </c>
      <c r="D430" s="268">
        <v>-5.5999999999999999E-3</v>
      </c>
      <c r="E430" s="8">
        <v>57.91</v>
      </c>
      <c r="F430" s="8">
        <v>124.759</v>
      </c>
      <c r="G430" s="8">
        <v>117.84</v>
      </c>
      <c r="H430" s="8">
        <v>90.19</v>
      </c>
      <c r="I430" s="8">
        <v>174.03</v>
      </c>
      <c r="J430" s="8">
        <v>42.36</v>
      </c>
      <c r="K430" s="268">
        <v>0.49270000000000003</v>
      </c>
      <c r="L430" s="268">
        <v>0.3044</v>
      </c>
      <c r="M430" s="268">
        <v>-3.4299999999999997E-2</v>
      </c>
      <c r="N430" s="8">
        <v>633.25</v>
      </c>
      <c r="O430" s="8">
        <v>7274.71</v>
      </c>
      <c r="P430" s="268">
        <v>8.6999999999999994E-2</v>
      </c>
      <c r="Q430" s="8">
        <v>508</v>
      </c>
      <c r="R430" s="8" t="s">
        <v>4320</v>
      </c>
      <c r="S430" s="8" t="s">
        <v>4321</v>
      </c>
      <c r="T430" s="8" t="s">
        <v>4322</v>
      </c>
      <c r="U430" s="8" t="s">
        <v>4323</v>
      </c>
      <c r="V430" s="8" t="s">
        <v>4324</v>
      </c>
      <c r="W430" s="8" t="s">
        <v>4325</v>
      </c>
    </row>
    <row r="431" spans="1:23" ht="28" customHeight="1" x14ac:dyDescent="0.3">
      <c r="A431" s="308">
        <v>45650</v>
      </c>
      <c r="B431" s="302">
        <v>2072.558</v>
      </c>
      <c r="C431" s="8">
        <v>8.9969999999999999</v>
      </c>
      <c r="D431" s="268">
        <v>4.4000000000000003E-3</v>
      </c>
      <c r="E431" s="8">
        <v>59.8</v>
      </c>
      <c r="F431" s="8">
        <v>125.553</v>
      </c>
      <c r="G431" s="8">
        <v>118.989</v>
      </c>
      <c r="H431" s="8">
        <v>91.55</v>
      </c>
      <c r="I431" s="8">
        <v>172.89</v>
      </c>
      <c r="J431" s="8">
        <v>37.630000000000003</v>
      </c>
      <c r="K431" s="268">
        <v>0.4733</v>
      </c>
      <c r="L431" s="268">
        <v>0.28970000000000001</v>
      </c>
      <c r="M431" s="268">
        <v>-3.56E-2</v>
      </c>
      <c r="N431" s="8">
        <v>695.59</v>
      </c>
      <c r="O431" s="8">
        <v>7280.8</v>
      </c>
      <c r="P431" s="268">
        <v>9.5500000000000002E-2</v>
      </c>
      <c r="Q431" s="8">
        <v>508</v>
      </c>
      <c r="R431" s="8" t="s">
        <v>3699</v>
      </c>
      <c r="S431" s="8" t="s">
        <v>4326</v>
      </c>
      <c r="T431" s="8" t="s">
        <v>4327</v>
      </c>
      <c r="U431" s="8" t="s">
        <v>4328</v>
      </c>
      <c r="V431" s="8" t="s">
        <v>4329</v>
      </c>
      <c r="W431" s="8" t="s">
        <v>4330</v>
      </c>
    </row>
    <row r="432" spans="1:23" ht="28" customHeight="1" x14ac:dyDescent="0.3">
      <c r="A432" s="308">
        <v>45649</v>
      </c>
      <c r="B432" s="302">
        <v>2063.5610000000001</v>
      </c>
      <c r="C432" s="8">
        <v>-23.225999999999999</v>
      </c>
      <c r="D432" s="268">
        <v>-1.11E-2</v>
      </c>
      <c r="E432" s="8">
        <v>57.78</v>
      </c>
      <c r="F432" s="8">
        <v>125.05800000000001</v>
      </c>
      <c r="G432" s="8">
        <v>118.254</v>
      </c>
      <c r="H432" s="8">
        <v>91</v>
      </c>
      <c r="I432" s="8">
        <v>173.31</v>
      </c>
      <c r="J432" s="8">
        <v>40.729999999999997</v>
      </c>
      <c r="K432" s="268">
        <v>0.48249999999999998</v>
      </c>
      <c r="L432" s="268">
        <v>0.29920000000000002</v>
      </c>
      <c r="M432" s="268">
        <v>-3.27E-2</v>
      </c>
      <c r="N432" s="8">
        <v>642.54</v>
      </c>
      <c r="O432" s="8">
        <v>7285.93</v>
      </c>
      <c r="P432" s="268">
        <v>8.8200000000000001E-2</v>
      </c>
      <c r="Q432" s="8">
        <v>509</v>
      </c>
      <c r="R432" s="8" t="s">
        <v>4331</v>
      </c>
      <c r="S432" s="8" t="s">
        <v>4332</v>
      </c>
      <c r="T432" s="8" t="s">
        <v>4333</v>
      </c>
      <c r="U432" s="8" t="s">
        <v>4334</v>
      </c>
      <c r="V432" s="8" t="s">
        <v>4335</v>
      </c>
      <c r="W432" s="8" t="s">
        <v>4336</v>
      </c>
    </row>
    <row r="433" spans="1:23" ht="28" customHeight="1" x14ac:dyDescent="0.3">
      <c r="A433" s="308">
        <v>45646</v>
      </c>
      <c r="B433" s="302">
        <v>2086.7869999999998</v>
      </c>
      <c r="C433" s="8">
        <v>16.747</v>
      </c>
      <c r="D433" s="268">
        <v>8.0999999999999996E-3</v>
      </c>
      <c r="E433" s="8">
        <v>64.2</v>
      </c>
      <c r="F433" s="8">
        <v>126.61799999999999</v>
      </c>
      <c r="G433" s="8">
        <v>119.456</v>
      </c>
      <c r="H433" s="8">
        <v>93.75</v>
      </c>
      <c r="I433" s="8">
        <v>170.86</v>
      </c>
      <c r="J433" s="8">
        <v>30.95</v>
      </c>
      <c r="K433" s="268">
        <v>0.44240000000000002</v>
      </c>
      <c r="L433" s="268">
        <v>0.2707</v>
      </c>
      <c r="M433" s="268">
        <v>-3.9E-2</v>
      </c>
      <c r="N433" s="8">
        <v>721.35</v>
      </c>
      <c r="O433" s="8">
        <v>7290.43</v>
      </c>
      <c r="P433" s="268">
        <v>9.8900000000000002E-2</v>
      </c>
      <c r="Q433" s="8">
        <v>512</v>
      </c>
      <c r="R433" s="8" t="s">
        <v>4337</v>
      </c>
      <c r="S433" s="8" t="s">
        <v>4338</v>
      </c>
      <c r="T433" s="8" t="s">
        <v>4339</v>
      </c>
      <c r="U433" s="8" t="s">
        <v>4340</v>
      </c>
      <c r="V433" s="8" t="s">
        <v>4341</v>
      </c>
      <c r="W433" s="8" t="s">
        <v>4342</v>
      </c>
    </row>
    <row r="434" spans="1:23" ht="28" customHeight="1" x14ac:dyDescent="0.3">
      <c r="A434" s="308">
        <v>45645</v>
      </c>
      <c r="B434" s="302">
        <v>2070.04</v>
      </c>
      <c r="C434" s="8">
        <v>-2.0720000000000001</v>
      </c>
      <c r="D434" s="268">
        <v>-1E-3</v>
      </c>
      <c r="E434" s="8">
        <v>59.64</v>
      </c>
      <c r="F434" s="8">
        <v>125.55800000000001</v>
      </c>
      <c r="G434" s="8">
        <v>118.72</v>
      </c>
      <c r="H434" s="8">
        <v>93.35</v>
      </c>
      <c r="I434" s="8">
        <v>170.19</v>
      </c>
      <c r="J434" s="8">
        <v>31.57</v>
      </c>
      <c r="K434" s="268">
        <v>0.44629999999999997</v>
      </c>
      <c r="L434" s="268">
        <v>0.2722</v>
      </c>
      <c r="M434" s="268">
        <v>-3.61E-2</v>
      </c>
      <c r="N434" s="8">
        <v>688.56</v>
      </c>
      <c r="O434" s="8">
        <v>7289.55</v>
      </c>
      <c r="P434" s="268">
        <v>9.4500000000000001E-2</v>
      </c>
      <c r="Q434" s="8">
        <v>511</v>
      </c>
      <c r="R434" s="8" t="s">
        <v>4343</v>
      </c>
      <c r="S434" s="8" t="s">
        <v>4344</v>
      </c>
      <c r="T434" s="8" t="s">
        <v>4345</v>
      </c>
      <c r="U434" s="8" t="s">
        <v>4346</v>
      </c>
      <c r="V434" s="8" t="s">
        <v>4347</v>
      </c>
      <c r="W434" s="8" t="s">
        <v>4348</v>
      </c>
    </row>
    <row r="435" spans="1:23" ht="28" customHeight="1" x14ac:dyDescent="0.3">
      <c r="A435" s="308">
        <v>45644</v>
      </c>
      <c r="B435" s="302">
        <v>2072.1120000000001</v>
      </c>
      <c r="C435" s="8">
        <v>13.933999999999999</v>
      </c>
      <c r="D435" s="268">
        <v>6.7999999999999996E-3</v>
      </c>
      <c r="E435" s="8">
        <v>60.93</v>
      </c>
      <c r="F435" s="8">
        <v>125.736</v>
      </c>
      <c r="G435" s="8">
        <v>118.79300000000001</v>
      </c>
      <c r="H435" s="8">
        <v>93.41</v>
      </c>
      <c r="I435" s="8">
        <v>170.44</v>
      </c>
      <c r="J435" s="8">
        <v>32.729999999999997</v>
      </c>
      <c r="K435" s="268">
        <v>0.44700000000000001</v>
      </c>
      <c r="L435" s="268">
        <v>0.27160000000000001</v>
      </c>
      <c r="M435" s="268">
        <v>-3.6499999999999998E-2</v>
      </c>
      <c r="N435" s="8">
        <v>743.22</v>
      </c>
      <c r="O435" s="8">
        <v>7299.65</v>
      </c>
      <c r="P435" s="268">
        <v>0.1018</v>
      </c>
      <c r="Q435" s="8">
        <v>511</v>
      </c>
      <c r="R435" s="8" t="s">
        <v>4349</v>
      </c>
      <c r="S435" s="8" t="s">
        <v>4350</v>
      </c>
      <c r="T435" s="8" t="s">
        <v>4351</v>
      </c>
      <c r="U435" s="8" t="s">
        <v>4352</v>
      </c>
      <c r="V435" s="8" t="s">
        <v>4353</v>
      </c>
      <c r="W435" s="8" t="s">
        <v>4354</v>
      </c>
    </row>
    <row r="436" spans="1:23" ht="28" customHeight="1" x14ac:dyDescent="0.3">
      <c r="A436" s="308">
        <v>45643</v>
      </c>
      <c r="B436" s="302">
        <v>2058.1779999999999</v>
      </c>
      <c r="C436" s="8">
        <v>-24.956</v>
      </c>
      <c r="D436" s="268">
        <v>-1.2E-2</v>
      </c>
      <c r="E436" s="8">
        <v>56.72</v>
      </c>
      <c r="F436" s="8">
        <v>124.758</v>
      </c>
      <c r="G436" s="8">
        <v>118.315</v>
      </c>
      <c r="H436" s="8">
        <v>93.06</v>
      </c>
      <c r="I436" s="8">
        <v>169.5</v>
      </c>
      <c r="J436" s="8">
        <v>31.62</v>
      </c>
      <c r="K436" s="268">
        <v>0.44740000000000002</v>
      </c>
      <c r="L436" s="268">
        <v>0.26600000000000001</v>
      </c>
      <c r="M436" s="268">
        <v>-3.3399999999999999E-2</v>
      </c>
      <c r="N436" s="8">
        <v>604.09</v>
      </c>
      <c r="O436" s="8">
        <v>7306.81</v>
      </c>
      <c r="P436" s="268">
        <v>8.2699999999999996E-2</v>
      </c>
      <c r="Q436" s="8">
        <v>512</v>
      </c>
      <c r="R436" s="8" t="s">
        <v>4355</v>
      </c>
      <c r="S436" s="8" t="s">
        <v>4356</v>
      </c>
      <c r="T436" s="8" t="s">
        <v>4357</v>
      </c>
      <c r="U436" s="8" t="s">
        <v>4358</v>
      </c>
      <c r="V436" s="8" t="s">
        <v>4359</v>
      </c>
      <c r="W436" s="8" t="s">
        <v>4360</v>
      </c>
    </row>
    <row r="437" spans="1:23" ht="28" customHeight="1" x14ac:dyDescent="0.3">
      <c r="A437" s="308">
        <v>45642</v>
      </c>
      <c r="B437" s="302">
        <v>2083.134</v>
      </c>
      <c r="C437" s="8">
        <v>-21.977</v>
      </c>
      <c r="D437" s="268">
        <v>-1.04E-2</v>
      </c>
      <c r="E437" s="8">
        <v>63.19</v>
      </c>
      <c r="F437" s="8">
        <v>126.395</v>
      </c>
      <c r="G437" s="8">
        <v>119.739</v>
      </c>
      <c r="H437" s="8">
        <v>96.05</v>
      </c>
      <c r="I437" s="8">
        <v>168.69</v>
      </c>
      <c r="J437" s="8">
        <v>26.13</v>
      </c>
      <c r="K437" s="268">
        <v>0.42299999999999999</v>
      </c>
      <c r="L437" s="268">
        <v>0.24990000000000001</v>
      </c>
      <c r="M437" s="268">
        <v>-4.07E-2</v>
      </c>
      <c r="N437" s="8">
        <v>624.11</v>
      </c>
      <c r="O437" s="8">
        <v>7317.97</v>
      </c>
      <c r="P437" s="268">
        <v>8.5300000000000001E-2</v>
      </c>
      <c r="Q437" s="8">
        <v>513</v>
      </c>
      <c r="R437" s="8" t="s">
        <v>4361</v>
      </c>
      <c r="S437" s="8" t="s">
        <v>4362</v>
      </c>
      <c r="T437" s="8" t="s">
        <v>4363</v>
      </c>
      <c r="U437" s="8" t="s">
        <v>4364</v>
      </c>
      <c r="V437" s="8" t="s">
        <v>4365</v>
      </c>
      <c r="W437" s="8" t="s">
        <v>4366</v>
      </c>
    </row>
    <row r="438" spans="1:23" ht="28" customHeight="1" x14ac:dyDescent="0.3">
      <c r="A438" s="308">
        <v>45639</v>
      </c>
      <c r="B438" s="302">
        <v>2105.1109999999999</v>
      </c>
      <c r="C438" s="8">
        <v>-15.821999999999999</v>
      </c>
      <c r="D438" s="268">
        <v>-7.4999999999999997E-3</v>
      </c>
      <c r="E438" s="8">
        <v>69.19</v>
      </c>
      <c r="F438" s="8">
        <v>127.845</v>
      </c>
      <c r="G438" s="8">
        <v>121.131</v>
      </c>
      <c r="H438" s="8">
        <v>96.39</v>
      </c>
      <c r="I438" s="8">
        <v>170.64</v>
      </c>
      <c r="J438" s="8">
        <v>27.99</v>
      </c>
      <c r="K438" s="268">
        <v>0.42799999999999999</v>
      </c>
      <c r="L438" s="268">
        <v>0.255</v>
      </c>
      <c r="M438" s="268">
        <v>-4.4999999999999998E-2</v>
      </c>
      <c r="N438" s="8">
        <v>624.22</v>
      </c>
      <c r="O438" s="8">
        <v>7321.72</v>
      </c>
      <c r="P438" s="268">
        <v>8.5300000000000001E-2</v>
      </c>
      <c r="Q438" s="8">
        <v>516</v>
      </c>
      <c r="R438" s="8" t="s">
        <v>4367</v>
      </c>
      <c r="S438" s="8" t="s">
        <v>4368</v>
      </c>
      <c r="T438" s="8" t="s">
        <v>4369</v>
      </c>
      <c r="U438" s="8" t="s">
        <v>4370</v>
      </c>
      <c r="V438" s="8" t="s">
        <v>4371</v>
      </c>
      <c r="W438" s="8" t="s">
        <v>4372</v>
      </c>
    </row>
    <row r="439" spans="1:23" ht="28" customHeight="1" x14ac:dyDescent="0.3">
      <c r="A439" s="308">
        <v>45638</v>
      </c>
      <c r="B439" s="302">
        <v>2120.933</v>
      </c>
      <c r="C439" s="8">
        <v>19.021999999999998</v>
      </c>
      <c r="D439" s="268">
        <v>9.1000000000000004E-3</v>
      </c>
      <c r="E439" s="8">
        <v>72.099999999999994</v>
      </c>
      <c r="F439" s="8">
        <v>128.90199999999999</v>
      </c>
      <c r="G439" s="8">
        <v>122.116</v>
      </c>
      <c r="H439" s="8">
        <v>98.1</v>
      </c>
      <c r="I439" s="8">
        <v>169.44</v>
      </c>
      <c r="J439" s="8">
        <v>22.45</v>
      </c>
      <c r="K439" s="268">
        <v>0.40539999999999998</v>
      </c>
      <c r="L439" s="268">
        <v>0.23680000000000001</v>
      </c>
      <c r="M439" s="268">
        <v>-4.9299999999999997E-2</v>
      </c>
      <c r="N439" s="8">
        <v>729.33</v>
      </c>
      <c r="O439" s="8">
        <v>7330.98</v>
      </c>
      <c r="P439" s="268">
        <v>9.9500000000000005E-2</v>
      </c>
      <c r="Q439" s="8">
        <v>519</v>
      </c>
      <c r="R439" s="8" t="s">
        <v>4373</v>
      </c>
      <c r="S439" s="8" t="s">
        <v>4374</v>
      </c>
      <c r="T439" s="8" t="s">
        <v>4375</v>
      </c>
      <c r="U439" s="8" t="s">
        <v>4376</v>
      </c>
      <c r="V439" s="8" t="s">
        <v>4377</v>
      </c>
      <c r="W439" s="8" t="s">
        <v>4378</v>
      </c>
    </row>
    <row r="440" spans="1:23" ht="28" customHeight="1" x14ac:dyDescent="0.3">
      <c r="A440" s="308">
        <v>45637</v>
      </c>
      <c r="B440" s="302">
        <v>2101.9110000000001</v>
      </c>
      <c r="C440" s="8">
        <v>23.198</v>
      </c>
      <c r="D440" s="268">
        <v>1.12E-2</v>
      </c>
      <c r="E440" s="8">
        <v>70.05</v>
      </c>
      <c r="F440" s="8">
        <v>127.943</v>
      </c>
      <c r="G440" s="8">
        <v>120.86199999999999</v>
      </c>
      <c r="H440" s="8">
        <v>97.43</v>
      </c>
      <c r="I440" s="8">
        <v>169.03</v>
      </c>
      <c r="J440" s="8">
        <v>23.63</v>
      </c>
      <c r="K440" s="268">
        <v>0.41089999999999999</v>
      </c>
      <c r="L440" s="268">
        <v>0.23730000000000001</v>
      </c>
      <c r="M440" s="268">
        <v>-4.58E-2</v>
      </c>
      <c r="N440" s="8">
        <v>781.87</v>
      </c>
      <c r="O440" s="8">
        <v>7344.43</v>
      </c>
      <c r="P440" s="268">
        <v>0.1065</v>
      </c>
      <c r="Q440" s="8">
        <v>520</v>
      </c>
      <c r="R440" s="8" t="s">
        <v>4379</v>
      </c>
      <c r="S440" s="8" t="s">
        <v>4380</v>
      </c>
      <c r="T440" s="8" t="s">
        <v>4381</v>
      </c>
      <c r="U440" s="8" t="s">
        <v>4382</v>
      </c>
      <c r="V440" s="8" t="s">
        <v>4383</v>
      </c>
      <c r="W440" s="8" t="s">
        <v>4384</v>
      </c>
    </row>
    <row r="441" spans="1:23" ht="28" customHeight="1" x14ac:dyDescent="0.3">
      <c r="A441" s="308">
        <v>45636</v>
      </c>
      <c r="B441" s="302">
        <v>2078.7130000000002</v>
      </c>
      <c r="C441" s="8">
        <v>13.936999999999999</v>
      </c>
      <c r="D441" s="268">
        <v>6.7999999999999996E-3</v>
      </c>
      <c r="E441" s="8">
        <v>63.41</v>
      </c>
      <c r="F441" s="8">
        <v>126.518</v>
      </c>
      <c r="G441" s="8">
        <v>119.65</v>
      </c>
      <c r="H441" s="8">
        <v>96.44</v>
      </c>
      <c r="I441" s="8">
        <v>167.63</v>
      </c>
      <c r="J441" s="8">
        <v>23.44</v>
      </c>
      <c r="K441" s="268">
        <v>0.41110000000000002</v>
      </c>
      <c r="L441" s="268">
        <v>0.23480000000000001</v>
      </c>
      <c r="M441" s="268">
        <v>-4.0599999999999997E-2</v>
      </c>
      <c r="N441" s="8">
        <v>903.34</v>
      </c>
      <c r="O441" s="8">
        <v>7354.83</v>
      </c>
      <c r="P441" s="268">
        <v>0.12280000000000001</v>
      </c>
      <c r="Q441" s="8">
        <v>521</v>
      </c>
      <c r="R441" s="8" t="s">
        <v>4385</v>
      </c>
      <c r="S441" s="8" t="s">
        <v>4386</v>
      </c>
      <c r="T441" s="8" t="s">
        <v>4387</v>
      </c>
      <c r="U441" s="8" t="s">
        <v>4388</v>
      </c>
      <c r="V441" s="8" t="s">
        <v>4389</v>
      </c>
      <c r="W441" s="8" t="s">
        <v>4390</v>
      </c>
    </row>
    <row r="442" spans="1:23" ht="28" customHeight="1" x14ac:dyDescent="0.3">
      <c r="A442" s="308">
        <v>45635</v>
      </c>
      <c r="B442" s="302">
        <v>2064.7759999999998</v>
      </c>
      <c r="C442" s="8">
        <v>3.0510000000000002</v>
      </c>
      <c r="D442" s="268">
        <v>1.5E-3</v>
      </c>
      <c r="E442" s="8">
        <v>59.64</v>
      </c>
      <c r="F442" s="8">
        <v>125.747</v>
      </c>
      <c r="G442" s="8">
        <v>119.04600000000001</v>
      </c>
      <c r="H442" s="8">
        <v>95.87</v>
      </c>
      <c r="I442" s="8">
        <v>166.78</v>
      </c>
      <c r="J442" s="8">
        <v>22.93</v>
      </c>
      <c r="K442" s="268">
        <v>0.41039999999999999</v>
      </c>
      <c r="L442" s="268">
        <v>0.23630000000000001</v>
      </c>
      <c r="M442" s="268">
        <v>-3.78E-2</v>
      </c>
      <c r="N442" s="8">
        <v>712.3</v>
      </c>
      <c r="O442" s="8">
        <v>7363.57</v>
      </c>
      <c r="P442" s="268">
        <v>9.6699999999999994E-2</v>
      </c>
      <c r="Q442" s="8">
        <v>522</v>
      </c>
      <c r="R442" s="8" t="s">
        <v>4391</v>
      </c>
      <c r="S442" s="8" t="s">
        <v>4392</v>
      </c>
      <c r="T442" s="8" t="s">
        <v>4254</v>
      </c>
      <c r="U442" s="8" t="s">
        <v>4393</v>
      </c>
      <c r="V442" s="8" t="s">
        <v>4394</v>
      </c>
      <c r="W442" s="8" t="s">
        <v>4395</v>
      </c>
    </row>
    <row r="443" spans="1:23" ht="28" customHeight="1" x14ac:dyDescent="0.3">
      <c r="A443" s="308">
        <v>45632</v>
      </c>
      <c r="B443" s="302">
        <v>2061.7249999999999</v>
      </c>
      <c r="C443" s="8">
        <v>11.276999999999999</v>
      </c>
      <c r="D443" s="268">
        <v>5.4999999999999997E-3</v>
      </c>
      <c r="E443" s="8">
        <v>59.17</v>
      </c>
      <c r="F443" s="8">
        <v>125.58</v>
      </c>
      <c r="G443" s="8">
        <v>118.89100000000001</v>
      </c>
      <c r="H443" s="8">
        <v>95.53</v>
      </c>
      <c r="I443" s="8">
        <v>167.01</v>
      </c>
      <c r="J443" s="8">
        <v>23.38</v>
      </c>
      <c r="K443" s="268">
        <v>0.4143</v>
      </c>
      <c r="L443" s="268">
        <v>0.23899999999999999</v>
      </c>
      <c r="M443" s="268">
        <v>-3.6600000000000001E-2</v>
      </c>
      <c r="N443" s="8">
        <v>747.55</v>
      </c>
      <c r="O443" s="8">
        <v>7348.87</v>
      </c>
      <c r="P443" s="268">
        <v>0.1017</v>
      </c>
      <c r="Q443" s="8">
        <v>522</v>
      </c>
      <c r="R443" s="8" t="s">
        <v>4396</v>
      </c>
      <c r="S443" s="8" t="s">
        <v>4397</v>
      </c>
      <c r="T443" s="8" t="s">
        <v>4398</v>
      </c>
      <c r="U443" s="8" t="s">
        <v>4399</v>
      </c>
      <c r="V443" s="8" t="s">
        <v>4400</v>
      </c>
      <c r="W443" s="8" t="s">
        <v>4401</v>
      </c>
    </row>
    <row r="444" spans="1:23" ht="28" customHeight="1" x14ac:dyDescent="0.3">
      <c r="A444" s="308">
        <v>45631</v>
      </c>
      <c r="B444" s="302">
        <v>2050.4479999999999</v>
      </c>
      <c r="C444" s="8">
        <v>13.91</v>
      </c>
      <c r="D444" s="268">
        <v>6.7999999999999996E-3</v>
      </c>
      <c r="E444" s="8">
        <v>57.66</v>
      </c>
      <c r="F444" s="8">
        <v>124.938</v>
      </c>
      <c r="G444" s="8">
        <v>118.45099999999999</v>
      </c>
      <c r="H444" s="8">
        <v>94.46</v>
      </c>
      <c r="I444" s="8">
        <v>166.73</v>
      </c>
      <c r="J444" s="8">
        <v>23.68</v>
      </c>
      <c r="K444" s="268">
        <v>0.41789999999999999</v>
      </c>
      <c r="L444" s="268">
        <v>0.2432</v>
      </c>
      <c r="M444" s="268">
        <v>-3.4000000000000002E-2</v>
      </c>
      <c r="N444" s="8">
        <v>781.59</v>
      </c>
      <c r="O444" s="8">
        <v>7355.72</v>
      </c>
      <c r="P444" s="268">
        <v>0.10630000000000001</v>
      </c>
      <c r="Q444" s="8">
        <v>523</v>
      </c>
      <c r="R444" s="8" t="s">
        <v>3908</v>
      </c>
      <c r="S444" s="8" t="s">
        <v>4402</v>
      </c>
      <c r="T444" s="8" t="s">
        <v>4403</v>
      </c>
      <c r="U444" s="8" t="s">
        <v>4404</v>
      </c>
      <c r="V444" s="8" t="s">
        <v>4405</v>
      </c>
      <c r="W444" s="8" t="s">
        <v>4406</v>
      </c>
    </row>
    <row r="445" spans="1:23" ht="28" customHeight="1" x14ac:dyDescent="0.3">
      <c r="A445" s="308">
        <v>45630</v>
      </c>
      <c r="B445" s="302">
        <v>2036.538</v>
      </c>
      <c r="C445" s="8">
        <v>-14.666</v>
      </c>
      <c r="D445" s="268">
        <v>-7.1000000000000004E-3</v>
      </c>
      <c r="E445" s="8">
        <v>54.79</v>
      </c>
      <c r="F445" s="8">
        <v>124.081</v>
      </c>
      <c r="G445" s="8">
        <v>117.703</v>
      </c>
      <c r="H445" s="8">
        <v>93.96</v>
      </c>
      <c r="I445" s="8">
        <v>166.5</v>
      </c>
      <c r="J445" s="8">
        <v>24.68</v>
      </c>
      <c r="K445" s="268">
        <v>0.42409999999999998</v>
      </c>
      <c r="L445" s="268">
        <v>0.2407</v>
      </c>
      <c r="M445" s="268">
        <v>-3.1199999999999999E-2</v>
      </c>
      <c r="N445" s="8">
        <v>805.18</v>
      </c>
      <c r="O445" s="8">
        <v>7355.71</v>
      </c>
      <c r="P445" s="268">
        <v>0.1095</v>
      </c>
      <c r="Q445" s="8">
        <v>522</v>
      </c>
      <c r="R445" s="8" t="s">
        <v>4407</v>
      </c>
      <c r="S445" s="8" t="s">
        <v>4408</v>
      </c>
      <c r="T445" s="8" t="s">
        <v>4409</v>
      </c>
      <c r="U445" s="8" t="s">
        <v>4410</v>
      </c>
      <c r="V445" s="8" t="s">
        <v>4411</v>
      </c>
      <c r="W445" s="8" t="s">
        <v>4412</v>
      </c>
    </row>
    <row r="446" spans="1:23" ht="28" customHeight="1" x14ac:dyDescent="0.3">
      <c r="A446" s="308">
        <v>45629</v>
      </c>
      <c r="B446" s="302">
        <v>2051.2040000000002</v>
      </c>
      <c r="C446" s="8">
        <v>2.4180000000000001</v>
      </c>
      <c r="D446" s="268">
        <v>1.1999999999999999E-3</v>
      </c>
      <c r="E446" s="8">
        <v>58.36</v>
      </c>
      <c r="F446" s="8">
        <v>125.108</v>
      </c>
      <c r="G446" s="8">
        <v>118.875</v>
      </c>
      <c r="H446" s="8">
        <v>95.52</v>
      </c>
      <c r="I446" s="8">
        <v>166.22</v>
      </c>
      <c r="J446" s="8">
        <v>23.1</v>
      </c>
      <c r="K446" s="268">
        <v>0.41110000000000002</v>
      </c>
      <c r="L446" s="268">
        <v>0.2392</v>
      </c>
      <c r="M446" s="268">
        <v>-3.4200000000000001E-2</v>
      </c>
      <c r="N446" s="8">
        <v>858.69</v>
      </c>
      <c r="O446" s="8">
        <v>7364.34</v>
      </c>
      <c r="P446" s="268">
        <v>0.1166</v>
      </c>
      <c r="Q446" s="8">
        <v>523</v>
      </c>
      <c r="R446" s="8" t="s">
        <v>4413</v>
      </c>
      <c r="S446" s="8" t="s">
        <v>2790</v>
      </c>
      <c r="T446" s="8" t="s">
        <v>4414</v>
      </c>
      <c r="U446" s="8" t="s">
        <v>4415</v>
      </c>
      <c r="V446" s="8" t="s">
        <v>4416</v>
      </c>
      <c r="W446" s="8" t="s">
        <v>4417</v>
      </c>
    </row>
    <row r="447" spans="1:23" ht="28" customHeight="1" x14ac:dyDescent="0.3">
      <c r="A447" s="308">
        <v>45628</v>
      </c>
      <c r="B447" s="302">
        <v>2048.7860000000001</v>
      </c>
      <c r="C447" s="8">
        <v>18.818000000000001</v>
      </c>
      <c r="D447" s="268">
        <v>9.2999999999999992E-3</v>
      </c>
      <c r="E447" s="8">
        <v>57.46</v>
      </c>
      <c r="F447" s="8">
        <v>125.02800000000001</v>
      </c>
      <c r="G447" s="8">
        <v>118.211</v>
      </c>
      <c r="H447" s="8">
        <v>95.76</v>
      </c>
      <c r="I447" s="8">
        <v>166.05</v>
      </c>
      <c r="J447" s="8">
        <v>21.92</v>
      </c>
      <c r="K447" s="268">
        <v>0.41020000000000001</v>
      </c>
      <c r="L447" s="268">
        <v>0.23519999999999999</v>
      </c>
      <c r="M447" s="268">
        <v>-3.3799999999999997E-2</v>
      </c>
      <c r="N447" s="8">
        <v>861.84</v>
      </c>
      <c r="O447" s="8">
        <v>7370.38</v>
      </c>
      <c r="P447" s="268">
        <v>0.1169</v>
      </c>
      <c r="Q447" s="8">
        <v>525</v>
      </c>
      <c r="R447" s="8" t="s">
        <v>4418</v>
      </c>
      <c r="S447" s="8" t="s">
        <v>4419</v>
      </c>
      <c r="T447" s="8" t="s">
        <v>4420</v>
      </c>
      <c r="U447" s="8" t="s">
        <v>4421</v>
      </c>
      <c r="V447" s="8" t="s">
        <v>4422</v>
      </c>
      <c r="W447" s="8" t="s">
        <v>4423</v>
      </c>
    </row>
    <row r="448" spans="1:23" ht="28" customHeight="1" x14ac:dyDescent="0.3">
      <c r="A448" s="308">
        <v>45625</v>
      </c>
      <c r="B448" s="302">
        <v>2029.9680000000001</v>
      </c>
      <c r="C448" s="8">
        <v>18.027000000000001</v>
      </c>
      <c r="D448" s="268">
        <v>8.9999999999999993E-3</v>
      </c>
      <c r="E448" s="8">
        <v>54.61</v>
      </c>
      <c r="F448" s="8">
        <v>123.95399999999999</v>
      </c>
      <c r="G448" s="8">
        <v>117.646</v>
      </c>
      <c r="H448" s="8">
        <v>94.43</v>
      </c>
      <c r="I448" s="8">
        <v>166.14</v>
      </c>
      <c r="J448" s="8">
        <v>23.98</v>
      </c>
      <c r="K448" s="268">
        <v>0.42180000000000001</v>
      </c>
      <c r="L448" s="268">
        <v>0.24260000000000001</v>
      </c>
      <c r="M448" s="268">
        <v>-2.9600000000000001E-2</v>
      </c>
      <c r="N448" s="8">
        <v>846.61</v>
      </c>
      <c r="O448" s="8">
        <v>7379.73</v>
      </c>
      <c r="P448" s="268">
        <v>0.1147</v>
      </c>
      <c r="Q448" s="8">
        <v>527</v>
      </c>
      <c r="R448" s="8" t="s">
        <v>4217</v>
      </c>
      <c r="S448" s="8" t="s">
        <v>4424</v>
      </c>
      <c r="T448" s="8" t="s">
        <v>4425</v>
      </c>
      <c r="U448" s="8" t="s">
        <v>4426</v>
      </c>
      <c r="V448" s="8" t="s">
        <v>4427</v>
      </c>
      <c r="W448" s="8" t="s">
        <v>4428</v>
      </c>
    </row>
    <row r="449" spans="1:23" ht="28" customHeight="1" x14ac:dyDescent="0.3">
      <c r="A449" s="308">
        <v>45624</v>
      </c>
      <c r="B449" s="302">
        <v>2011.941</v>
      </c>
      <c r="C449" s="8">
        <v>6.258</v>
      </c>
      <c r="D449" s="268">
        <v>3.0999999999999999E-3</v>
      </c>
      <c r="E449" s="8">
        <v>49.79</v>
      </c>
      <c r="F449" s="8">
        <v>122.703</v>
      </c>
      <c r="G449" s="8">
        <v>116.76</v>
      </c>
      <c r="H449" s="8">
        <v>93.02</v>
      </c>
      <c r="I449" s="8">
        <v>165.51</v>
      </c>
      <c r="J449" s="8">
        <v>27.04</v>
      </c>
      <c r="K449" s="268">
        <v>0.42809999999999998</v>
      </c>
      <c r="L449" s="268">
        <v>0.24390000000000001</v>
      </c>
      <c r="M449" s="268">
        <v>-2.63E-2</v>
      </c>
      <c r="N449" s="8">
        <v>757</v>
      </c>
      <c r="O449" s="8">
        <v>7416.97</v>
      </c>
      <c r="P449" s="268">
        <v>0.1021</v>
      </c>
      <c r="Q449" s="8">
        <v>528</v>
      </c>
      <c r="R449" s="8" t="s">
        <v>4429</v>
      </c>
      <c r="S449" s="8" t="s">
        <v>4430</v>
      </c>
      <c r="T449" s="8" t="s">
        <v>4431</v>
      </c>
      <c r="U449" s="8" t="s">
        <v>4432</v>
      </c>
      <c r="V449" s="8" t="s">
        <v>4433</v>
      </c>
      <c r="W449" s="8" t="s">
        <v>4434</v>
      </c>
    </row>
    <row r="450" spans="1:23" ht="28" customHeight="1" x14ac:dyDescent="0.3">
      <c r="A450" s="308">
        <v>45623</v>
      </c>
      <c r="B450" s="302">
        <v>2005.683</v>
      </c>
      <c r="C450" s="8">
        <v>17.515999999999998</v>
      </c>
      <c r="D450" s="268">
        <v>8.8000000000000005E-3</v>
      </c>
      <c r="E450" s="8">
        <v>46.8</v>
      </c>
      <c r="F450" s="8">
        <v>122.629</v>
      </c>
      <c r="G450" s="8">
        <v>116.276</v>
      </c>
      <c r="H450" s="8">
        <v>92.84</v>
      </c>
      <c r="I450" s="8">
        <v>164.72</v>
      </c>
      <c r="J450" s="8">
        <v>24.7</v>
      </c>
      <c r="K450" s="268">
        <v>0.4209</v>
      </c>
      <c r="L450" s="268">
        <v>0.24149999999999999</v>
      </c>
      <c r="M450" s="268">
        <v>-2.5899999999999999E-2</v>
      </c>
      <c r="N450" s="8">
        <v>753.84</v>
      </c>
      <c r="O450" s="8">
        <v>7412.24</v>
      </c>
      <c r="P450" s="268">
        <v>0.1017</v>
      </c>
      <c r="Q450" s="8">
        <v>529</v>
      </c>
      <c r="R450" s="8" t="s">
        <v>4435</v>
      </c>
      <c r="S450" s="8" t="s">
        <v>4436</v>
      </c>
      <c r="T450" s="8" t="s">
        <v>4437</v>
      </c>
      <c r="U450" s="8" t="s">
        <v>4438</v>
      </c>
      <c r="V450" s="8" t="s">
        <v>4439</v>
      </c>
      <c r="W450" s="8" t="s">
        <v>4440</v>
      </c>
    </row>
    <row r="451" spans="1:23" ht="28" customHeight="1" x14ac:dyDescent="0.3">
      <c r="A451" s="308">
        <v>45622</v>
      </c>
      <c r="B451" s="302">
        <v>1988.1669999999999</v>
      </c>
      <c r="C451" s="8">
        <v>-7.9450000000000003</v>
      </c>
      <c r="D451" s="268">
        <v>-4.0000000000000001E-3</v>
      </c>
      <c r="E451" s="8">
        <v>43.33</v>
      </c>
      <c r="F451" s="8">
        <v>121.571</v>
      </c>
      <c r="G451" s="8">
        <v>115.8</v>
      </c>
      <c r="H451" s="8">
        <v>92.24</v>
      </c>
      <c r="I451" s="8">
        <v>164.88</v>
      </c>
      <c r="J451" s="8">
        <v>27.46</v>
      </c>
      <c r="K451" s="268">
        <v>0.43309999999999998</v>
      </c>
      <c r="L451" s="268">
        <v>0.25480000000000003</v>
      </c>
      <c r="M451" s="268">
        <v>-2.1299999999999999E-2</v>
      </c>
      <c r="N451" s="8">
        <v>733.32</v>
      </c>
      <c r="O451" s="8">
        <v>7415.56</v>
      </c>
      <c r="P451" s="268">
        <v>9.8900000000000002E-2</v>
      </c>
      <c r="Q451" s="8">
        <v>529</v>
      </c>
      <c r="R451" s="8" t="s">
        <v>4441</v>
      </c>
      <c r="S451" s="8" t="s">
        <v>4442</v>
      </c>
      <c r="T451" s="8" t="s">
        <v>4443</v>
      </c>
      <c r="U451" s="8" t="s">
        <v>4444</v>
      </c>
      <c r="V451" s="8" t="s">
        <v>4259</v>
      </c>
      <c r="W451" s="8" t="s">
        <v>4445</v>
      </c>
    </row>
    <row r="452" spans="1:23" ht="28" customHeight="1" x14ac:dyDescent="0.3">
      <c r="A452" s="308">
        <v>45621</v>
      </c>
      <c r="B452" s="302">
        <v>1996.1120000000001</v>
      </c>
      <c r="C452" s="8">
        <v>5.5540000000000003</v>
      </c>
      <c r="D452" s="268">
        <v>2.8E-3</v>
      </c>
      <c r="E452" s="8">
        <v>43.33</v>
      </c>
      <c r="F452" s="8">
        <v>122.295</v>
      </c>
      <c r="G452" s="8">
        <v>115.935</v>
      </c>
      <c r="H452" s="8">
        <v>93.5</v>
      </c>
      <c r="I452" s="8">
        <v>164.49</v>
      </c>
      <c r="J452" s="8">
        <v>22.32</v>
      </c>
      <c r="K452" s="268">
        <v>0.4219</v>
      </c>
      <c r="L452" s="268">
        <v>0.2407</v>
      </c>
      <c r="M452" s="268">
        <v>-2.3900000000000001E-2</v>
      </c>
      <c r="N452" s="8">
        <v>781.85</v>
      </c>
      <c r="O452" s="8">
        <v>7421.19</v>
      </c>
      <c r="P452" s="268">
        <v>0.10539999999999999</v>
      </c>
      <c r="Q452" s="8">
        <v>530</v>
      </c>
      <c r="R452" s="8" t="s">
        <v>2358</v>
      </c>
      <c r="S452" s="8" t="s">
        <v>4446</v>
      </c>
      <c r="T452" s="8" t="s">
        <v>4447</v>
      </c>
      <c r="U452" s="8" t="s">
        <v>4448</v>
      </c>
      <c r="V452" s="8" t="s">
        <v>4449</v>
      </c>
      <c r="W452" s="8" t="s">
        <v>4450</v>
      </c>
    </row>
    <row r="453" spans="1:23" ht="28" customHeight="1" x14ac:dyDescent="0.3">
      <c r="A453" s="308">
        <v>45618</v>
      </c>
      <c r="B453" s="302">
        <v>1990.558</v>
      </c>
      <c r="C453" s="8">
        <v>-23.992999999999999</v>
      </c>
      <c r="D453" s="268">
        <v>-1.1900000000000001E-2</v>
      </c>
      <c r="E453" s="8">
        <v>41.93</v>
      </c>
      <c r="F453" s="8">
        <v>121.982</v>
      </c>
      <c r="G453" s="8">
        <v>116.10899999999999</v>
      </c>
      <c r="H453" s="8">
        <v>92.12</v>
      </c>
      <c r="I453" s="8">
        <v>165.96</v>
      </c>
      <c r="J453" s="8">
        <v>26.92</v>
      </c>
      <c r="K453" s="268">
        <v>0.43980000000000002</v>
      </c>
      <c r="L453" s="268">
        <v>0.25509999999999999</v>
      </c>
      <c r="M453" s="268">
        <v>-2.24E-2</v>
      </c>
      <c r="N453" s="8">
        <v>827.63</v>
      </c>
      <c r="O453" s="8">
        <v>7427.59</v>
      </c>
      <c r="P453" s="268">
        <v>0.1114</v>
      </c>
      <c r="Q453" s="8">
        <v>533</v>
      </c>
      <c r="R453" s="8" t="s">
        <v>4451</v>
      </c>
      <c r="S453" s="8" t="s">
        <v>4452</v>
      </c>
      <c r="T453" s="8" t="s">
        <v>4453</v>
      </c>
      <c r="U453" s="8" t="s">
        <v>4454</v>
      </c>
      <c r="V453" s="8" t="s">
        <v>4455</v>
      </c>
      <c r="W453" s="8" t="s">
        <v>4456</v>
      </c>
    </row>
    <row r="454" spans="1:23" ht="28" customHeight="1" x14ac:dyDescent="0.3">
      <c r="A454" s="308">
        <v>45617</v>
      </c>
      <c r="B454" s="302">
        <v>2014.5509999999999</v>
      </c>
      <c r="C454" s="8">
        <v>0.64400000000000002</v>
      </c>
      <c r="D454" s="268">
        <v>2.9999999999999997E-4</v>
      </c>
      <c r="E454" s="8">
        <v>47.91</v>
      </c>
      <c r="F454" s="8">
        <v>123.63800000000001</v>
      </c>
      <c r="G454" s="8">
        <v>117.08199999999999</v>
      </c>
      <c r="H454" s="8">
        <v>95.98</v>
      </c>
      <c r="I454" s="8">
        <v>163.87</v>
      </c>
      <c r="J454" s="8">
        <v>18.16</v>
      </c>
      <c r="K454" s="268">
        <v>0.40229999999999999</v>
      </c>
      <c r="L454" s="268">
        <v>0.2205</v>
      </c>
      <c r="M454" s="268">
        <v>-2.7099999999999999E-2</v>
      </c>
      <c r="N454" s="8">
        <v>843.13</v>
      </c>
      <c r="O454" s="8">
        <v>7434.01</v>
      </c>
      <c r="P454" s="268">
        <v>0.1134</v>
      </c>
      <c r="Q454" s="8">
        <v>533</v>
      </c>
      <c r="R454" s="8" t="s">
        <v>4457</v>
      </c>
      <c r="S454" s="8" t="s">
        <v>4458</v>
      </c>
      <c r="T454" s="8" t="s">
        <v>4459</v>
      </c>
      <c r="U454" s="8" t="s">
        <v>4460</v>
      </c>
      <c r="V454" s="8" t="s">
        <v>4461</v>
      </c>
      <c r="W454" s="8" t="s">
        <v>4462</v>
      </c>
    </row>
    <row r="455" spans="1:23" ht="28" customHeight="1" x14ac:dyDescent="0.3">
      <c r="A455" s="308">
        <v>45616</v>
      </c>
      <c r="B455" s="302">
        <v>2013.9069999999999</v>
      </c>
      <c r="C455" s="8">
        <v>22.129000000000001</v>
      </c>
      <c r="D455" s="268">
        <v>1.11E-2</v>
      </c>
      <c r="E455" s="8">
        <v>48.22</v>
      </c>
      <c r="F455" s="8">
        <v>123.69199999999999</v>
      </c>
      <c r="G455" s="8">
        <v>117.16500000000001</v>
      </c>
      <c r="H455" s="8">
        <v>95.87</v>
      </c>
      <c r="I455" s="8">
        <v>164.17</v>
      </c>
      <c r="J455" s="8">
        <v>17.850000000000001</v>
      </c>
      <c r="K455" s="268">
        <v>0.40479999999999999</v>
      </c>
      <c r="L455" s="268">
        <v>0.2198</v>
      </c>
      <c r="M455" s="268">
        <v>-2.63E-2</v>
      </c>
      <c r="N455" s="8">
        <v>929.11</v>
      </c>
      <c r="O455" s="8">
        <v>7448.12</v>
      </c>
      <c r="P455" s="268">
        <v>0.12470000000000001</v>
      </c>
      <c r="Q455" s="8">
        <v>533</v>
      </c>
      <c r="R455" s="8" t="s">
        <v>4463</v>
      </c>
      <c r="S455" s="8" t="s">
        <v>4464</v>
      </c>
      <c r="T455" s="8" t="s">
        <v>4465</v>
      </c>
      <c r="U455" s="8" t="s">
        <v>4466</v>
      </c>
      <c r="V455" s="8" t="s">
        <v>4467</v>
      </c>
      <c r="W455" s="8" t="s">
        <v>4468</v>
      </c>
    </row>
    <row r="456" spans="1:23" ht="28" customHeight="1" x14ac:dyDescent="0.3">
      <c r="A456" s="308">
        <v>45615</v>
      </c>
      <c r="B456" s="302">
        <v>1991.778</v>
      </c>
      <c r="C456" s="8">
        <v>21.359000000000002</v>
      </c>
      <c r="D456" s="268">
        <v>1.0800000000000001E-2</v>
      </c>
      <c r="E456" s="8">
        <v>42.38</v>
      </c>
      <c r="F456" s="8">
        <v>122.378</v>
      </c>
      <c r="G456" s="8">
        <v>116.229</v>
      </c>
      <c r="H456" s="8">
        <v>94.33</v>
      </c>
      <c r="I456" s="8">
        <v>164.21</v>
      </c>
      <c r="J456" s="8">
        <v>21.68</v>
      </c>
      <c r="K456" s="268">
        <v>0.41830000000000001</v>
      </c>
      <c r="L456" s="268">
        <v>0.23139999999999999</v>
      </c>
      <c r="M456" s="268">
        <v>-2.1499999999999998E-2</v>
      </c>
      <c r="N456" s="8">
        <v>848.09</v>
      </c>
      <c r="O456" s="8">
        <v>7402.27</v>
      </c>
      <c r="P456" s="268">
        <v>0.11459999999999999</v>
      </c>
      <c r="Q456" s="8">
        <v>531</v>
      </c>
      <c r="R456" s="8" t="s">
        <v>4469</v>
      </c>
      <c r="S456" s="8" t="s">
        <v>4470</v>
      </c>
      <c r="T456" s="8" t="s">
        <v>4471</v>
      </c>
      <c r="U456" s="8" t="s">
        <v>4472</v>
      </c>
      <c r="V456" s="8" t="s">
        <v>4473</v>
      </c>
      <c r="W456" s="8" t="s">
        <v>4474</v>
      </c>
    </row>
    <row r="457" spans="1:23" ht="28" customHeight="1" x14ac:dyDescent="0.3">
      <c r="A457" s="308">
        <v>45614</v>
      </c>
      <c r="B457" s="302">
        <v>1970.4190000000001</v>
      </c>
      <c r="C457" s="8">
        <v>-22.218</v>
      </c>
      <c r="D457" s="268">
        <v>-1.11E-2</v>
      </c>
      <c r="E457" s="8">
        <v>37.49</v>
      </c>
      <c r="F457" s="8">
        <v>121.038</v>
      </c>
      <c r="G457" s="8">
        <v>114.995</v>
      </c>
      <c r="H457" s="8">
        <v>91.42</v>
      </c>
      <c r="I457" s="8">
        <v>165.16</v>
      </c>
      <c r="J457" s="8">
        <v>26.96</v>
      </c>
      <c r="K457" s="268">
        <v>0.44130000000000003</v>
      </c>
      <c r="L457" s="268">
        <v>0.251</v>
      </c>
      <c r="M457" s="268">
        <v>-1.72E-2</v>
      </c>
      <c r="N457" s="8">
        <v>882.85</v>
      </c>
      <c r="O457" s="8">
        <v>7412.27</v>
      </c>
      <c r="P457" s="268">
        <v>0.1191</v>
      </c>
      <c r="Q457" s="8">
        <v>532</v>
      </c>
      <c r="R457" s="8" t="s">
        <v>4475</v>
      </c>
      <c r="S457" s="8" t="s">
        <v>4476</v>
      </c>
      <c r="T457" s="8" t="s">
        <v>4477</v>
      </c>
      <c r="U457" s="8" t="s">
        <v>4478</v>
      </c>
      <c r="V457" s="8" t="s">
        <v>4479</v>
      </c>
      <c r="W457" s="8" t="s">
        <v>4480</v>
      </c>
    </row>
    <row r="458" spans="1:23" ht="28" customHeight="1" x14ac:dyDescent="0.3">
      <c r="A458" s="308">
        <v>45611</v>
      </c>
      <c r="B458" s="302">
        <v>1992.6369999999999</v>
      </c>
      <c r="C458" s="8">
        <v>-14.694000000000001</v>
      </c>
      <c r="D458" s="268">
        <v>-7.3000000000000001E-3</v>
      </c>
      <c r="E458" s="8">
        <v>42.02</v>
      </c>
      <c r="F458" s="8">
        <v>122.502</v>
      </c>
      <c r="G458" s="8">
        <v>115.77500000000001</v>
      </c>
      <c r="H458" s="8">
        <v>92.99</v>
      </c>
      <c r="I458" s="8">
        <v>164.87</v>
      </c>
      <c r="J458" s="8">
        <v>22.92</v>
      </c>
      <c r="K458" s="268">
        <v>0.42359999999999998</v>
      </c>
      <c r="L458" s="268">
        <v>0.24529999999999999</v>
      </c>
      <c r="M458" s="268">
        <v>-2.1600000000000001E-2</v>
      </c>
      <c r="N458" s="8">
        <v>912.65</v>
      </c>
      <c r="O458" s="8">
        <v>7414.05</v>
      </c>
      <c r="P458" s="268">
        <v>0.1231</v>
      </c>
      <c r="Q458" s="8">
        <v>533</v>
      </c>
      <c r="R458" s="8" t="s">
        <v>4481</v>
      </c>
      <c r="S458" s="8" t="s">
        <v>4482</v>
      </c>
      <c r="T458" s="8" t="s">
        <v>4483</v>
      </c>
      <c r="U458" s="8" t="s">
        <v>4484</v>
      </c>
      <c r="V458" s="8" t="s">
        <v>4485</v>
      </c>
      <c r="W458" s="8" t="s">
        <v>4486</v>
      </c>
    </row>
    <row r="459" spans="1:23" ht="28" customHeight="1" x14ac:dyDescent="0.3">
      <c r="A459" s="308">
        <v>45610</v>
      </c>
      <c r="B459" s="302">
        <v>2007.3309999999999</v>
      </c>
      <c r="C459" s="8">
        <v>-26.192</v>
      </c>
      <c r="D459" s="268">
        <v>-1.29E-2</v>
      </c>
      <c r="E459" s="8">
        <v>46.24</v>
      </c>
      <c r="F459" s="8">
        <v>123.553</v>
      </c>
      <c r="G459" s="8">
        <v>116.773</v>
      </c>
      <c r="H459" s="8">
        <v>95.48</v>
      </c>
      <c r="I459" s="8">
        <v>164.07</v>
      </c>
      <c r="J459" s="8">
        <v>19.75</v>
      </c>
      <c r="K459" s="268">
        <v>0.4052</v>
      </c>
      <c r="L459" s="268">
        <v>0.23419999999999999</v>
      </c>
      <c r="M459" s="268">
        <v>-2.46E-2</v>
      </c>
      <c r="N459" s="8">
        <v>792.63</v>
      </c>
      <c r="O459" s="8">
        <v>7420.32</v>
      </c>
      <c r="P459" s="268">
        <v>0.10680000000000001</v>
      </c>
      <c r="Q459" s="8">
        <v>533</v>
      </c>
      <c r="R459" s="8" t="s">
        <v>4487</v>
      </c>
      <c r="S459" s="8" t="s">
        <v>4488</v>
      </c>
      <c r="T459" s="8" t="s">
        <v>4489</v>
      </c>
      <c r="U459" s="8" t="s">
        <v>4490</v>
      </c>
      <c r="V459" s="8" t="s">
        <v>4491</v>
      </c>
      <c r="W459" s="8" t="s">
        <v>4492</v>
      </c>
    </row>
    <row r="460" spans="1:23" ht="28" customHeight="1" x14ac:dyDescent="0.3">
      <c r="A460" s="308">
        <v>45609</v>
      </c>
      <c r="B460" s="302">
        <v>2033.5229999999999</v>
      </c>
      <c r="C460" s="8">
        <v>-0.67100000000000004</v>
      </c>
      <c r="D460" s="268">
        <v>-2.9999999999999997E-4</v>
      </c>
      <c r="E460" s="8">
        <v>52.74</v>
      </c>
      <c r="F460" s="8">
        <v>125.277</v>
      </c>
      <c r="G460" s="8">
        <v>118.38</v>
      </c>
      <c r="H460" s="8">
        <v>98.47</v>
      </c>
      <c r="I460" s="8">
        <v>163.51</v>
      </c>
      <c r="J460" s="8">
        <v>15.69</v>
      </c>
      <c r="K460" s="268">
        <v>0.38229999999999997</v>
      </c>
      <c r="L460" s="268">
        <v>0.21659999999999999</v>
      </c>
      <c r="M460" s="268">
        <v>-4.0800000000000003E-2</v>
      </c>
      <c r="N460" s="8">
        <v>816.2</v>
      </c>
      <c r="O460" s="8">
        <v>7432.47</v>
      </c>
      <c r="P460" s="268">
        <v>0.10979999999999999</v>
      </c>
      <c r="Q460" s="8">
        <v>533</v>
      </c>
      <c r="R460" s="8" t="s">
        <v>4493</v>
      </c>
      <c r="S460" s="8" t="s">
        <v>4494</v>
      </c>
      <c r="T460" s="8" t="s">
        <v>4495</v>
      </c>
      <c r="U460" s="8" t="s">
        <v>4496</v>
      </c>
      <c r="V460" s="8" t="s">
        <v>4497</v>
      </c>
      <c r="W460" s="8" t="s">
        <v>4498</v>
      </c>
    </row>
    <row r="461" spans="1:23" ht="28" customHeight="1" x14ac:dyDescent="0.3">
      <c r="A461" s="308">
        <v>45608</v>
      </c>
      <c r="B461" s="302">
        <v>2034.194</v>
      </c>
      <c r="C461" s="8">
        <v>-9.5649999999999995</v>
      </c>
      <c r="D461" s="268">
        <v>-4.7000000000000002E-3</v>
      </c>
      <c r="E461" s="8">
        <v>54.11</v>
      </c>
      <c r="F461" s="8">
        <v>125.48099999999999</v>
      </c>
      <c r="G461" s="8">
        <v>118.43</v>
      </c>
      <c r="H461" s="8">
        <v>98.67</v>
      </c>
      <c r="I461" s="8">
        <v>163.77000000000001</v>
      </c>
      <c r="J461" s="8">
        <v>15.79</v>
      </c>
      <c r="K461" s="268">
        <v>0.38290000000000002</v>
      </c>
      <c r="L461" s="268">
        <v>0.2218</v>
      </c>
      <c r="M461" s="268">
        <v>-4.1300000000000003E-2</v>
      </c>
      <c r="N461" s="8">
        <v>899.03</v>
      </c>
      <c r="O461" s="8">
        <v>7441.11</v>
      </c>
      <c r="P461" s="268">
        <v>0.1208</v>
      </c>
      <c r="Q461" s="8">
        <v>534</v>
      </c>
      <c r="R461" s="8" t="s">
        <v>4211</v>
      </c>
      <c r="S461" s="8" t="s">
        <v>4499</v>
      </c>
      <c r="T461" s="8" t="s">
        <v>4500</v>
      </c>
      <c r="U461" s="8" t="s">
        <v>4501</v>
      </c>
      <c r="V461" s="8" t="s">
        <v>4502</v>
      </c>
      <c r="W461" s="8" t="s">
        <v>4503</v>
      </c>
    </row>
    <row r="462" spans="1:23" ht="28" customHeight="1" x14ac:dyDescent="0.3">
      <c r="A462" s="308">
        <v>45607</v>
      </c>
      <c r="B462" s="302">
        <v>2043.759</v>
      </c>
      <c r="C462" s="8">
        <v>30.481000000000002</v>
      </c>
      <c r="D462" s="268">
        <v>1.5100000000000001E-2</v>
      </c>
      <c r="E462" s="8">
        <v>56.2</v>
      </c>
      <c r="F462" s="8">
        <v>126.01</v>
      </c>
      <c r="G462" s="8">
        <v>119.029</v>
      </c>
      <c r="H462" s="8">
        <v>99.18</v>
      </c>
      <c r="I462" s="8">
        <v>164.16</v>
      </c>
      <c r="J462" s="8">
        <v>14.67</v>
      </c>
      <c r="K462" s="268">
        <v>0.38150000000000001</v>
      </c>
      <c r="L462" s="268">
        <v>0.21440000000000001</v>
      </c>
      <c r="M462" s="268">
        <v>-4.2900000000000001E-2</v>
      </c>
      <c r="N462" s="8">
        <v>830.02</v>
      </c>
      <c r="O462" s="8">
        <v>7443.26</v>
      </c>
      <c r="P462" s="268">
        <v>0.1115</v>
      </c>
      <c r="Q462" s="8">
        <v>531</v>
      </c>
      <c r="R462" s="8" t="s">
        <v>4504</v>
      </c>
      <c r="S462" s="8" t="s">
        <v>4505</v>
      </c>
      <c r="T462" s="8" t="s">
        <v>4506</v>
      </c>
      <c r="U462" s="8" t="s">
        <v>4507</v>
      </c>
      <c r="V462" s="8" t="s">
        <v>4508</v>
      </c>
      <c r="W462" s="8" t="s">
        <v>4509</v>
      </c>
    </row>
    <row r="463" spans="1:23" ht="28" customHeight="1" x14ac:dyDescent="0.3">
      <c r="A463" s="308">
        <v>45604</v>
      </c>
      <c r="B463" s="302">
        <v>2013.278</v>
      </c>
      <c r="C463" s="8">
        <v>-1.6120000000000001</v>
      </c>
      <c r="D463" s="268">
        <v>-8.0000000000000004E-4</v>
      </c>
      <c r="E463" s="8">
        <v>49.52</v>
      </c>
      <c r="F463" s="8">
        <v>124.16500000000001</v>
      </c>
      <c r="G463" s="8">
        <v>117.328</v>
      </c>
      <c r="H463" s="8">
        <v>96.98</v>
      </c>
      <c r="I463" s="8">
        <v>164.4</v>
      </c>
      <c r="J463" s="8">
        <v>18.52</v>
      </c>
      <c r="K463" s="268">
        <v>0.40229999999999999</v>
      </c>
      <c r="L463" s="268">
        <v>0.22570000000000001</v>
      </c>
      <c r="M463" s="268">
        <v>-3.5499999999999997E-2</v>
      </c>
      <c r="N463" s="8">
        <v>857.44</v>
      </c>
      <c r="O463" s="8">
        <v>7465.26</v>
      </c>
      <c r="P463" s="268">
        <v>0.1149</v>
      </c>
      <c r="Q463" s="8">
        <v>531</v>
      </c>
      <c r="R463" s="8" t="s">
        <v>4510</v>
      </c>
      <c r="S463" s="8" t="s">
        <v>4511</v>
      </c>
      <c r="T463" s="8" t="s">
        <v>4512</v>
      </c>
      <c r="U463" s="8" t="s">
        <v>4513</v>
      </c>
      <c r="V463" s="8" t="s">
        <v>4514</v>
      </c>
      <c r="W463" s="8" t="s">
        <v>4515</v>
      </c>
    </row>
    <row r="464" spans="1:23" ht="28" customHeight="1" x14ac:dyDescent="0.3">
      <c r="A464" s="308">
        <v>45603</v>
      </c>
      <c r="B464" s="302">
        <v>2014.89</v>
      </c>
      <c r="C464" s="8">
        <v>20.66</v>
      </c>
      <c r="D464" s="268">
        <v>1.04E-2</v>
      </c>
      <c r="E464" s="8">
        <v>51</v>
      </c>
      <c r="F464" s="8">
        <v>124.145</v>
      </c>
      <c r="G464" s="8">
        <v>117.746</v>
      </c>
      <c r="H464" s="8">
        <v>97.27</v>
      </c>
      <c r="I464" s="8">
        <v>164.48</v>
      </c>
      <c r="J464" s="8">
        <v>19.350000000000001</v>
      </c>
      <c r="K464" s="268">
        <v>0.40329999999999999</v>
      </c>
      <c r="L464" s="268">
        <v>0.22409999999999999</v>
      </c>
      <c r="M464" s="268">
        <v>-3.6400000000000002E-2</v>
      </c>
      <c r="N464" s="8">
        <v>850.71</v>
      </c>
      <c r="O464" s="8">
        <v>7503.97</v>
      </c>
      <c r="P464" s="268">
        <v>0.1134</v>
      </c>
      <c r="Q464" s="8">
        <v>532</v>
      </c>
      <c r="R464" s="8" t="s">
        <v>4516</v>
      </c>
      <c r="S464" s="8" t="s">
        <v>4517</v>
      </c>
      <c r="T464" s="8" t="s">
        <v>4518</v>
      </c>
      <c r="U464" s="8" t="s">
        <v>4519</v>
      </c>
      <c r="V464" s="8" t="s">
        <v>4520</v>
      </c>
      <c r="W464" s="8" t="s">
        <v>4521</v>
      </c>
    </row>
    <row r="465" spans="1:23" ht="28" customHeight="1" x14ac:dyDescent="0.3">
      <c r="A465" s="308">
        <v>45602</v>
      </c>
      <c r="B465" s="302">
        <v>1994.23</v>
      </c>
      <c r="C465" s="8">
        <v>3.9209999999999998</v>
      </c>
      <c r="D465" s="268">
        <v>2E-3</v>
      </c>
      <c r="E465" s="8">
        <v>46.21</v>
      </c>
      <c r="F465" s="8">
        <v>122.932</v>
      </c>
      <c r="G465" s="8">
        <v>116.49</v>
      </c>
      <c r="H465" s="8">
        <v>94.52</v>
      </c>
      <c r="I465" s="8">
        <v>165.3</v>
      </c>
      <c r="J465" s="8">
        <v>22.82</v>
      </c>
      <c r="K465" s="268">
        <v>0.42370000000000002</v>
      </c>
      <c r="L465" s="268">
        <v>0.24279999999999999</v>
      </c>
      <c r="M465" s="268">
        <v>-3.2300000000000002E-2</v>
      </c>
      <c r="N465" s="8">
        <v>878.55</v>
      </c>
      <c r="O465" s="8">
        <v>7532.85</v>
      </c>
      <c r="P465" s="268">
        <v>0.1166</v>
      </c>
      <c r="Q465" s="8">
        <v>533</v>
      </c>
      <c r="R465" s="8" t="s">
        <v>4522</v>
      </c>
      <c r="S465" s="8" t="s">
        <v>4523</v>
      </c>
      <c r="T465" s="8" t="s">
        <v>4524</v>
      </c>
      <c r="U465" s="8" t="s">
        <v>4525</v>
      </c>
      <c r="V465" s="8" t="s">
        <v>4526</v>
      </c>
      <c r="W465" s="8" t="s">
        <v>4527</v>
      </c>
    </row>
    <row r="466" spans="1:23" ht="28" customHeight="1" x14ac:dyDescent="0.3">
      <c r="A466" s="308">
        <v>45601</v>
      </c>
      <c r="B466" s="302">
        <v>1990.309</v>
      </c>
      <c r="C466" s="8">
        <v>23.463999999999999</v>
      </c>
      <c r="D466" s="268">
        <v>1.1900000000000001E-2</v>
      </c>
      <c r="E466" s="8">
        <v>45.88</v>
      </c>
      <c r="F466" s="8">
        <v>122.645</v>
      </c>
      <c r="G466" s="8">
        <v>116.369</v>
      </c>
      <c r="H466" s="8">
        <v>93.88</v>
      </c>
      <c r="I466" s="8">
        <v>165.68</v>
      </c>
      <c r="J466" s="8">
        <v>23.38</v>
      </c>
      <c r="K466" s="268">
        <v>0.43030000000000002</v>
      </c>
      <c r="L466" s="268">
        <v>0.24829999999999999</v>
      </c>
      <c r="M466" s="268">
        <v>-3.04E-2</v>
      </c>
      <c r="N466" s="8">
        <v>806.48</v>
      </c>
      <c r="O466" s="8">
        <v>7518.17</v>
      </c>
      <c r="P466" s="268">
        <v>0.10730000000000001</v>
      </c>
      <c r="Q466" s="8">
        <v>532</v>
      </c>
      <c r="R466" s="8" t="s">
        <v>4528</v>
      </c>
      <c r="S466" s="8" t="s">
        <v>4529</v>
      </c>
      <c r="T466" s="8" t="s">
        <v>4530</v>
      </c>
      <c r="U466" s="8" t="s">
        <v>4531</v>
      </c>
      <c r="V466" s="8" t="s">
        <v>4532</v>
      </c>
      <c r="W466" s="8" t="s">
        <v>4533</v>
      </c>
    </row>
    <row r="467" spans="1:23" ht="28" customHeight="1" x14ac:dyDescent="0.3">
      <c r="A467" s="308">
        <v>45600</v>
      </c>
      <c r="B467" s="302">
        <v>1966.845</v>
      </c>
      <c r="C467" s="8">
        <v>17.177</v>
      </c>
      <c r="D467" s="268">
        <v>8.8000000000000005E-3</v>
      </c>
      <c r="E467" s="8">
        <v>39.67</v>
      </c>
      <c r="F467" s="8">
        <v>121.21599999999999</v>
      </c>
      <c r="G467" s="8">
        <v>115.199</v>
      </c>
      <c r="H467" s="8">
        <v>91.26</v>
      </c>
      <c r="I467" s="8">
        <v>166.49</v>
      </c>
      <c r="J467" s="8">
        <v>27.72</v>
      </c>
      <c r="K467" s="268">
        <v>0.45269999999999999</v>
      </c>
      <c r="L467" s="268">
        <v>0.26879999999999998</v>
      </c>
      <c r="M467" s="268">
        <v>-2.5000000000000001E-2</v>
      </c>
      <c r="N467" s="8">
        <v>647.24</v>
      </c>
      <c r="O467" s="8">
        <v>7525.33</v>
      </c>
      <c r="P467" s="268">
        <v>8.5999999999999993E-2</v>
      </c>
      <c r="Q467" s="8">
        <v>532</v>
      </c>
      <c r="R467" s="8" t="s">
        <v>4534</v>
      </c>
      <c r="S467" s="8" t="s">
        <v>4535</v>
      </c>
      <c r="T467" s="8" t="s">
        <v>4536</v>
      </c>
      <c r="U467" s="8" t="s">
        <v>4537</v>
      </c>
      <c r="V467" s="8" t="s">
        <v>4538</v>
      </c>
      <c r="W467" s="8" t="s">
        <v>4539</v>
      </c>
    </row>
    <row r="468" spans="1:23" ht="28" customHeight="1" x14ac:dyDescent="0.3">
      <c r="A468" s="308">
        <v>45597</v>
      </c>
      <c r="B468" s="302">
        <v>1949.6679999999999</v>
      </c>
      <c r="C468" s="8">
        <v>-17.369</v>
      </c>
      <c r="D468" s="268">
        <v>-8.8000000000000005E-3</v>
      </c>
      <c r="E468" s="8">
        <v>35.79</v>
      </c>
      <c r="F468" s="8">
        <v>120.209</v>
      </c>
      <c r="G468" s="8">
        <v>114.63500000000001</v>
      </c>
      <c r="H468" s="8">
        <v>89.35</v>
      </c>
      <c r="I468" s="8">
        <v>167.78</v>
      </c>
      <c r="J468" s="8">
        <v>33.22</v>
      </c>
      <c r="K468" s="268">
        <v>0.47570000000000001</v>
      </c>
      <c r="L468" s="268">
        <v>0.28589999999999999</v>
      </c>
      <c r="M468" s="268">
        <v>-2.06E-2</v>
      </c>
      <c r="N468" s="8">
        <v>766</v>
      </c>
      <c r="O468" s="8">
        <v>7526.99</v>
      </c>
      <c r="P468" s="268">
        <v>0.1018</v>
      </c>
      <c r="Q468" s="8">
        <v>532</v>
      </c>
      <c r="R468" s="8" t="s">
        <v>4540</v>
      </c>
      <c r="S468" s="8" t="s">
        <v>4541</v>
      </c>
      <c r="T468" s="8" t="s">
        <v>4542</v>
      </c>
      <c r="U468" s="8" t="s">
        <v>4543</v>
      </c>
      <c r="V468" s="8" t="s">
        <v>4544</v>
      </c>
      <c r="W468" s="8" t="s">
        <v>4545</v>
      </c>
    </row>
    <row r="469" spans="1:23" ht="28" customHeight="1" x14ac:dyDescent="0.3">
      <c r="A469" s="308">
        <v>45596</v>
      </c>
      <c r="B469" s="302">
        <v>1967.037</v>
      </c>
      <c r="C469" s="8">
        <v>10.74</v>
      </c>
      <c r="D469" s="268">
        <v>5.4999999999999997E-3</v>
      </c>
      <c r="E469" s="8">
        <v>39.43</v>
      </c>
      <c r="F469" s="8">
        <v>121.44499999999999</v>
      </c>
      <c r="G469" s="8">
        <v>115.218</v>
      </c>
      <c r="H469" s="8">
        <v>91.05</v>
      </c>
      <c r="I469" s="8">
        <v>166.91</v>
      </c>
      <c r="J469" s="8">
        <v>27.84</v>
      </c>
      <c r="K469" s="268">
        <v>0.4546</v>
      </c>
      <c r="L469" s="268">
        <v>0.27350000000000002</v>
      </c>
      <c r="M469" s="268">
        <v>-3.1600000000000003E-2</v>
      </c>
      <c r="N469" s="8">
        <v>832.26</v>
      </c>
      <c r="O469" s="8">
        <v>7529.34</v>
      </c>
      <c r="P469" s="268">
        <v>0.1105</v>
      </c>
      <c r="Q469" s="8">
        <v>531</v>
      </c>
      <c r="R469" s="8" t="s">
        <v>4546</v>
      </c>
      <c r="S469" s="8" t="s">
        <v>4547</v>
      </c>
      <c r="T469" s="8" t="s">
        <v>4548</v>
      </c>
      <c r="U469" s="8" t="s">
        <v>4549</v>
      </c>
      <c r="V469" s="8" t="s">
        <v>4550</v>
      </c>
      <c r="W469" s="8" t="s">
        <v>4551</v>
      </c>
    </row>
    <row r="470" spans="1:23" ht="28" customHeight="1" x14ac:dyDescent="0.3">
      <c r="A470" s="308">
        <v>45595</v>
      </c>
      <c r="B470" s="302">
        <v>1956.297</v>
      </c>
      <c r="C470" s="8">
        <v>-6.4770000000000003</v>
      </c>
      <c r="D470" s="268">
        <v>-3.3E-3</v>
      </c>
      <c r="E470" s="8">
        <v>37.29</v>
      </c>
      <c r="F470" s="8">
        <v>120.854</v>
      </c>
      <c r="G470" s="8">
        <v>114.90600000000001</v>
      </c>
      <c r="H470" s="8">
        <v>91.55</v>
      </c>
      <c r="I470" s="8">
        <v>167.35</v>
      </c>
      <c r="J470" s="8">
        <v>28.39</v>
      </c>
      <c r="K470" s="268">
        <v>0.46489999999999998</v>
      </c>
      <c r="L470" s="268">
        <v>0.27029999999999998</v>
      </c>
      <c r="M470" s="268">
        <v>-2.92E-2</v>
      </c>
      <c r="N470" s="8">
        <v>748.73</v>
      </c>
      <c r="O470" s="8">
        <v>7534.3</v>
      </c>
      <c r="P470" s="268">
        <v>9.9400000000000002E-2</v>
      </c>
      <c r="Q470" s="8">
        <v>531</v>
      </c>
      <c r="R470" s="8" t="s">
        <v>4552</v>
      </c>
      <c r="S470" s="8" t="s">
        <v>4553</v>
      </c>
      <c r="T470" s="8" t="s">
        <v>4554</v>
      </c>
      <c r="U470" s="8" t="s">
        <v>4555</v>
      </c>
      <c r="V470" s="8" t="s">
        <v>4556</v>
      </c>
      <c r="W470" s="8" t="s">
        <v>4557</v>
      </c>
    </row>
    <row r="471" spans="1:23" ht="28" customHeight="1" x14ac:dyDescent="0.3">
      <c r="A471" s="308">
        <v>45594</v>
      </c>
      <c r="B471" s="302">
        <v>1962.7739999999999</v>
      </c>
      <c r="C471" s="8">
        <v>-26.558</v>
      </c>
      <c r="D471" s="268">
        <v>-1.3299999999999999E-2</v>
      </c>
      <c r="E471" s="8">
        <v>40.32</v>
      </c>
      <c r="F471" s="8">
        <v>121.242</v>
      </c>
      <c r="G471" s="8">
        <v>115.279</v>
      </c>
      <c r="H471" s="8">
        <v>91.98</v>
      </c>
      <c r="I471" s="8">
        <v>168.19</v>
      </c>
      <c r="J471" s="8">
        <v>29.8</v>
      </c>
      <c r="K471" s="268">
        <v>0.46949999999999997</v>
      </c>
      <c r="L471" s="268">
        <v>0.27729999999999999</v>
      </c>
      <c r="M471" s="268">
        <v>-0.03</v>
      </c>
      <c r="N471" s="8">
        <v>848.24</v>
      </c>
      <c r="O471" s="8">
        <v>7571.91</v>
      </c>
      <c r="P471" s="268">
        <v>0.112</v>
      </c>
      <c r="Q471" s="8">
        <v>532</v>
      </c>
      <c r="R471" s="8" t="s">
        <v>4558</v>
      </c>
      <c r="S471" s="8" t="s">
        <v>4559</v>
      </c>
      <c r="T471" s="8" t="s">
        <v>4560</v>
      </c>
      <c r="U471" s="8" t="s">
        <v>4561</v>
      </c>
      <c r="V471" s="8" t="s">
        <v>4562</v>
      </c>
      <c r="W471" s="8" t="s">
        <v>4563</v>
      </c>
    </row>
    <row r="472" spans="1:23" ht="28" customHeight="1" x14ac:dyDescent="0.3">
      <c r="A472" s="308">
        <v>45593</v>
      </c>
      <c r="B472" s="302">
        <v>1989.3320000000001</v>
      </c>
      <c r="C472" s="8">
        <v>16.297000000000001</v>
      </c>
      <c r="D472" s="268">
        <v>8.3000000000000001E-3</v>
      </c>
      <c r="E472" s="8">
        <v>45.45</v>
      </c>
      <c r="F472" s="8">
        <v>122.792</v>
      </c>
      <c r="G472" s="8">
        <v>116.66</v>
      </c>
      <c r="H472" s="8">
        <v>92.85</v>
      </c>
      <c r="I472" s="8">
        <v>168.65</v>
      </c>
      <c r="J472" s="8">
        <v>26.34</v>
      </c>
      <c r="K472" s="268">
        <v>0.45860000000000001</v>
      </c>
      <c r="L472" s="268">
        <v>0.27110000000000001</v>
      </c>
      <c r="M472" s="268">
        <v>-3.5700000000000003E-2</v>
      </c>
      <c r="N472" s="8">
        <v>791.1</v>
      </c>
      <c r="O472" s="8">
        <v>7588.3</v>
      </c>
      <c r="P472" s="268">
        <v>0.1043</v>
      </c>
      <c r="Q472" s="8">
        <v>533</v>
      </c>
      <c r="R472" s="8" t="s">
        <v>4564</v>
      </c>
      <c r="S472" s="8" t="s">
        <v>4565</v>
      </c>
      <c r="T472" s="8" t="s">
        <v>4566</v>
      </c>
      <c r="U472" s="8" t="s">
        <v>4567</v>
      </c>
      <c r="V472" s="8" t="s">
        <v>4568</v>
      </c>
      <c r="W472" s="8" t="s">
        <v>4569</v>
      </c>
    </row>
    <row r="473" spans="1:23" ht="28" customHeight="1" x14ac:dyDescent="0.3">
      <c r="A473" s="308">
        <v>45590</v>
      </c>
      <c r="B473" s="302">
        <v>1973.0350000000001</v>
      </c>
      <c r="C473" s="8">
        <v>22.085000000000001</v>
      </c>
      <c r="D473" s="268">
        <v>1.1299999999999999E-2</v>
      </c>
      <c r="E473" s="8">
        <v>43.21</v>
      </c>
      <c r="F473" s="8">
        <v>121.858</v>
      </c>
      <c r="G473" s="8">
        <v>115.697</v>
      </c>
      <c r="H473" s="8">
        <v>90.22</v>
      </c>
      <c r="I473" s="8">
        <v>168.88</v>
      </c>
      <c r="J473" s="8">
        <v>27.78</v>
      </c>
      <c r="K473" s="268">
        <v>0.47020000000000001</v>
      </c>
      <c r="L473" s="268">
        <v>0.28170000000000001</v>
      </c>
      <c r="M473" s="268">
        <v>-3.0800000000000001E-2</v>
      </c>
      <c r="N473" s="8">
        <v>846.28</v>
      </c>
      <c r="O473" s="8">
        <v>7609.99</v>
      </c>
      <c r="P473" s="268">
        <v>0.11119999999999999</v>
      </c>
      <c r="Q473" s="8">
        <v>534</v>
      </c>
      <c r="R473" s="8" t="s">
        <v>4570</v>
      </c>
      <c r="S473" s="8" t="s">
        <v>4571</v>
      </c>
      <c r="T473" s="8" t="s">
        <v>4572</v>
      </c>
      <c r="U473" s="8" t="s">
        <v>4573</v>
      </c>
      <c r="V473" s="8" t="s">
        <v>4574</v>
      </c>
      <c r="W473" s="8" t="s">
        <v>4575</v>
      </c>
    </row>
    <row r="474" spans="1:23" ht="28" customHeight="1" x14ac:dyDescent="0.3">
      <c r="A474" s="308">
        <v>45589</v>
      </c>
      <c r="B474" s="302">
        <v>1950.95</v>
      </c>
      <c r="C474" s="8">
        <v>-15.615</v>
      </c>
      <c r="D474" s="268">
        <v>-7.9000000000000008E-3</v>
      </c>
      <c r="E474" s="8">
        <v>37.6</v>
      </c>
      <c r="F474" s="8">
        <v>120.447</v>
      </c>
      <c r="G474" s="8">
        <v>114.7</v>
      </c>
      <c r="H474" s="8">
        <v>88.47</v>
      </c>
      <c r="I474" s="8">
        <v>169.37</v>
      </c>
      <c r="J474" s="8">
        <v>29.52</v>
      </c>
      <c r="K474" s="268">
        <v>0.48920000000000002</v>
      </c>
      <c r="L474" s="268">
        <v>0.29880000000000001</v>
      </c>
      <c r="M474" s="268">
        <v>-2.6100000000000002E-2</v>
      </c>
      <c r="N474" s="8">
        <v>798.09</v>
      </c>
      <c r="O474" s="8">
        <v>7626.87</v>
      </c>
      <c r="P474" s="268">
        <v>0.1046</v>
      </c>
      <c r="Q474" s="8">
        <v>535</v>
      </c>
      <c r="R474" s="8" t="s">
        <v>4576</v>
      </c>
      <c r="S474" s="8" t="s">
        <v>4577</v>
      </c>
      <c r="T474" s="8" t="s">
        <v>4578</v>
      </c>
      <c r="U474" s="8" t="s">
        <v>4579</v>
      </c>
      <c r="V474" s="8" t="s">
        <v>4580</v>
      </c>
      <c r="W474" s="8" t="s">
        <v>4581</v>
      </c>
    </row>
    <row r="475" spans="1:23" ht="28" customHeight="1" x14ac:dyDescent="0.3">
      <c r="A475" s="308">
        <v>45588</v>
      </c>
      <c r="B475" s="302">
        <v>1966.5650000000001</v>
      </c>
      <c r="C475" s="8">
        <v>8.8490000000000002</v>
      </c>
      <c r="D475" s="268">
        <v>4.4999999999999997E-3</v>
      </c>
      <c r="E475" s="8">
        <v>41.2</v>
      </c>
      <c r="F475" s="8">
        <v>121.36</v>
      </c>
      <c r="G475" s="8">
        <v>115.691</v>
      </c>
      <c r="H475" s="8">
        <v>89.29</v>
      </c>
      <c r="I475" s="8">
        <v>170.7</v>
      </c>
      <c r="J475" s="8">
        <v>32.31</v>
      </c>
      <c r="K475" s="268">
        <v>0.49340000000000001</v>
      </c>
      <c r="L475" s="268">
        <v>0.30359999999999998</v>
      </c>
      <c r="M475" s="268">
        <v>-2.8400000000000002E-2</v>
      </c>
      <c r="N475" s="8">
        <v>932.38</v>
      </c>
      <c r="O475" s="8">
        <v>7637.18</v>
      </c>
      <c r="P475" s="268">
        <v>0.1221</v>
      </c>
      <c r="Q475" s="8">
        <v>535</v>
      </c>
      <c r="R475" s="8" t="s">
        <v>4582</v>
      </c>
      <c r="S475" s="8" t="s">
        <v>4583</v>
      </c>
      <c r="T475" s="8" t="s">
        <v>4584</v>
      </c>
      <c r="U475" s="8" t="s">
        <v>4585</v>
      </c>
      <c r="V475" s="8" t="s">
        <v>4586</v>
      </c>
      <c r="W475" s="8" t="s">
        <v>4587</v>
      </c>
    </row>
    <row r="476" spans="1:23" ht="28" customHeight="1" x14ac:dyDescent="0.3">
      <c r="A476" s="308">
        <v>45587</v>
      </c>
      <c r="B476" s="302">
        <v>1957.7159999999999</v>
      </c>
      <c r="C476" s="8">
        <v>5.33</v>
      </c>
      <c r="D476" s="268">
        <v>2.7000000000000001E-3</v>
      </c>
      <c r="E476" s="8">
        <v>40.369999999999997</v>
      </c>
      <c r="F476" s="8">
        <v>120.902</v>
      </c>
      <c r="G476" s="8">
        <v>115</v>
      </c>
      <c r="H476" s="8">
        <v>88.4</v>
      </c>
      <c r="I476" s="8">
        <v>170.36</v>
      </c>
      <c r="J476" s="8">
        <v>30.24</v>
      </c>
      <c r="K476" s="268">
        <v>0.49459999999999998</v>
      </c>
      <c r="L476" s="268">
        <v>0.3039</v>
      </c>
      <c r="M476" s="268">
        <v>-2.6200000000000001E-2</v>
      </c>
      <c r="N476" s="8">
        <v>840.67</v>
      </c>
      <c r="O476" s="8">
        <v>7643.54</v>
      </c>
      <c r="P476" s="268">
        <v>0.11</v>
      </c>
      <c r="Q476" s="8">
        <v>535</v>
      </c>
      <c r="R476" s="8" t="s">
        <v>4588</v>
      </c>
      <c r="S476" s="8" t="s">
        <v>4589</v>
      </c>
      <c r="T476" s="8" t="s">
        <v>4590</v>
      </c>
      <c r="U476" s="8" t="s">
        <v>4591</v>
      </c>
      <c r="V476" s="8" t="s">
        <v>4592</v>
      </c>
      <c r="W476" s="8" t="s">
        <v>4593</v>
      </c>
    </row>
    <row r="477" spans="1:23" ht="28" customHeight="1" x14ac:dyDescent="0.3">
      <c r="A477" s="308">
        <v>45586</v>
      </c>
      <c r="B477" s="302">
        <v>1952.386</v>
      </c>
      <c r="C477" s="8">
        <v>21.376000000000001</v>
      </c>
      <c r="D477" s="268">
        <v>1.11E-2</v>
      </c>
      <c r="E477" s="8">
        <v>39.32</v>
      </c>
      <c r="F477" s="8">
        <v>120.59099999999999</v>
      </c>
      <c r="G477" s="8">
        <v>114.77200000000001</v>
      </c>
      <c r="H477" s="8">
        <v>87.94</v>
      </c>
      <c r="I477" s="8">
        <v>171.58</v>
      </c>
      <c r="J477" s="8">
        <v>33.33</v>
      </c>
      <c r="K477" s="268">
        <v>0.50990000000000002</v>
      </c>
      <c r="L477" s="268">
        <v>0.33260000000000001</v>
      </c>
      <c r="M477" s="268">
        <v>-2.6800000000000001E-2</v>
      </c>
      <c r="N477" s="8">
        <v>941.86</v>
      </c>
      <c r="O477" s="8">
        <v>7653.72</v>
      </c>
      <c r="P477" s="268">
        <v>0.1231</v>
      </c>
      <c r="Q477" s="8">
        <v>535</v>
      </c>
      <c r="R477" s="8" t="s">
        <v>4594</v>
      </c>
      <c r="S477" s="8" t="s">
        <v>4595</v>
      </c>
      <c r="T477" s="8" t="s">
        <v>4596</v>
      </c>
      <c r="U477" s="8" t="s">
        <v>4597</v>
      </c>
      <c r="V477" s="8" t="s">
        <v>4598</v>
      </c>
      <c r="W477" s="8" t="s">
        <v>4599</v>
      </c>
    </row>
    <row r="478" spans="1:23" ht="28" customHeight="1" x14ac:dyDescent="0.3">
      <c r="A478" s="308">
        <v>45583</v>
      </c>
      <c r="B478" s="302">
        <v>1931.01</v>
      </c>
      <c r="C478" s="8">
        <v>26.585999999999999</v>
      </c>
      <c r="D478" s="268">
        <v>1.4E-2</v>
      </c>
      <c r="E478" s="8">
        <v>35.130000000000003</v>
      </c>
      <c r="F478" s="8">
        <v>119.221</v>
      </c>
      <c r="G478" s="8">
        <v>113.985</v>
      </c>
      <c r="H478" s="8">
        <v>87.02</v>
      </c>
      <c r="I478" s="8">
        <v>170.97</v>
      </c>
      <c r="J478" s="8">
        <v>34.03</v>
      </c>
      <c r="K478" s="268">
        <v>0.51749999999999996</v>
      </c>
      <c r="L478" s="268">
        <v>0.31669999999999998</v>
      </c>
      <c r="M478" s="268">
        <v>-2.18E-2</v>
      </c>
      <c r="N478" s="8">
        <v>940.53</v>
      </c>
      <c r="O478" s="8">
        <v>7665.65</v>
      </c>
      <c r="P478" s="268">
        <v>0.1227</v>
      </c>
      <c r="Q478" s="8">
        <v>535</v>
      </c>
      <c r="R478" s="8" t="s">
        <v>4600</v>
      </c>
      <c r="S478" s="8" t="s">
        <v>4601</v>
      </c>
      <c r="T478" s="8" t="s">
        <v>4602</v>
      </c>
      <c r="U478" s="8" t="s">
        <v>4603</v>
      </c>
      <c r="V478" s="8" t="s">
        <v>4604</v>
      </c>
      <c r="W478" s="8" t="s">
        <v>4605</v>
      </c>
    </row>
    <row r="479" spans="1:23" ht="28" customHeight="1" x14ac:dyDescent="0.3">
      <c r="A479" s="308">
        <v>45582</v>
      </c>
      <c r="B479" s="302">
        <v>1904.424</v>
      </c>
      <c r="C479" s="8">
        <v>0.89500000000000002</v>
      </c>
      <c r="D479" s="268">
        <v>5.0000000000000001E-4</v>
      </c>
      <c r="E479" s="8">
        <v>28.51</v>
      </c>
      <c r="F479" s="8">
        <v>117.604</v>
      </c>
      <c r="G479" s="8">
        <v>112.861</v>
      </c>
      <c r="H479" s="8">
        <v>84.79</v>
      </c>
      <c r="I479" s="8">
        <v>172.64</v>
      </c>
      <c r="J479" s="8">
        <v>41.23</v>
      </c>
      <c r="K479" s="268">
        <v>0.5504</v>
      </c>
      <c r="L479" s="268">
        <v>0.34350000000000003</v>
      </c>
      <c r="M479" s="268">
        <v>-1.61E-2</v>
      </c>
      <c r="N479" s="8">
        <v>805.42</v>
      </c>
      <c r="O479" s="8">
        <v>7668.7</v>
      </c>
      <c r="P479" s="268">
        <v>0.105</v>
      </c>
      <c r="Q479" s="8">
        <v>535</v>
      </c>
      <c r="R479" s="8" t="s">
        <v>4606</v>
      </c>
      <c r="S479" s="8" t="s">
        <v>4607</v>
      </c>
      <c r="T479" s="8" t="s">
        <v>4608</v>
      </c>
      <c r="U479" s="8" t="s">
        <v>4609</v>
      </c>
      <c r="V479" s="8" t="s">
        <v>4610</v>
      </c>
      <c r="W479" s="8" t="s">
        <v>4611</v>
      </c>
    </row>
    <row r="480" spans="1:23" ht="28" customHeight="1" x14ac:dyDescent="0.3">
      <c r="A480" s="308">
        <v>45581</v>
      </c>
      <c r="B480" s="302">
        <v>1903.529</v>
      </c>
      <c r="C480" s="8">
        <v>8.1690000000000005</v>
      </c>
      <c r="D480" s="268">
        <v>4.3E-3</v>
      </c>
      <c r="E480" s="8">
        <v>29.7</v>
      </c>
      <c r="F480" s="8">
        <v>117.621</v>
      </c>
      <c r="G480" s="8">
        <v>112.777</v>
      </c>
      <c r="H480" s="8">
        <v>85.06</v>
      </c>
      <c r="I480" s="8">
        <v>171.33</v>
      </c>
      <c r="J480" s="8">
        <v>39.409999999999997</v>
      </c>
      <c r="K480" s="268">
        <v>0.53710000000000002</v>
      </c>
      <c r="L480" s="268">
        <v>0.33360000000000001</v>
      </c>
      <c r="M480" s="268">
        <v>-1.52E-2</v>
      </c>
      <c r="N480" s="8">
        <v>903.29</v>
      </c>
      <c r="O480" s="8">
        <v>7677.22</v>
      </c>
      <c r="P480" s="268">
        <v>0.1177</v>
      </c>
      <c r="Q480" s="8">
        <v>535</v>
      </c>
      <c r="R480" s="8" t="s">
        <v>4402</v>
      </c>
      <c r="S480" s="8" t="s">
        <v>4612</v>
      </c>
      <c r="T480" s="8" t="s">
        <v>4613</v>
      </c>
      <c r="U480" s="8" t="s">
        <v>4614</v>
      </c>
      <c r="V480" s="8" t="s">
        <v>4615</v>
      </c>
      <c r="W480" s="8" t="s">
        <v>4616</v>
      </c>
    </row>
    <row r="481" spans="1:23" ht="28" customHeight="1" x14ac:dyDescent="0.3">
      <c r="A481" s="308">
        <v>45580</v>
      </c>
      <c r="B481" s="302">
        <v>1895.36</v>
      </c>
      <c r="C481" s="8">
        <v>-1.2330000000000001</v>
      </c>
      <c r="D481" s="268">
        <v>-6.9999999999999999E-4</v>
      </c>
      <c r="E481" s="8">
        <v>27</v>
      </c>
      <c r="F481" s="8">
        <v>117.16</v>
      </c>
      <c r="G481" s="8">
        <v>112.52</v>
      </c>
      <c r="H481" s="8">
        <v>84.71</v>
      </c>
      <c r="I481" s="8">
        <v>170.9</v>
      </c>
      <c r="J481" s="8">
        <v>37.76</v>
      </c>
      <c r="K481" s="268">
        <v>0.53739999999999999</v>
      </c>
      <c r="L481" s="268">
        <v>0.3286</v>
      </c>
      <c r="M481" s="268">
        <v>-1.32E-2</v>
      </c>
      <c r="N481" s="8">
        <v>1015.04</v>
      </c>
      <c r="O481" s="8">
        <v>7683.91</v>
      </c>
      <c r="P481" s="268">
        <v>0.1321</v>
      </c>
      <c r="Q481" s="8">
        <v>535</v>
      </c>
      <c r="R481" s="8" t="s">
        <v>4617</v>
      </c>
      <c r="S481" s="8" t="s">
        <v>4618</v>
      </c>
      <c r="T481" s="8" t="s">
        <v>4619</v>
      </c>
      <c r="U481" s="8" t="s">
        <v>4620</v>
      </c>
      <c r="V481" s="8" t="s">
        <v>4621</v>
      </c>
      <c r="W481" s="8" t="s">
        <v>4622</v>
      </c>
    </row>
    <row r="482" spans="1:23" ht="28" customHeight="1" x14ac:dyDescent="0.3">
      <c r="A482" s="308">
        <v>45579</v>
      </c>
      <c r="B482" s="302">
        <v>1896.5930000000001</v>
      </c>
      <c r="C482" s="8">
        <v>34.76</v>
      </c>
      <c r="D482" s="268">
        <v>1.8700000000000001E-2</v>
      </c>
      <c r="E482" s="8">
        <v>27.71</v>
      </c>
      <c r="F482" s="8">
        <v>117.38500000000001</v>
      </c>
      <c r="G482" s="8">
        <v>112.517</v>
      </c>
      <c r="H482" s="8">
        <v>85.35</v>
      </c>
      <c r="I482" s="8">
        <v>168.32</v>
      </c>
      <c r="J482" s="8">
        <v>32.31</v>
      </c>
      <c r="K482" s="268">
        <v>0.50939999999999996</v>
      </c>
      <c r="L482" s="268">
        <v>0.30990000000000001</v>
      </c>
      <c r="M482" s="268">
        <v>-1.3899999999999999E-2</v>
      </c>
      <c r="N482" s="8">
        <v>979.99</v>
      </c>
      <c r="O482" s="8">
        <v>7696.04</v>
      </c>
      <c r="P482" s="268">
        <v>0.1273</v>
      </c>
      <c r="Q482" s="8">
        <v>535</v>
      </c>
      <c r="R482" s="8" t="s">
        <v>4623</v>
      </c>
      <c r="S482" s="8" t="s">
        <v>4624</v>
      </c>
      <c r="T482" s="8" t="s">
        <v>4625</v>
      </c>
      <c r="U482" s="8" t="s">
        <v>4626</v>
      </c>
      <c r="V482" s="8" t="s">
        <v>4627</v>
      </c>
      <c r="W482" s="8" t="s">
        <v>4628</v>
      </c>
    </row>
    <row r="483" spans="1:23" ht="28" customHeight="1" x14ac:dyDescent="0.3">
      <c r="A483" s="308">
        <v>45576</v>
      </c>
      <c r="B483" s="302">
        <v>1861.8330000000001</v>
      </c>
      <c r="C483" s="8">
        <v>-32.043999999999997</v>
      </c>
      <c r="D483" s="268">
        <v>-1.6899999999999998E-2</v>
      </c>
      <c r="E483" s="8">
        <v>21.05</v>
      </c>
      <c r="F483" s="8">
        <v>115.188</v>
      </c>
      <c r="G483" s="8">
        <v>110.64700000000001</v>
      </c>
      <c r="H483" s="8">
        <v>83.43</v>
      </c>
      <c r="I483" s="8">
        <v>168.17</v>
      </c>
      <c r="J483" s="8">
        <v>35.6</v>
      </c>
      <c r="K483" s="268">
        <v>0.52980000000000005</v>
      </c>
      <c r="L483" s="268">
        <v>0.32100000000000001</v>
      </c>
      <c r="M483" s="268">
        <v>-5.7999999999999996E-3</v>
      </c>
      <c r="N483" s="8">
        <v>928.52</v>
      </c>
      <c r="O483" s="8">
        <v>7701.18</v>
      </c>
      <c r="P483" s="268">
        <v>0.1206</v>
      </c>
      <c r="Q483" s="8">
        <v>535</v>
      </c>
      <c r="R483" s="8" t="s">
        <v>4629</v>
      </c>
      <c r="S483" s="8" t="s">
        <v>4630</v>
      </c>
      <c r="T483" s="8" t="s">
        <v>4631</v>
      </c>
      <c r="U483" s="8" t="s">
        <v>4632</v>
      </c>
      <c r="V483" s="8" t="s">
        <v>4633</v>
      </c>
      <c r="W483" s="8" t="s">
        <v>4634</v>
      </c>
    </row>
    <row r="484" spans="1:23" ht="28" customHeight="1" x14ac:dyDescent="0.3">
      <c r="A484" s="308">
        <v>45575</v>
      </c>
      <c r="B484" s="302">
        <v>1893.877</v>
      </c>
      <c r="C484" s="8">
        <v>2.3639999999999999</v>
      </c>
      <c r="D484" s="268">
        <v>1.2999999999999999E-3</v>
      </c>
      <c r="E484" s="8">
        <v>27.22</v>
      </c>
      <c r="F484" s="8">
        <v>117.157</v>
      </c>
      <c r="G484" s="8">
        <v>112.496</v>
      </c>
      <c r="H484" s="8">
        <v>87.16</v>
      </c>
      <c r="I484" s="8">
        <v>166.14</v>
      </c>
      <c r="J484" s="8">
        <v>27.8</v>
      </c>
      <c r="K484" s="268">
        <v>0.4899</v>
      </c>
      <c r="L484" s="268">
        <v>0.29389999999999999</v>
      </c>
      <c r="M484" s="268">
        <v>-1.2699999999999999E-2</v>
      </c>
      <c r="N484" s="8">
        <v>1058.9000000000001</v>
      </c>
      <c r="O484" s="8">
        <v>7714.53</v>
      </c>
      <c r="P484" s="268">
        <v>0.13730000000000001</v>
      </c>
      <c r="Q484" s="8">
        <v>535</v>
      </c>
      <c r="R484" s="8" t="s">
        <v>3101</v>
      </c>
      <c r="S484" s="8" t="s">
        <v>4635</v>
      </c>
      <c r="T484" s="8" t="s">
        <v>4636</v>
      </c>
      <c r="U484" s="8" t="s">
        <v>4637</v>
      </c>
      <c r="V484" s="8" t="s">
        <v>4638</v>
      </c>
      <c r="W484" s="8" t="s">
        <v>4639</v>
      </c>
    </row>
    <row r="485" spans="1:23" ht="28" customHeight="1" x14ac:dyDescent="0.3">
      <c r="A485" s="308">
        <v>45574</v>
      </c>
      <c r="B485" s="302">
        <v>1891.5129999999999</v>
      </c>
      <c r="C485" s="8">
        <v>-84.968999999999994</v>
      </c>
      <c r="D485" s="268">
        <v>-4.2999999999999997E-2</v>
      </c>
      <c r="E485" s="8">
        <v>26.47</v>
      </c>
      <c r="F485" s="8">
        <v>116.998</v>
      </c>
      <c r="G485" s="8">
        <v>112.39</v>
      </c>
      <c r="H485" s="8">
        <v>86.56</v>
      </c>
      <c r="I485" s="8">
        <v>166.09</v>
      </c>
      <c r="J485" s="8">
        <v>29.91</v>
      </c>
      <c r="K485" s="268">
        <v>0.4909</v>
      </c>
      <c r="L485" s="268">
        <v>0.29360000000000003</v>
      </c>
      <c r="M485" s="268">
        <v>-1.23E-2</v>
      </c>
      <c r="N485" s="8">
        <v>1220.93</v>
      </c>
      <c r="O485" s="8">
        <v>7723.76</v>
      </c>
      <c r="P485" s="268">
        <v>0.15809999999999999</v>
      </c>
      <c r="Q485" s="8">
        <v>535</v>
      </c>
      <c r="R485" s="8" t="s">
        <v>4640</v>
      </c>
      <c r="S485" s="8" t="s">
        <v>4641</v>
      </c>
      <c r="T485" s="8" t="s">
        <v>4642</v>
      </c>
      <c r="U485" s="8" t="s">
        <v>4643</v>
      </c>
      <c r="V485" s="8" t="s">
        <v>4644</v>
      </c>
      <c r="W485" s="8" t="s">
        <v>4645</v>
      </c>
    </row>
    <row r="486" spans="1:23" ht="28" customHeight="1" x14ac:dyDescent="0.3">
      <c r="A486" s="308">
        <v>45573</v>
      </c>
      <c r="B486" s="302">
        <v>1976.482</v>
      </c>
      <c r="C486" s="8">
        <v>67.022000000000006</v>
      </c>
      <c r="D486" s="268">
        <v>3.5099999999999999E-2</v>
      </c>
      <c r="E486" s="8">
        <v>47.03</v>
      </c>
      <c r="F486" s="8">
        <v>122.298</v>
      </c>
      <c r="G486" s="8">
        <v>116.95699999999999</v>
      </c>
      <c r="H486" s="8">
        <v>95.13</v>
      </c>
      <c r="I486" s="8">
        <v>163.29</v>
      </c>
      <c r="J486" s="8">
        <v>14.48</v>
      </c>
      <c r="K486" s="268">
        <v>0.40989999999999999</v>
      </c>
      <c r="L486" s="268">
        <v>0.24010000000000001</v>
      </c>
      <c r="M486" s="268">
        <v>-3.1E-2</v>
      </c>
      <c r="N486" s="8">
        <v>1526.69</v>
      </c>
      <c r="O486" s="8">
        <v>7754.38</v>
      </c>
      <c r="P486" s="268">
        <v>0.19689999999999999</v>
      </c>
      <c r="Q486" s="8">
        <v>534</v>
      </c>
      <c r="R486" s="8" t="s">
        <v>4646</v>
      </c>
      <c r="S486" s="8" t="s">
        <v>4647</v>
      </c>
      <c r="T486" s="8" t="s">
        <v>4648</v>
      </c>
      <c r="U486" s="8" t="s">
        <v>4649</v>
      </c>
      <c r="V486" s="8" t="s">
        <v>4650</v>
      </c>
      <c r="W486" s="8" t="s">
        <v>4651</v>
      </c>
    </row>
    <row r="487" spans="1:23" ht="28" customHeight="1" x14ac:dyDescent="0.3">
      <c r="A487" s="308">
        <v>45565</v>
      </c>
      <c r="B487" s="302">
        <v>1909.46</v>
      </c>
      <c r="C487" s="8">
        <v>57.18</v>
      </c>
      <c r="D487" s="268">
        <v>3.09E-2</v>
      </c>
      <c r="E487" s="8">
        <v>34.47</v>
      </c>
      <c r="F487" s="8">
        <v>118.14</v>
      </c>
      <c r="G487" s="8">
        <v>113.798</v>
      </c>
      <c r="H487" s="8">
        <v>87.63</v>
      </c>
      <c r="I487" s="8">
        <v>165.65</v>
      </c>
      <c r="J487" s="8">
        <v>25.4</v>
      </c>
      <c r="K487" s="268">
        <v>0.47510000000000002</v>
      </c>
      <c r="L487" s="268">
        <v>0.28570000000000001</v>
      </c>
      <c r="M487" s="268">
        <v>-1.52E-2</v>
      </c>
      <c r="N487" s="8">
        <v>1158.7</v>
      </c>
      <c r="O487" s="8">
        <v>7783.35</v>
      </c>
      <c r="P487" s="268">
        <v>0.1489</v>
      </c>
      <c r="Q487" s="8">
        <v>536</v>
      </c>
      <c r="R487" s="8" t="s">
        <v>4652</v>
      </c>
      <c r="S487" s="8" t="s">
        <v>4653</v>
      </c>
      <c r="T487" s="8" t="s">
        <v>4654</v>
      </c>
      <c r="U487" s="8" t="s">
        <v>4655</v>
      </c>
      <c r="V487" s="8" t="s">
        <v>4656</v>
      </c>
      <c r="W487" s="8" t="s">
        <v>4657</v>
      </c>
    </row>
    <row r="488" spans="1:23" ht="28" customHeight="1" x14ac:dyDescent="0.3">
      <c r="A488" s="308">
        <v>45562</v>
      </c>
      <c r="B488" s="302">
        <v>1852.28</v>
      </c>
      <c r="C488" s="8">
        <v>31.625</v>
      </c>
      <c r="D488" s="268">
        <v>1.7399999999999999E-2</v>
      </c>
      <c r="E488" s="8">
        <v>22.29</v>
      </c>
      <c r="F488" s="8">
        <v>114.648</v>
      </c>
      <c r="G488" s="8">
        <v>110.803</v>
      </c>
      <c r="H488" s="8">
        <v>79.05</v>
      </c>
      <c r="I488" s="8">
        <v>174.21</v>
      </c>
      <c r="J488" s="8">
        <v>50.23</v>
      </c>
      <c r="K488" s="268">
        <v>0.59560000000000002</v>
      </c>
      <c r="L488" s="268">
        <v>0.37940000000000002</v>
      </c>
      <c r="M488" s="268">
        <v>-2.0999999999999999E-3</v>
      </c>
      <c r="N488" s="8">
        <v>823.4</v>
      </c>
      <c r="O488" s="8">
        <v>7785.95</v>
      </c>
      <c r="P488" s="268">
        <v>0.10580000000000001</v>
      </c>
      <c r="Q488" s="8">
        <v>536</v>
      </c>
      <c r="R488" s="8" t="s">
        <v>4658</v>
      </c>
      <c r="S488" s="8" t="s">
        <v>4659</v>
      </c>
      <c r="T488" s="8" t="s">
        <v>4660</v>
      </c>
      <c r="U488" s="8" t="s">
        <v>4661</v>
      </c>
      <c r="V488" s="8" t="s">
        <v>4662</v>
      </c>
      <c r="W488" s="8" t="s">
        <v>4663</v>
      </c>
    </row>
    <row r="489" spans="1:23" ht="28" customHeight="1" x14ac:dyDescent="0.3">
      <c r="A489" s="308">
        <v>45561</v>
      </c>
      <c r="B489" s="302">
        <v>1820.655</v>
      </c>
      <c r="C489" s="8">
        <v>28.300999999999998</v>
      </c>
      <c r="D489" s="268">
        <v>1.5800000000000002E-2</v>
      </c>
      <c r="E489" s="8">
        <v>18.420000000000002</v>
      </c>
      <c r="F489" s="8">
        <v>112.67100000000001</v>
      </c>
      <c r="G489" s="8">
        <v>109.488</v>
      </c>
      <c r="H489" s="8">
        <v>75.349999999999994</v>
      </c>
      <c r="I489" s="8">
        <v>177.99</v>
      </c>
      <c r="J489" s="8">
        <v>63.48</v>
      </c>
      <c r="K489" s="268">
        <v>0.6532</v>
      </c>
      <c r="L489" s="268">
        <v>0.4284</v>
      </c>
      <c r="M489" s="268">
        <v>4.7000000000000002E-3</v>
      </c>
      <c r="N489" s="8">
        <v>517.98</v>
      </c>
      <c r="O489" s="8">
        <v>7787.68</v>
      </c>
      <c r="P489" s="268">
        <v>6.6500000000000004E-2</v>
      </c>
      <c r="Q489" s="8">
        <v>536</v>
      </c>
      <c r="R489" s="8" t="s">
        <v>4664</v>
      </c>
      <c r="S489" s="8" t="s">
        <v>4665</v>
      </c>
      <c r="T489" s="8" t="s">
        <v>4666</v>
      </c>
      <c r="U489" s="8" t="s">
        <v>4667</v>
      </c>
      <c r="V489" s="8" t="s">
        <v>4668</v>
      </c>
      <c r="W489" s="8" t="s">
        <v>4669</v>
      </c>
    </row>
    <row r="490" spans="1:23" ht="28" customHeight="1" x14ac:dyDescent="0.3">
      <c r="A490" s="308">
        <v>45560</v>
      </c>
      <c r="B490" s="302">
        <v>1792.354</v>
      </c>
      <c r="C490" s="8">
        <v>9.3249999999999993</v>
      </c>
      <c r="D490" s="268">
        <v>5.1999999999999998E-3</v>
      </c>
      <c r="E490" s="8">
        <v>14.04</v>
      </c>
      <c r="F490" s="8">
        <v>110.93</v>
      </c>
      <c r="G490" s="8">
        <v>108.02200000000001</v>
      </c>
      <c r="H490" s="8">
        <v>72.709999999999994</v>
      </c>
      <c r="I490" s="8">
        <v>180.24</v>
      </c>
      <c r="J490" s="8">
        <v>71.3</v>
      </c>
      <c r="K490" s="268">
        <v>0.69310000000000005</v>
      </c>
      <c r="L490" s="268">
        <v>0.45800000000000002</v>
      </c>
      <c r="M490" s="268">
        <v>1.11E-2</v>
      </c>
      <c r="N490" s="8">
        <v>559.89</v>
      </c>
      <c r="O490" s="8">
        <v>7831.15</v>
      </c>
      <c r="P490" s="268">
        <v>7.1499999999999994E-2</v>
      </c>
      <c r="Q490" s="8">
        <v>536</v>
      </c>
      <c r="R490" s="8" t="s">
        <v>4670</v>
      </c>
      <c r="S490" s="8" t="s">
        <v>4671</v>
      </c>
      <c r="T490" s="8" t="s">
        <v>4672</v>
      </c>
      <c r="U490" s="8" t="s">
        <v>4673</v>
      </c>
      <c r="V490" s="8" t="s">
        <v>4674</v>
      </c>
      <c r="W490" s="8" t="s">
        <v>4675</v>
      </c>
    </row>
    <row r="491" spans="1:23" ht="28" customHeight="1" x14ac:dyDescent="0.3">
      <c r="A491" s="308">
        <v>45559</v>
      </c>
      <c r="B491" s="302">
        <v>1783.029</v>
      </c>
      <c r="C491" s="8">
        <v>38.792000000000002</v>
      </c>
      <c r="D491" s="268">
        <v>2.2200000000000001E-2</v>
      </c>
      <c r="E491" s="8">
        <v>12.41</v>
      </c>
      <c r="F491" s="8">
        <v>110.434</v>
      </c>
      <c r="G491" s="8">
        <v>107.655</v>
      </c>
      <c r="H491" s="8">
        <v>71.66</v>
      </c>
      <c r="I491" s="8">
        <v>180.62</v>
      </c>
      <c r="J491" s="8">
        <v>70.89</v>
      </c>
      <c r="K491" s="268">
        <v>0.70189999999999997</v>
      </c>
      <c r="L491" s="268">
        <v>0.46779999999999999</v>
      </c>
      <c r="M491" s="268">
        <v>1.29E-2</v>
      </c>
      <c r="N491" s="8">
        <v>459.94</v>
      </c>
      <c r="O491" s="8">
        <v>7832.05</v>
      </c>
      <c r="P491" s="268">
        <v>5.8700000000000002E-2</v>
      </c>
      <c r="Q491" s="8">
        <v>536</v>
      </c>
      <c r="R491" s="8" t="s">
        <v>4676</v>
      </c>
      <c r="S491" s="8" t="s">
        <v>4677</v>
      </c>
      <c r="T491" s="8" t="s">
        <v>4678</v>
      </c>
      <c r="U491" s="8" t="s">
        <v>4679</v>
      </c>
      <c r="V491" s="8" t="s">
        <v>4680</v>
      </c>
      <c r="W491" s="8" t="s">
        <v>4681</v>
      </c>
    </row>
    <row r="492" spans="1:23" ht="28" customHeight="1" x14ac:dyDescent="0.3">
      <c r="A492" s="308">
        <v>45558</v>
      </c>
      <c r="B492" s="302">
        <v>1744.2370000000001</v>
      </c>
      <c r="C492" s="8">
        <v>-1.222</v>
      </c>
      <c r="D492" s="268">
        <v>-6.9999999999999999E-4</v>
      </c>
      <c r="E492" s="8">
        <v>5.88</v>
      </c>
      <c r="F492" s="8">
        <v>108.05</v>
      </c>
      <c r="G492" s="8">
        <v>105.688</v>
      </c>
      <c r="H492" s="8">
        <v>69.13</v>
      </c>
      <c r="I492" s="8">
        <v>181.63</v>
      </c>
      <c r="J492" s="8">
        <v>74.47</v>
      </c>
      <c r="K492" s="268">
        <v>0.73580000000000001</v>
      </c>
      <c r="L492" s="268">
        <v>0.48649999999999999</v>
      </c>
      <c r="M492" s="268">
        <v>2.1499999999999998E-2</v>
      </c>
      <c r="N492" s="8">
        <v>306.27999999999997</v>
      </c>
      <c r="O492" s="8">
        <v>7838.16</v>
      </c>
      <c r="P492" s="268">
        <v>3.9100000000000003E-2</v>
      </c>
      <c r="Q492" s="8">
        <v>536</v>
      </c>
      <c r="R492" s="8" t="s">
        <v>4682</v>
      </c>
      <c r="S492" s="8" t="s">
        <v>4683</v>
      </c>
      <c r="T492" s="8" t="s">
        <v>4684</v>
      </c>
      <c r="U492" s="8" t="s">
        <v>4685</v>
      </c>
      <c r="V492" s="8" t="s">
        <v>4686</v>
      </c>
      <c r="W492" s="8" t="s">
        <v>4687</v>
      </c>
    </row>
    <row r="493" spans="1:23" ht="28" customHeight="1" x14ac:dyDescent="0.3">
      <c r="A493" s="308">
        <v>45555</v>
      </c>
      <c r="B493" s="302">
        <v>1745.4590000000001</v>
      </c>
      <c r="C493" s="8">
        <v>-8.4359999999999999</v>
      </c>
      <c r="D493" s="268">
        <v>-4.7999999999999996E-3</v>
      </c>
      <c r="E493" s="8">
        <v>5.7</v>
      </c>
      <c r="F493" s="8">
        <v>108.145</v>
      </c>
      <c r="G493" s="8">
        <v>105.78</v>
      </c>
      <c r="H493" s="8">
        <v>69.319999999999993</v>
      </c>
      <c r="I493" s="8">
        <v>181.99</v>
      </c>
      <c r="J493" s="8">
        <v>76.69</v>
      </c>
      <c r="K493" s="268">
        <v>0.73839999999999995</v>
      </c>
      <c r="L493" s="268">
        <v>0.48820000000000002</v>
      </c>
      <c r="M493" s="268">
        <v>2.1499999999999998E-2</v>
      </c>
      <c r="N493" s="8">
        <v>381</v>
      </c>
      <c r="O493" s="8">
        <v>7840.15</v>
      </c>
      <c r="P493" s="268">
        <v>4.8599999999999997E-2</v>
      </c>
      <c r="Q493" s="8">
        <v>536</v>
      </c>
      <c r="R493" s="8" t="s">
        <v>4688</v>
      </c>
      <c r="S493" s="8" t="s">
        <v>4689</v>
      </c>
      <c r="T493" s="8" t="s">
        <v>4690</v>
      </c>
      <c r="U493" s="8" t="s">
        <v>4691</v>
      </c>
      <c r="V493" s="8" t="s">
        <v>4692</v>
      </c>
      <c r="W493" s="8" t="s">
        <v>4693</v>
      </c>
    </row>
    <row r="494" spans="1:23" ht="28" customHeight="1" x14ac:dyDescent="0.3">
      <c r="A494" s="308">
        <v>45554</v>
      </c>
      <c r="B494" s="302">
        <v>1753.895</v>
      </c>
      <c r="C494" s="8">
        <v>13.833</v>
      </c>
      <c r="D494" s="268">
        <v>8.0000000000000002E-3</v>
      </c>
      <c r="E494" s="8">
        <v>6.9</v>
      </c>
      <c r="F494" s="8">
        <v>108.601</v>
      </c>
      <c r="G494" s="8">
        <v>106.2</v>
      </c>
      <c r="H494" s="8">
        <v>69.52</v>
      </c>
      <c r="I494" s="8">
        <v>181.9</v>
      </c>
      <c r="J494" s="8">
        <v>76.930000000000007</v>
      </c>
      <c r="K494" s="268">
        <v>0.73299999999999998</v>
      </c>
      <c r="L494" s="268">
        <v>0.49080000000000001</v>
      </c>
      <c r="M494" s="268">
        <v>1.9800000000000002E-2</v>
      </c>
      <c r="N494" s="8">
        <v>405.93</v>
      </c>
      <c r="O494" s="8">
        <v>7840.85</v>
      </c>
      <c r="P494" s="268">
        <v>5.1799999999999999E-2</v>
      </c>
      <c r="Q494" s="8">
        <v>536</v>
      </c>
      <c r="R494" s="8" t="s">
        <v>4694</v>
      </c>
      <c r="S494" s="8" t="s">
        <v>4695</v>
      </c>
      <c r="T494" s="8" t="s">
        <v>4696</v>
      </c>
      <c r="U494" s="8" t="s">
        <v>4697</v>
      </c>
      <c r="V494" s="8" t="s">
        <v>4698</v>
      </c>
      <c r="W494" s="8" t="s">
        <v>4699</v>
      </c>
    </row>
    <row r="495" spans="1:23" ht="28" customHeight="1" x14ac:dyDescent="0.3">
      <c r="A495" s="308">
        <v>45553</v>
      </c>
      <c r="B495" s="302">
        <v>1740.0619999999999</v>
      </c>
      <c r="C495" s="8">
        <v>-8.6910000000000007</v>
      </c>
      <c r="D495" s="268">
        <v>-5.0000000000000001E-3</v>
      </c>
      <c r="E495" s="8">
        <v>5.23</v>
      </c>
      <c r="F495" s="8">
        <v>107.718</v>
      </c>
      <c r="G495" s="8">
        <v>105.423</v>
      </c>
      <c r="H495" s="8">
        <v>68.22</v>
      </c>
      <c r="I495" s="8">
        <v>183.86</v>
      </c>
      <c r="J495" s="8">
        <v>81.33</v>
      </c>
      <c r="K495" s="268">
        <v>0.76139999999999997</v>
      </c>
      <c r="L495" s="268">
        <v>0.51959999999999995</v>
      </c>
      <c r="M495" s="268">
        <v>2.2800000000000001E-2</v>
      </c>
      <c r="N495" s="8">
        <v>312.70999999999998</v>
      </c>
      <c r="O495" s="8">
        <v>7842.06</v>
      </c>
      <c r="P495" s="268">
        <v>3.9899999999999998E-2</v>
      </c>
      <c r="Q495" s="8">
        <v>536</v>
      </c>
      <c r="R495" s="8" t="s">
        <v>4700</v>
      </c>
      <c r="S495" s="8" t="s">
        <v>4701</v>
      </c>
      <c r="T495" s="8" t="s">
        <v>4702</v>
      </c>
      <c r="U495" s="8" t="s">
        <v>4703</v>
      </c>
      <c r="V495" s="8" t="s">
        <v>4704</v>
      </c>
      <c r="W495" s="8" t="s">
        <v>4705</v>
      </c>
    </row>
    <row r="496" spans="1:23" ht="28" customHeight="1" x14ac:dyDescent="0.3">
      <c r="A496" s="308">
        <v>45548</v>
      </c>
      <c r="B496" s="302">
        <v>1748.7529999999999</v>
      </c>
      <c r="C496" s="8">
        <v>-12.292</v>
      </c>
      <c r="D496" s="268">
        <v>-7.0000000000000001E-3</v>
      </c>
      <c r="E496" s="8">
        <v>5.63</v>
      </c>
      <c r="F496" s="8">
        <v>108.131</v>
      </c>
      <c r="G496" s="8">
        <v>105.791</v>
      </c>
      <c r="H496" s="8">
        <v>68.38</v>
      </c>
      <c r="I496" s="8">
        <v>183.47</v>
      </c>
      <c r="J496" s="8">
        <v>81.260000000000005</v>
      </c>
      <c r="K496" s="268">
        <v>0.75329999999999997</v>
      </c>
      <c r="L496" s="268">
        <v>0.51190000000000002</v>
      </c>
      <c r="M496" s="268">
        <v>2.1100000000000001E-2</v>
      </c>
      <c r="N496" s="8">
        <v>369.59</v>
      </c>
      <c r="O496" s="8">
        <v>7842.78</v>
      </c>
      <c r="P496" s="268">
        <v>4.7100000000000003E-2</v>
      </c>
      <c r="Q496" s="8">
        <v>536</v>
      </c>
      <c r="R496" s="8" t="s">
        <v>4706</v>
      </c>
      <c r="S496" s="8" t="s">
        <v>4707</v>
      </c>
      <c r="T496" s="8" t="s">
        <v>4708</v>
      </c>
      <c r="U496" s="8" t="s">
        <v>4709</v>
      </c>
      <c r="V496" s="8" t="s">
        <v>4710</v>
      </c>
      <c r="W496" s="8" t="s">
        <v>4711</v>
      </c>
    </row>
    <row r="497" spans="1:23" ht="28" customHeight="1" x14ac:dyDescent="0.3">
      <c r="A497" s="308">
        <v>45547</v>
      </c>
      <c r="B497" s="302">
        <v>1761.0450000000001</v>
      </c>
      <c r="C497" s="8">
        <v>-3.653</v>
      </c>
      <c r="D497" s="268">
        <v>-2.0999999999999999E-3</v>
      </c>
      <c r="E497" s="8">
        <v>6.97</v>
      </c>
      <c r="F497" s="8">
        <v>109.032</v>
      </c>
      <c r="G497" s="8">
        <v>106.294</v>
      </c>
      <c r="H497" s="8">
        <v>69.34</v>
      </c>
      <c r="I497" s="8">
        <v>183.01</v>
      </c>
      <c r="J497" s="8">
        <v>78.19</v>
      </c>
      <c r="K497" s="268">
        <v>0.73970000000000002</v>
      </c>
      <c r="L497" s="268">
        <v>0.49440000000000001</v>
      </c>
      <c r="M497" s="268">
        <v>1.83E-2</v>
      </c>
      <c r="N497" s="8">
        <v>359.12</v>
      </c>
      <c r="O497" s="8">
        <v>7838.69</v>
      </c>
      <c r="P497" s="268">
        <v>4.58E-2</v>
      </c>
      <c r="Q497" s="8">
        <v>535</v>
      </c>
      <c r="R497" s="8" t="s">
        <v>4712</v>
      </c>
      <c r="S497" s="8" t="s">
        <v>4713</v>
      </c>
      <c r="T497" s="8" t="s">
        <v>4714</v>
      </c>
      <c r="U497" s="8" t="s">
        <v>4715</v>
      </c>
      <c r="V497" s="8" t="s">
        <v>4716</v>
      </c>
      <c r="W497" s="8" t="s">
        <v>4717</v>
      </c>
    </row>
    <row r="498" spans="1:23" ht="28" customHeight="1" x14ac:dyDescent="0.3">
      <c r="A498" s="308">
        <v>45546</v>
      </c>
      <c r="B498" s="302">
        <v>1764.6980000000001</v>
      </c>
      <c r="C498" s="8">
        <v>-4.6710000000000003</v>
      </c>
      <c r="D498" s="268">
        <v>-2.5999999999999999E-3</v>
      </c>
      <c r="E498" s="8">
        <v>7.19</v>
      </c>
      <c r="F498" s="8">
        <v>109.246</v>
      </c>
      <c r="G498" s="8">
        <v>106.47199999999999</v>
      </c>
      <c r="H498" s="8">
        <v>69.66</v>
      </c>
      <c r="I498" s="8">
        <v>182.93</v>
      </c>
      <c r="J498" s="8">
        <v>78.98</v>
      </c>
      <c r="K498" s="268">
        <v>0.7369</v>
      </c>
      <c r="L498" s="268">
        <v>0.49370000000000003</v>
      </c>
      <c r="M498" s="268">
        <v>1.7500000000000002E-2</v>
      </c>
      <c r="N498" s="8">
        <v>368.44</v>
      </c>
      <c r="O498" s="8">
        <v>7839.78</v>
      </c>
      <c r="P498" s="268">
        <v>4.7E-2</v>
      </c>
      <c r="Q498" s="8">
        <v>535</v>
      </c>
      <c r="R498" s="8" t="s">
        <v>4718</v>
      </c>
      <c r="S498" s="8" t="s">
        <v>4719</v>
      </c>
      <c r="T498" s="8" t="s">
        <v>4720</v>
      </c>
      <c r="U498" s="8" t="s">
        <v>4721</v>
      </c>
      <c r="V498" s="8" t="s">
        <v>4722</v>
      </c>
      <c r="W498" s="8" t="s">
        <v>4723</v>
      </c>
    </row>
    <row r="499" spans="1:23" ht="28" customHeight="1" x14ac:dyDescent="0.3">
      <c r="A499" s="308">
        <v>45545</v>
      </c>
      <c r="B499" s="302">
        <v>1769.3689999999999</v>
      </c>
      <c r="C499" s="8">
        <v>-9.4629999999999992</v>
      </c>
      <c r="D499" s="268">
        <v>-5.3E-3</v>
      </c>
      <c r="E499" s="8">
        <v>7.45</v>
      </c>
      <c r="F499" s="8">
        <v>109.489</v>
      </c>
      <c r="G499" s="8">
        <v>106.541</v>
      </c>
      <c r="H499" s="8">
        <v>69.52</v>
      </c>
      <c r="I499" s="8">
        <v>183.31</v>
      </c>
      <c r="J499" s="8">
        <v>78.040000000000006</v>
      </c>
      <c r="K499" s="268">
        <v>0.73819999999999997</v>
      </c>
      <c r="L499" s="268">
        <v>0.48899999999999999</v>
      </c>
      <c r="M499" s="268">
        <v>1.6199999999999999E-2</v>
      </c>
      <c r="N499" s="8">
        <v>442.58</v>
      </c>
      <c r="O499" s="8">
        <v>7835.46</v>
      </c>
      <c r="P499" s="268">
        <v>5.6500000000000002E-2</v>
      </c>
      <c r="Q499" s="8">
        <v>534</v>
      </c>
      <c r="R499" s="8" t="s">
        <v>4724</v>
      </c>
      <c r="S499" s="8" t="s">
        <v>4725</v>
      </c>
      <c r="T499" s="8" t="s">
        <v>4726</v>
      </c>
      <c r="U499" s="8" t="s">
        <v>4727</v>
      </c>
      <c r="V499" s="8" t="s">
        <v>4728</v>
      </c>
      <c r="W499" s="8" t="s">
        <v>4729</v>
      </c>
    </row>
    <row r="500" spans="1:23" ht="28" customHeight="1" x14ac:dyDescent="0.3">
      <c r="A500" s="308">
        <v>45544</v>
      </c>
      <c r="B500" s="302">
        <v>1778.8320000000001</v>
      </c>
      <c r="C500" s="8">
        <v>-6.5339999999999998</v>
      </c>
      <c r="D500" s="268">
        <v>-3.7000000000000002E-3</v>
      </c>
      <c r="E500" s="8">
        <v>8.41</v>
      </c>
      <c r="F500" s="8">
        <v>110.19199999999999</v>
      </c>
      <c r="G500" s="8">
        <v>106.679</v>
      </c>
      <c r="H500" s="8">
        <v>69.38</v>
      </c>
      <c r="I500" s="8">
        <v>185.57</v>
      </c>
      <c r="J500" s="8">
        <v>81.41</v>
      </c>
      <c r="K500" s="268">
        <v>0.75380000000000003</v>
      </c>
      <c r="L500" s="268">
        <v>0.50419999999999998</v>
      </c>
      <c r="M500" s="268">
        <v>1.4E-2</v>
      </c>
      <c r="N500" s="8">
        <v>337.32</v>
      </c>
      <c r="O500" s="8">
        <v>7837.95</v>
      </c>
      <c r="P500" s="268">
        <v>4.2999999999999997E-2</v>
      </c>
      <c r="Q500" s="8">
        <v>534</v>
      </c>
      <c r="R500" s="8" t="s">
        <v>4730</v>
      </c>
      <c r="S500" s="8" t="s">
        <v>4731</v>
      </c>
      <c r="T500" s="8" t="s">
        <v>4732</v>
      </c>
      <c r="U500" s="8" t="s">
        <v>4733</v>
      </c>
      <c r="V500" s="8" t="s">
        <v>2384</v>
      </c>
      <c r="W500" s="8" t="s">
        <v>4734</v>
      </c>
    </row>
    <row r="501" spans="1:23" ht="28" customHeight="1" x14ac:dyDescent="0.3">
      <c r="A501" s="308">
        <v>45541</v>
      </c>
      <c r="B501" s="302">
        <v>1785.366</v>
      </c>
      <c r="C501" s="8">
        <v>-9.4589999999999996</v>
      </c>
      <c r="D501" s="268">
        <v>-5.3E-3</v>
      </c>
      <c r="E501" s="8">
        <v>9.44</v>
      </c>
      <c r="F501" s="8">
        <v>110.623</v>
      </c>
      <c r="G501" s="8">
        <v>106.999</v>
      </c>
      <c r="H501" s="8">
        <v>70.06</v>
      </c>
      <c r="I501" s="8">
        <v>185.87</v>
      </c>
      <c r="J501" s="8">
        <v>81.99</v>
      </c>
      <c r="K501" s="268">
        <v>0.75249999999999995</v>
      </c>
      <c r="L501" s="268">
        <v>0.51049999999999995</v>
      </c>
      <c r="M501" s="268">
        <v>1.3100000000000001E-2</v>
      </c>
      <c r="N501" s="8">
        <v>399.15</v>
      </c>
      <c r="O501" s="8">
        <v>7838.37</v>
      </c>
      <c r="P501" s="268">
        <v>5.0900000000000001E-2</v>
      </c>
      <c r="Q501" s="8">
        <v>534</v>
      </c>
      <c r="R501" s="8" t="s">
        <v>4735</v>
      </c>
      <c r="S501" s="8" t="s">
        <v>4736</v>
      </c>
      <c r="T501" s="8" t="s">
        <v>4737</v>
      </c>
      <c r="U501" s="8" t="s">
        <v>4738</v>
      </c>
      <c r="V501" s="8" t="s">
        <v>4739</v>
      </c>
      <c r="W501" s="8" t="s">
        <v>4740</v>
      </c>
    </row>
    <row r="502" spans="1:23" ht="28" customHeight="1" x14ac:dyDescent="0.3">
      <c r="A502" s="308">
        <v>45540</v>
      </c>
      <c r="B502" s="302">
        <v>1794.825</v>
      </c>
      <c r="C502" s="8">
        <v>15.233000000000001</v>
      </c>
      <c r="D502" s="268">
        <v>8.6E-3</v>
      </c>
      <c r="E502" s="8">
        <v>11.06</v>
      </c>
      <c r="F502" s="8">
        <v>111.313</v>
      </c>
      <c r="G502" s="8">
        <v>107.41500000000001</v>
      </c>
      <c r="H502" s="8">
        <v>71.540000000000006</v>
      </c>
      <c r="I502" s="8">
        <v>183.96</v>
      </c>
      <c r="J502" s="8">
        <v>77.89</v>
      </c>
      <c r="K502" s="268">
        <v>0.72650000000000003</v>
      </c>
      <c r="L502" s="268">
        <v>0.49180000000000001</v>
      </c>
      <c r="M502" s="268">
        <v>1.0699999999999999E-2</v>
      </c>
      <c r="N502" s="8">
        <v>409.06</v>
      </c>
      <c r="O502" s="8">
        <v>7811.9</v>
      </c>
      <c r="P502" s="268">
        <v>5.2400000000000002E-2</v>
      </c>
      <c r="Q502" s="8">
        <v>533</v>
      </c>
      <c r="R502" s="8" t="s">
        <v>4741</v>
      </c>
      <c r="S502" s="8" t="s">
        <v>4742</v>
      </c>
      <c r="T502" s="8" t="s">
        <v>4743</v>
      </c>
      <c r="U502" s="8" t="s">
        <v>4744</v>
      </c>
      <c r="V502" s="8" t="s">
        <v>2566</v>
      </c>
      <c r="W502" s="8" t="s">
        <v>4745</v>
      </c>
    </row>
    <row r="503" spans="1:23" ht="28" customHeight="1" x14ac:dyDescent="0.3">
      <c r="A503" s="308">
        <v>45539</v>
      </c>
      <c r="B503" s="302">
        <v>1779.5920000000001</v>
      </c>
      <c r="C503" s="8">
        <v>2.7719999999999998</v>
      </c>
      <c r="D503" s="268">
        <v>1.6000000000000001E-3</v>
      </c>
      <c r="E503" s="8">
        <v>8.6300000000000008</v>
      </c>
      <c r="F503" s="8">
        <v>110.277</v>
      </c>
      <c r="G503" s="8">
        <v>106.804</v>
      </c>
      <c r="H503" s="8">
        <v>70.66</v>
      </c>
      <c r="I503" s="8">
        <v>182.93</v>
      </c>
      <c r="J503" s="8">
        <v>76.099999999999994</v>
      </c>
      <c r="K503" s="268">
        <v>0.72650000000000003</v>
      </c>
      <c r="L503" s="268">
        <v>0.48</v>
      </c>
      <c r="M503" s="268">
        <v>1.35E-2</v>
      </c>
      <c r="N503" s="8">
        <v>367.13</v>
      </c>
      <c r="O503" s="8">
        <v>7812.29</v>
      </c>
      <c r="P503" s="268">
        <v>4.7E-2</v>
      </c>
      <c r="Q503" s="8">
        <v>533</v>
      </c>
      <c r="R503" s="8" t="s">
        <v>4746</v>
      </c>
      <c r="S503" s="8" t="s">
        <v>4747</v>
      </c>
      <c r="T503" s="8" t="s">
        <v>4748</v>
      </c>
      <c r="U503" s="8" t="s">
        <v>4749</v>
      </c>
      <c r="V503" s="8" t="s">
        <v>4750</v>
      </c>
      <c r="W503" s="8" t="s">
        <v>4751</v>
      </c>
    </row>
    <row r="504" spans="1:23" ht="28" customHeight="1" x14ac:dyDescent="0.3">
      <c r="A504" s="308">
        <v>45538</v>
      </c>
      <c r="B504" s="302">
        <v>1776.82</v>
      </c>
      <c r="C504" s="8">
        <v>4.6609999999999996</v>
      </c>
      <c r="D504" s="268">
        <v>2.5999999999999999E-3</v>
      </c>
      <c r="E504" s="8">
        <v>8.02</v>
      </c>
      <c r="F504" s="8">
        <v>110.033</v>
      </c>
      <c r="G504" s="8">
        <v>106.64100000000001</v>
      </c>
      <c r="H504" s="8">
        <v>70.650000000000006</v>
      </c>
      <c r="I504" s="8">
        <v>181.84</v>
      </c>
      <c r="J504" s="8">
        <v>74.23</v>
      </c>
      <c r="K504" s="268">
        <v>0.71799999999999997</v>
      </c>
      <c r="L504" s="268">
        <v>0.49049999999999999</v>
      </c>
      <c r="M504" s="268">
        <v>1.3899999999999999E-2</v>
      </c>
      <c r="N504" s="8">
        <v>416.6</v>
      </c>
      <c r="O504" s="8">
        <v>7803.17</v>
      </c>
      <c r="P504" s="268">
        <v>5.3400000000000003E-2</v>
      </c>
      <c r="Q504" s="8">
        <v>531</v>
      </c>
      <c r="R504" s="8" t="s">
        <v>4752</v>
      </c>
      <c r="S504" s="8" t="s">
        <v>4753</v>
      </c>
      <c r="T504" s="8" t="s">
        <v>4754</v>
      </c>
      <c r="U504" s="8" t="s">
        <v>4755</v>
      </c>
      <c r="V504" s="8" t="s">
        <v>4756</v>
      </c>
      <c r="W504" s="8" t="s">
        <v>4757</v>
      </c>
    </row>
    <row r="505" spans="1:23" ht="28" customHeight="1" x14ac:dyDescent="0.3">
      <c r="A505" s="308">
        <v>45537</v>
      </c>
      <c r="B505" s="302">
        <v>1772.1590000000001</v>
      </c>
      <c r="C505" s="8">
        <v>-14.994</v>
      </c>
      <c r="D505" s="268">
        <v>-8.3999999999999995E-3</v>
      </c>
      <c r="E505" s="8">
        <v>6.88</v>
      </c>
      <c r="F505" s="8">
        <v>109.73099999999999</v>
      </c>
      <c r="G505" s="8">
        <v>106.515</v>
      </c>
      <c r="H505" s="8">
        <v>69.540000000000006</v>
      </c>
      <c r="I505" s="8">
        <v>183.19</v>
      </c>
      <c r="J505" s="8">
        <v>77.12</v>
      </c>
      <c r="K505" s="268">
        <v>0.73460000000000003</v>
      </c>
      <c r="L505" s="268">
        <v>0.50239999999999996</v>
      </c>
      <c r="M505" s="268">
        <v>1.49E-2</v>
      </c>
      <c r="N505" s="8">
        <v>399.92</v>
      </c>
      <c r="O505" s="8">
        <v>7792.1</v>
      </c>
      <c r="P505" s="268">
        <v>5.1299999999999998E-2</v>
      </c>
      <c r="Q505" s="8">
        <v>530</v>
      </c>
      <c r="R505" s="8" t="s">
        <v>4758</v>
      </c>
      <c r="S505" s="8" t="s">
        <v>4759</v>
      </c>
      <c r="T505" s="8" t="s">
        <v>4760</v>
      </c>
      <c r="U505" s="8" t="s">
        <v>4761</v>
      </c>
      <c r="V505" s="8" t="s">
        <v>4762</v>
      </c>
      <c r="W505" s="8" t="s">
        <v>4763</v>
      </c>
    </row>
    <row r="506" spans="1:23" ht="28" customHeight="1" x14ac:dyDescent="0.3">
      <c r="A506" s="308">
        <v>45534</v>
      </c>
      <c r="B506" s="302">
        <v>1787.153</v>
      </c>
      <c r="C506" s="8">
        <v>21.087</v>
      </c>
      <c r="D506" s="268">
        <v>1.1900000000000001E-2</v>
      </c>
      <c r="E506" s="8">
        <v>9.27</v>
      </c>
      <c r="F506" s="8">
        <v>110.672</v>
      </c>
      <c r="G506" s="8">
        <v>107.44199999999999</v>
      </c>
      <c r="H506" s="8">
        <v>70.64</v>
      </c>
      <c r="I506" s="8">
        <v>182.29</v>
      </c>
      <c r="J506" s="8">
        <v>74.87</v>
      </c>
      <c r="K506" s="268">
        <v>0.71619999999999995</v>
      </c>
      <c r="L506" s="268">
        <v>0.48980000000000001</v>
      </c>
      <c r="M506" s="268">
        <v>1.2E-2</v>
      </c>
      <c r="N506" s="8">
        <v>492.26</v>
      </c>
      <c r="O506" s="8">
        <v>7792.4</v>
      </c>
      <c r="P506" s="268">
        <v>6.3200000000000006E-2</v>
      </c>
      <c r="Q506" s="8">
        <v>530</v>
      </c>
      <c r="R506" s="8" t="s">
        <v>4764</v>
      </c>
      <c r="S506" s="8" t="s">
        <v>4765</v>
      </c>
      <c r="T506" s="8" t="s">
        <v>4766</v>
      </c>
      <c r="U506" s="8" t="s">
        <v>4767</v>
      </c>
      <c r="V506" s="8" t="s">
        <v>4768</v>
      </c>
      <c r="W506" s="8" t="s">
        <v>4769</v>
      </c>
    </row>
    <row r="507" spans="1:23" ht="28" customHeight="1" x14ac:dyDescent="0.3">
      <c r="A507" s="308">
        <v>45533</v>
      </c>
      <c r="B507" s="302">
        <v>1766.066</v>
      </c>
      <c r="C507" s="8">
        <v>18.091999999999999</v>
      </c>
      <c r="D507" s="268">
        <v>1.03E-2</v>
      </c>
      <c r="E507" s="8">
        <v>6.79</v>
      </c>
      <c r="F507" s="8">
        <v>109.419</v>
      </c>
      <c r="G507" s="8">
        <v>106.36799999999999</v>
      </c>
      <c r="H507" s="8">
        <v>69.78</v>
      </c>
      <c r="I507" s="8">
        <v>182.03</v>
      </c>
      <c r="J507" s="8">
        <v>76.569999999999993</v>
      </c>
      <c r="K507" s="268">
        <v>0.72609999999999997</v>
      </c>
      <c r="L507" s="268">
        <v>0.50060000000000004</v>
      </c>
      <c r="M507" s="268">
        <v>1.6E-2</v>
      </c>
      <c r="N507" s="8">
        <v>419.16</v>
      </c>
      <c r="O507" s="8">
        <v>7798.79</v>
      </c>
      <c r="P507" s="268">
        <v>5.3699999999999998E-2</v>
      </c>
      <c r="Q507" s="8">
        <v>530</v>
      </c>
      <c r="R507" s="8" t="s">
        <v>4770</v>
      </c>
      <c r="S507" s="8" t="s">
        <v>4771</v>
      </c>
      <c r="T507" s="8" t="s">
        <v>4772</v>
      </c>
      <c r="U507" s="8" t="s">
        <v>4773</v>
      </c>
      <c r="V507" s="8" t="s">
        <v>4774</v>
      </c>
      <c r="W507" s="8" t="s">
        <v>4775</v>
      </c>
    </row>
    <row r="508" spans="1:23" ht="28" customHeight="1" x14ac:dyDescent="0.3">
      <c r="A508" s="308">
        <v>45532</v>
      </c>
      <c r="B508" s="302">
        <v>1747.9739999999999</v>
      </c>
      <c r="C508" s="8">
        <v>3.6459999999999999</v>
      </c>
      <c r="D508" s="268">
        <v>2.0999999999999999E-3</v>
      </c>
      <c r="E508" s="8">
        <v>4.37</v>
      </c>
      <c r="F508" s="8">
        <v>108.13800000000001</v>
      </c>
      <c r="G508" s="8">
        <v>105.46899999999999</v>
      </c>
      <c r="H508" s="8">
        <v>68.41</v>
      </c>
      <c r="I508" s="8">
        <v>181.77</v>
      </c>
      <c r="J508" s="8">
        <v>76.47</v>
      </c>
      <c r="K508" s="268">
        <v>0.73629999999999995</v>
      </c>
      <c r="L508" s="268">
        <v>0.49459999999999998</v>
      </c>
      <c r="M508" s="268">
        <v>0.02</v>
      </c>
      <c r="N508" s="8">
        <v>333.3</v>
      </c>
      <c r="O508" s="8">
        <v>7793.61</v>
      </c>
      <c r="P508" s="268">
        <v>4.2799999999999998E-2</v>
      </c>
      <c r="Q508" s="8">
        <v>528</v>
      </c>
      <c r="R508" s="8" t="s">
        <v>4776</v>
      </c>
      <c r="S508" s="8" t="s">
        <v>4777</v>
      </c>
      <c r="T508" s="8" t="s">
        <v>4778</v>
      </c>
      <c r="U508" s="8" t="s">
        <v>4779</v>
      </c>
      <c r="V508" s="8" t="s">
        <v>4780</v>
      </c>
      <c r="W508" s="8" t="s">
        <v>2519</v>
      </c>
    </row>
    <row r="509" spans="1:23" ht="28" customHeight="1" x14ac:dyDescent="0.3">
      <c r="A509" s="308">
        <v>45531</v>
      </c>
      <c r="B509" s="302">
        <v>1744.328</v>
      </c>
      <c r="C509" s="8">
        <v>-7.8849999999999998</v>
      </c>
      <c r="D509" s="268">
        <v>-4.4999999999999997E-3</v>
      </c>
      <c r="E509" s="8">
        <v>3.88</v>
      </c>
      <c r="F509" s="8">
        <v>107.928</v>
      </c>
      <c r="G509" s="8">
        <v>105.3</v>
      </c>
      <c r="H509" s="8">
        <v>68.040000000000006</v>
      </c>
      <c r="I509" s="8">
        <v>182.05</v>
      </c>
      <c r="J509" s="8">
        <v>78.11</v>
      </c>
      <c r="K509" s="268">
        <v>0.74129999999999996</v>
      </c>
      <c r="L509" s="268">
        <v>0.50060000000000004</v>
      </c>
      <c r="M509" s="268">
        <v>2.0799999999999999E-2</v>
      </c>
      <c r="N509" s="8">
        <v>418.07</v>
      </c>
      <c r="O509" s="8">
        <v>7793.9</v>
      </c>
      <c r="P509" s="268">
        <v>5.3600000000000002E-2</v>
      </c>
      <c r="Q509" s="8">
        <v>528</v>
      </c>
      <c r="R509" s="8" t="s">
        <v>4781</v>
      </c>
      <c r="S509" s="8" t="s">
        <v>4782</v>
      </c>
      <c r="T509" s="8" t="s">
        <v>4783</v>
      </c>
      <c r="U509" s="8" t="s">
        <v>4784</v>
      </c>
      <c r="V509" s="8" t="s">
        <v>4785</v>
      </c>
      <c r="W509" s="8" t="s">
        <v>4786</v>
      </c>
    </row>
    <row r="510" spans="1:23" ht="28" customHeight="1" x14ac:dyDescent="0.3">
      <c r="A510" s="308">
        <v>45530</v>
      </c>
      <c r="B510" s="302">
        <v>1752.213</v>
      </c>
      <c r="C510" s="8">
        <v>20.401</v>
      </c>
      <c r="D510" s="268">
        <v>1.18E-2</v>
      </c>
      <c r="E510" s="8">
        <v>4.3499999999999996</v>
      </c>
      <c r="F510" s="8">
        <v>108.411</v>
      </c>
      <c r="G510" s="8">
        <v>105.711</v>
      </c>
      <c r="H510" s="8">
        <v>68.92</v>
      </c>
      <c r="I510" s="8">
        <v>180.8</v>
      </c>
      <c r="J510" s="8">
        <v>74.2</v>
      </c>
      <c r="K510" s="268">
        <v>0.72389999999999999</v>
      </c>
      <c r="L510" s="268">
        <v>0.49409999999999998</v>
      </c>
      <c r="M510" s="268">
        <v>1.9300000000000001E-2</v>
      </c>
      <c r="N510" s="8">
        <v>454.31</v>
      </c>
      <c r="O510" s="8">
        <v>7794.48</v>
      </c>
      <c r="P510" s="268">
        <v>5.8299999999999998E-2</v>
      </c>
      <c r="Q510" s="8">
        <v>528</v>
      </c>
      <c r="R510" s="8" t="s">
        <v>4787</v>
      </c>
      <c r="S510" s="8" t="s">
        <v>4788</v>
      </c>
      <c r="T510" s="8" t="s">
        <v>4789</v>
      </c>
      <c r="U510" s="8" t="s">
        <v>4790</v>
      </c>
      <c r="V510" s="8" t="s">
        <v>4791</v>
      </c>
      <c r="W510" s="8" t="s">
        <v>4792</v>
      </c>
    </row>
    <row r="511" spans="1:23" ht="28" customHeight="1" x14ac:dyDescent="0.3">
      <c r="A511" s="308">
        <v>45527</v>
      </c>
      <c r="B511" s="302">
        <v>1731.8119999999999</v>
      </c>
      <c r="C511" s="8">
        <v>2.3519999999999999</v>
      </c>
      <c r="D511" s="268">
        <v>1.4E-3</v>
      </c>
      <c r="E511" s="8">
        <v>2.48</v>
      </c>
      <c r="F511" s="8">
        <v>107.26300000000001</v>
      </c>
      <c r="G511" s="8">
        <v>104.28700000000001</v>
      </c>
      <c r="H511" s="8">
        <v>68.349999999999994</v>
      </c>
      <c r="I511" s="8">
        <v>179.77</v>
      </c>
      <c r="J511" s="8">
        <v>73.95</v>
      </c>
      <c r="K511" s="268">
        <v>0.72509999999999997</v>
      </c>
      <c r="L511" s="268">
        <v>0.497</v>
      </c>
      <c r="M511" s="268">
        <v>2.3099999999999999E-2</v>
      </c>
      <c r="N511" s="8">
        <v>506.21</v>
      </c>
      <c r="O511" s="8">
        <v>7795.02</v>
      </c>
      <c r="P511" s="268">
        <v>6.4899999999999999E-2</v>
      </c>
      <c r="Q511" s="8">
        <v>528</v>
      </c>
      <c r="R511" s="8" t="s">
        <v>4793</v>
      </c>
      <c r="S511" s="8" t="s">
        <v>4794</v>
      </c>
      <c r="T511" s="8" t="s">
        <v>4795</v>
      </c>
      <c r="U511" s="8" t="s">
        <v>4796</v>
      </c>
      <c r="V511" s="8" t="s">
        <v>4797</v>
      </c>
      <c r="W511" s="8" t="s">
        <v>4798</v>
      </c>
    </row>
    <row r="512" spans="1:23" ht="28" customHeight="1" x14ac:dyDescent="0.3">
      <c r="A512" s="308">
        <v>45526</v>
      </c>
      <c r="B512" s="302">
        <v>1729.46</v>
      </c>
      <c r="C512" s="8">
        <v>-8.2889999999999997</v>
      </c>
      <c r="D512" s="268">
        <v>-4.7999999999999996E-3</v>
      </c>
      <c r="E512" s="8">
        <v>1.97</v>
      </c>
      <c r="F512" s="8">
        <v>106.98099999999999</v>
      </c>
      <c r="G512" s="8">
        <v>104.08499999999999</v>
      </c>
      <c r="H512" s="8">
        <v>68.53</v>
      </c>
      <c r="I512" s="8">
        <v>178.21</v>
      </c>
      <c r="J512" s="8">
        <v>73.67</v>
      </c>
      <c r="K512" s="268">
        <v>0.71230000000000004</v>
      </c>
      <c r="L512" s="268">
        <v>0.48459999999999998</v>
      </c>
      <c r="M512" s="268">
        <v>2.4E-2</v>
      </c>
      <c r="N512" s="8">
        <v>443.79</v>
      </c>
      <c r="O512" s="8">
        <v>7791.48</v>
      </c>
      <c r="P512" s="268">
        <v>5.7000000000000002E-2</v>
      </c>
      <c r="Q512" s="8">
        <v>527</v>
      </c>
      <c r="R512" s="8" t="s">
        <v>4799</v>
      </c>
      <c r="S512" s="8" t="s">
        <v>4800</v>
      </c>
      <c r="T512" s="8" t="s">
        <v>4801</v>
      </c>
      <c r="U512" s="8" t="s">
        <v>4802</v>
      </c>
      <c r="V512" s="8" t="s">
        <v>4803</v>
      </c>
      <c r="W512" s="8" t="s">
        <v>4804</v>
      </c>
    </row>
    <row r="513" spans="1:23" ht="28" customHeight="1" x14ac:dyDescent="0.3">
      <c r="A513" s="308">
        <v>45525</v>
      </c>
      <c r="B513" s="302">
        <v>1737.749</v>
      </c>
      <c r="C513" s="8">
        <v>6.1639999999999997</v>
      </c>
      <c r="D513" s="268">
        <v>3.5999999999999999E-3</v>
      </c>
      <c r="E513" s="8">
        <v>2.39</v>
      </c>
      <c r="F513" s="8">
        <v>107.485</v>
      </c>
      <c r="G513" s="8">
        <v>104.648</v>
      </c>
      <c r="H513" s="8">
        <v>69.349999999999994</v>
      </c>
      <c r="I513" s="8">
        <v>176.62</v>
      </c>
      <c r="J513" s="8">
        <v>71.290000000000006</v>
      </c>
      <c r="K513" s="268">
        <v>0.69130000000000003</v>
      </c>
      <c r="L513" s="268">
        <v>0.47389999999999999</v>
      </c>
      <c r="M513" s="268">
        <v>2.23E-2</v>
      </c>
      <c r="N513" s="8">
        <v>427.72</v>
      </c>
      <c r="O513" s="8">
        <v>7792.97</v>
      </c>
      <c r="P513" s="268">
        <v>5.4899999999999997E-2</v>
      </c>
      <c r="Q513" s="8">
        <v>527</v>
      </c>
      <c r="R513" s="8" t="s">
        <v>4805</v>
      </c>
      <c r="S513" s="8" t="s">
        <v>4806</v>
      </c>
      <c r="T513" s="8" t="s">
        <v>4807</v>
      </c>
      <c r="U513" s="8" t="s">
        <v>4808</v>
      </c>
      <c r="V513" s="8" t="s">
        <v>4809</v>
      </c>
      <c r="W513" s="8" t="s">
        <v>4810</v>
      </c>
    </row>
    <row r="514" spans="1:23" ht="28" customHeight="1" x14ac:dyDescent="0.3">
      <c r="A514" s="308">
        <v>45524</v>
      </c>
      <c r="B514" s="302">
        <v>1731.585</v>
      </c>
      <c r="C514" s="8">
        <v>-21.013999999999999</v>
      </c>
      <c r="D514" s="268">
        <v>-1.2E-2</v>
      </c>
      <c r="E514" s="8">
        <v>1.73</v>
      </c>
      <c r="F514" s="8">
        <v>107.126</v>
      </c>
      <c r="G514" s="8">
        <v>104.32599999999999</v>
      </c>
      <c r="H514" s="8">
        <v>69.58</v>
      </c>
      <c r="I514" s="8">
        <v>174.78</v>
      </c>
      <c r="J514" s="8">
        <v>68.930000000000007</v>
      </c>
      <c r="K514" s="268">
        <v>0.67649999999999999</v>
      </c>
      <c r="L514" s="268">
        <v>0.46260000000000001</v>
      </c>
      <c r="M514" s="268">
        <v>2.3699999999999999E-2</v>
      </c>
      <c r="N514" s="8">
        <v>441.45</v>
      </c>
      <c r="O514" s="8">
        <v>7799.19</v>
      </c>
      <c r="P514" s="268">
        <v>5.6599999999999998E-2</v>
      </c>
      <c r="Q514" s="8">
        <v>527</v>
      </c>
      <c r="R514" s="8" t="s">
        <v>4811</v>
      </c>
      <c r="S514" s="8" t="s">
        <v>4812</v>
      </c>
      <c r="T514" s="8" t="s">
        <v>4813</v>
      </c>
      <c r="U514" s="8" t="s">
        <v>4814</v>
      </c>
      <c r="V514" s="8" t="s">
        <v>4815</v>
      </c>
      <c r="W514" s="8" t="s">
        <v>4816</v>
      </c>
    </row>
    <row r="515" spans="1:23" ht="28" customHeight="1" x14ac:dyDescent="0.3">
      <c r="A515" s="308">
        <v>45523</v>
      </c>
      <c r="B515" s="302">
        <v>1752.5989999999999</v>
      </c>
      <c r="C515" s="8">
        <v>6.9480000000000004</v>
      </c>
      <c r="D515" s="268">
        <v>4.0000000000000001E-3</v>
      </c>
      <c r="E515" s="8">
        <v>3.25</v>
      </c>
      <c r="F515" s="8">
        <v>108.419</v>
      </c>
      <c r="G515" s="8">
        <v>105.88800000000001</v>
      </c>
      <c r="H515" s="8">
        <v>71.16</v>
      </c>
      <c r="I515" s="8">
        <v>174.82</v>
      </c>
      <c r="J515" s="8">
        <v>68.97</v>
      </c>
      <c r="K515" s="268">
        <v>0.66400000000000003</v>
      </c>
      <c r="L515" s="268">
        <v>0.4602</v>
      </c>
      <c r="M515" s="268">
        <v>1.9400000000000001E-2</v>
      </c>
      <c r="N515" s="8">
        <v>431.04</v>
      </c>
      <c r="O515" s="8">
        <v>7801.19</v>
      </c>
      <c r="P515" s="268">
        <v>5.5300000000000002E-2</v>
      </c>
      <c r="Q515" s="8">
        <v>527</v>
      </c>
      <c r="R515" s="8" t="s">
        <v>4817</v>
      </c>
      <c r="S515" s="8" t="s">
        <v>4351</v>
      </c>
      <c r="T515" s="8" t="s">
        <v>4818</v>
      </c>
      <c r="U515" s="8" t="s">
        <v>4819</v>
      </c>
      <c r="V515" s="8" t="s">
        <v>4820</v>
      </c>
      <c r="W515" s="8" t="s">
        <v>4821</v>
      </c>
    </row>
    <row r="516" spans="1:23" ht="28" customHeight="1" x14ac:dyDescent="0.3">
      <c r="A516" s="308">
        <v>45520</v>
      </c>
      <c r="B516" s="302">
        <v>1745.6510000000001</v>
      </c>
      <c r="C516" s="8">
        <v>-28.15</v>
      </c>
      <c r="D516" s="268">
        <v>-1.5900000000000001E-2</v>
      </c>
      <c r="E516" s="8">
        <v>2.38</v>
      </c>
      <c r="F516" s="8">
        <v>108.01600000000001</v>
      </c>
      <c r="G516" s="8">
        <v>105.398</v>
      </c>
      <c r="H516" s="8">
        <v>71.47</v>
      </c>
      <c r="I516" s="8">
        <v>173.26</v>
      </c>
      <c r="J516" s="8">
        <v>67.11</v>
      </c>
      <c r="K516" s="268">
        <v>0.65249999999999997</v>
      </c>
      <c r="L516" s="268">
        <v>0.44450000000000001</v>
      </c>
      <c r="M516" s="268">
        <v>2.1100000000000001E-2</v>
      </c>
      <c r="N516" s="8">
        <v>586.66999999999996</v>
      </c>
      <c r="O516" s="8">
        <v>7803.05</v>
      </c>
      <c r="P516" s="268">
        <v>7.5200000000000003E-2</v>
      </c>
      <c r="Q516" s="8">
        <v>527</v>
      </c>
      <c r="R516" s="8" t="s">
        <v>4822</v>
      </c>
      <c r="S516" s="8" t="s">
        <v>4823</v>
      </c>
      <c r="T516" s="8" t="s">
        <v>4824</v>
      </c>
      <c r="U516" s="8" t="s">
        <v>4825</v>
      </c>
      <c r="V516" s="8" t="s">
        <v>4826</v>
      </c>
      <c r="W516" s="8" t="s">
        <v>4827</v>
      </c>
    </row>
    <row r="517" spans="1:23" ht="28" customHeight="1" x14ac:dyDescent="0.3">
      <c r="A517" s="308">
        <v>45519</v>
      </c>
      <c r="B517" s="302">
        <v>1773.8009999999999</v>
      </c>
      <c r="C517" s="8">
        <v>-9.093</v>
      </c>
      <c r="D517" s="268">
        <v>-5.1000000000000004E-3</v>
      </c>
      <c r="E517" s="8">
        <v>4.49</v>
      </c>
      <c r="F517" s="8">
        <v>109.697</v>
      </c>
      <c r="G517" s="8">
        <v>106.624</v>
      </c>
      <c r="H517" s="8">
        <v>71.56</v>
      </c>
      <c r="I517" s="8">
        <v>176.7</v>
      </c>
      <c r="J517" s="8">
        <v>69.75</v>
      </c>
      <c r="K517" s="268">
        <v>0.67</v>
      </c>
      <c r="L517" s="268">
        <v>0.47710000000000002</v>
      </c>
      <c r="M517" s="268">
        <v>1.5599999999999999E-2</v>
      </c>
      <c r="N517" s="8">
        <v>502.61</v>
      </c>
      <c r="O517" s="8">
        <v>7792.19</v>
      </c>
      <c r="P517" s="268">
        <v>6.4500000000000002E-2</v>
      </c>
      <c r="Q517" s="8">
        <v>525</v>
      </c>
      <c r="R517" s="8" t="s">
        <v>4828</v>
      </c>
      <c r="S517" s="8" t="s">
        <v>4829</v>
      </c>
      <c r="T517" s="8" t="s">
        <v>4830</v>
      </c>
      <c r="U517" s="8" t="s">
        <v>4831</v>
      </c>
      <c r="V517" s="8" t="s">
        <v>4740</v>
      </c>
      <c r="W517" s="8" t="s">
        <v>4832</v>
      </c>
    </row>
    <row r="518" spans="1:23" ht="28" customHeight="1" x14ac:dyDescent="0.3">
      <c r="A518" s="308">
        <v>45518</v>
      </c>
      <c r="B518" s="302">
        <v>1782.894</v>
      </c>
      <c r="C518" s="8">
        <v>-7.4480000000000004</v>
      </c>
      <c r="D518" s="268">
        <v>-4.1999999999999997E-3</v>
      </c>
      <c r="E518" s="8">
        <v>5.59</v>
      </c>
      <c r="F518" s="8">
        <v>110.19199999999999</v>
      </c>
      <c r="G518" s="8">
        <v>107.1</v>
      </c>
      <c r="H518" s="8">
        <v>71.150000000000006</v>
      </c>
      <c r="I518" s="8">
        <v>179.26</v>
      </c>
      <c r="J518" s="8">
        <v>75.39</v>
      </c>
      <c r="K518" s="268">
        <v>0.69069999999999998</v>
      </c>
      <c r="L518" s="268">
        <v>0.49540000000000001</v>
      </c>
      <c r="M518" s="268">
        <v>1.3899999999999999E-2</v>
      </c>
      <c r="N518" s="8">
        <v>488.7</v>
      </c>
      <c r="O518" s="8">
        <v>7793.03</v>
      </c>
      <c r="P518" s="268">
        <v>6.2700000000000006E-2</v>
      </c>
      <c r="Q518" s="8">
        <v>525</v>
      </c>
      <c r="R518" s="8" t="s">
        <v>4833</v>
      </c>
      <c r="S518" s="8" t="s">
        <v>4834</v>
      </c>
      <c r="T518" s="8" t="s">
        <v>4835</v>
      </c>
      <c r="U518" s="8" t="s">
        <v>4836</v>
      </c>
      <c r="V518" s="8" t="s">
        <v>4837</v>
      </c>
      <c r="W518" s="8" t="s">
        <v>4838</v>
      </c>
    </row>
    <row r="519" spans="1:23" ht="28" customHeight="1" x14ac:dyDescent="0.3">
      <c r="A519" s="308">
        <v>45517</v>
      </c>
      <c r="B519" s="302">
        <v>1790.3420000000001</v>
      </c>
      <c r="C519" s="8">
        <v>0.80500000000000005</v>
      </c>
      <c r="D519" s="268">
        <v>4.0000000000000002E-4</v>
      </c>
      <c r="E519" s="8">
        <v>6.35</v>
      </c>
      <c r="F519" s="8">
        <v>110.66800000000001</v>
      </c>
      <c r="G519" s="8">
        <v>107.6</v>
      </c>
      <c r="H519" s="8">
        <v>71.62</v>
      </c>
      <c r="I519" s="8">
        <v>179.24</v>
      </c>
      <c r="J519" s="8">
        <v>75.19</v>
      </c>
      <c r="K519" s="268">
        <v>0.68579999999999997</v>
      </c>
      <c r="L519" s="268">
        <v>0.4945</v>
      </c>
      <c r="M519" s="268">
        <v>1.3100000000000001E-2</v>
      </c>
      <c r="N519" s="8">
        <v>380.27</v>
      </c>
      <c r="O519" s="8">
        <v>7793.46</v>
      </c>
      <c r="P519" s="268">
        <v>4.8800000000000003E-2</v>
      </c>
      <c r="Q519" s="8">
        <v>525</v>
      </c>
      <c r="R519" s="8" t="s">
        <v>4839</v>
      </c>
      <c r="S519" s="8" t="s">
        <v>4840</v>
      </c>
      <c r="T519" s="8" t="s">
        <v>4841</v>
      </c>
      <c r="U519" s="8" t="s">
        <v>4842</v>
      </c>
      <c r="V519" s="8" t="s">
        <v>4843</v>
      </c>
      <c r="W519" s="8" t="s">
        <v>4844</v>
      </c>
    </row>
    <row r="520" spans="1:23" ht="28" customHeight="1" x14ac:dyDescent="0.3">
      <c r="A520" s="308">
        <v>45516</v>
      </c>
      <c r="B520" s="302">
        <v>1789.537</v>
      </c>
      <c r="C520" s="8">
        <v>-6.718</v>
      </c>
      <c r="D520" s="268">
        <v>-3.7000000000000002E-3</v>
      </c>
      <c r="E520" s="8">
        <v>6.56</v>
      </c>
      <c r="F520" s="8">
        <v>110.596</v>
      </c>
      <c r="G520" s="8">
        <v>107.7</v>
      </c>
      <c r="H520" s="8">
        <v>70.650000000000006</v>
      </c>
      <c r="I520" s="8">
        <v>180.55</v>
      </c>
      <c r="J520" s="8">
        <v>78.680000000000007</v>
      </c>
      <c r="K520" s="268">
        <v>0.69950000000000001</v>
      </c>
      <c r="L520" s="268">
        <v>0.51249999999999996</v>
      </c>
      <c r="M520" s="268">
        <v>1.3299999999999999E-2</v>
      </c>
      <c r="N520" s="8">
        <v>337.37</v>
      </c>
      <c r="O520" s="8">
        <v>7793.65</v>
      </c>
      <c r="P520" s="268">
        <v>4.3299999999999998E-2</v>
      </c>
      <c r="Q520" s="8">
        <v>525</v>
      </c>
      <c r="R520" s="8" t="s">
        <v>4845</v>
      </c>
      <c r="S520" s="8" t="s">
        <v>4846</v>
      </c>
      <c r="T520" s="8" t="s">
        <v>4847</v>
      </c>
      <c r="U520" s="8" t="s">
        <v>4848</v>
      </c>
      <c r="V520" s="8" t="s">
        <v>4849</v>
      </c>
      <c r="W520" s="8" t="s">
        <v>4850</v>
      </c>
    </row>
    <row r="521" spans="1:23" ht="28" customHeight="1" x14ac:dyDescent="0.3">
      <c r="A521" s="308">
        <v>45513</v>
      </c>
      <c r="B521" s="302">
        <v>1796.2550000000001</v>
      </c>
      <c r="C521" s="8">
        <v>-1.528</v>
      </c>
      <c r="D521" s="268">
        <v>-8.9999999999999998E-4</v>
      </c>
      <c r="E521" s="8">
        <v>8.11</v>
      </c>
      <c r="F521" s="8">
        <v>110.949</v>
      </c>
      <c r="G521" s="8">
        <v>108.202</v>
      </c>
      <c r="H521" s="8">
        <v>70.86</v>
      </c>
      <c r="I521" s="8">
        <v>180.77</v>
      </c>
      <c r="J521" s="8">
        <v>78.55</v>
      </c>
      <c r="K521" s="268">
        <v>0.69820000000000004</v>
      </c>
      <c r="L521" s="268">
        <v>0.4995</v>
      </c>
      <c r="M521" s="268">
        <v>1.21E-2</v>
      </c>
      <c r="N521" s="8">
        <v>396.11</v>
      </c>
      <c r="O521" s="8">
        <v>7799.91</v>
      </c>
      <c r="P521" s="268">
        <v>5.0799999999999998E-2</v>
      </c>
      <c r="Q521" s="8">
        <v>526</v>
      </c>
      <c r="R521" s="8" t="s">
        <v>4851</v>
      </c>
      <c r="S521" s="8" t="s">
        <v>4852</v>
      </c>
      <c r="T521" s="8" t="s">
        <v>4853</v>
      </c>
      <c r="U521" s="8" t="s">
        <v>4854</v>
      </c>
      <c r="V521" s="8" t="s">
        <v>4855</v>
      </c>
      <c r="W521" s="8" t="s">
        <v>4843</v>
      </c>
    </row>
    <row r="522" spans="1:23" ht="28" customHeight="1" x14ac:dyDescent="0.3">
      <c r="A522" s="308">
        <v>45512</v>
      </c>
      <c r="B522" s="302">
        <v>1797.7829999999999</v>
      </c>
      <c r="C522" s="8">
        <v>-3.657</v>
      </c>
      <c r="D522" s="268">
        <v>-2E-3</v>
      </c>
      <c r="E522" s="8">
        <v>8.57</v>
      </c>
      <c r="F522" s="8">
        <v>111.059</v>
      </c>
      <c r="G522" s="8">
        <v>108.092</v>
      </c>
      <c r="H522" s="8">
        <v>71.89</v>
      </c>
      <c r="I522" s="8">
        <v>179.47</v>
      </c>
      <c r="J522" s="8">
        <v>75.010000000000005</v>
      </c>
      <c r="K522" s="268">
        <v>0.68410000000000004</v>
      </c>
      <c r="L522" s="268">
        <v>0.49469999999999997</v>
      </c>
      <c r="M522" s="268">
        <v>1.18E-2</v>
      </c>
      <c r="N522" s="8">
        <v>483.7</v>
      </c>
      <c r="O522" s="8">
        <v>7800.36</v>
      </c>
      <c r="P522" s="268">
        <v>6.2E-2</v>
      </c>
      <c r="Q522" s="8">
        <v>526</v>
      </c>
      <c r="R522" s="8" t="s">
        <v>4856</v>
      </c>
      <c r="S522" s="8" t="s">
        <v>4857</v>
      </c>
      <c r="T522" s="8" t="s">
        <v>4858</v>
      </c>
      <c r="U522" s="8" t="s">
        <v>4859</v>
      </c>
      <c r="V522" s="8" t="s">
        <v>4860</v>
      </c>
      <c r="W522" s="8" t="s">
        <v>4861</v>
      </c>
    </row>
    <row r="523" spans="1:23" ht="28" customHeight="1" x14ac:dyDescent="0.3">
      <c r="A523" s="308">
        <v>45511</v>
      </c>
      <c r="B523" s="302">
        <v>1801.44</v>
      </c>
      <c r="C523" s="8">
        <v>4.5460000000000003</v>
      </c>
      <c r="D523" s="268">
        <v>2.5000000000000001E-3</v>
      </c>
      <c r="E523" s="8">
        <v>8.6999999999999993</v>
      </c>
      <c r="F523" s="8">
        <v>111.363</v>
      </c>
      <c r="G523" s="8">
        <v>108.40600000000001</v>
      </c>
      <c r="H523" s="8">
        <v>72.14</v>
      </c>
      <c r="I523" s="8">
        <v>180.09</v>
      </c>
      <c r="J523" s="8">
        <v>75.739999999999995</v>
      </c>
      <c r="K523" s="268">
        <v>0.68720000000000003</v>
      </c>
      <c r="L523" s="268">
        <v>0.48970000000000002</v>
      </c>
      <c r="M523" s="268">
        <v>1.15E-2</v>
      </c>
      <c r="N523" s="8">
        <v>432.14</v>
      </c>
      <c r="O523" s="8">
        <v>7803.48</v>
      </c>
      <c r="P523" s="268">
        <v>5.5399999999999998E-2</v>
      </c>
      <c r="Q523" s="8">
        <v>527</v>
      </c>
      <c r="R523" s="8" t="s">
        <v>4862</v>
      </c>
      <c r="S523" s="8" t="s">
        <v>4863</v>
      </c>
      <c r="T523" s="8" t="s">
        <v>4864</v>
      </c>
      <c r="U523" s="8" t="s">
        <v>4865</v>
      </c>
      <c r="V523" s="8" t="s">
        <v>4866</v>
      </c>
      <c r="W523" s="8" t="s">
        <v>4867</v>
      </c>
    </row>
    <row r="524" spans="1:23" ht="28" customHeight="1" x14ac:dyDescent="0.3">
      <c r="A524" s="308">
        <v>45510</v>
      </c>
      <c r="B524" s="302">
        <v>1796.894</v>
      </c>
      <c r="C524" s="8">
        <v>7.7649999999999997</v>
      </c>
      <c r="D524" s="268">
        <v>4.3E-3</v>
      </c>
      <c r="E524" s="8">
        <v>7.96</v>
      </c>
      <c r="F524" s="8">
        <v>110.976</v>
      </c>
      <c r="G524" s="8">
        <v>108.345</v>
      </c>
      <c r="H524" s="8">
        <v>71.959999999999994</v>
      </c>
      <c r="I524" s="8">
        <v>179.32</v>
      </c>
      <c r="J524" s="8">
        <v>75.739999999999995</v>
      </c>
      <c r="K524" s="268">
        <v>0.6835</v>
      </c>
      <c r="L524" s="268">
        <v>0.49619999999999997</v>
      </c>
      <c r="M524" s="268">
        <v>1.2800000000000001E-2</v>
      </c>
      <c r="N524" s="8">
        <v>404.93</v>
      </c>
      <c r="O524" s="8">
        <v>7805.15</v>
      </c>
      <c r="P524" s="268">
        <v>5.1900000000000002E-2</v>
      </c>
      <c r="Q524" s="8">
        <v>527</v>
      </c>
      <c r="R524" s="8" t="s">
        <v>3842</v>
      </c>
      <c r="S524" s="8" t="s">
        <v>4868</v>
      </c>
      <c r="T524" s="8" t="s">
        <v>4869</v>
      </c>
      <c r="U524" s="8" t="s">
        <v>4870</v>
      </c>
      <c r="V524" s="8" t="s">
        <v>4871</v>
      </c>
      <c r="W524" s="8" t="s">
        <v>4872</v>
      </c>
    </row>
    <row r="525" spans="1:23" ht="28" customHeight="1" x14ac:dyDescent="0.3">
      <c r="A525" s="308">
        <v>45509</v>
      </c>
      <c r="B525" s="302">
        <v>1789.1289999999999</v>
      </c>
      <c r="C525" s="8">
        <v>-22.152000000000001</v>
      </c>
      <c r="D525" s="268">
        <v>-1.2200000000000001E-2</v>
      </c>
      <c r="E525" s="8">
        <v>6.12</v>
      </c>
      <c r="F525" s="8">
        <v>110.545</v>
      </c>
      <c r="G525" s="8">
        <v>107.85599999999999</v>
      </c>
      <c r="H525" s="8">
        <v>70.400000000000006</v>
      </c>
      <c r="I525" s="8">
        <v>183.37</v>
      </c>
      <c r="J525" s="8">
        <v>80.569999999999993</v>
      </c>
      <c r="K525" s="268">
        <v>0.72819999999999996</v>
      </c>
      <c r="L525" s="268">
        <v>0.51739999999999997</v>
      </c>
      <c r="M525" s="268">
        <v>1.49E-2</v>
      </c>
      <c r="N525" s="8">
        <v>466.17</v>
      </c>
      <c r="O525" s="8">
        <v>7805.18</v>
      </c>
      <c r="P525" s="268">
        <v>5.9700000000000003E-2</v>
      </c>
      <c r="Q525" s="8">
        <v>527</v>
      </c>
      <c r="R525" s="8" t="s">
        <v>4873</v>
      </c>
      <c r="S525" s="8" t="s">
        <v>4874</v>
      </c>
      <c r="T525" s="8" t="s">
        <v>4875</v>
      </c>
      <c r="U525" s="8" t="s">
        <v>4876</v>
      </c>
      <c r="V525" s="8" t="s">
        <v>4877</v>
      </c>
      <c r="W525" s="8" t="s">
        <v>4878</v>
      </c>
    </row>
    <row r="526" spans="1:23" ht="28" customHeight="1" x14ac:dyDescent="0.3">
      <c r="A526" s="308">
        <v>45506</v>
      </c>
      <c r="B526" s="302">
        <v>1811.2809999999999</v>
      </c>
      <c r="C526" s="8">
        <v>-10.145</v>
      </c>
      <c r="D526" s="268">
        <v>-5.5999999999999999E-3</v>
      </c>
      <c r="E526" s="8">
        <v>10.47</v>
      </c>
      <c r="F526" s="8">
        <v>111.944</v>
      </c>
      <c r="G526" s="8">
        <v>109.095</v>
      </c>
      <c r="H526" s="8">
        <v>71.760000000000005</v>
      </c>
      <c r="I526" s="8">
        <v>182.21</v>
      </c>
      <c r="J526" s="8">
        <v>75.45</v>
      </c>
      <c r="K526" s="268">
        <v>0.70269999999999999</v>
      </c>
      <c r="L526" s="268">
        <v>0.48949999999999999</v>
      </c>
      <c r="M526" s="268">
        <v>1.0800000000000001E-2</v>
      </c>
      <c r="N526" s="8">
        <v>475.54</v>
      </c>
      <c r="O526" s="8">
        <v>7802.12</v>
      </c>
      <c r="P526" s="268">
        <v>6.0999999999999999E-2</v>
      </c>
      <c r="Q526" s="8">
        <v>526</v>
      </c>
      <c r="R526" s="8" t="s">
        <v>4879</v>
      </c>
      <c r="S526" s="8" t="s">
        <v>4880</v>
      </c>
      <c r="T526" s="8" t="s">
        <v>4881</v>
      </c>
      <c r="U526" s="8" t="s">
        <v>4882</v>
      </c>
      <c r="V526" s="8" t="s">
        <v>4883</v>
      </c>
      <c r="W526" s="8" t="s">
        <v>4884</v>
      </c>
    </row>
    <row r="527" spans="1:23" ht="28" customHeight="1" x14ac:dyDescent="0.3">
      <c r="A527" s="308">
        <v>45505</v>
      </c>
      <c r="B527" s="302">
        <v>1821.4259999999999</v>
      </c>
      <c r="C527" s="8">
        <v>2.0739999999999998</v>
      </c>
      <c r="D527" s="268">
        <v>1.1000000000000001E-3</v>
      </c>
      <c r="E527" s="8">
        <v>12.62</v>
      </c>
      <c r="F527" s="8">
        <v>112.586</v>
      </c>
      <c r="G527" s="8">
        <v>109.498</v>
      </c>
      <c r="H527" s="8">
        <v>73.319999999999993</v>
      </c>
      <c r="I527" s="8">
        <v>181.6</v>
      </c>
      <c r="J527" s="8">
        <v>73.58</v>
      </c>
      <c r="K527" s="268">
        <v>0.69010000000000005</v>
      </c>
      <c r="L527" s="268">
        <v>0.47649999999999998</v>
      </c>
      <c r="M527" s="268">
        <v>8.6999999999999994E-3</v>
      </c>
      <c r="N527" s="8">
        <v>511.83</v>
      </c>
      <c r="O527" s="8">
        <v>7802.76</v>
      </c>
      <c r="P527" s="268">
        <v>6.5600000000000006E-2</v>
      </c>
      <c r="Q527" s="8">
        <v>526</v>
      </c>
      <c r="R527" s="8" t="s">
        <v>4885</v>
      </c>
      <c r="S527" s="8" t="s">
        <v>4886</v>
      </c>
      <c r="T527" s="8" t="s">
        <v>4887</v>
      </c>
      <c r="U527" s="8" t="s">
        <v>4888</v>
      </c>
      <c r="V527" s="8" t="s">
        <v>4889</v>
      </c>
      <c r="W527" s="8" t="s">
        <v>4890</v>
      </c>
    </row>
    <row r="528" spans="1:23" ht="28" customHeight="1" x14ac:dyDescent="0.3">
      <c r="A528" s="308">
        <v>45504</v>
      </c>
      <c r="B528" s="302">
        <v>1819.3520000000001</v>
      </c>
      <c r="C528" s="8">
        <v>26.568999999999999</v>
      </c>
      <c r="D528" s="268">
        <v>1.4800000000000001E-2</v>
      </c>
      <c r="E528" s="8">
        <v>11.57</v>
      </c>
      <c r="F528" s="8">
        <v>112.45399999999999</v>
      </c>
      <c r="G528" s="8">
        <v>109.35299999999999</v>
      </c>
      <c r="H528" s="8">
        <v>73.03</v>
      </c>
      <c r="I528" s="8">
        <v>180.9</v>
      </c>
      <c r="J528" s="8">
        <v>72.349999999999994</v>
      </c>
      <c r="K528" s="268">
        <v>0.68440000000000001</v>
      </c>
      <c r="L528" s="268">
        <v>0.4713</v>
      </c>
      <c r="M528" s="268">
        <v>9.4000000000000004E-3</v>
      </c>
      <c r="N528" s="8">
        <v>579.84</v>
      </c>
      <c r="O528" s="8">
        <v>7803.3</v>
      </c>
      <c r="P528" s="268">
        <v>7.4300000000000005E-2</v>
      </c>
      <c r="Q528" s="8">
        <v>526</v>
      </c>
      <c r="R528" s="8" t="s">
        <v>4891</v>
      </c>
      <c r="S528" s="8" t="s">
        <v>4892</v>
      </c>
      <c r="T528" s="8" t="s">
        <v>4893</v>
      </c>
      <c r="U528" s="8" t="s">
        <v>4894</v>
      </c>
      <c r="V528" s="8" t="s">
        <v>4895</v>
      </c>
      <c r="W528" s="8" t="s">
        <v>4896</v>
      </c>
    </row>
    <row r="529" spans="1:23" ht="28" customHeight="1" x14ac:dyDescent="0.3">
      <c r="A529" s="308">
        <v>45503</v>
      </c>
      <c r="B529" s="302">
        <v>1792.7829999999999</v>
      </c>
      <c r="C529" s="8">
        <v>-1.0049999999999999</v>
      </c>
      <c r="D529" s="268">
        <v>-5.9999999999999995E-4</v>
      </c>
      <c r="E529" s="8">
        <v>6.34</v>
      </c>
      <c r="F529" s="8">
        <v>110.8</v>
      </c>
      <c r="G529" s="8">
        <v>107.66500000000001</v>
      </c>
      <c r="H529" s="8">
        <v>70.84</v>
      </c>
      <c r="I529" s="8">
        <v>183.23</v>
      </c>
      <c r="J529" s="8">
        <v>78.98</v>
      </c>
      <c r="K529" s="268">
        <v>0.72430000000000005</v>
      </c>
      <c r="L529" s="268">
        <v>0.49209999999999998</v>
      </c>
      <c r="M529" s="268">
        <v>1.46E-2</v>
      </c>
      <c r="N529" s="8">
        <v>535.63</v>
      </c>
      <c r="O529" s="8">
        <v>7804.14</v>
      </c>
      <c r="P529" s="268">
        <v>6.8599999999999994E-2</v>
      </c>
      <c r="Q529" s="8">
        <v>526</v>
      </c>
      <c r="R529" s="8" t="s">
        <v>4897</v>
      </c>
      <c r="S529" s="8" t="s">
        <v>4898</v>
      </c>
      <c r="T529" s="8" t="s">
        <v>4899</v>
      </c>
      <c r="U529" s="8" t="s">
        <v>4900</v>
      </c>
      <c r="V529" s="8" t="s">
        <v>4901</v>
      </c>
      <c r="W529" s="8" t="s">
        <v>4902</v>
      </c>
    </row>
    <row r="530" spans="1:23" ht="28" customHeight="1" x14ac:dyDescent="0.3">
      <c r="A530" s="308">
        <v>45502</v>
      </c>
      <c r="B530" s="302">
        <v>1793.788</v>
      </c>
      <c r="C530" s="8">
        <v>-3.145</v>
      </c>
      <c r="D530" s="268">
        <v>-1.6999999999999999E-3</v>
      </c>
      <c r="E530" s="8">
        <v>6.48</v>
      </c>
      <c r="F530" s="8">
        <v>110.78</v>
      </c>
      <c r="G530" s="8">
        <v>108.04</v>
      </c>
      <c r="H530" s="8">
        <v>70.73</v>
      </c>
      <c r="I530" s="8">
        <v>184.23</v>
      </c>
      <c r="J530" s="8">
        <v>81.13</v>
      </c>
      <c r="K530" s="268">
        <v>0.73450000000000004</v>
      </c>
      <c r="L530" s="268">
        <v>0.49180000000000001</v>
      </c>
      <c r="M530" s="268">
        <v>1.43E-2</v>
      </c>
      <c r="N530" s="8">
        <v>567.62</v>
      </c>
      <c r="O530" s="8">
        <v>7813.64</v>
      </c>
      <c r="P530" s="268">
        <v>7.2599999999999998E-2</v>
      </c>
      <c r="Q530" s="8">
        <v>526</v>
      </c>
      <c r="R530" s="8" t="s">
        <v>4903</v>
      </c>
      <c r="S530" s="8" t="s">
        <v>4904</v>
      </c>
      <c r="T530" s="8" t="s">
        <v>4905</v>
      </c>
      <c r="U530" s="8" t="s">
        <v>4906</v>
      </c>
      <c r="V530" s="8" t="s">
        <v>4907</v>
      </c>
      <c r="W530" s="8" t="s">
        <v>4908</v>
      </c>
    </row>
    <row r="531" spans="1:23" ht="28" customHeight="1" x14ac:dyDescent="0.3">
      <c r="A531" s="308">
        <v>45499</v>
      </c>
      <c r="B531" s="302">
        <v>1796.933</v>
      </c>
      <c r="C531" s="8">
        <v>26.329000000000001</v>
      </c>
      <c r="D531" s="268">
        <v>1.49E-2</v>
      </c>
      <c r="E531" s="8">
        <v>6.94</v>
      </c>
      <c r="F531" s="8">
        <v>111.012</v>
      </c>
      <c r="G531" s="8">
        <v>108.58</v>
      </c>
      <c r="H531" s="8">
        <v>70.900000000000006</v>
      </c>
      <c r="I531" s="8">
        <v>184.06</v>
      </c>
      <c r="J531" s="8">
        <v>80.430000000000007</v>
      </c>
      <c r="K531" s="268">
        <v>0.73050000000000004</v>
      </c>
      <c r="L531" s="268">
        <v>0.50760000000000005</v>
      </c>
      <c r="M531" s="268">
        <v>1.41E-2</v>
      </c>
      <c r="N531" s="8">
        <v>646.94000000000005</v>
      </c>
      <c r="O531" s="8">
        <v>7803.5</v>
      </c>
      <c r="P531" s="268">
        <v>8.2900000000000001E-2</v>
      </c>
      <c r="Q531" s="8">
        <v>524</v>
      </c>
      <c r="R531" s="8" t="s">
        <v>4909</v>
      </c>
      <c r="S531" s="8" t="s">
        <v>4910</v>
      </c>
      <c r="T531" s="8" t="s">
        <v>4911</v>
      </c>
      <c r="U531" s="8" t="s">
        <v>4912</v>
      </c>
      <c r="V531" s="8" t="s">
        <v>4913</v>
      </c>
      <c r="W531" s="8" t="s">
        <v>4914</v>
      </c>
    </row>
    <row r="532" spans="1:23" ht="28" customHeight="1" x14ac:dyDescent="0.3">
      <c r="A532" s="308">
        <v>45498</v>
      </c>
      <c r="B532" s="302">
        <v>1770.604</v>
      </c>
      <c r="C532" s="8">
        <v>2.1219999999999999</v>
      </c>
      <c r="D532" s="268">
        <v>1.1999999999999999E-3</v>
      </c>
      <c r="E532" s="8">
        <v>3.48</v>
      </c>
      <c r="F532" s="8">
        <v>109.399</v>
      </c>
      <c r="G532" s="8">
        <v>107.17</v>
      </c>
      <c r="H532" s="8">
        <v>69.47</v>
      </c>
      <c r="I532" s="8">
        <v>182.6</v>
      </c>
      <c r="J532" s="8">
        <v>80</v>
      </c>
      <c r="K532" s="268">
        <v>0.73199999999999998</v>
      </c>
      <c r="L532" s="268">
        <v>0.52149999999999996</v>
      </c>
      <c r="M532" s="268">
        <v>1.9199999999999998E-2</v>
      </c>
      <c r="N532" s="8">
        <v>816.66</v>
      </c>
      <c r="O532" s="8">
        <v>7806.61</v>
      </c>
      <c r="P532" s="268">
        <v>0.1046</v>
      </c>
      <c r="Q532" s="8">
        <v>525</v>
      </c>
      <c r="R532" s="8" t="s">
        <v>4618</v>
      </c>
      <c r="S532" s="8" t="s">
        <v>4915</v>
      </c>
      <c r="T532" s="8" t="s">
        <v>4916</v>
      </c>
      <c r="U532" s="8" t="s">
        <v>4917</v>
      </c>
      <c r="V532" s="8" t="s">
        <v>4918</v>
      </c>
      <c r="W532" s="8" t="s">
        <v>4919</v>
      </c>
    </row>
    <row r="533" spans="1:23" ht="28" customHeight="1" x14ac:dyDescent="0.3">
      <c r="A533" s="308">
        <v>45497</v>
      </c>
      <c r="B533" s="302">
        <v>1768.482</v>
      </c>
      <c r="C533" s="8">
        <v>-24.164999999999999</v>
      </c>
      <c r="D533" s="268">
        <v>-1.35E-2</v>
      </c>
      <c r="E533" s="8">
        <v>3.24</v>
      </c>
      <c r="F533" s="8">
        <v>109.232</v>
      </c>
      <c r="G533" s="8">
        <v>106.857</v>
      </c>
      <c r="H533" s="8">
        <v>69.040000000000006</v>
      </c>
      <c r="I533" s="8">
        <v>183.69</v>
      </c>
      <c r="J533" s="8">
        <v>81.11</v>
      </c>
      <c r="K533" s="268">
        <v>0.74460000000000004</v>
      </c>
      <c r="L533" s="268">
        <v>0.51959999999999995</v>
      </c>
      <c r="M533" s="268">
        <v>1.9300000000000001E-2</v>
      </c>
      <c r="N533" s="8">
        <v>763.91</v>
      </c>
      <c r="O533" s="8">
        <v>7805.77</v>
      </c>
      <c r="P533" s="268">
        <v>9.7900000000000001E-2</v>
      </c>
      <c r="Q533" s="8">
        <v>524</v>
      </c>
      <c r="R533" s="8" t="s">
        <v>4920</v>
      </c>
      <c r="S533" s="8" t="s">
        <v>4921</v>
      </c>
      <c r="T533" s="8" t="s">
        <v>4922</v>
      </c>
      <c r="U533" s="8" t="s">
        <v>4923</v>
      </c>
      <c r="V533" s="8" t="s">
        <v>4924</v>
      </c>
      <c r="W533" s="8" t="s">
        <v>4925</v>
      </c>
    </row>
    <row r="534" spans="1:23" ht="28" customHeight="1" x14ac:dyDescent="0.3">
      <c r="A534" s="308">
        <v>45496</v>
      </c>
      <c r="B534" s="302">
        <v>1792.6469999999999</v>
      </c>
      <c r="C534" s="8">
        <v>-24.827000000000002</v>
      </c>
      <c r="D534" s="268">
        <v>-1.37E-2</v>
      </c>
      <c r="E534" s="8">
        <v>5.56</v>
      </c>
      <c r="F534" s="8">
        <v>110.709</v>
      </c>
      <c r="G534" s="8">
        <v>108.224</v>
      </c>
      <c r="H534" s="8">
        <v>70.31</v>
      </c>
      <c r="I534" s="8">
        <v>185.33</v>
      </c>
      <c r="J534" s="8">
        <v>80.08</v>
      </c>
      <c r="K534" s="268">
        <v>0.74619999999999997</v>
      </c>
      <c r="L534" s="268">
        <v>0.5222</v>
      </c>
      <c r="M534" s="268">
        <v>1.46E-2</v>
      </c>
      <c r="N534" s="8">
        <v>749.27</v>
      </c>
      <c r="O534" s="8">
        <v>7808.14</v>
      </c>
      <c r="P534" s="268">
        <v>9.6000000000000002E-2</v>
      </c>
      <c r="Q534" s="8">
        <v>525</v>
      </c>
      <c r="R534" s="8" t="s">
        <v>4926</v>
      </c>
      <c r="S534" s="8" t="s">
        <v>4927</v>
      </c>
      <c r="T534" s="8" t="s">
        <v>4928</v>
      </c>
      <c r="U534" s="8" t="s">
        <v>4929</v>
      </c>
      <c r="V534" s="8" t="s">
        <v>4930</v>
      </c>
      <c r="W534" s="8" t="s">
        <v>4931</v>
      </c>
    </row>
    <row r="535" spans="1:23" ht="28" customHeight="1" x14ac:dyDescent="0.3">
      <c r="A535" s="308">
        <v>45495</v>
      </c>
      <c r="B535" s="302">
        <v>1817.4739999999999</v>
      </c>
      <c r="C535" s="8">
        <v>-8.1609999999999996</v>
      </c>
      <c r="D535" s="268">
        <v>-4.4999999999999997E-3</v>
      </c>
      <c r="E535" s="8">
        <v>9</v>
      </c>
      <c r="F535" s="8">
        <v>112.4</v>
      </c>
      <c r="G535" s="8">
        <v>109.4</v>
      </c>
      <c r="H535" s="8">
        <v>72.14</v>
      </c>
      <c r="I535" s="8">
        <v>185.8</v>
      </c>
      <c r="J535" s="8">
        <v>78.97</v>
      </c>
      <c r="K535" s="268">
        <v>0.73399999999999999</v>
      </c>
      <c r="L535" s="268">
        <v>0.50739999999999996</v>
      </c>
      <c r="M535" s="268">
        <v>0.01</v>
      </c>
      <c r="N535" s="8">
        <v>562.23</v>
      </c>
      <c r="O535" s="8">
        <v>7809.73</v>
      </c>
      <c r="P535" s="268">
        <v>7.1999999999999995E-2</v>
      </c>
      <c r="Q535" s="8">
        <v>525</v>
      </c>
      <c r="R535" s="8" t="s">
        <v>4932</v>
      </c>
      <c r="S535" s="8" t="s">
        <v>4933</v>
      </c>
      <c r="T535" s="8" t="s">
        <v>4934</v>
      </c>
      <c r="U535" s="8" t="s">
        <v>4935</v>
      </c>
      <c r="V535" s="8" t="s">
        <v>4936</v>
      </c>
      <c r="W535" s="8" t="s">
        <v>4937</v>
      </c>
    </row>
    <row r="536" spans="1:23" ht="28" customHeight="1" x14ac:dyDescent="0.3">
      <c r="A536" s="308">
        <v>45492</v>
      </c>
      <c r="B536" s="302">
        <v>1825.635</v>
      </c>
      <c r="C536" s="8">
        <v>3.5350000000000001</v>
      </c>
      <c r="D536" s="268">
        <v>1.9E-3</v>
      </c>
      <c r="E536" s="8">
        <v>11.06</v>
      </c>
      <c r="F536" s="8">
        <v>113.01900000000001</v>
      </c>
      <c r="G536" s="8">
        <v>109.904</v>
      </c>
      <c r="H536" s="8">
        <v>71.66</v>
      </c>
      <c r="I536" s="8">
        <v>187.89</v>
      </c>
      <c r="J536" s="8">
        <v>82.44</v>
      </c>
      <c r="K536" s="268">
        <v>0.74880000000000002</v>
      </c>
      <c r="L536" s="268">
        <v>0.51649999999999996</v>
      </c>
      <c r="M536" s="268">
        <v>8.3999999999999995E-3</v>
      </c>
      <c r="N536" s="8">
        <v>654.73</v>
      </c>
      <c r="O536" s="8">
        <v>7805.81</v>
      </c>
      <c r="P536" s="268">
        <v>8.3900000000000002E-2</v>
      </c>
      <c r="Q536" s="8">
        <v>524</v>
      </c>
      <c r="R536" s="8" t="s">
        <v>4938</v>
      </c>
      <c r="S536" s="8" t="s">
        <v>4939</v>
      </c>
      <c r="T536" s="8" t="s">
        <v>4940</v>
      </c>
      <c r="U536" s="8" t="s">
        <v>4941</v>
      </c>
      <c r="V536" s="8" t="s">
        <v>4942</v>
      </c>
      <c r="W536" s="8" t="s">
        <v>4943</v>
      </c>
    </row>
    <row r="537" spans="1:23" ht="28" customHeight="1" x14ac:dyDescent="0.3">
      <c r="A537" s="308">
        <v>45491</v>
      </c>
      <c r="B537" s="302">
        <v>1822.1</v>
      </c>
      <c r="C537" s="8">
        <v>-3.78</v>
      </c>
      <c r="D537" s="268">
        <v>-2.0999999999999999E-3</v>
      </c>
      <c r="E537" s="8">
        <v>9.52</v>
      </c>
      <c r="F537" s="8">
        <v>112.908</v>
      </c>
      <c r="G537" s="8">
        <v>109.562</v>
      </c>
      <c r="H537" s="8">
        <v>71.260000000000005</v>
      </c>
      <c r="I537" s="8">
        <v>188.98</v>
      </c>
      <c r="J537" s="8">
        <v>82.01</v>
      </c>
      <c r="K537" s="268">
        <v>0.76070000000000004</v>
      </c>
      <c r="L537" s="268">
        <v>0.52649999999999997</v>
      </c>
      <c r="M537" s="268">
        <v>9.2999999999999992E-3</v>
      </c>
      <c r="N537" s="8">
        <v>652.27</v>
      </c>
      <c r="O537" s="8">
        <v>7807.84</v>
      </c>
      <c r="P537" s="268">
        <v>8.3500000000000005E-2</v>
      </c>
      <c r="Q537" s="8">
        <v>524</v>
      </c>
      <c r="R537" s="8" t="s">
        <v>4944</v>
      </c>
      <c r="S537" s="8" t="s">
        <v>4945</v>
      </c>
      <c r="T537" s="8" t="s">
        <v>4946</v>
      </c>
      <c r="U537" s="8" t="s">
        <v>4947</v>
      </c>
      <c r="V537" s="8" t="s">
        <v>4948</v>
      </c>
      <c r="W537" s="8" t="s">
        <v>4949</v>
      </c>
    </row>
    <row r="538" spans="1:23" ht="28" customHeight="1" x14ac:dyDescent="0.3">
      <c r="A538" s="308">
        <v>45490</v>
      </c>
      <c r="B538" s="302">
        <v>1825.88</v>
      </c>
      <c r="C538" s="8">
        <v>-15.782999999999999</v>
      </c>
      <c r="D538" s="268">
        <v>-8.6E-3</v>
      </c>
      <c r="E538" s="8">
        <v>9.4700000000000006</v>
      </c>
      <c r="F538" s="8">
        <v>113.075</v>
      </c>
      <c r="G538" s="8">
        <v>109.56399999999999</v>
      </c>
      <c r="H538" s="8">
        <v>71.12</v>
      </c>
      <c r="I538" s="8">
        <v>189.12</v>
      </c>
      <c r="J538" s="8">
        <v>83.57</v>
      </c>
      <c r="K538" s="268">
        <v>0.76049999999999995</v>
      </c>
      <c r="L538" s="268">
        <v>0.51980000000000004</v>
      </c>
      <c r="M538" s="268">
        <v>8.8000000000000005E-3</v>
      </c>
      <c r="N538" s="8">
        <v>628.74</v>
      </c>
      <c r="O538" s="8">
        <v>7837.3</v>
      </c>
      <c r="P538" s="268">
        <v>8.0199999999999994E-2</v>
      </c>
      <c r="Q538" s="8">
        <v>525</v>
      </c>
      <c r="R538" s="8" t="s">
        <v>4950</v>
      </c>
      <c r="S538" s="8" t="s">
        <v>4951</v>
      </c>
      <c r="T538" s="8" t="s">
        <v>4952</v>
      </c>
      <c r="U538" s="8" t="s">
        <v>4953</v>
      </c>
      <c r="V538" s="8" t="s">
        <v>4954</v>
      </c>
      <c r="W538" s="8" t="s">
        <v>4955</v>
      </c>
    </row>
    <row r="539" spans="1:23" ht="28" customHeight="1" x14ac:dyDescent="0.3">
      <c r="A539" s="308">
        <v>45489</v>
      </c>
      <c r="B539" s="302">
        <v>1841.663</v>
      </c>
      <c r="C539" s="8">
        <v>-1.087</v>
      </c>
      <c r="D539" s="268">
        <v>-5.9999999999999995E-4</v>
      </c>
      <c r="E539" s="8">
        <v>12.58</v>
      </c>
      <c r="F539" s="8">
        <v>114.008</v>
      </c>
      <c r="G539" s="8">
        <v>110.289</v>
      </c>
      <c r="H539" s="8">
        <v>72.06</v>
      </c>
      <c r="I539" s="8">
        <v>189.29</v>
      </c>
      <c r="J539" s="8">
        <v>81.41</v>
      </c>
      <c r="K539" s="268">
        <v>0.75280000000000002</v>
      </c>
      <c r="L539" s="268">
        <v>0.51700000000000002</v>
      </c>
      <c r="M539" s="268">
        <v>6.1000000000000004E-3</v>
      </c>
      <c r="N539" s="8">
        <v>649.23</v>
      </c>
      <c r="O539" s="8">
        <v>7839.81</v>
      </c>
      <c r="P539" s="268">
        <v>8.2799999999999999E-2</v>
      </c>
      <c r="Q539" s="8">
        <v>526</v>
      </c>
      <c r="R539" s="8" t="s">
        <v>4956</v>
      </c>
      <c r="S539" s="8" t="s">
        <v>4957</v>
      </c>
      <c r="T539" s="8" t="s">
        <v>4958</v>
      </c>
      <c r="U539" s="8" t="s">
        <v>4959</v>
      </c>
      <c r="V539" s="8" t="s">
        <v>4960</v>
      </c>
      <c r="W539" s="8" t="s">
        <v>4961</v>
      </c>
    </row>
    <row r="540" spans="1:23" ht="28" customHeight="1" x14ac:dyDescent="0.3">
      <c r="A540" s="308">
        <v>45488</v>
      </c>
      <c r="B540" s="302">
        <v>1842.75</v>
      </c>
      <c r="C540" s="8">
        <v>-13.869</v>
      </c>
      <c r="D540" s="268">
        <v>-7.4999999999999997E-3</v>
      </c>
      <c r="E540" s="8">
        <v>13.22</v>
      </c>
      <c r="F540" s="8">
        <v>114.11799999999999</v>
      </c>
      <c r="G540" s="8">
        <v>110.319</v>
      </c>
      <c r="H540" s="8">
        <v>72.010000000000005</v>
      </c>
      <c r="I540" s="8">
        <v>189.64</v>
      </c>
      <c r="J540" s="8">
        <v>83.97</v>
      </c>
      <c r="K540" s="268">
        <v>0.75519999999999998</v>
      </c>
      <c r="L540" s="268">
        <v>0.51729999999999998</v>
      </c>
      <c r="M540" s="268">
        <v>6.3E-3</v>
      </c>
      <c r="N540" s="8">
        <v>694.97</v>
      </c>
      <c r="O540" s="8">
        <v>7844.02</v>
      </c>
      <c r="P540" s="268">
        <v>8.8599999999999998E-2</v>
      </c>
      <c r="Q540" s="8">
        <v>528</v>
      </c>
      <c r="R540" s="8" t="s">
        <v>4962</v>
      </c>
      <c r="S540" s="8" t="s">
        <v>4963</v>
      </c>
      <c r="T540" s="8" t="s">
        <v>4964</v>
      </c>
      <c r="U540" s="8" t="s">
        <v>4965</v>
      </c>
      <c r="V540" s="8" t="s">
        <v>4966</v>
      </c>
      <c r="W540" s="8" t="s">
        <v>4967</v>
      </c>
    </row>
    <row r="541" spans="1:23" ht="28" customHeight="1" x14ac:dyDescent="0.3">
      <c r="A541" s="308">
        <v>45485</v>
      </c>
      <c r="B541" s="302">
        <v>1856.6189999999999</v>
      </c>
      <c r="C541" s="8">
        <v>-8.8989999999999991</v>
      </c>
      <c r="D541" s="268">
        <v>-4.7999999999999996E-3</v>
      </c>
      <c r="E541" s="8">
        <v>17.05</v>
      </c>
      <c r="F541" s="8">
        <v>114.834</v>
      </c>
      <c r="G541" s="8">
        <v>111.31100000000001</v>
      </c>
      <c r="H541" s="8">
        <v>72.09</v>
      </c>
      <c r="I541" s="8">
        <v>188.91</v>
      </c>
      <c r="J541" s="8">
        <v>80.92</v>
      </c>
      <c r="K541" s="268">
        <v>0.74070000000000003</v>
      </c>
      <c r="L541" s="268">
        <v>0.50939999999999996</v>
      </c>
      <c r="M541" s="268">
        <v>3.8E-3</v>
      </c>
      <c r="N541" s="8">
        <v>747.23</v>
      </c>
      <c r="O541" s="8">
        <v>7845.56</v>
      </c>
      <c r="P541" s="268">
        <v>9.5200000000000007E-2</v>
      </c>
      <c r="Q541" s="8">
        <v>528</v>
      </c>
      <c r="R541" s="8" t="s">
        <v>4968</v>
      </c>
      <c r="S541" s="8" t="s">
        <v>4969</v>
      </c>
      <c r="T541" s="8" t="s">
        <v>4970</v>
      </c>
      <c r="U541" s="8" t="s">
        <v>4971</v>
      </c>
      <c r="V541" s="8" t="s">
        <v>4972</v>
      </c>
      <c r="W541" s="8" t="s">
        <v>4973</v>
      </c>
    </row>
    <row r="542" spans="1:23" ht="28" customHeight="1" x14ac:dyDescent="0.3">
      <c r="A542" s="308">
        <v>45484</v>
      </c>
      <c r="B542" s="302">
        <v>1865.518</v>
      </c>
      <c r="C542" s="8">
        <v>21.172999999999998</v>
      </c>
      <c r="D542" s="268">
        <v>1.15E-2</v>
      </c>
      <c r="E542" s="8">
        <v>18.18</v>
      </c>
      <c r="F542" s="8">
        <v>115.497</v>
      </c>
      <c r="G542" s="8">
        <v>111.5</v>
      </c>
      <c r="H542" s="8">
        <v>72.44</v>
      </c>
      <c r="I542" s="8">
        <v>190.03</v>
      </c>
      <c r="J542" s="8">
        <v>81</v>
      </c>
      <c r="K542" s="268">
        <v>0.74529999999999996</v>
      </c>
      <c r="L542" s="268">
        <v>0.50770000000000004</v>
      </c>
      <c r="M542" s="268">
        <v>2.3999999999999998E-3</v>
      </c>
      <c r="N542" s="8">
        <v>800.15</v>
      </c>
      <c r="O542" s="8">
        <v>7847.82</v>
      </c>
      <c r="P542" s="268">
        <v>0.10199999999999999</v>
      </c>
      <c r="Q542" s="8">
        <v>529</v>
      </c>
      <c r="R542" s="8" t="s">
        <v>4974</v>
      </c>
      <c r="S542" s="8" t="s">
        <v>4975</v>
      </c>
      <c r="T542" s="8" t="s">
        <v>4976</v>
      </c>
      <c r="U542" s="8" t="s">
        <v>4977</v>
      </c>
      <c r="V542" s="8" t="s">
        <v>4978</v>
      </c>
      <c r="W542" s="8" t="s">
        <v>4979</v>
      </c>
    </row>
    <row r="543" spans="1:23" ht="28" customHeight="1" x14ac:dyDescent="0.3">
      <c r="A543" s="308">
        <v>45483</v>
      </c>
      <c r="B543" s="302">
        <v>1844.345</v>
      </c>
      <c r="C543" s="8">
        <v>-5.7169999999999996</v>
      </c>
      <c r="D543" s="268">
        <v>-3.0999999999999999E-3</v>
      </c>
      <c r="E543" s="8">
        <v>13.77</v>
      </c>
      <c r="F543" s="8">
        <v>114.348</v>
      </c>
      <c r="G543" s="8">
        <v>110.46</v>
      </c>
      <c r="H543" s="8">
        <v>70.319999999999993</v>
      </c>
      <c r="I543" s="8">
        <v>192.53</v>
      </c>
      <c r="J543" s="8">
        <v>85.64</v>
      </c>
      <c r="K543" s="268">
        <v>0.78180000000000005</v>
      </c>
      <c r="L543" s="268">
        <v>0.54569999999999996</v>
      </c>
      <c r="M543" s="268">
        <v>7.1000000000000004E-3</v>
      </c>
      <c r="N543" s="8">
        <v>838.6</v>
      </c>
      <c r="O543" s="8">
        <v>7822.5</v>
      </c>
      <c r="P543" s="268">
        <v>0.1072</v>
      </c>
      <c r="Q543" s="8">
        <v>528</v>
      </c>
      <c r="R543" s="8" t="s">
        <v>4980</v>
      </c>
      <c r="S543" s="8" t="s">
        <v>4981</v>
      </c>
      <c r="T543" s="8" t="s">
        <v>4982</v>
      </c>
      <c r="U543" s="8" t="s">
        <v>4983</v>
      </c>
      <c r="V543" s="8" t="s">
        <v>4984</v>
      </c>
      <c r="W543" s="8" t="s">
        <v>4985</v>
      </c>
    </row>
    <row r="544" spans="1:23" ht="28" customHeight="1" x14ac:dyDescent="0.3">
      <c r="A544" s="308">
        <v>45482</v>
      </c>
      <c r="B544" s="302">
        <v>1850.0619999999999</v>
      </c>
      <c r="C544" s="8">
        <v>16.937999999999999</v>
      </c>
      <c r="D544" s="268">
        <v>9.1999999999999998E-3</v>
      </c>
      <c r="E544" s="8">
        <v>13.78</v>
      </c>
      <c r="F544" s="8">
        <v>114.771</v>
      </c>
      <c r="G544" s="8">
        <v>110.5</v>
      </c>
      <c r="H544" s="8">
        <v>70.38</v>
      </c>
      <c r="I544" s="8">
        <v>192.68</v>
      </c>
      <c r="J544" s="8">
        <v>84.88</v>
      </c>
      <c r="K544" s="268">
        <v>0.77910000000000001</v>
      </c>
      <c r="L544" s="268">
        <v>0.53859999999999997</v>
      </c>
      <c r="M544" s="268">
        <v>6.1999999999999998E-3</v>
      </c>
      <c r="N544" s="8">
        <v>695.15</v>
      </c>
      <c r="O544" s="8">
        <v>7820.77</v>
      </c>
      <c r="P544" s="268">
        <v>8.8900000000000007E-2</v>
      </c>
      <c r="Q544" s="8">
        <v>527</v>
      </c>
      <c r="R544" s="8" t="s">
        <v>4986</v>
      </c>
      <c r="S544" s="8" t="s">
        <v>4987</v>
      </c>
      <c r="T544" s="8" t="s">
        <v>4988</v>
      </c>
      <c r="U544" s="8" t="s">
        <v>4989</v>
      </c>
      <c r="V544" s="8" t="s">
        <v>4990</v>
      </c>
      <c r="W544" s="8" t="s">
        <v>4991</v>
      </c>
    </row>
    <row r="545" spans="1:23" ht="28" customHeight="1" x14ac:dyDescent="0.3">
      <c r="A545" s="308">
        <v>45481</v>
      </c>
      <c r="B545" s="302">
        <v>1833.124</v>
      </c>
      <c r="C545" s="8">
        <v>-24.408000000000001</v>
      </c>
      <c r="D545" s="268">
        <v>-1.3100000000000001E-2</v>
      </c>
      <c r="E545" s="8">
        <v>10.93</v>
      </c>
      <c r="F545" s="8">
        <v>113.648</v>
      </c>
      <c r="G545" s="8">
        <v>109.889</v>
      </c>
      <c r="H545" s="8">
        <v>68.72</v>
      </c>
      <c r="I545" s="8">
        <v>193.29</v>
      </c>
      <c r="J545" s="8">
        <v>87.9</v>
      </c>
      <c r="K545" s="268">
        <v>0.7964</v>
      </c>
      <c r="L545" s="268">
        <v>0.56689999999999996</v>
      </c>
      <c r="M545" s="268">
        <v>1.34E-2</v>
      </c>
      <c r="N545" s="8">
        <v>470.11</v>
      </c>
      <c r="O545" s="8">
        <v>7824.03</v>
      </c>
      <c r="P545" s="268">
        <v>6.0100000000000001E-2</v>
      </c>
      <c r="Q545" s="8">
        <v>528</v>
      </c>
      <c r="R545" s="8" t="s">
        <v>4992</v>
      </c>
      <c r="S545" s="8" t="s">
        <v>4993</v>
      </c>
      <c r="T545" s="8" t="s">
        <v>4994</v>
      </c>
      <c r="U545" s="8" t="s">
        <v>4995</v>
      </c>
      <c r="V545" s="8" t="s">
        <v>4996</v>
      </c>
      <c r="W545" s="8" t="s">
        <v>4997</v>
      </c>
    </row>
    <row r="546" spans="1:23" ht="28" customHeight="1" x14ac:dyDescent="0.3">
      <c r="A546" s="308">
        <v>45478</v>
      </c>
      <c r="B546" s="302">
        <v>1857.5319999999999</v>
      </c>
      <c r="C546" s="8">
        <v>8.5609999999999999</v>
      </c>
      <c r="D546" s="268">
        <v>4.5999999999999999E-3</v>
      </c>
      <c r="E546" s="8">
        <v>15.27</v>
      </c>
      <c r="F546" s="8">
        <v>115.142</v>
      </c>
      <c r="G546" s="8">
        <v>111.142</v>
      </c>
      <c r="H546" s="8">
        <v>70.47</v>
      </c>
      <c r="I546" s="8">
        <v>192.33</v>
      </c>
      <c r="J546" s="8">
        <v>86.66</v>
      </c>
      <c r="K546" s="268">
        <v>0.77190000000000003</v>
      </c>
      <c r="L546" s="268">
        <v>0.55089999999999995</v>
      </c>
      <c r="M546" s="268">
        <v>8.3000000000000001E-3</v>
      </c>
      <c r="N546" s="8">
        <v>619.35</v>
      </c>
      <c r="O546" s="8">
        <v>7819</v>
      </c>
      <c r="P546" s="268">
        <v>7.9200000000000007E-2</v>
      </c>
      <c r="Q546" s="8">
        <v>527</v>
      </c>
      <c r="R546" s="8" t="s">
        <v>4998</v>
      </c>
      <c r="S546" s="8" t="s">
        <v>4999</v>
      </c>
      <c r="T546" s="8" t="s">
        <v>5000</v>
      </c>
      <c r="U546" s="8" t="s">
        <v>5001</v>
      </c>
      <c r="V546" s="8" t="s">
        <v>5002</v>
      </c>
      <c r="W546" s="8" t="s">
        <v>5003</v>
      </c>
    </row>
    <row r="547" spans="1:23" ht="28" customHeight="1" x14ac:dyDescent="0.3">
      <c r="A547" s="308">
        <v>45477</v>
      </c>
      <c r="B547" s="302">
        <v>1848.971</v>
      </c>
      <c r="C547" s="8">
        <v>-19.96</v>
      </c>
      <c r="D547" s="268">
        <v>-1.0699999999999999E-2</v>
      </c>
      <c r="E547" s="8">
        <v>12.62</v>
      </c>
      <c r="F547" s="8">
        <v>114.679</v>
      </c>
      <c r="G547" s="8">
        <v>110.6</v>
      </c>
      <c r="H547" s="8">
        <v>70.8</v>
      </c>
      <c r="I547" s="8">
        <v>193.13</v>
      </c>
      <c r="J547" s="8">
        <v>86.96</v>
      </c>
      <c r="K547" s="268">
        <v>0.78449999999999998</v>
      </c>
      <c r="L547" s="268">
        <v>0.5675</v>
      </c>
      <c r="M547" s="268">
        <v>0.01</v>
      </c>
      <c r="N547" s="8">
        <v>691.04</v>
      </c>
      <c r="O547" s="8">
        <v>7820.62</v>
      </c>
      <c r="P547" s="268">
        <v>8.8400000000000006E-2</v>
      </c>
      <c r="Q547" s="8">
        <v>527</v>
      </c>
      <c r="R547" s="8" t="s">
        <v>5004</v>
      </c>
      <c r="S547" s="8" t="s">
        <v>5005</v>
      </c>
      <c r="T547" s="8" t="s">
        <v>5006</v>
      </c>
      <c r="U547" s="8" t="s">
        <v>5007</v>
      </c>
      <c r="V547" s="8" t="s">
        <v>5008</v>
      </c>
      <c r="W547" s="8" t="s">
        <v>5009</v>
      </c>
    </row>
    <row r="548" spans="1:23" ht="28" customHeight="1" x14ac:dyDescent="0.3">
      <c r="A548" s="308">
        <v>45476</v>
      </c>
      <c r="B548" s="302">
        <v>1868.931</v>
      </c>
      <c r="C548" s="8">
        <v>-12.19</v>
      </c>
      <c r="D548" s="268">
        <v>-6.4999999999999997E-3</v>
      </c>
      <c r="E548" s="8">
        <v>16.829999999999998</v>
      </c>
      <c r="F548" s="8">
        <v>115.86799999999999</v>
      </c>
      <c r="G548" s="8">
        <v>111.68</v>
      </c>
      <c r="H548" s="8">
        <v>72.319999999999993</v>
      </c>
      <c r="I548" s="8">
        <v>191.77</v>
      </c>
      <c r="J548" s="8">
        <v>83.33</v>
      </c>
      <c r="K548" s="268">
        <v>0.7591</v>
      </c>
      <c r="L548" s="268">
        <v>0.54190000000000005</v>
      </c>
      <c r="M548" s="268">
        <v>5.8999999999999999E-3</v>
      </c>
      <c r="N548" s="8">
        <v>648.95000000000005</v>
      </c>
      <c r="O548" s="8">
        <v>7821.64</v>
      </c>
      <c r="P548" s="268">
        <v>8.3000000000000004E-2</v>
      </c>
      <c r="Q548" s="8">
        <v>527</v>
      </c>
      <c r="R548" s="8" t="s">
        <v>5010</v>
      </c>
      <c r="S548" s="8" t="s">
        <v>5011</v>
      </c>
      <c r="T548" s="8" t="s">
        <v>5012</v>
      </c>
      <c r="U548" s="8" t="s">
        <v>5013</v>
      </c>
      <c r="V548" s="8" t="s">
        <v>5014</v>
      </c>
      <c r="W548" s="8" t="s">
        <v>5015</v>
      </c>
    </row>
    <row r="549" spans="1:23" ht="28" customHeight="1" x14ac:dyDescent="0.3">
      <c r="A549" s="308">
        <v>45475</v>
      </c>
      <c r="B549" s="302">
        <v>1881.1210000000001</v>
      </c>
      <c r="C549" s="8">
        <v>5.5330000000000004</v>
      </c>
      <c r="D549" s="268">
        <v>2.8999999999999998E-3</v>
      </c>
      <c r="E549" s="8">
        <v>20.170000000000002</v>
      </c>
      <c r="F549" s="8">
        <v>116.67100000000001</v>
      </c>
      <c r="G549" s="8">
        <v>112.30200000000001</v>
      </c>
      <c r="H549" s="8">
        <v>72.709999999999994</v>
      </c>
      <c r="I549" s="8">
        <v>191.38</v>
      </c>
      <c r="J549" s="8">
        <v>83.19</v>
      </c>
      <c r="K549" s="268">
        <v>0.74709999999999999</v>
      </c>
      <c r="L549" s="268">
        <v>0.53280000000000005</v>
      </c>
      <c r="M549" s="268">
        <v>3.2000000000000002E-3</v>
      </c>
      <c r="N549" s="8">
        <v>590.80999999999995</v>
      </c>
      <c r="O549" s="8">
        <v>7858.22</v>
      </c>
      <c r="P549" s="268">
        <v>7.5200000000000003E-2</v>
      </c>
      <c r="Q549" s="8">
        <v>529</v>
      </c>
      <c r="R549" s="8" t="s">
        <v>5016</v>
      </c>
      <c r="S549" s="8" t="s">
        <v>5017</v>
      </c>
      <c r="T549" s="8" t="s">
        <v>5018</v>
      </c>
      <c r="U549" s="8" t="s">
        <v>5019</v>
      </c>
      <c r="V549" s="8" t="s">
        <v>5020</v>
      </c>
      <c r="W549" s="8" t="s">
        <v>5021</v>
      </c>
    </row>
    <row r="550" spans="1:23" ht="28" customHeight="1" x14ac:dyDescent="0.3">
      <c r="A550" s="308">
        <v>45474</v>
      </c>
      <c r="B550" s="302">
        <v>1875.588</v>
      </c>
      <c r="C550" s="8">
        <v>9.016</v>
      </c>
      <c r="D550" s="268">
        <v>4.7999999999999996E-3</v>
      </c>
      <c r="E550" s="8">
        <v>21.34</v>
      </c>
      <c r="F550" s="8">
        <v>116.556</v>
      </c>
      <c r="G550" s="8">
        <v>112.82899999999999</v>
      </c>
      <c r="H550" s="8">
        <v>72.959999999999994</v>
      </c>
      <c r="I550" s="8">
        <v>189.96</v>
      </c>
      <c r="J550" s="8">
        <v>82.2</v>
      </c>
      <c r="K550" s="268">
        <v>0.73399999999999999</v>
      </c>
      <c r="L550" s="268">
        <v>0.52339999999999998</v>
      </c>
      <c r="M550" s="268">
        <v>7.1000000000000004E-3</v>
      </c>
      <c r="N550" s="8">
        <v>494.13</v>
      </c>
      <c r="O550" s="8">
        <v>7861.43</v>
      </c>
      <c r="P550" s="268">
        <v>6.2899999999999998E-2</v>
      </c>
      <c r="Q550" s="8">
        <v>529</v>
      </c>
      <c r="R550" s="8" t="s">
        <v>5022</v>
      </c>
      <c r="S550" s="8" t="s">
        <v>5023</v>
      </c>
      <c r="T550" s="8" t="s">
        <v>3661</v>
      </c>
      <c r="U550" s="8" t="s">
        <v>5024</v>
      </c>
      <c r="V550" s="8" t="s">
        <v>5025</v>
      </c>
      <c r="W550" s="8" t="s">
        <v>5026</v>
      </c>
    </row>
    <row r="551" spans="1:23" ht="28" customHeight="1" x14ac:dyDescent="0.3">
      <c r="A551" s="308">
        <v>45471</v>
      </c>
      <c r="B551" s="302">
        <v>1866.5719999999999</v>
      </c>
      <c r="C551" s="8">
        <v>7.4370000000000003</v>
      </c>
      <c r="D551" s="268">
        <v>4.0000000000000001E-3</v>
      </c>
      <c r="E551" s="8">
        <v>19.46</v>
      </c>
      <c r="F551" s="8">
        <v>116.146</v>
      </c>
      <c r="G551" s="8">
        <v>112.22</v>
      </c>
      <c r="H551" s="8">
        <v>72.23</v>
      </c>
      <c r="I551" s="8">
        <v>190.04</v>
      </c>
      <c r="J551" s="8">
        <v>81.89</v>
      </c>
      <c r="K551" s="268">
        <v>0.7389</v>
      </c>
      <c r="L551" s="268">
        <v>0.53069999999999995</v>
      </c>
      <c r="M551" s="268">
        <v>1.01E-2</v>
      </c>
      <c r="N551" s="8">
        <v>618.55999999999995</v>
      </c>
      <c r="O551" s="8">
        <v>7865.04</v>
      </c>
      <c r="P551" s="268">
        <v>7.8600000000000003E-2</v>
      </c>
      <c r="Q551" s="8">
        <v>530</v>
      </c>
      <c r="R551" s="8" t="s">
        <v>5027</v>
      </c>
      <c r="S551" s="8" t="s">
        <v>5028</v>
      </c>
      <c r="T551" s="8" t="s">
        <v>5029</v>
      </c>
      <c r="U551" s="8" t="s">
        <v>5030</v>
      </c>
      <c r="V551" s="8" t="s">
        <v>5031</v>
      </c>
      <c r="W551" s="8" t="s">
        <v>5032</v>
      </c>
    </row>
    <row r="552" spans="1:23" ht="28" customHeight="1" x14ac:dyDescent="0.3">
      <c r="A552" s="308">
        <v>45470</v>
      </c>
      <c r="B552" s="302">
        <v>1859.135</v>
      </c>
      <c r="C552" s="8">
        <v>-11.41</v>
      </c>
      <c r="D552" s="268">
        <v>-6.1000000000000004E-3</v>
      </c>
      <c r="E552" s="8">
        <v>17.77</v>
      </c>
      <c r="F552" s="8">
        <v>115.684</v>
      </c>
      <c r="G552" s="8">
        <v>112.02200000000001</v>
      </c>
      <c r="H552" s="8">
        <v>71.91</v>
      </c>
      <c r="I552" s="8">
        <v>189.54</v>
      </c>
      <c r="J552" s="8">
        <v>84.3</v>
      </c>
      <c r="K552" s="268">
        <v>0.73850000000000005</v>
      </c>
      <c r="L552" s="268">
        <v>0.53139999999999998</v>
      </c>
      <c r="M552" s="268">
        <v>1.14E-2</v>
      </c>
      <c r="N552" s="8">
        <v>556.83000000000004</v>
      </c>
      <c r="O552" s="8">
        <v>7867.16</v>
      </c>
      <c r="P552" s="268">
        <v>7.0800000000000002E-2</v>
      </c>
      <c r="Q552" s="8">
        <v>530</v>
      </c>
      <c r="R552" s="8" t="s">
        <v>5033</v>
      </c>
      <c r="S552" s="8" t="s">
        <v>5034</v>
      </c>
      <c r="T552" s="8" t="s">
        <v>5035</v>
      </c>
      <c r="U552" s="8" t="s">
        <v>5036</v>
      </c>
      <c r="V552" s="8" t="s">
        <v>5037</v>
      </c>
      <c r="W552" s="8" t="s">
        <v>5038</v>
      </c>
    </row>
    <row r="553" spans="1:23" ht="28" customHeight="1" x14ac:dyDescent="0.3">
      <c r="A553" s="308">
        <v>45469</v>
      </c>
      <c r="B553" s="302">
        <v>1870.5450000000001</v>
      </c>
      <c r="C553" s="8">
        <v>42.484000000000002</v>
      </c>
      <c r="D553" s="268">
        <v>2.3199999999999998E-2</v>
      </c>
      <c r="E553" s="8">
        <v>20.04</v>
      </c>
      <c r="F553" s="8">
        <v>116.465</v>
      </c>
      <c r="G553" s="8">
        <v>112.664</v>
      </c>
      <c r="H553" s="8">
        <v>73.19</v>
      </c>
      <c r="I553" s="8">
        <v>187.98</v>
      </c>
      <c r="J553" s="8">
        <v>81.53</v>
      </c>
      <c r="K553" s="268">
        <v>0.71509999999999996</v>
      </c>
      <c r="L553" s="268">
        <v>0.51200000000000001</v>
      </c>
      <c r="M553" s="268">
        <v>0.01</v>
      </c>
      <c r="N553" s="8">
        <v>647.77</v>
      </c>
      <c r="O553" s="8">
        <v>7869.55</v>
      </c>
      <c r="P553" s="268">
        <v>8.2299999999999998E-2</v>
      </c>
      <c r="Q553" s="8">
        <v>530</v>
      </c>
      <c r="R553" s="8" t="s">
        <v>5039</v>
      </c>
      <c r="S553" s="8" t="s">
        <v>5040</v>
      </c>
      <c r="T553" s="8" t="s">
        <v>5041</v>
      </c>
      <c r="U553" s="8" t="s">
        <v>5042</v>
      </c>
      <c r="V553" s="8" t="s">
        <v>5043</v>
      </c>
      <c r="W553" s="8" t="s">
        <v>5044</v>
      </c>
    </row>
    <row r="554" spans="1:23" ht="28" customHeight="1" x14ac:dyDescent="0.3">
      <c r="A554" s="308">
        <v>45468</v>
      </c>
      <c r="B554" s="302">
        <v>1828.0609999999999</v>
      </c>
      <c r="C554" s="8">
        <v>11.353999999999999</v>
      </c>
      <c r="D554" s="268">
        <v>6.3E-3</v>
      </c>
      <c r="E554" s="8">
        <v>12.86</v>
      </c>
      <c r="F554" s="8">
        <v>114.123</v>
      </c>
      <c r="G554" s="8">
        <v>111.10899999999999</v>
      </c>
      <c r="H554" s="8">
        <v>71.41</v>
      </c>
      <c r="I554" s="8">
        <v>186.81</v>
      </c>
      <c r="J554" s="8">
        <v>83.06</v>
      </c>
      <c r="K554" s="268">
        <v>0.7268</v>
      </c>
      <c r="L554" s="268">
        <v>0.5222</v>
      </c>
      <c r="M554" s="268">
        <v>2.2700000000000001E-2</v>
      </c>
      <c r="N554" s="8">
        <v>597.20000000000005</v>
      </c>
      <c r="O554" s="8">
        <v>7875.15</v>
      </c>
      <c r="P554" s="268">
        <v>7.5800000000000006E-2</v>
      </c>
      <c r="Q554" s="8">
        <v>531</v>
      </c>
      <c r="R554" s="8" t="s">
        <v>5045</v>
      </c>
      <c r="S554" s="8" t="s">
        <v>5046</v>
      </c>
      <c r="T554" s="8" t="s">
        <v>5047</v>
      </c>
      <c r="U554" s="8" t="s">
        <v>5048</v>
      </c>
      <c r="V554" s="8" t="s">
        <v>5049</v>
      </c>
      <c r="W554" s="8" t="s">
        <v>5050</v>
      </c>
    </row>
    <row r="555" spans="1:23" ht="28" customHeight="1" x14ac:dyDescent="0.3">
      <c r="A555" s="308">
        <v>45467</v>
      </c>
      <c r="B555" s="302">
        <v>1816.7070000000001</v>
      </c>
      <c r="C555" s="8">
        <v>-40.296999999999997</v>
      </c>
      <c r="D555" s="268">
        <v>-2.1700000000000001E-2</v>
      </c>
      <c r="E555" s="8">
        <v>10.36</v>
      </c>
      <c r="F555" s="8">
        <v>113.651</v>
      </c>
      <c r="G555" s="8">
        <v>110.268</v>
      </c>
      <c r="H555" s="8">
        <v>71.430000000000007</v>
      </c>
      <c r="I555" s="8">
        <v>185.67</v>
      </c>
      <c r="J555" s="8">
        <v>80.53</v>
      </c>
      <c r="K555" s="268">
        <v>0.72019999999999995</v>
      </c>
      <c r="L555" s="268">
        <v>0.50590000000000002</v>
      </c>
      <c r="M555" s="268">
        <v>2.9600000000000001E-2</v>
      </c>
      <c r="N555" s="8">
        <v>602.77</v>
      </c>
      <c r="O555" s="8">
        <v>7879.27</v>
      </c>
      <c r="P555" s="268">
        <v>7.6499999999999999E-2</v>
      </c>
      <c r="Q555" s="8">
        <v>531</v>
      </c>
      <c r="R555" s="8" t="s">
        <v>5051</v>
      </c>
      <c r="S555" s="8" t="s">
        <v>5052</v>
      </c>
      <c r="T555" s="8" t="s">
        <v>5053</v>
      </c>
      <c r="U555" s="8" t="s">
        <v>5054</v>
      </c>
      <c r="V555" s="8" t="s">
        <v>5055</v>
      </c>
      <c r="W555" s="8" t="s">
        <v>5056</v>
      </c>
    </row>
    <row r="556" spans="1:23" ht="28" customHeight="1" x14ac:dyDescent="0.3">
      <c r="A556" s="308">
        <v>45464</v>
      </c>
      <c r="B556" s="302">
        <v>1857.0039999999999</v>
      </c>
      <c r="C556" s="8">
        <v>-15.618</v>
      </c>
      <c r="D556" s="268">
        <v>-8.3000000000000001E-3</v>
      </c>
      <c r="E556" s="8">
        <v>18.46</v>
      </c>
      <c r="F556" s="8">
        <v>116.09099999999999</v>
      </c>
      <c r="G556" s="8">
        <v>112.486</v>
      </c>
      <c r="H556" s="8">
        <v>74.28</v>
      </c>
      <c r="I556" s="8">
        <v>185.43</v>
      </c>
      <c r="J556" s="8">
        <v>77.680000000000007</v>
      </c>
      <c r="K556" s="268">
        <v>0.69330000000000003</v>
      </c>
      <c r="L556" s="268">
        <v>0.4874</v>
      </c>
      <c r="M556" s="268">
        <v>1.5900000000000001E-2</v>
      </c>
      <c r="N556" s="8">
        <v>571.66</v>
      </c>
      <c r="O556" s="8">
        <v>7881.47</v>
      </c>
      <c r="P556" s="268">
        <v>7.2499999999999995E-2</v>
      </c>
      <c r="Q556" s="8">
        <v>532</v>
      </c>
      <c r="R556" s="8" t="s">
        <v>5057</v>
      </c>
      <c r="S556" s="8" t="s">
        <v>5058</v>
      </c>
      <c r="T556" s="8" t="s">
        <v>5059</v>
      </c>
      <c r="U556" s="8" t="s">
        <v>5060</v>
      </c>
      <c r="V556" s="8" t="s">
        <v>2429</v>
      </c>
      <c r="W556" s="8" t="s">
        <v>5061</v>
      </c>
    </row>
    <row r="557" spans="1:23" ht="28" customHeight="1" x14ac:dyDescent="0.3">
      <c r="A557" s="308">
        <v>45463</v>
      </c>
      <c r="B557" s="302">
        <v>1872.6220000000001</v>
      </c>
      <c r="C557" s="8">
        <v>-27.957999999999998</v>
      </c>
      <c r="D557" s="268">
        <v>-1.47E-2</v>
      </c>
      <c r="E557" s="8">
        <v>21.63</v>
      </c>
      <c r="F557" s="8">
        <v>116.922</v>
      </c>
      <c r="G557" s="8">
        <v>112.89400000000001</v>
      </c>
      <c r="H557" s="8">
        <v>74.260000000000005</v>
      </c>
      <c r="I557" s="8">
        <v>187.38</v>
      </c>
      <c r="J557" s="8">
        <v>80.23</v>
      </c>
      <c r="K557" s="268">
        <v>0.7046</v>
      </c>
      <c r="L557" s="268">
        <v>0.50039999999999996</v>
      </c>
      <c r="M557" s="268">
        <v>8.9999999999999993E-3</v>
      </c>
      <c r="N557" s="8">
        <v>614.42999999999995</v>
      </c>
      <c r="O557" s="8">
        <v>7883.37</v>
      </c>
      <c r="P557" s="268">
        <v>7.7899999999999997E-2</v>
      </c>
      <c r="Q557" s="8">
        <v>532</v>
      </c>
      <c r="R557" s="8" t="s">
        <v>5062</v>
      </c>
      <c r="S557" s="8" t="s">
        <v>5063</v>
      </c>
      <c r="T557" s="8" t="s">
        <v>5064</v>
      </c>
      <c r="U557" s="8" t="s">
        <v>5065</v>
      </c>
      <c r="V557" s="8" t="s">
        <v>5066</v>
      </c>
      <c r="W557" s="8" t="s">
        <v>5067</v>
      </c>
    </row>
    <row r="558" spans="1:23" ht="28" customHeight="1" x14ac:dyDescent="0.3">
      <c r="A558" s="308">
        <v>45462</v>
      </c>
      <c r="B558" s="302">
        <v>1900.58</v>
      </c>
      <c r="C558" s="8">
        <v>-9.4160000000000004</v>
      </c>
      <c r="D558" s="268">
        <v>-4.8999999999999998E-3</v>
      </c>
      <c r="E558" s="8">
        <v>27.83</v>
      </c>
      <c r="F558" s="8">
        <v>118.474</v>
      </c>
      <c r="G558" s="8">
        <v>114.02</v>
      </c>
      <c r="H558" s="8">
        <v>75.62</v>
      </c>
      <c r="I558" s="8">
        <v>187.44</v>
      </c>
      <c r="J558" s="8">
        <v>77.900000000000006</v>
      </c>
      <c r="K558" s="268">
        <v>0.68969999999999998</v>
      </c>
      <c r="L558" s="268">
        <v>0.48430000000000001</v>
      </c>
      <c r="M558" s="268">
        <v>-1.0500000000000001E-2</v>
      </c>
      <c r="N558" s="8">
        <v>566.88</v>
      </c>
      <c r="O558" s="8">
        <v>7885.08</v>
      </c>
      <c r="P558" s="268">
        <v>7.1900000000000006E-2</v>
      </c>
      <c r="Q558" s="8">
        <v>532</v>
      </c>
      <c r="R558" s="8" t="s">
        <v>5068</v>
      </c>
      <c r="S558" s="8" t="s">
        <v>5069</v>
      </c>
      <c r="T558" s="8" t="s">
        <v>5070</v>
      </c>
      <c r="U558" s="8" t="s">
        <v>5071</v>
      </c>
      <c r="V558" s="8" t="s">
        <v>5072</v>
      </c>
      <c r="W558" s="8" t="s">
        <v>5073</v>
      </c>
    </row>
    <row r="559" spans="1:23" ht="28" customHeight="1" x14ac:dyDescent="0.3">
      <c r="A559" s="308">
        <v>45461</v>
      </c>
      <c r="B559" s="302">
        <v>1909.9960000000001</v>
      </c>
      <c r="C559" s="8">
        <v>2.2130000000000001</v>
      </c>
      <c r="D559" s="268">
        <v>1.1999999999999999E-3</v>
      </c>
      <c r="E559" s="8">
        <v>32.020000000000003</v>
      </c>
      <c r="F559" s="8">
        <v>119.042</v>
      </c>
      <c r="G559" s="8">
        <v>114.405</v>
      </c>
      <c r="H559" s="8">
        <v>76.569999999999993</v>
      </c>
      <c r="I559" s="8">
        <v>187.59</v>
      </c>
      <c r="J559" s="8">
        <v>77.81</v>
      </c>
      <c r="K559" s="268">
        <v>0.6855</v>
      </c>
      <c r="L559" s="268">
        <v>0.48399999999999999</v>
      </c>
      <c r="M559" s="268">
        <v>-1.2500000000000001E-2</v>
      </c>
      <c r="N559" s="8">
        <v>581.04999999999995</v>
      </c>
      <c r="O559" s="8">
        <v>7886.65</v>
      </c>
      <c r="P559" s="268">
        <v>7.3700000000000002E-2</v>
      </c>
      <c r="Q559" s="8">
        <v>532</v>
      </c>
      <c r="R559" s="8" t="s">
        <v>5074</v>
      </c>
      <c r="S559" s="8" t="s">
        <v>5075</v>
      </c>
      <c r="T559" s="8" t="s">
        <v>5076</v>
      </c>
      <c r="U559" s="8" t="s">
        <v>5077</v>
      </c>
      <c r="V559" s="8" t="s">
        <v>5078</v>
      </c>
      <c r="W559" s="8" t="s">
        <v>5079</v>
      </c>
    </row>
    <row r="560" spans="1:23" ht="28" customHeight="1" x14ac:dyDescent="0.3">
      <c r="A560" s="308">
        <v>45460</v>
      </c>
      <c r="B560" s="302">
        <v>1907.7829999999999</v>
      </c>
      <c r="C560" s="8">
        <v>-7.8929999999999998</v>
      </c>
      <c r="D560" s="268">
        <v>-4.1000000000000003E-3</v>
      </c>
      <c r="E560" s="8">
        <v>30.88</v>
      </c>
      <c r="F560" s="8">
        <v>118.88</v>
      </c>
      <c r="G560" s="8">
        <v>114.46</v>
      </c>
      <c r="H560" s="8">
        <v>76.069999999999993</v>
      </c>
      <c r="I560" s="8">
        <v>189.4</v>
      </c>
      <c r="J560" s="8">
        <v>81.150000000000006</v>
      </c>
      <c r="K560" s="268">
        <v>0.70520000000000005</v>
      </c>
      <c r="L560" s="268">
        <v>0.49690000000000001</v>
      </c>
      <c r="M560" s="268">
        <v>-1.0500000000000001E-2</v>
      </c>
      <c r="N560" s="8">
        <v>631.78</v>
      </c>
      <c r="O560" s="8">
        <v>7887.91</v>
      </c>
      <c r="P560" s="268">
        <v>8.0100000000000005E-2</v>
      </c>
      <c r="Q560" s="8">
        <v>532</v>
      </c>
      <c r="R560" s="8" t="s">
        <v>5080</v>
      </c>
      <c r="S560" s="8" t="s">
        <v>5081</v>
      </c>
      <c r="T560" s="8" t="s">
        <v>5082</v>
      </c>
      <c r="U560" s="8" t="s">
        <v>5083</v>
      </c>
      <c r="V560" s="8" t="s">
        <v>5084</v>
      </c>
      <c r="W560" s="8" t="s">
        <v>5085</v>
      </c>
    </row>
    <row r="561" spans="1:23" ht="28" customHeight="1" x14ac:dyDescent="0.3">
      <c r="A561" s="308">
        <v>45457</v>
      </c>
      <c r="B561" s="302">
        <v>1915.6759999999999</v>
      </c>
      <c r="C561" s="8">
        <v>-2.9929999999999999</v>
      </c>
      <c r="D561" s="268">
        <v>-1.6000000000000001E-3</v>
      </c>
      <c r="E561" s="8">
        <v>33.130000000000003</v>
      </c>
      <c r="F561" s="8">
        <v>119.29600000000001</v>
      </c>
      <c r="G561" s="8">
        <v>114.47499999999999</v>
      </c>
      <c r="H561" s="8">
        <v>76.760000000000005</v>
      </c>
      <c r="I561" s="8">
        <v>189.75</v>
      </c>
      <c r="J561" s="8">
        <v>80.87</v>
      </c>
      <c r="K561" s="268">
        <v>0.70450000000000002</v>
      </c>
      <c r="L561" s="268">
        <v>0.50170000000000003</v>
      </c>
      <c r="M561" s="268">
        <v>-1.1599999999999999E-2</v>
      </c>
      <c r="N561" s="8">
        <v>651.54</v>
      </c>
      <c r="O561" s="8">
        <v>7888.59</v>
      </c>
      <c r="P561" s="268">
        <v>8.2600000000000007E-2</v>
      </c>
      <c r="Q561" s="8">
        <v>532</v>
      </c>
      <c r="R561" s="8" t="s">
        <v>5086</v>
      </c>
      <c r="S561" s="8" t="s">
        <v>5087</v>
      </c>
      <c r="T561" s="8" t="s">
        <v>3348</v>
      </c>
      <c r="U561" s="8" t="s">
        <v>5088</v>
      </c>
      <c r="V561" s="8" t="s">
        <v>5089</v>
      </c>
      <c r="W561" s="8" t="s">
        <v>5090</v>
      </c>
    </row>
    <row r="562" spans="1:23" ht="28" customHeight="1" x14ac:dyDescent="0.3">
      <c r="A562" s="308">
        <v>45456</v>
      </c>
      <c r="B562" s="302">
        <v>1918.6690000000001</v>
      </c>
      <c r="C562" s="8">
        <v>-8.0150000000000006</v>
      </c>
      <c r="D562" s="268">
        <v>-4.1999999999999997E-3</v>
      </c>
      <c r="E562" s="8">
        <v>33.770000000000003</v>
      </c>
      <c r="F562" s="8">
        <v>119.40900000000001</v>
      </c>
      <c r="G562" s="8">
        <v>114.64400000000001</v>
      </c>
      <c r="H562" s="8">
        <v>75.88</v>
      </c>
      <c r="I562" s="8">
        <v>190.16</v>
      </c>
      <c r="J562" s="8">
        <v>81.44</v>
      </c>
      <c r="K562" s="268">
        <v>0.70750000000000002</v>
      </c>
      <c r="L562" s="268">
        <v>0.49890000000000001</v>
      </c>
      <c r="M562" s="268">
        <v>-1.23E-2</v>
      </c>
      <c r="N562" s="8">
        <v>681.61</v>
      </c>
      <c r="O562" s="8">
        <v>7890.91</v>
      </c>
      <c r="P562" s="268">
        <v>8.6400000000000005E-2</v>
      </c>
      <c r="Q562" s="8">
        <v>532</v>
      </c>
      <c r="R562" s="8" t="s">
        <v>5091</v>
      </c>
      <c r="S562" s="8" t="s">
        <v>5092</v>
      </c>
      <c r="T562" s="8" t="s">
        <v>5093</v>
      </c>
      <c r="U562" s="8" t="s">
        <v>5094</v>
      </c>
      <c r="V562" s="8" t="s">
        <v>5095</v>
      </c>
      <c r="W562" s="8" t="s">
        <v>5096</v>
      </c>
    </row>
    <row r="563" spans="1:23" ht="28" customHeight="1" x14ac:dyDescent="0.3">
      <c r="A563" s="308">
        <v>45455</v>
      </c>
      <c r="B563" s="302">
        <v>1926.684</v>
      </c>
      <c r="C563" s="8">
        <v>8.4209999999999994</v>
      </c>
      <c r="D563" s="268">
        <v>4.4000000000000003E-3</v>
      </c>
      <c r="E563" s="8">
        <v>34.840000000000003</v>
      </c>
      <c r="F563" s="8">
        <v>119.996</v>
      </c>
      <c r="G563" s="8">
        <v>114.794</v>
      </c>
      <c r="H563" s="8">
        <v>76.88</v>
      </c>
      <c r="I563" s="8">
        <v>190.68</v>
      </c>
      <c r="J563" s="8">
        <v>81.84</v>
      </c>
      <c r="K563" s="268">
        <v>0.70689999999999997</v>
      </c>
      <c r="L563" s="268">
        <v>0.49819999999999998</v>
      </c>
      <c r="M563" s="268">
        <v>-1.37E-2</v>
      </c>
      <c r="N563" s="8">
        <v>732.38</v>
      </c>
      <c r="O563" s="8">
        <v>7893</v>
      </c>
      <c r="P563" s="268">
        <v>9.2799999999999994E-2</v>
      </c>
      <c r="Q563" s="8">
        <v>532</v>
      </c>
      <c r="R563" s="8" t="s">
        <v>5097</v>
      </c>
      <c r="S563" s="8" t="s">
        <v>5098</v>
      </c>
      <c r="T563" s="8" t="s">
        <v>5099</v>
      </c>
      <c r="U563" s="8" t="s">
        <v>5100</v>
      </c>
      <c r="V563" s="8" t="s">
        <v>5101</v>
      </c>
      <c r="W563" s="8" t="s">
        <v>5102</v>
      </c>
    </row>
    <row r="564" spans="1:23" ht="28" customHeight="1" x14ac:dyDescent="0.3">
      <c r="A564" s="308">
        <v>45454</v>
      </c>
      <c r="B564" s="302">
        <v>1918.2629999999999</v>
      </c>
      <c r="C564" s="8">
        <v>8.1940000000000008</v>
      </c>
      <c r="D564" s="268">
        <v>4.3E-3</v>
      </c>
      <c r="E564" s="8">
        <v>33.19</v>
      </c>
      <c r="F564" s="8">
        <v>119.44799999999999</v>
      </c>
      <c r="G564" s="8">
        <v>114.57299999999999</v>
      </c>
      <c r="H564" s="8">
        <v>76.25</v>
      </c>
      <c r="I564" s="8">
        <v>191.58</v>
      </c>
      <c r="J564" s="8">
        <v>83.84</v>
      </c>
      <c r="K564" s="268">
        <v>0.72140000000000004</v>
      </c>
      <c r="L564" s="268">
        <v>0.50260000000000005</v>
      </c>
      <c r="M564" s="268">
        <v>-1.09E-2</v>
      </c>
      <c r="N564" s="8">
        <v>659.53</v>
      </c>
      <c r="O564" s="8">
        <v>7893.27</v>
      </c>
      <c r="P564" s="268">
        <v>8.3599999999999994E-2</v>
      </c>
      <c r="Q564" s="8">
        <v>532</v>
      </c>
      <c r="R564" s="8" t="s">
        <v>5103</v>
      </c>
      <c r="S564" s="8" t="s">
        <v>5104</v>
      </c>
      <c r="T564" s="8" t="s">
        <v>3175</v>
      </c>
      <c r="U564" s="8" t="s">
        <v>5105</v>
      </c>
      <c r="V564" s="8" t="s">
        <v>5106</v>
      </c>
      <c r="W564" s="8" t="s">
        <v>5107</v>
      </c>
    </row>
    <row r="565" spans="1:23" ht="28" customHeight="1" x14ac:dyDescent="0.3">
      <c r="A565" s="308">
        <v>45450</v>
      </c>
      <c r="B565" s="302">
        <v>1910.069</v>
      </c>
      <c r="C565" s="8">
        <v>7.6479999999999997</v>
      </c>
      <c r="D565" s="268">
        <v>4.0000000000000001E-3</v>
      </c>
      <c r="E565" s="8">
        <v>29.88</v>
      </c>
      <c r="F565" s="8">
        <v>118.979</v>
      </c>
      <c r="G565" s="8">
        <v>114.04300000000001</v>
      </c>
      <c r="H565" s="8">
        <v>75.45</v>
      </c>
      <c r="I565" s="8">
        <v>191.78</v>
      </c>
      <c r="J565" s="8">
        <v>85.04</v>
      </c>
      <c r="K565" s="268">
        <v>0.72799999999999998</v>
      </c>
      <c r="L565" s="268">
        <v>0.51790000000000003</v>
      </c>
      <c r="M565" s="268">
        <v>-1.8700000000000001E-2</v>
      </c>
      <c r="N565" s="8">
        <v>822.35</v>
      </c>
      <c r="O565" s="8">
        <v>7893.83</v>
      </c>
      <c r="P565" s="268">
        <v>0.1042</v>
      </c>
      <c r="Q565" s="8">
        <v>532</v>
      </c>
      <c r="R565" s="8" t="s">
        <v>5108</v>
      </c>
      <c r="S565" s="8" t="s">
        <v>5109</v>
      </c>
      <c r="T565" s="8" t="s">
        <v>5110</v>
      </c>
      <c r="U565" s="8" t="s">
        <v>5111</v>
      </c>
      <c r="V565" s="8" t="s">
        <v>5112</v>
      </c>
      <c r="W565" s="8" t="s">
        <v>5113</v>
      </c>
    </row>
    <row r="566" spans="1:23" ht="28" customHeight="1" x14ac:dyDescent="0.3">
      <c r="A566" s="308">
        <v>45449</v>
      </c>
      <c r="B566" s="302">
        <v>1902.421</v>
      </c>
      <c r="C566" s="8">
        <v>-18.149000000000001</v>
      </c>
      <c r="D566" s="268">
        <v>-9.4000000000000004E-3</v>
      </c>
      <c r="E566" s="8">
        <v>28.64</v>
      </c>
      <c r="F566" s="8">
        <v>118.61499999999999</v>
      </c>
      <c r="G566" s="8">
        <v>113.99</v>
      </c>
      <c r="H566" s="8">
        <v>73.75</v>
      </c>
      <c r="I566" s="8">
        <v>193.31</v>
      </c>
      <c r="J566" s="8">
        <v>85.98</v>
      </c>
      <c r="K566" s="268">
        <v>0.747</v>
      </c>
      <c r="L566" s="268">
        <v>0.53559999999999997</v>
      </c>
      <c r="M566" s="268">
        <v>-1.5800000000000002E-2</v>
      </c>
      <c r="N566" s="8">
        <v>1009.58</v>
      </c>
      <c r="O566" s="8">
        <v>7894.91</v>
      </c>
      <c r="P566" s="268">
        <v>0.12790000000000001</v>
      </c>
      <c r="Q566" s="8">
        <v>533</v>
      </c>
      <c r="R566" s="8" t="s">
        <v>5114</v>
      </c>
      <c r="S566" s="8" t="s">
        <v>5115</v>
      </c>
      <c r="T566" s="8" t="s">
        <v>5116</v>
      </c>
      <c r="U566" s="8" t="s">
        <v>5117</v>
      </c>
      <c r="V566" s="8" t="s">
        <v>5118</v>
      </c>
      <c r="W566" s="8" t="s">
        <v>5119</v>
      </c>
    </row>
    <row r="567" spans="1:23" ht="28" customHeight="1" x14ac:dyDescent="0.3">
      <c r="A567" s="308">
        <v>45448</v>
      </c>
      <c r="B567" s="302">
        <v>1920.57</v>
      </c>
      <c r="C567" s="8">
        <v>-5.6820000000000004</v>
      </c>
      <c r="D567" s="268">
        <v>-2.8999999999999998E-3</v>
      </c>
      <c r="E567" s="8">
        <v>31.43</v>
      </c>
      <c r="F567" s="8">
        <v>119.785</v>
      </c>
      <c r="G567" s="8">
        <v>114.7</v>
      </c>
      <c r="H567" s="8">
        <v>76.44</v>
      </c>
      <c r="I567" s="8">
        <v>190.14</v>
      </c>
      <c r="J567" s="8">
        <v>80.62</v>
      </c>
      <c r="K567" s="268">
        <v>0.7036</v>
      </c>
      <c r="L567" s="268">
        <v>0.49780000000000002</v>
      </c>
      <c r="M567" s="268">
        <v>-2.23E-2</v>
      </c>
      <c r="N567" s="8">
        <v>992.68</v>
      </c>
      <c r="O567" s="8">
        <v>7897.13</v>
      </c>
      <c r="P567" s="268">
        <v>0.12570000000000001</v>
      </c>
      <c r="Q567" s="8">
        <v>533</v>
      </c>
      <c r="R567" s="8" t="s">
        <v>5120</v>
      </c>
      <c r="S567" s="8" t="s">
        <v>5121</v>
      </c>
      <c r="T567" s="8" t="s">
        <v>5122</v>
      </c>
      <c r="U567" s="8" t="s">
        <v>5123</v>
      </c>
      <c r="V567" s="8" t="s">
        <v>5124</v>
      </c>
      <c r="W567" s="8" t="s">
        <v>5125</v>
      </c>
    </row>
    <row r="568" spans="1:23" ht="28" customHeight="1" x14ac:dyDescent="0.3">
      <c r="A568" s="308">
        <v>45447</v>
      </c>
      <c r="B568" s="302">
        <v>1926.252</v>
      </c>
      <c r="C568" s="8">
        <v>-1.542</v>
      </c>
      <c r="D568" s="268">
        <v>-8.0000000000000004E-4</v>
      </c>
      <c r="E568" s="8">
        <v>33.81</v>
      </c>
      <c r="F568" s="8">
        <v>120.21299999999999</v>
      </c>
      <c r="G568" s="8">
        <v>115.173</v>
      </c>
      <c r="H568" s="8">
        <v>77.81</v>
      </c>
      <c r="I568" s="8">
        <v>187.58</v>
      </c>
      <c r="J568" s="8">
        <v>76.209999999999994</v>
      </c>
      <c r="K568" s="268">
        <v>0.67369999999999997</v>
      </c>
      <c r="L568" s="268">
        <v>0.47220000000000001</v>
      </c>
      <c r="M568" s="268">
        <v>-2.1000000000000001E-2</v>
      </c>
      <c r="N568" s="8">
        <v>983.45</v>
      </c>
      <c r="O568" s="8">
        <v>7900.38</v>
      </c>
      <c r="P568" s="268">
        <v>0.1245</v>
      </c>
      <c r="Q568" s="8">
        <v>534</v>
      </c>
      <c r="R568" s="8" t="s">
        <v>5126</v>
      </c>
      <c r="S568" s="8" t="s">
        <v>5127</v>
      </c>
      <c r="T568" s="8" t="s">
        <v>5128</v>
      </c>
      <c r="U568" s="8" t="s">
        <v>5129</v>
      </c>
      <c r="V568" s="8" t="s">
        <v>5130</v>
      </c>
      <c r="W568" s="8" t="s">
        <v>5131</v>
      </c>
    </row>
    <row r="569" spans="1:23" ht="28" customHeight="1" x14ac:dyDescent="0.3">
      <c r="A569" s="308">
        <v>45446</v>
      </c>
      <c r="B569" s="302">
        <v>1927.7940000000001</v>
      </c>
      <c r="C569" s="8">
        <v>-20.751999999999999</v>
      </c>
      <c r="D569" s="268">
        <v>-1.06E-2</v>
      </c>
      <c r="E569" s="8">
        <v>33.369999999999997</v>
      </c>
      <c r="F569" s="8">
        <v>120.69</v>
      </c>
      <c r="G569" s="8">
        <v>114.93</v>
      </c>
      <c r="H569" s="8">
        <v>78.33</v>
      </c>
      <c r="I569" s="8">
        <v>186.75</v>
      </c>
      <c r="J569" s="8">
        <v>75.41</v>
      </c>
      <c r="K569" s="268">
        <v>0.66059999999999997</v>
      </c>
      <c r="L569" s="268">
        <v>0.47010000000000002</v>
      </c>
      <c r="M569" s="268">
        <v>-2.3599999999999999E-2</v>
      </c>
      <c r="N569" s="8">
        <v>1140.33</v>
      </c>
      <c r="O569" s="8">
        <v>7901.39</v>
      </c>
      <c r="P569" s="268">
        <v>0.14430000000000001</v>
      </c>
      <c r="Q569" s="8">
        <v>535</v>
      </c>
      <c r="R569" s="8" t="s">
        <v>5132</v>
      </c>
      <c r="S569" s="8" t="s">
        <v>5133</v>
      </c>
      <c r="T569" s="8" t="s">
        <v>5134</v>
      </c>
      <c r="U569" s="8" t="s">
        <v>5135</v>
      </c>
      <c r="V569" s="8" t="s">
        <v>5136</v>
      </c>
      <c r="W569" s="8" t="s">
        <v>5137</v>
      </c>
    </row>
    <row r="570" spans="1:23" ht="28" customHeight="1" x14ac:dyDescent="0.3">
      <c r="A570" s="308">
        <v>45443</v>
      </c>
      <c r="B570" s="302">
        <v>1948.546</v>
      </c>
      <c r="C570" s="8">
        <v>2.6269999999999998</v>
      </c>
      <c r="D570" s="268">
        <v>1.4E-3</v>
      </c>
      <c r="E570" s="8">
        <v>37.369999999999997</v>
      </c>
      <c r="F570" s="8">
        <v>121.937</v>
      </c>
      <c r="G570" s="8">
        <v>116.014</v>
      </c>
      <c r="H570" s="8">
        <v>79.7</v>
      </c>
      <c r="I570" s="8">
        <v>186.98</v>
      </c>
      <c r="J570" s="8">
        <v>73.739999999999995</v>
      </c>
      <c r="K570" s="268">
        <v>0.65039999999999998</v>
      </c>
      <c r="L570" s="268">
        <v>0.46400000000000002</v>
      </c>
      <c r="M570" s="268">
        <v>-2.7799999999999998E-2</v>
      </c>
      <c r="N570" s="8">
        <v>1061.22</v>
      </c>
      <c r="O570" s="8">
        <v>7901.73</v>
      </c>
      <c r="P570" s="268">
        <v>0.1343</v>
      </c>
      <c r="Q570" s="8">
        <v>535</v>
      </c>
      <c r="R570" s="8" t="s">
        <v>5138</v>
      </c>
      <c r="S570" s="8" t="s">
        <v>5139</v>
      </c>
      <c r="T570" s="8" t="s">
        <v>5140</v>
      </c>
      <c r="U570" s="8" t="s">
        <v>5141</v>
      </c>
      <c r="V570" s="8" t="s">
        <v>5142</v>
      </c>
      <c r="W570" s="8" t="s">
        <v>5143</v>
      </c>
    </row>
    <row r="571" spans="1:23" ht="28" customHeight="1" x14ac:dyDescent="0.3">
      <c r="A571" s="308">
        <v>45442</v>
      </c>
      <c r="B571" s="302">
        <v>1945.9190000000001</v>
      </c>
      <c r="C571" s="8">
        <v>3.2250000000000001</v>
      </c>
      <c r="D571" s="268">
        <v>1.6999999999999999E-3</v>
      </c>
      <c r="E571" s="8">
        <v>36.71</v>
      </c>
      <c r="F571" s="8">
        <v>121.636</v>
      </c>
      <c r="G571" s="8">
        <v>115.998</v>
      </c>
      <c r="H571" s="8">
        <v>79.42</v>
      </c>
      <c r="I571" s="8">
        <v>187.23</v>
      </c>
      <c r="J571" s="8">
        <v>73.94</v>
      </c>
      <c r="K571" s="268">
        <v>0.65600000000000003</v>
      </c>
      <c r="L571" s="268">
        <v>0.46579999999999999</v>
      </c>
      <c r="M571" s="268">
        <v>-2.53E-2</v>
      </c>
      <c r="N571" s="8">
        <v>897.15</v>
      </c>
      <c r="O571" s="8">
        <v>7901.99</v>
      </c>
      <c r="P571" s="268">
        <v>0.1135</v>
      </c>
      <c r="Q571" s="8">
        <v>535</v>
      </c>
      <c r="R571" s="8" t="s">
        <v>5144</v>
      </c>
      <c r="S571" s="8" t="s">
        <v>5145</v>
      </c>
      <c r="T571" s="8" t="s">
        <v>5146</v>
      </c>
      <c r="U571" s="8" t="s">
        <v>5147</v>
      </c>
      <c r="V571" s="8" t="s">
        <v>5148</v>
      </c>
      <c r="W571" s="8" t="s">
        <v>5149</v>
      </c>
    </row>
    <row r="572" spans="1:23" ht="28" customHeight="1" x14ac:dyDescent="0.3">
      <c r="A572" s="308">
        <v>45441</v>
      </c>
      <c r="B572" s="302">
        <v>1942.694</v>
      </c>
      <c r="C572" s="8">
        <v>-0.54400000000000004</v>
      </c>
      <c r="D572" s="268">
        <v>-2.9999999999999997E-4</v>
      </c>
      <c r="E572" s="8">
        <v>36.26</v>
      </c>
      <c r="F572" s="8">
        <v>121.59399999999999</v>
      </c>
      <c r="G572" s="8">
        <v>115.5</v>
      </c>
      <c r="H572" s="8">
        <v>79.569999999999993</v>
      </c>
      <c r="I572" s="8">
        <v>186.05</v>
      </c>
      <c r="J572" s="8">
        <v>73.42</v>
      </c>
      <c r="K572" s="268">
        <v>0.64449999999999996</v>
      </c>
      <c r="L572" s="268">
        <v>0.46550000000000002</v>
      </c>
      <c r="M572" s="268">
        <v>-2.4500000000000001E-2</v>
      </c>
      <c r="N572" s="8">
        <v>830.88</v>
      </c>
      <c r="O572" s="8">
        <v>7902.25</v>
      </c>
      <c r="P572" s="268">
        <v>0.1051</v>
      </c>
      <c r="Q572" s="8">
        <v>535</v>
      </c>
      <c r="R572" s="8" t="s">
        <v>5150</v>
      </c>
      <c r="S572" s="8" t="s">
        <v>5151</v>
      </c>
      <c r="T572" s="8" t="s">
        <v>5152</v>
      </c>
      <c r="U572" s="8" t="s">
        <v>5153</v>
      </c>
      <c r="V572" s="8" t="s">
        <v>5154</v>
      </c>
      <c r="W572" s="8" t="s">
        <v>5155</v>
      </c>
    </row>
    <row r="573" spans="1:23" ht="28" customHeight="1" x14ac:dyDescent="0.3">
      <c r="A573" s="308">
        <v>45440</v>
      </c>
      <c r="B573" s="302">
        <v>1943.2380000000001</v>
      </c>
      <c r="C573" s="8">
        <v>-3.0950000000000002</v>
      </c>
      <c r="D573" s="268">
        <v>-1.6000000000000001E-3</v>
      </c>
      <c r="E573" s="8">
        <v>36.31</v>
      </c>
      <c r="F573" s="8">
        <v>121.57299999999999</v>
      </c>
      <c r="G573" s="8">
        <v>115.63800000000001</v>
      </c>
      <c r="H573" s="8">
        <v>78.66</v>
      </c>
      <c r="I573" s="8">
        <v>186.95</v>
      </c>
      <c r="J573" s="8">
        <v>74.55</v>
      </c>
      <c r="K573" s="268">
        <v>0.65380000000000005</v>
      </c>
      <c r="L573" s="268">
        <v>0.47060000000000002</v>
      </c>
      <c r="M573" s="268">
        <v>-2.6200000000000001E-2</v>
      </c>
      <c r="N573" s="8">
        <v>817.7</v>
      </c>
      <c r="O573" s="8">
        <v>7902.33</v>
      </c>
      <c r="P573" s="268">
        <v>0.10349999999999999</v>
      </c>
      <c r="Q573" s="8">
        <v>535</v>
      </c>
      <c r="R573" s="8" t="s">
        <v>5156</v>
      </c>
      <c r="S573" s="8" t="s">
        <v>5157</v>
      </c>
      <c r="T573" s="8" t="s">
        <v>5158</v>
      </c>
      <c r="U573" s="8" t="s">
        <v>5159</v>
      </c>
      <c r="V573" s="8" t="s">
        <v>5160</v>
      </c>
      <c r="W573" s="8" t="s">
        <v>5161</v>
      </c>
    </row>
    <row r="574" spans="1:23" ht="28" customHeight="1" x14ac:dyDescent="0.3">
      <c r="A574" s="308">
        <v>45439</v>
      </c>
      <c r="B574" s="302">
        <v>1946.3330000000001</v>
      </c>
      <c r="C574" s="8">
        <v>6.0149999999999997</v>
      </c>
      <c r="D574" s="268">
        <v>3.0999999999999999E-3</v>
      </c>
      <c r="E574" s="8">
        <v>37.29</v>
      </c>
      <c r="F574" s="8">
        <v>121.742</v>
      </c>
      <c r="G574" s="8">
        <v>115.8</v>
      </c>
      <c r="H574" s="8">
        <v>79.400000000000006</v>
      </c>
      <c r="I574" s="8">
        <v>185.87</v>
      </c>
      <c r="J574" s="8">
        <v>72.040000000000006</v>
      </c>
      <c r="K574" s="268">
        <v>0.64129999999999998</v>
      </c>
      <c r="L574" s="268">
        <v>0.45879999999999999</v>
      </c>
      <c r="M574" s="268">
        <v>-2.64E-2</v>
      </c>
      <c r="N574" s="8">
        <v>717.34</v>
      </c>
      <c r="O574" s="8">
        <v>7902.49</v>
      </c>
      <c r="P574" s="268">
        <v>9.0800000000000006E-2</v>
      </c>
      <c r="Q574" s="8">
        <v>535</v>
      </c>
      <c r="R574" s="8" t="s">
        <v>5162</v>
      </c>
      <c r="S574" s="8" t="s">
        <v>5163</v>
      </c>
      <c r="T574" s="8" t="s">
        <v>5164</v>
      </c>
      <c r="U574" s="8" t="s">
        <v>5165</v>
      </c>
      <c r="V574" s="8" t="s">
        <v>5166</v>
      </c>
      <c r="W574" s="8" t="s">
        <v>5167</v>
      </c>
    </row>
    <row r="575" spans="1:23" ht="28" customHeight="1" x14ac:dyDescent="0.3">
      <c r="A575" s="308">
        <v>45436</v>
      </c>
      <c r="B575" s="302">
        <v>1940.318</v>
      </c>
      <c r="C575" s="8">
        <v>-1.903</v>
      </c>
      <c r="D575" s="268">
        <v>-1E-3</v>
      </c>
      <c r="E575" s="8">
        <v>36.43</v>
      </c>
      <c r="F575" s="8">
        <v>121.40300000000001</v>
      </c>
      <c r="G575" s="8">
        <v>115.55</v>
      </c>
      <c r="H575" s="8">
        <v>78.7</v>
      </c>
      <c r="I575" s="8">
        <v>186.06</v>
      </c>
      <c r="J575" s="8">
        <v>72.63</v>
      </c>
      <c r="K575" s="268">
        <v>0.64659999999999995</v>
      </c>
      <c r="L575" s="268">
        <v>0.46939999999999998</v>
      </c>
      <c r="M575" s="268">
        <v>-2.5100000000000001E-2</v>
      </c>
      <c r="N575" s="8">
        <v>701</v>
      </c>
      <c r="O575" s="8">
        <v>7903.03</v>
      </c>
      <c r="P575" s="268">
        <v>8.8700000000000001E-2</v>
      </c>
      <c r="Q575" s="8">
        <v>535</v>
      </c>
      <c r="R575" s="8" t="s">
        <v>5168</v>
      </c>
      <c r="S575" s="8" t="s">
        <v>5169</v>
      </c>
      <c r="T575" s="8" t="s">
        <v>5170</v>
      </c>
      <c r="U575" s="8" t="s">
        <v>5171</v>
      </c>
      <c r="V575" s="8" t="s">
        <v>5172</v>
      </c>
      <c r="W575" s="8" t="s">
        <v>5173</v>
      </c>
    </row>
    <row r="576" spans="1:23" ht="28" customHeight="1" x14ac:dyDescent="0.3">
      <c r="A576" s="308">
        <v>45435</v>
      </c>
      <c r="B576" s="302">
        <v>1942.221</v>
      </c>
      <c r="C576" s="8">
        <v>-16.649999999999999</v>
      </c>
      <c r="D576" s="268">
        <v>-8.5000000000000006E-3</v>
      </c>
      <c r="E576" s="8">
        <v>36.81</v>
      </c>
      <c r="F576" s="8">
        <v>121.47499999999999</v>
      </c>
      <c r="G576" s="8">
        <v>115.762</v>
      </c>
      <c r="H576" s="8">
        <v>79.87</v>
      </c>
      <c r="I576" s="8">
        <v>184.78</v>
      </c>
      <c r="J576" s="8">
        <v>71.5</v>
      </c>
      <c r="K576" s="268">
        <v>0.6331</v>
      </c>
      <c r="L576" s="268">
        <v>0.46689999999999998</v>
      </c>
      <c r="M576" s="268">
        <v>-2.47E-2</v>
      </c>
      <c r="N576" s="8">
        <v>650.94000000000005</v>
      </c>
      <c r="O576" s="8">
        <v>7903.49</v>
      </c>
      <c r="P576" s="268">
        <v>8.2400000000000001E-2</v>
      </c>
      <c r="Q576" s="8">
        <v>535</v>
      </c>
      <c r="R576" s="8" t="s">
        <v>5174</v>
      </c>
      <c r="S576" s="8" t="s">
        <v>5175</v>
      </c>
      <c r="T576" s="8" t="s">
        <v>5176</v>
      </c>
      <c r="U576" s="8" t="s">
        <v>5177</v>
      </c>
      <c r="V576" s="8" t="s">
        <v>5178</v>
      </c>
      <c r="W576" s="8" t="s">
        <v>5179</v>
      </c>
    </row>
    <row r="577" spans="1:23" ht="28" customHeight="1" x14ac:dyDescent="0.3">
      <c r="A577" s="308">
        <v>45434</v>
      </c>
      <c r="B577" s="302">
        <v>1958.8710000000001</v>
      </c>
      <c r="C577" s="8">
        <v>0.29399999999999998</v>
      </c>
      <c r="D577" s="268">
        <v>1E-4</v>
      </c>
      <c r="E577" s="8">
        <v>41.47</v>
      </c>
      <c r="F577" s="8">
        <v>122.58799999999999</v>
      </c>
      <c r="G577" s="8">
        <v>116.599</v>
      </c>
      <c r="H577" s="8">
        <v>81.180000000000007</v>
      </c>
      <c r="I577" s="8">
        <v>183.62</v>
      </c>
      <c r="J577" s="8">
        <v>66.540000000000006</v>
      </c>
      <c r="K577" s="268">
        <v>0.61029999999999995</v>
      </c>
      <c r="L577" s="268">
        <v>0.44640000000000002</v>
      </c>
      <c r="M577" s="268">
        <v>-2.9700000000000001E-2</v>
      </c>
      <c r="N577" s="8">
        <v>652.59</v>
      </c>
      <c r="O577" s="8">
        <v>7905.16</v>
      </c>
      <c r="P577" s="268">
        <v>8.2600000000000007E-2</v>
      </c>
      <c r="Q577" s="8">
        <v>536</v>
      </c>
      <c r="R577" s="8" t="s">
        <v>5180</v>
      </c>
      <c r="S577" s="8" t="s">
        <v>5181</v>
      </c>
      <c r="T577" s="8" t="s">
        <v>5182</v>
      </c>
      <c r="U577" s="8" t="s">
        <v>5183</v>
      </c>
      <c r="V577" s="8" t="s">
        <v>5184</v>
      </c>
      <c r="W577" s="8" t="s">
        <v>5185</v>
      </c>
    </row>
    <row r="578" spans="1:23" ht="28" customHeight="1" x14ac:dyDescent="0.3">
      <c r="A578" s="308">
        <v>45433</v>
      </c>
      <c r="B578" s="302">
        <v>1958.577</v>
      </c>
      <c r="C578" s="8">
        <v>-7.234</v>
      </c>
      <c r="D578" s="268">
        <v>-3.7000000000000002E-3</v>
      </c>
      <c r="E578" s="8">
        <v>40.74</v>
      </c>
      <c r="F578" s="8">
        <v>122.57899999999999</v>
      </c>
      <c r="G578" s="8">
        <v>116.565</v>
      </c>
      <c r="H578" s="8">
        <v>80.48</v>
      </c>
      <c r="I578" s="8">
        <v>184.91</v>
      </c>
      <c r="J578" s="8">
        <v>69.680000000000007</v>
      </c>
      <c r="K578" s="268">
        <v>0.62329999999999997</v>
      </c>
      <c r="L578" s="268">
        <v>0.44890000000000002</v>
      </c>
      <c r="M578" s="268">
        <v>-3.7499999999999999E-2</v>
      </c>
      <c r="N578" s="8">
        <v>633.95000000000005</v>
      </c>
      <c r="O578" s="8">
        <v>7908.37</v>
      </c>
      <c r="P578" s="268">
        <v>8.0199999999999994E-2</v>
      </c>
      <c r="Q578" s="8">
        <v>536</v>
      </c>
      <c r="R578" s="8" t="s">
        <v>3987</v>
      </c>
      <c r="S578" s="8" t="s">
        <v>5186</v>
      </c>
      <c r="T578" s="8" t="s">
        <v>5187</v>
      </c>
      <c r="U578" s="8" t="s">
        <v>5188</v>
      </c>
      <c r="V578" s="8" t="s">
        <v>5189</v>
      </c>
      <c r="W578" s="8" t="s">
        <v>5190</v>
      </c>
    </row>
    <row r="579" spans="1:23" ht="28" customHeight="1" x14ac:dyDescent="0.3">
      <c r="A579" s="308">
        <v>45432</v>
      </c>
      <c r="B579" s="302">
        <v>1965.8109999999999</v>
      </c>
      <c r="C579" s="8">
        <v>10.946999999999999</v>
      </c>
      <c r="D579" s="268">
        <v>5.5999999999999999E-3</v>
      </c>
      <c r="E579" s="8">
        <v>42.45</v>
      </c>
      <c r="F579" s="8">
        <v>122.983</v>
      </c>
      <c r="G579" s="8">
        <v>117.17700000000001</v>
      </c>
      <c r="H579" s="8">
        <v>81.05</v>
      </c>
      <c r="I579" s="8">
        <v>184.48</v>
      </c>
      <c r="J579" s="8">
        <v>67.91</v>
      </c>
      <c r="K579" s="268">
        <v>0.6149</v>
      </c>
      <c r="L579" s="268">
        <v>0.45229999999999998</v>
      </c>
      <c r="M579" s="268">
        <v>-3.7900000000000003E-2</v>
      </c>
      <c r="N579" s="8">
        <v>661.35</v>
      </c>
      <c r="O579" s="8">
        <v>7909.61</v>
      </c>
      <c r="P579" s="268">
        <v>8.3599999999999994E-2</v>
      </c>
      <c r="Q579" s="8">
        <v>536</v>
      </c>
      <c r="R579" s="8" t="s">
        <v>3428</v>
      </c>
      <c r="S579" s="8" t="s">
        <v>5191</v>
      </c>
      <c r="T579" s="8" t="s">
        <v>4449</v>
      </c>
      <c r="U579" s="8" t="s">
        <v>5192</v>
      </c>
      <c r="V579" s="8" t="s">
        <v>5193</v>
      </c>
      <c r="W579" s="8" t="s">
        <v>5194</v>
      </c>
    </row>
    <row r="580" spans="1:23" ht="28" customHeight="1" x14ac:dyDescent="0.3">
      <c r="A580" s="308">
        <v>45429</v>
      </c>
      <c r="B580" s="302">
        <v>1954.864</v>
      </c>
      <c r="C580" s="8">
        <v>2.46</v>
      </c>
      <c r="D580" s="268">
        <v>1.2999999999999999E-3</v>
      </c>
      <c r="E580" s="8">
        <v>39.64</v>
      </c>
      <c r="F580" s="8">
        <v>122.203</v>
      </c>
      <c r="G580" s="8">
        <v>116.726</v>
      </c>
      <c r="H580" s="8">
        <v>80.28</v>
      </c>
      <c r="I580" s="8">
        <v>183.05</v>
      </c>
      <c r="J580" s="8">
        <v>65.56</v>
      </c>
      <c r="K580" s="268">
        <v>0.60850000000000004</v>
      </c>
      <c r="L580" s="268">
        <v>0.44640000000000002</v>
      </c>
      <c r="M580" s="268">
        <v>-3.5000000000000003E-2</v>
      </c>
      <c r="N580" s="8">
        <v>750.45</v>
      </c>
      <c r="O580" s="8">
        <v>7909.82</v>
      </c>
      <c r="P580" s="268">
        <v>9.4899999999999998E-2</v>
      </c>
      <c r="Q580" s="8">
        <v>536</v>
      </c>
      <c r="R580" s="8" t="s">
        <v>5195</v>
      </c>
      <c r="S580" s="8" t="s">
        <v>5196</v>
      </c>
      <c r="T580" s="8" t="s">
        <v>5197</v>
      </c>
      <c r="U580" s="8" t="s">
        <v>5198</v>
      </c>
      <c r="V580" s="8" t="s">
        <v>3295</v>
      </c>
      <c r="W580" s="8" t="s">
        <v>5199</v>
      </c>
    </row>
    <row r="581" spans="1:23" ht="28" customHeight="1" x14ac:dyDescent="0.3">
      <c r="A581" s="308">
        <v>45428</v>
      </c>
      <c r="B581" s="302">
        <v>1952.404</v>
      </c>
      <c r="C581" s="8">
        <v>2.9239999999999999</v>
      </c>
      <c r="D581" s="268">
        <v>1.5E-3</v>
      </c>
      <c r="E581" s="8">
        <v>39.5</v>
      </c>
      <c r="F581" s="8">
        <v>122.13200000000001</v>
      </c>
      <c r="G581" s="8">
        <v>116.83199999999999</v>
      </c>
      <c r="H581" s="8">
        <v>79.16</v>
      </c>
      <c r="I581" s="8">
        <v>185.43</v>
      </c>
      <c r="J581" s="8">
        <v>70.72</v>
      </c>
      <c r="K581" s="268">
        <v>0.63300000000000001</v>
      </c>
      <c r="L581" s="268">
        <v>0.46529999999999999</v>
      </c>
      <c r="M581" s="268">
        <v>-3.4000000000000002E-2</v>
      </c>
      <c r="N581" s="8">
        <v>668.51</v>
      </c>
      <c r="O581" s="8">
        <v>7910.17</v>
      </c>
      <c r="P581" s="268">
        <v>8.4500000000000006E-2</v>
      </c>
      <c r="Q581" s="8">
        <v>536</v>
      </c>
      <c r="R581" s="8" t="s">
        <v>5200</v>
      </c>
      <c r="S581" s="8" t="s">
        <v>5191</v>
      </c>
      <c r="T581" s="8" t="s">
        <v>4417</v>
      </c>
      <c r="U581" s="8" t="s">
        <v>5201</v>
      </c>
      <c r="V581" s="8" t="s">
        <v>5202</v>
      </c>
      <c r="W581" s="8" t="s">
        <v>5203</v>
      </c>
    </row>
    <row r="582" spans="1:23" ht="28" customHeight="1" x14ac:dyDescent="0.3">
      <c r="A582" s="308">
        <v>45427</v>
      </c>
      <c r="B582" s="302">
        <v>1949.48</v>
      </c>
      <c r="C582" s="8">
        <v>-5.4740000000000002</v>
      </c>
      <c r="D582" s="268">
        <v>-2.8E-3</v>
      </c>
      <c r="E582" s="8">
        <v>39.61</v>
      </c>
      <c r="F582" s="8">
        <v>121.91500000000001</v>
      </c>
      <c r="G582" s="8">
        <v>116.726</v>
      </c>
      <c r="H582" s="8">
        <v>78.849999999999994</v>
      </c>
      <c r="I582" s="8">
        <v>185.87</v>
      </c>
      <c r="J582" s="8">
        <v>70.95</v>
      </c>
      <c r="K582" s="268">
        <v>0.63949999999999996</v>
      </c>
      <c r="L582" s="268">
        <v>0.47389999999999999</v>
      </c>
      <c r="M582" s="268">
        <v>-3.32E-2</v>
      </c>
      <c r="N582" s="8">
        <v>606.29</v>
      </c>
      <c r="O582" s="8">
        <v>7910.76</v>
      </c>
      <c r="P582" s="268">
        <v>7.6600000000000001E-2</v>
      </c>
      <c r="Q582" s="8">
        <v>536</v>
      </c>
      <c r="R582" s="8" t="s">
        <v>5204</v>
      </c>
      <c r="S582" s="8" t="s">
        <v>5205</v>
      </c>
      <c r="T582" s="8" t="s">
        <v>5206</v>
      </c>
      <c r="U582" s="8" t="s">
        <v>3547</v>
      </c>
      <c r="V582" s="8" t="s">
        <v>5207</v>
      </c>
      <c r="W582" s="8" t="s">
        <v>5208</v>
      </c>
    </row>
    <row r="583" spans="1:23" ht="28" customHeight="1" x14ac:dyDescent="0.3">
      <c r="A583" s="308">
        <v>45426</v>
      </c>
      <c r="B583" s="302">
        <v>1954.954</v>
      </c>
      <c r="C583" s="8">
        <v>5.1669999999999998</v>
      </c>
      <c r="D583" s="268">
        <v>2.7000000000000001E-3</v>
      </c>
      <c r="E583" s="8">
        <v>41.52</v>
      </c>
      <c r="F583" s="8">
        <v>122.267</v>
      </c>
      <c r="G583" s="8">
        <v>116.797</v>
      </c>
      <c r="H583" s="8">
        <v>79.2</v>
      </c>
      <c r="I583" s="8">
        <v>185.65</v>
      </c>
      <c r="J583" s="8">
        <v>71.11</v>
      </c>
      <c r="K583" s="268">
        <v>0.63380000000000003</v>
      </c>
      <c r="L583" s="268">
        <v>0.46310000000000001</v>
      </c>
      <c r="M583" s="268">
        <v>-3.3099999999999997E-2</v>
      </c>
      <c r="N583" s="8">
        <v>548.91999999999996</v>
      </c>
      <c r="O583" s="8">
        <v>7902.13</v>
      </c>
      <c r="P583" s="268">
        <v>6.9500000000000006E-2</v>
      </c>
      <c r="Q583" s="8">
        <v>535</v>
      </c>
      <c r="R583" s="8" t="s">
        <v>5209</v>
      </c>
      <c r="S583" s="8" t="s">
        <v>5210</v>
      </c>
      <c r="T583" s="8" t="s">
        <v>5211</v>
      </c>
      <c r="U583" s="8" t="s">
        <v>5212</v>
      </c>
      <c r="V583" s="8" t="s">
        <v>5213</v>
      </c>
      <c r="W583" s="8" t="s">
        <v>5214</v>
      </c>
    </row>
    <row r="584" spans="1:23" ht="28" customHeight="1" x14ac:dyDescent="0.3">
      <c r="A584" s="308">
        <v>45425</v>
      </c>
      <c r="B584" s="302">
        <v>1949.787</v>
      </c>
      <c r="C584" s="8">
        <v>-6.907</v>
      </c>
      <c r="D584" s="268">
        <v>-3.5000000000000001E-3</v>
      </c>
      <c r="E584" s="8">
        <v>38.700000000000003</v>
      </c>
      <c r="F584" s="8">
        <v>121.536</v>
      </c>
      <c r="G584" s="8">
        <v>116.509</v>
      </c>
      <c r="H584" s="8">
        <v>78.52</v>
      </c>
      <c r="I584" s="8">
        <v>185.75</v>
      </c>
      <c r="J584" s="8">
        <v>71.87</v>
      </c>
      <c r="K584" s="268">
        <v>0.6421</v>
      </c>
      <c r="L584" s="268">
        <v>0.47560000000000002</v>
      </c>
      <c r="M584" s="268">
        <v>-3.1899999999999998E-2</v>
      </c>
      <c r="N584" s="8">
        <v>582.02</v>
      </c>
      <c r="O584" s="8">
        <v>7901.04</v>
      </c>
      <c r="P584" s="268">
        <v>7.3700000000000002E-2</v>
      </c>
      <c r="Q584" s="8">
        <v>534</v>
      </c>
      <c r="R584" s="8" t="s">
        <v>5215</v>
      </c>
      <c r="S584" s="8" t="s">
        <v>2906</v>
      </c>
      <c r="T584" s="8" t="s">
        <v>5216</v>
      </c>
      <c r="U584" s="8" t="s">
        <v>5217</v>
      </c>
      <c r="V584" s="8" t="s">
        <v>5218</v>
      </c>
      <c r="W584" s="8" t="s">
        <v>5219</v>
      </c>
    </row>
    <row r="585" spans="1:23" ht="28" customHeight="1" x14ac:dyDescent="0.3">
      <c r="A585" s="308">
        <v>45422</v>
      </c>
      <c r="B585" s="302">
        <v>1956.694</v>
      </c>
      <c r="C585" s="8">
        <v>-1.155</v>
      </c>
      <c r="D585" s="268">
        <v>-5.9999999999999995E-4</v>
      </c>
      <c r="E585" s="8">
        <v>40.090000000000003</v>
      </c>
      <c r="F585" s="8">
        <v>121.9</v>
      </c>
      <c r="G585" s="8">
        <v>117.25</v>
      </c>
      <c r="H585" s="8">
        <v>79.94</v>
      </c>
      <c r="I585" s="8">
        <v>183.8</v>
      </c>
      <c r="J585" s="8">
        <v>72.48</v>
      </c>
      <c r="K585" s="268">
        <v>0.61899999999999999</v>
      </c>
      <c r="L585" s="268">
        <v>0.46500000000000002</v>
      </c>
      <c r="M585" s="268">
        <v>-3.2000000000000001E-2</v>
      </c>
      <c r="N585" s="8">
        <v>598.01</v>
      </c>
      <c r="O585" s="8">
        <v>7901.81</v>
      </c>
      <c r="P585" s="268">
        <v>7.5700000000000003E-2</v>
      </c>
      <c r="Q585" s="8">
        <v>534</v>
      </c>
      <c r="R585" s="8" t="s">
        <v>2552</v>
      </c>
      <c r="S585" s="8" t="s">
        <v>5220</v>
      </c>
      <c r="T585" s="8" t="s">
        <v>5221</v>
      </c>
      <c r="U585" s="8" t="s">
        <v>4252</v>
      </c>
      <c r="V585" s="8" t="s">
        <v>5222</v>
      </c>
      <c r="W585" s="8" t="s">
        <v>5223</v>
      </c>
    </row>
    <row r="586" spans="1:23" ht="28" customHeight="1" x14ac:dyDescent="0.3">
      <c r="A586" s="308">
        <v>45421</v>
      </c>
      <c r="B586" s="302">
        <v>1957.8489999999999</v>
      </c>
      <c r="C586" s="8">
        <v>19.385000000000002</v>
      </c>
      <c r="D586" s="268">
        <v>0.01</v>
      </c>
      <c r="E586" s="8">
        <v>39.64</v>
      </c>
      <c r="F586" s="8">
        <v>122.018</v>
      </c>
      <c r="G586" s="8">
        <v>117.223</v>
      </c>
      <c r="H586" s="8">
        <v>80.709999999999994</v>
      </c>
      <c r="I586" s="8">
        <v>181.91</v>
      </c>
      <c r="J586" s="8">
        <v>65.849999999999994</v>
      </c>
      <c r="K586" s="268">
        <v>0.59889999999999999</v>
      </c>
      <c r="L586" s="268">
        <v>0.44550000000000001</v>
      </c>
      <c r="M586" s="268">
        <v>-3.27E-2</v>
      </c>
      <c r="N586" s="8">
        <v>656.29</v>
      </c>
      <c r="O586" s="8">
        <v>7902.69</v>
      </c>
      <c r="P586" s="268">
        <v>8.3000000000000004E-2</v>
      </c>
      <c r="Q586" s="8">
        <v>534</v>
      </c>
      <c r="R586" s="8" t="s">
        <v>5224</v>
      </c>
      <c r="S586" s="8" t="s">
        <v>5225</v>
      </c>
      <c r="T586" s="8" t="s">
        <v>5226</v>
      </c>
      <c r="U586" s="8" t="s">
        <v>5227</v>
      </c>
      <c r="V586" s="8" t="s">
        <v>5228</v>
      </c>
      <c r="W586" s="8" t="s">
        <v>5229</v>
      </c>
    </row>
    <row r="587" spans="1:23" ht="28" customHeight="1" x14ac:dyDescent="0.3">
      <c r="A587" s="308">
        <v>45420</v>
      </c>
      <c r="B587" s="302">
        <v>1938.4639999999999</v>
      </c>
      <c r="C587" s="8">
        <v>-6.0860000000000003</v>
      </c>
      <c r="D587" s="268">
        <v>-3.0999999999999999E-3</v>
      </c>
      <c r="E587" s="8">
        <v>36.479999999999997</v>
      </c>
      <c r="F587" s="8">
        <v>120.794</v>
      </c>
      <c r="G587" s="8">
        <v>115.85</v>
      </c>
      <c r="H587" s="8">
        <v>79.55</v>
      </c>
      <c r="I587" s="8">
        <v>181.76</v>
      </c>
      <c r="J587" s="8">
        <v>69.08</v>
      </c>
      <c r="K587" s="268">
        <v>0.60970000000000002</v>
      </c>
      <c r="L587" s="268">
        <v>0.4526</v>
      </c>
      <c r="M587" s="268">
        <v>-2.87E-2</v>
      </c>
      <c r="N587" s="8">
        <v>542.76</v>
      </c>
      <c r="O587" s="8">
        <v>7902.93</v>
      </c>
      <c r="P587" s="268">
        <v>6.8699999999999997E-2</v>
      </c>
      <c r="Q587" s="8">
        <v>534</v>
      </c>
      <c r="R587" s="8" t="s">
        <v>5230</v>
      </c>
      <c r="S587" s="8" t="s">
        <v>5231</v>
      </c>
      <c r="T587" s="8" t="s">
        <v>5232</v>
      </c>
      <c r="U587" s="8" t="s">
        <v>5233</v>
      </c>
      <c r="V587" s="8" t="s">
        <v>5234</v>
      </c>
      <c r="W587" s="8" t="s">
        <v>5235</v>
      </c>
    </row>
    <row r="588" spans="1:23" ht="28" customHeight="1" x14ac:dyDescent="0.3">
      <c r="A588" s="308">
        <v>45419</v>
      </c>
      <c r="B588" s="302">
        <v>1944.55</v>
      </c>
      <c r="C588" s="8">
        <v>10.637</v>
      </c>
      <c r="D588" s="268">
        <v>5.4999999999999997E-3</v>
      </c>
      <c r="E588" s="8">
        <v>38.14</v>
      </c>
      <c r="F588" s="8">
        <v>121.14400000000001</v>
      </c>
      <c r="G588" s="8">
        <v>116.78</v>
      </c>
      <c r="H588" s="8">
        <v>80.23</v>
      </c>
      <c r="I588" s="8">
        <v>181</v>
      </c>
      <c r="J588" s="8">
        <v>66.569999999999993</v>
      </c>
      <c r="K588" s="268">
        <v>0.59860000000000002</v>
      </c>
      <c r="L588" s="268">
        <v>0.44750000000000001</v>
      </c>
      <c r="M588" s="268">
        <v>-3.0700000000000002E-2</v>
      </c>
      <c r="N588" s="8">
        <v>556.89</v>
      </c>
      <c r="O588" s="8">
        <v>7904.17</v>
      </c>
      <c r="P588" s="268">
        <v>7.0499999999999993E-2</v>
      </c>
      <c r="Q588" s="8">
        <v>534</v>
      </c>
      <c r="R588" s="8" t="s">
        <v>5204</v>
      </c>
      <c r="S588" s="8" t="s">
        <v>5236</v>
      </c>
      <c r="T588" s="8" t="s">
        <v>5237</v>
      </c>
      <c r="U588" s="8" t="s">
        <v>5238</v>
      </c>
      <c r="V588" s="8" t="s">
        <v>5239</v>
      </c>
      <c r="W588" s="8" t="s">
        <v>5240</v>
      </c>
    </row>
    <row r="589" spans="1:23" ht="28" customHeight="1" x14ac:dyDescent="0.3">
      <c r="A589" s="308">
        <v>45418</v>
      </c>
      <c r="B589" s="302">
        <v>1933.913</v>
      </c>
      <c r="C589" s="8">
        <v>24.102</v>
      </c>
      <c r="D589" s="268">
        <v>1.26E-2</v>
      </c>
      <c r="E589" s="8">
        <v>35.479999999999997</v>
      </c>
      <c r="F589" s="8">
        <v>120.91</v>
      </c>
      <c r="G589" s="8">
        <v>116</v>
      </c>
      <c r="H589" s="8">
        <v>79.59</v>
      </c>
      <c r="I589" s="8">
        <v>181.09</v>
      </c>
      <c r="J589" s="8">
        <v>66.790000000000006</v>
      </c>
      <c r="K589" s="268">
        <v>0.60189999999999999</v>
      </c>
      <c r="L589" s="268">
        <v>0.45090000000000002</v>
      </c>
      <c r="M589" s="268">
        <v>-2.86E-2</v>
      </c>
      <c r="N589" s="8">
        <v>558.99</v>
      </c>
      <c r="O589" s="8">
        <v>7906.86</v>
      </c>
      <c r="P589" s="268">
        <v>7.0699999999999999E-2</v>
      </c>
      <c r="Q589" s="8">
        <v>535</v>
      </c>
      <c r="R589" s="8" t="s">
        <v>5241</v>
      </c>
      <c r="S589" s="8" t="s">
        <v>5242</v>
      </c>
      <c r="T589" s="8" t="s">
        <v>5243</v>
      </c>
      <c r="U589" s="8" t="s">
        <v>5244</v>
      </c>
      <c r="V589" s="8" t="s">
        <v>5245</v>
      </c>
      <c r="W589" s="8" t="s">
        <v>5246</v>
      </c>
    </row>
    <row r="590" spans="1:23" ht="28" customHeight="1" x14ac:dyDescent="0.3">
      <c r="A590" s="308">
        <v>45412</v>
      </c>
      <c r="B590" s="302">
        <v>1909.8109999999999</v>
      </c>
      <c r="C590" s="8">
        <v>1.679</v>
      </c>
      <c r="D590" s="268">
        <v>8.9999999999999998E-4</v>
      </c>
      <c r="E590" s="8">
        <v>28.4</v>
      </c>
      <c r="F590" s="8">
        <v>119.223</v>
      </c>
      <c r="G590" s="8">
        <v>114.489</v>
      </c>
      <c r="H590" s="8">
        <v>77.69</v>
      </c>
      <c r="I590" s="8">
        <v>180.68</v>
      </c>
      <c r="J590" s="8">
        <v>69.84</v>
      </c>
      <c r="K590" s="268">
        <v>0.61460000000000004</v>
      </c>
      <c r="L590" s="268">
        <v>0.45879999999999999</v>
      </c>
      <c r="M590" s="268">
        <v>-2.3E-2</v>
      </c>
      <c r="N590" s="8">
        <v>485.82</v>
      </c>
      <c r="O590" s="8">
        <v>7905.55</v>
      </c>
      <c r="P590" s="268">
        <v>6.1499999999999999E-2</v>
      </c>
      <c r="Q590" s="8">
        <v>534</v>
      </c>
      <c r="R590" s="8" t="s">
        <v>5247</v>
      </c>
      <c r="S590" s="8" t="s">
        <v>5248</v>
      </c>
      <c r="T590" s="8" t="s">
        <v>5249</v>
      </c>
      <c r="U590" s="8" t="s">
        <v>5250</v>
      </c>
      <c r="V590" s="8" t="s">
        <v>5251</v>
      </c>
      <c r="W590" s="8" t="s">
        <v>5252</v>
      </c>
    </row>
    <row r="591" spans="1:23" ht="28" customHeight="1" x14ac:dyDescent="0.3">
      <c r="A591" s="308">
        <v>45411</v>
      </c>
      <c r="B591" s="302">
        <v>1908.1320000000001</v>
      </c>
      <c r="C591" s="8">
        <v>11.003</v>
      </c>
      <c r="D591" s="268">
        <v>5.7999999999999996E-3</v>
      </c>
      <c r="E591" s="8">
        <v>27.26</v>
      </c>
      <c r="F591" s="8">
        <v>119.16200000000001</v>
      </c>
      <c r="G591" s="8">
        <v>114.259</v>
      </c>
      <c r="H591" s="8">
        <v>77.64</v>
      </c>
      <c r="I591" s="8">
        <v>181.05</v>
      </c>
      <c r="J591" s="8">
        <v>67.86</v>
      </c>
      <c r="K591" s="268">
        <v>0.61880000000000002</v>
      </c>
      <c r="L591" s="268">
        <v>0.46229999999999999</v>
      </c>
      <c r="M591" s="268">
        <v>-2.2499999999999999E-2</v>
      </c>
      <c r="N591" s="8">
        <v>466.26</v>
      </c>
      <c r="O591" s="8">
        <v>7907.9</v>
      </c>
      <c r="P591" s="268">
        <v>5.8999999999999997E-2</v>
      </c>
      <c r="Q591" s="8">
        <v>535</v>
      </c>
      <c r="R591" s="8" t="s">
        <v>5253</v>
      </c>
      <c r="S591" s="8" t="s">
        <v>5254</v>
      </c>
      <c r="T591" s="8" t="s">
        <v>5255</v>
      </c>
      <c r="U591" s="8" t="s">
        <v>5256</v>
      </c>
      <c r="V591" s="8" t="s">
        <v>5257</v>
      </c>
      <c r="W591" s="8" t="s">
        <v>5258</v>
      </c>
    </row>
    <row r="592" spans="1:23" ht="28" customHeight="1" x14ac:dyDescent="0.3">
      <c r="A592" s="308">
        <v>45408</v>
      </c>
      <c r="B592" s="302">
        <v>1897.1289999999999</v>
      </c>
      <c r="C592" s="8">
        <v>16.437000000000001</v>
      </c>
      <c r="D592" s="268">
        <v>8.6999999999999994E-3</v>
      </c>
      <c r="E592" s="8">
        <v>24.49</v>
      </c>
      <c r="F592" s="8">
        <v>118.488</v>
      </c>
      <c r="G592" s="8">
        <v>113.6</v>
      </c>
      <c r="H592" s="8">
        <v>75.39</v>
      </c>
      <c r="I592" s="8">
        <v>184.72</v>
      </c>
      <c r="J592" s="8">
        <v>75.37</v>
      </c>
      <c r="K592" s="268">
        <v>0.6623</v>
      </c>
      <c r="L592" s="268">
        <v>0.49969999999999998</v>
      </c>
      <c r="M592" s="268">
        <v>-1.9E-2</v>
      </c>
      <c r="N592" s="8">
        <v>471.58</v>
      </c>
      <c r="O592" s="8">
        <v>7908.89</v>
      </c>
      <c r="P592" s="268">
        <v>5.96E-2</v>
      </c>
      <c r="Q592" s="8">
        <v>535</v>
      </c>
      <c r="R592" s="8" t="s">
        <v>5259</v>
      </c>
      <c r="S592" s="8" t="s">
        <v>5260</v>
      </c>
      <c r="T592" s="8" t="s">
        <v>5261</v>
      </c>
      <c r="U592" s="8" t="s">
        <v>5262</v>
      </c>
      <c r="V592" s="8" t="s">
        <v>5263</v>
      </c>
      <c r="W592" s="8" t="s">
        <v>5264</v>
      </c>
    </row>
    <row r="593" spans="1:23" ht="28" customHeight="1" x14ac:dyDescent="0.3">
      <c r="A593" s="308">
        <v>45407</v>
      </c>
      <c r="B593" s="302">
        <v>1880.692</v>
      </c>
      <c r="C593" s="8">
        <v>2.46</v>
      </c>
      <c r="D593" s="268">
        <v>1.2999999999999999E-3</v>
      </c>
      <c r="E593" s="8">
        <v>20.8</v>
      </c>
      <c r="F593" s="8">
        <v>117.378</v>
      </c>
      <c r="G593" s="8">
        <v>112.95099999999999</v>
      </c>
      <c r="H593" s="8">
        <v>74.77</v>
      </c>
      <c r="I593" s="8">
        <v>184.22</v>
      </c>
      <c r="J593" s="8">
        <v>75</v>
      </c>
      <c r="K593" s="268">
        <v>0.66839999999999999</v>
      </c>
      <c r="L593" s="268">
        <v>0.50060000000000004</v>
      </c>
      <c r="M593" s="268">
        <v>-1.4999999999999999E-2</v>
      </c>
      <c r="N593" s="8">
        <v>423.38</v>
      </c>
      <c r="O593" s="8">
        <v>7909.07</v>
      </c>
      <c r="P593" s="268">
        <v>5.3499999999999999E-2</v>
      </c>
      <c r="Q593" s="8">
        <v>535</v>
      </c>
      <c r="R593" s="8" t="s">
        <v>5265</v>
      </c>
      <c r="S593" s="8" t="s">
        <v>5266</v>
      </c>
      <c r="T593" s="8" t="s">
        <v>5267</v>
      </c>
      <c r="U593" s="8" t="s">
        <v>5268</v>
      </c>
      <c r="V593" s="8" t="s">
        <v>5269</v>
      </c>
      <c r="W593" s="8" t="s">
        <v>5270</v>
      </c>
    </row>
    <row r="594" spans="1:23" ht="28" customHeight="1" x14ac:dyDescent="0.3">
      <c r="A594" s="308">
        <v>45406</v>
      </c>
      <c r="B594" s="302">
        <v>1878.232</v>
      </c>
      <c r="C594" s="8">
        <v>14.74</v>
      </c>
      <c r="D594" s="268">
        <v>7.9000000000000008E-3</v>
      </c>
      <c r="E594" s="8">
        <v>19.89</v>
      </c>
      <c r="F594" s="8">
        <v>117.376</v>
      </c>
      <c r="G594" s="8">
        <v>112.56</v>
      </c>
      <c r="H594" s="8">
        <v>74.66</v>
      </c>
      <c r="I594" s="8">
        <v>184.95</v>
      </c>
      <c r="J594" s="8">
        <v>77.14</v>
      </c>
      <c r="K594" s="268">
        <v>0.67579999999999996</v>
      </c>
      <c r="L594" s="268">
        <v>0.50280000000000002</v>
      </c>
      <c r="M594" s="268">
        <v>-1.4800000000000001E-2</v>
      </c>
      <c r="N594" s="8">
        <v>431.95</v>
      </c>
      <c r="O594" s="8">
        <v>7909.66</v>
      </c>
      <c r="P594" s="268">
        <v>5.4600000000000003E-2</v>
      </c>
      <c r="Q594" s="8">
        <v>535</v>
      </c>
      <c r="R594" s="8" t="s">
        <v>5271</v>
      </c>
      <c r="S594" s="8" t="s">
        <v>3830</v>
      </c>
      <c r="T594" s="8" t="s">
        <v>5272</v>
      </c>
      <c r="U594" s="8" t="s">
        <v>5273</v>
      </c>
      <c r="V594" s="8" t="s">
        <v>5274</v>
      </c>
      <c r="W594" s="8" t="s">
        <v>5275</v>
      </c>
    </row>
    <row r="595" spans="1:23" ht="28" customHeight="1" x14ac:dyDescent="0.3">
      <c r="A595" s="308">
        <v>45405</v>
      </c>
      <c r="B595" s="302">
        <v>1863.492</v>
      </c>
      <c r="C595" s="8">
        <v>2.3079999999999998</v>
      </c>
      <c r="D595" s="268">
        <v>1.1999999999999999E-3</v>
      </c>
      <c r="E595" s="8">
        <v>16.93</v>
      </c>
      <c r="F595" s="8">
        <v>116.45</v>
      </c>
      <c r="G595" s="8">
        <v>112.139</v>
      </c>
      <c r="H595" s="8">
        <v>73.13</v>
      </c>
      <c r="I595" s="8">
        <v>185.8</v>
      </c>
      <c r="J595" s="8">
        <v>81.11</v>
      </c>
      <c r="K595" s="268">
        <v>0.69340000000000002</v>
      </c>
      <c r="L595" s="268">
        <v>0.52629999999999999</v>
      </c>
      <c r="M595" s="268">
        <v>-1.1900000000000001E-2</v>
      </c>
      <c r="N595" s="8">
        <v>396.49</v>
      </c>
      <c r="O595" s="8">
        <v>7910.32</v>
      </c>
      <c r="P595" s="268">
        <v>5.0099999999999999E-2</v>
      </c>
      <c r="Q595" s="8">
        <v>535</v>
      </c>
      <c r="R595" s="8" t="s">
        <v>5276</v>
      </c>
      <c r="S595" s="8" t="s">
        <v>5277</v>
      </c>
      <c r="T595" s="8" t="s">
        <v>5278</v>
      </c>
      <c r="U595" s="8" t="s">
        <v>5279</v>
      </c>
      <c r="V595" s="8" t="s">
        <v>5280</v>
      </c>
      <c r="W595" s="8" t="s">
        <v>5281</v>
      </c>
    </row>
    <row r="596" spans="1:23" ht="28" customHeight="1" x14ac:dyDescent="0.3">
      <c r="A596" s="308">
        <v>45404</v>
      </c>
      <c r="B596" s="302">
        <v>1861.184</v>
      </c>
      <c r="C596" s="8">
        <v>-10.707000000000001</v>
      </c>
      <c r="D596" s="268">
        <v>-5.7000000000000002E-3</v>
      </c>
      <c r="E596" s="8">
        <v>15.56</v>
      </c>
      <c r="F596" s="8">
        <v>116.337</v>
      </c>
      <c r="G596" s="8">
        <v>111.62</v>
      </c>
      <c r="H596" s="8">
        <v>71.8</v>
      </c>
      <c r="I596" s="8">
        <v>186.65</v>
      </c>
      <c r="J596" s="8">
        <v>81.99</v>
      </c>
      <c r="K596" s="268">
        <v>0.70309999999999995</v>
      </c>
      <c r="L596" s="268">
        <v>0.52600000000000002</v>
      </c>
      <c r="M596" s="268">
        <v>-1.17E-2</v>
      </c>
      <c r="N596" s="8">
        <v>411.07</v>
      </c>
      <c r="O596" s="8">
        <v>7907.91</v>
      </c>
      <c r="P596" s="268">
        <v>5.1999999999999998E-2</v>
      </c>
      <c r="Q596" s="8">
        <v>534</v>
      </c>
      <c r="R596" s="8" t="s">
        <v>5282</v>
      </c>
      <c r="S596" s="8" t="s">
        <v>5283</v>
      </c>
      <c r="T596" s="8" t="s">
        <v>5284</v>
      </c>
      <c r="U596" s="8" t="s">
        <v>5285</v>
      </c>
      <c r="V596" s="8" t="s">
        <v>5286</v>
      </c>
      <c r="W596" s="8" t="s">
        <v>5287</v>
      </c>
    </row>
    <row r="597" spans="1:23" ht="28" customHeight="1" x14ac:dyDescent="0.3">
      <c r="A597" s="308">
        <v>45401</v>
      </c>
      <c r="B597" s="302">
        <v>1871.8910000000001</v>
      </c>
      <c r="C597" s="8">
        <v>-6.6879999999999997</v>
      </c>
      <c r="D597" s="268">
        <v>-3.5999999999999999E-3</v>
      </c>
      <c r="E597" s="8">
        <v>17.170000000000002</v>
      </c>
      <c r="F597" s="8">
        <v>117.235</v>
      </c>
      <c r="G597" s="8">
        <v>112.06100000000001</v>
      </c>
      <c r="H597" s="8">
        <v>73.02</v>
      </c>
      <c r="I597" s="8">
        <v>187.96</v>
      </c>
      <c r="J597" s="8">
        <v>81.58</v>
      </c>
      <c r="K597" s="268">
        <v>0.70720000000000005</v>
      </c>
      <c r="L597" s="268">
        <v>0.5202</v>
      </c>
      <c r="M597" s="268">
        <v>-1.3599999999999999E-2</v>
      </c>
      <c r="N597" s="8">
        <v>501.36</v>
      </c>
      <c r="O597" s="8">
        <v>7910.58</v>
      </c>
      <c r="P597" s="268">
        <v>6.3399999999999998E-2</v>
      </c>
      <c r="Q597" s="8">
        <v>536</v>
      </c>
      <c r="R597" s="8" t="s">
        <v>2873</v>
      </c>
      <c r="S597" s="8" t="s">
        <v>5288</v>
      </c>
      <c r="T597" s="8" t="s">
        <v>5289</v>
      </c>
      <c r="U597" s="8" t="s">
        <v>4881</v>
      </c>
      <c r="V597" s="8" t="s">
        <v>5290</v>
      </c>
      <c r="W597" s="8" t="s">
        <v>5291</v>
      </c>
    </row>
    <row r="598" spans="1:23" ht="28" customHeight="1" x14ac:dyDescent="0.3">
      <c r="A598" s="308">
        <v>45400</v>
      </c>
      <c r="B598" s="302">
        <v>1878.579</v>
      </c>
      <c r="C598" s="8">
        <v>3.581</v>
      </c>
      <c r="D598" s="268">
        <v>1.9E-3</v>
      </c>
      <c r="E598" s="8">
        <v>18.53</v>
      </c>
      <c r="F598" s="8">
        <v>117.655</v>
      </c>
      <c r="G598" s="8">
        <v>112.45</v>
      </c>
      <c r="H598" s="8">
        <v>73.489999999999995</v>
      </c>
      <c r="I598" s="8">
        <v>187.73</v>
      </c>
      <c r="J598" s="8">
        <v>81.03</v>
      </c>
      <c r="K598" s="268">
        <v>0.70079999999999998</v>
      </c>
      <c r="L598" s="268">
        <v>0.51259999999999994</v>
      </c>
      <c r="M598" s="268">
        <v>-1.4999999999999999E-2</v>
      </c>
      <c r="N598" s="8">
        <v>573.91</v>
      </c>
      <c r="O598" s="8">
        <v>7922.63</v>
      </c>
      <c r="P598" s="268">
        <v>7.2400000000000006E-2</v>
      </c>
      <c r="Q598" s="8">
        <v>536</v>
      </c>
      <c r="R598" s="8" t="s">
        <v>5292</v>
      </c>
      <c r="S598" s="8" t="s">
        <v>5293</v>
      </c>
      <c r="T598" s="8" t="s">
        <v>5278</v>
      </c>
      <c r="U598" s="8" t="s">
        <v>5294</v>
      </c>
      <c r="V598" s="8" t="s">
        <v>5295</v>
      </c>
      <c r="W598" s="8" t="s">
        <v>5296</v>
      </c>
    </row>
    <row r="599" spans="1:23" ht="28" customHeight="1" x14ac:dyDescent="0.3">
      <c r="A599" s="308">
        <v>45399</v>
      </c>
      <c r="B599" s="302">
        <v>1874.998</v>
      </c>
      <c r="C599" s="8">
        <v>29.782</v>
      </c>
      <c r="D599" s="268">
        <v>1.61E-2</v>
      </c>
      <c r="E599" s="8">
        <v>17.98</v>
      </c>
      <c r="F599" s="8">
        <v>117.39100000000001</v>
      </c>
      <c r="G599" s="8">
        <v>112.172</v>
      </c>
      <c r="H599" s="8">
        <v>74.099999999999994</v>
      </c>
      <c r="I599" s="8">
        <v>186.85</v>
      </c>
      <c r="J599" s="8">
        <v>81.48</v>
      </c>
      <c r="K599" s="268">
        <v>0.6946</v>
      </c>
      <c r="L599" s="268">
        <v>0.50429999999999997</v>
      </c>
      <c r="M599" s="268">
        <v>-1.46E-2</v>
      </c>
      <c r="N599" s="8">
        <v>567.05999999999995</v>
      </c>
      <c r="O599" s="8">
        <v>7924.66</v>
      </c>
      <c r="P599" s="268">
        <v>7.1599999999999997E-2</v>
      </c>
      <c r="Q599" s="8">
        <v>536</v>
      </c>
      <c r="R599" s="8" t="s">
        <v>5297</v>
      </c>
      <c r="S599" s="8" t="s">
        <v>5298</v>
      </c>
      <c r="T599" s="8" t="s">
        <v>5299</v>
      </c>
      <c r="U599" s="8" t="s">
        <v>5300</v>
      </c>
      <c r="V599" s="8" t="s">
        <v>5301</v>
      </c>
      <c r="W599" s="8" t="s">
        <v>5302</v>
      </c>
    </row>
    <row r="600" spans="1:23" ht="28" customHeight="1" x14ac:dyDescent="0.3">
      <c r="A600" s="308">
        <v>45398</v>
      </c>
      <c r="B600" s="302">
        <v>1845.2159999999999</v>
      </c>
      <c r="C600" s="8">
        <v>-29.603000000000002</v>
      </c>
      <c r="D600" s="268">
        <v>-1.5800000000000002E-2</v>
      </c>
      <c r="E600" s="8">
        <v>12.59</v>
      </c>
      <c r="F600" s="8">
        <v>115.447</v>
      </c>
      <c r="G600" s="8">
        <v>110.449</v>
      </c>
      <c r="H600" s="8">
        <v>69.66</v>
      </c>
      <c r="I600" s="8">
        <v>192.66</v>
      </c>
      <c r="J600" s="8">
        <v>91.07</v>
      </c>
      <c r="K600" s="268">
        <v>0.77210000000000001</v>
      </c>
      <c r="L600" s="268">
        <v>0.57320000000000004</v>
      </c>
      <c r="M600" s="268">
        <v>-8.8000000000000005E-3</v>
      </c>
      <c r="N600" s="8">
        <v>480.45</v>
      </c>
      <c r="O600" s="8">
        <v>7925.23</v>
      </c>
      <c r="P600" s="268">
        <v>6.0600000000000001E-2</v>
      </c>
      <c r="Q600" s="8">
        <v>536</v>
      </c>
      <c r="R600" s="8" t="s">
        <v>5303</v>
      </c>
      <c r="S600" s="8" t="s">
        <v>5304</v>
      </c>
      <c r="T600" s="8" t="s">
        <v>5305</v>
      </c>
      <c r="U600" s="8" t="s">
        <v>5306</v>
      </c>
      <c r="V600" s="8" t="s">
        <v>5307</v>
      </c>
      <c r="W600" s="8" t="s">
        <v>5308</v>
      </c>
    </row>
    <row r="601" spans="1:23" ht="28" customHeight="1" x14ac:dyDescent="0.3">
      <c r="A601" s="308">
        <v>45397</v>
      </c>
      <c r="B601" s="302">
        <v>1874.819</v>
      </c>
      <c r="C601" s="8">
        <v>-27.044</v>
      </c>
      <c r="D601" s="268">
        <v>-1.4200000000000001E-2</v>
      </c>
      <c r="E601" s="8">
        <v>17.489999999999998</v>
      </c>
      <c r="F601" s="8">
        <v>117.31100000000001</v>
      </c>
      <c r="G601" s="8">
        <v>112.21</v>
      </c>
      <c r="H601" s="8">
        <v>74.44</v>
      </c>
      <c r="I601" s="8">
        <v>186.08</v>
      </c>
      <c r="J601" s="8">
        <v>81.81</v>
      </c>
      <c r="K601" s="268">
        <v>0.68769999999999998</v>
      </c>
      <c r="L601" s="268">
        <v>0.50219999999999998</v>
      </c>
      <c r="M601" s="268">
        <v>-1.47E-2</v>
      </c>
      <c r="N601" s="8">
        <v>511.35</v>
      </c>
      <c r="O601" s="8">
        <v>7928.52</v>
      </c>
      <c r="P601" s="268">
        <v>6.4500000000000002E-2</v>
      </c>
      <c r="Q601" s="8">
        <v>536</v>
      </c>
      <c r="R601" s="8" t="s">
        <v>5309</v>
      </c>
      <c r="S601" s="8" t="s">
        <v>5310</v>
      </c>
      <c r="T601" s="8" t="s">
        <v>5311</v>
      </c>
      <c r="U601" s="8" t="s">
        <v>5312</v>
      </c>
      <c r="V601" s="8" t="s">
        <v>5313</v>
      </c>
      <c r="W601" s="8" t="s">
        <v>5314</v>
      </c>
    </row>
    <row r="602" spans="1:23" ht="28" customHeight="1" x14ac:dyDescent="0.3">
      <c r="A602" s="308">
        <v>45394</v>
      </c>
      <c r="B602" s="302">
        <v>1901.8630000000001</v>
      </c>
      <c r="C602" s="8">
        <v>3.9289999999999998</v>
      </c>
      <c r="D602" s="268">
        <v>2.0999999999999999E-3</v>
      </c>
      <c r="E602" s="8">
        <v>24.88</v>
      </c>
      <c r="F602" s="8">
        <v>118.989</v>
      </c>
      <c r="G602" s="8">
        <v>113.876</v>
      </c>
      <c r="H602" s="8">
        <v>77.44</v>
      </c>
      <c r="I602" s="8">
        <v>184.28</v>
      </c>
      <c r="J602" s="8">
        <v>77.209999999999994</v>
      </c>
      <c r="K602" s="268">
        <v>0.65290000000000004</v>
      </c>
      <c r="L602" s="268">
        <v>0.48630000000000001</v>
      </c>
      <c r="M602" s="268">
        <v>-1.9800000000000002E-2</v>
      </c>
      <c r="N602" s="8">
        <v>430.13</v>
      </c>
      <c r="O602" s="8">
        <v>7930.24</v>
      </c>
      <c r="P602" s="268">
        <v>5.4199999999999998E-2</v>
      </c>
      <c r="Q602" s="8">
        <v>536</v>
      </c>
      <c r="R602" s="8" t="s">
        <v>3997</v>
      </c>
      <c r="S602" s="8" t="s">
        <v>5315</v>
      </c>
      <c r="T602" s="8" t="s">
        <v>5316</v>
      </c>
      <c r="U602" s="8" t="s">
        <v>5317</v>
      </c>
      <c r="V602" s="8" t="s">
        <v>5318</v>
      </c>
      <c r="W602" s="8" t="s">
        <v>5319</v>
      </c>
    </row>
    <row r="603" spans="1:23" ht="28" customHeight="1" x14ac:dyDescent="0.3">
      <c r="A603" s="308">
        <v>45393</v>
      </c>
      <c r="B603" s="302">
        <v>1897.934</v>
      </c>
      <c r="C603" s="8">
        <v>5.9969999999999999</v>
      </c>
      <c r="D603" s="268">
        <v>3.2000000000000002E-3</v>
      </c>
      <c r="E603" s="8">
        <v>23.1</v>
      </c>
      <c r="F603" s="8">
        <v>118.798</v>
      </c>
      <c r="G603" s="8">
        <v>113.44</v>
      </c>
      <c r="H603" s="8">
        <v>77.77</v>
      </c>
      <c r="I603" s="8">
        <v>182.22</v>
      </c>
      <c r="J603" s="8">
        <v>74.430000000000007</v>
      </c>
      <c r="K603" s="268">
        <v>0.63419999999999999</v>
      </c>
      <c r="L603" s="268">
        <v>0.46850000000000003</v>
      </c>
      <c r="M603" s="268">
        <v>-1.89E-2</v>
      </c>
      <c r="N603" s="8">
        <v>439.21</v>
      </c>
      <c r="O603" s="8">
        <v>7932.57</v>
      </c>
      <c r="P603" s="268">
        <v>5.5399999999999998E-2</v>
      </c>
      <c r="Q603" s="8">
        <v>536</v>
      </c>
      <c r="R603" s="8" t="s">
        <v>5320</v>
      </c>
      <c r="S603" s="8" t="s">
        <v>5321</v>
      </c>
      <c r="T603" s="8" t="s">
        <v>5322</v>
      </c>
      <c r="U603" s="8" t="s">
        <v>5323</v>
      </c>
      <c r="V603" s="8" t="s">
        <v>5324</v>
      </c>
      <c r="W603" s="8" t="s">
        <v>5325</v>
      </c>
    </row>
    <row r="604" spans="1:23" ht="28" customHeight="1" x14ac:dyDescent="0.3">
      <c r="A604" s="308">
        <v>45392</v>
      </c>
      <c r="B604" s="302">
        <v>1891.9369999999999</v>
      </c>
      <c r="C604" s="8">
        <v>-9.125</v>
      </c>
      <c r="D604" s="268">
        <v>-4.7999999999999996E-3</v>
      </c>
      <c r="E604" s="8">
        <v>21.78</v>
      </c>
      <c r="F604" s="8">
        <v>118.407</v>
      </c>
      <c r="G604" s="8">
        <v>113.355</v>
      </c>
      <c r="H604" s="8">
        <v>77.45</v>
      </c>
      <c r="I604" s="8">
        <v>181.51</v>
      </c>
      <c r="J604" s="8">
        <v>73.19</v>
      </c>
      <c r="K604" s="268">
        <v>0.63100000000000001</v>
      </c>
      <c r="L604" s="268">
        <v>0.45519999999999999</v>
      </c>
      <c r="M604" s="268">
        <v>-1.77E-2</v>
      </c>
      <c r="N604" s="8">
        <v>457.36</v>
      </c>
      <c r="O604" s="8">
        <v>7933.45</v>
      </c>
      <c r="P604" s="268">
        <v>5.7599999999999998E-2</v>
      </c>
      <c r="Q604" s="8">
        <v>536</v>
      </c>
      <c r="R604" s="8" t="s">
        <v>5326</v>
      </c>
      <c r="S604" s="8" t="s">
        <v>5327</v>
      </c>
      <c r="T604" s="8" t="s">
        <v>5328</v>
      </c>
      <c r="U604" s="8" t="s">
        <v>5329</v>
      </c>
      <c r="V604" s="8" t="s">
        <v>5330</v>
      </c>
      <c r="W604" s="8" t="s">
        <v>5331</v>
      </c>
    </row>
    <row r="605" spans="1:23" ht="28" customHeight="1" x14ac:dyDescent="0.3">
      <c r="A605" s="308">
        <v>45391</v>
      </c>
      <c r="B605" s="302">
        <v>1901.0619999999999</v>
      </c>
      <c r="C605" s="8">
        <v>12.407999999999999</v>
      </c>
      <c r="D605" s="268">
        <v>6.6E-3</v>
      </c>
      <c r="E605" s="8">
        <v>24.9</v>
      </c>
      <c r="F605" s="8">
        <v>119.229</v>
      </c>
      <c r="G605" s="8">
        <v>113.83499999999999</v>
      </c>
      <c r="H605" s="8">
        <v>79.38</v>
      </c>
      <c r="I605" s="8">
        <v>179.6</v>
      </c>
      <c r="J605" s="8">
        <v>67.75</v>
      </c>
      <c r="K605" s="268">
        <v>0.6038</v>
      </c>
      <c r="L605" s="268">
        <v>0.44319999999999998</v>
      </c>
      <c r="M605" s="268">
        <v>-1.9800000000000002E-2</v>
      </c>
      <c r="N605" s="8">
        <v>438.44</v>
      </c>
      <c r="O605" s="8">
        <v>7934.38</v>
      </c>
      <c r="P605" s="268">
        <v>5.5300000000000002E-2</v>
      </c>
      <c r="Q605" s="8">
        <v>537</v>
      </c>
      <c r="R605" s="8" t="s">
        <v>5332</v>
      </c>
      <c r="S605" s="8" t="s">
        <v>5333</v>
      </c>
      <c r="T605" s="8" t="s">
        <v>5334</v>
      </c>
      <c r="U605" s="8" t="s">
        <v>5335</v>
      </c>
      <c r="V605" s="8" t="s">
        <v>5336</v>
      </c>
      <c r="W605" s="8" t="s">
        <v>5337</v>
      </c>
    </row>
    <row r="606" spans="1:23" ht="28" customHeight="1" x14ac:dyDescent="0.3">
      <c r="A606" s="308">
        <v>45390</v>
      </c>
      <c r="B606" s="302">
        <v>1888.654</v>
      </c>
      <c r="C606" s="8">
        <v>-13.696999999999999</v>
      </c>
      <c r="D606" s="268">
        <v>-7.1999999999999998E-3</v>
      </c>
      <c r="E606" s="8">
        <v>21.27</v>
      </c>
      <c r="F606" s="8">
        <v>118.54300000000001</v>
      </c>
      <c r="G606" s="8">
        <v>112.998</v>
      </c>
      <c r="H606" s="8">
        <v>77.22</v>
      </c>
      <c r="I606" s="8">
        <v>181.11</v>
      </c>
      <c r="J606" s="8">
        <v>71.75</v>
      </c>
      <c r="K606" s="268">
        <v>0.62570000000000003</v>
      </c>
      <c r="L606" s="268">
        <v>0.45679999999999998</v>
      </c>
      <c r="M606" s="268">
        <v>-1.7500000000000002E-2</v>
      </c>
      <c r="N606" s="8">
        <v>420.7</v>
      </c>
      <c r="O606" s="8">
        <v>7936.24</v>
      </c>
      <c r="P606" s="268">
        <v>5.2999999999999999E-2</v>
      </c>
      <c r="Q606" s="8">
        <v>538</v>
      </c>
      <c r="R606" s="8" t="s">
        <v>5338</v>
      </c>
      <c r="S606" s="8" t="s">
        <v>5339</v>
      </c>
      <c r="T606" s="8" t="s">
        <v>5340</v>
      </c>
      <c r="U606" s="8" t="s">
        <v>5341</v>
      </c>
      <c r="V606" s="8" t="s">
        <v>5342</v>
      </c>
      <c r="W606" s="8" t="s">
        <v>5343</v>
      </c>
    </row>
    <row r="607" spans="1:23" ht="28" customHeight="1" x14ac:dyDescent="0.3">
      <c r="A607" s="308">
        <v>45385</v>
      </c>
      <c r="B607" s="302">
        <v>1902.3510000000001</v>
      </c>
      <c r="C607" s="8">
        <v>-0.495</v>
      </c>
      <c r="D607" s="268">
        <v>-2.9999999999999997E-4</v>
      </c>
      <c r="E607" s="8">
        <v>24.71</v>
      </c>
      <c r="F607" s="8">
        <v>119.474</v>
      </c>
      <c r="G607" s="8">
        <v>113.751</v>
      </c>
      <c r="H607" s="8">
        <v>79.91</v>
      </c>
      <c r="I607" s="8">
        <v>178.28</v>
      </c>
      <c r="J607" s="8">
        <v>65.569999999999993</v>
      </c>
      <c r="K607" s="268">
        <v>0.58799999999999997</v>
      </c>
      <c r="L607" s="268">
        <v>0.43020000000000003</v>
      </c>
      <c r="M607" s="268">
        <v>-1.9199999999999998E-2</v>
      </c>
      <c r="N607" s="8">
        <v>530.33000000000004</v>
      </c>
      <c r="O607" s="8">
        <v>7938.69</v>
      </c>
      <c r="P607" s="268">
        <v>6.6799999999999998E-2</v>
      </c>
      <c r="Q607" s="8">
        <v>538</v>
      </c>
      <c r="R607" s="8" t="s">
        <v>5344</v>
      </c>
      <c r="S607" s="8" t="s">
        <v>4117</v>
      </c>
      <c r="T607" s="8" t="s">
        <v>5345</v>
      </c>
      <c r="U607" s="8" t="s">
        <v>5346</v>
      </c>
      <c r="V607" s="8" t="s">
        <v>5347</v>
      </c>
      <c r="W607" s="8" t="s">
        <v>5348</v>
      </c>
    </row>
    <row r="608" spans="1:23" ht="28" customHeight="1" x14ac:dyDescent="0.3">
      <c r="A608" s="308">
        <v>45384</v>
      </c>
      <c r="B608" s="302">
        <v>1902.846</v>
      </c>
      <c r="C608" s="8">
        <v>-0.95199999999999996</v>
      </c>
      <c r="D608" s="268">
        <v>-5.0000000000000001E-4</v>
      </c>
      <c r="E608" s="8">
        <v>24.13</v>
      </c>
      <c r="F608" s="8">
        <v>119.548</v>
      </c>
      <c r="G608" s="8">
        <v>113.69</v>
      </c>
      <c r="H608" s="8">
        <v>80.95</v>
      </c>
      <c r="I608" s="8">
        <v>177.14</v>
      </c>
      <c r="J608" s="8">
        <v>62.69</v>
      </c>
      <c r="K608" s="268">
        <v>0.57589999999999997</v>
      </c>
      <c r="L608" s="268">
        <v>0.41099999999999998</v>
      </c>
      <c r="M608" s="268">
        <v>-1.95E-2</v>
      </c>
      <c r="N608" s="8">
        <v>568.54</v>
      </c>
      <c r="O608" s="8">
        <v>7943.97</v>
      </c>
      <c r="P608" s="268">
        <v>7.1599999999999997E-2</v>
      </c>
      <c r="Q608" s="8">
        <v>538</v>
      </c>
      <c r="R608" s="8" t="s">
        <v>3564</v>
      </c>
      <c r="S608" s="8" t="s">
        <v>5349</v>
      </c>
      <c r="T608" s="8" t="s">
        <v>5350</v>
      </c>
      <c r="U608" s="8" t="s">
        <v>5351</v>
      </c>
      <c r="V608" s="8" t="s">
        <v>5352</v>
      </c>
      <c r="W608" s="8" t="s">
        <v>5353</v>
      </c>
    </row>
    <row r="609" spans="1:23" ht="28" customHeight="1" x14ac:dyDescent="0.3">
      <c r="A609" s="308">
        <v>45383</v>
      </c>
      <c r="B609" s="302">
        <v>1903.798</v>
      </c>
      <c r="C609" s="8">
        <v>18.960999999999999</v>
      </c>
      <c r="D609" s="268">
        <v>1.01E-2</v>
      </c>
      <c r="E609" s="8">
        <v>23.44</v>
      </c>
      <c r="F609" s="8">
        <v>119.71599999999999</v>
      </c>
      <c r="G609" s="8">
        <v>113.5</v>
      </c>
      <c r="H609" s="8">
        <v>80.209999999999994</v>
      </c>
      <c r="I609" s="8">
        <v>177.83</v>
      </c>
      <c r="J609" s="8">
        <v>64.05</v>
      </c>
      <c r="K609" s="268">
        <v>0.58109999999999995</v>
      </c>
      <c r="L609" s="268">
        <v>0.4234</v>
      </c>
      <c r="M609" s="268">
        <v>-0.02</v>
      </c>
      <c r="N609" s="8">
        <v>503.82</v>
      </c>
      <c r="O609" s="8">
        <v>7945.69</v>
      </c>
      <c r="P609" s="268">
        <v>6.3399999999999998E-2</v>
      </c>
      <c r="Q609" s="8">
        <v>538</v>
      </c>
      <c r="R609" s="8" t="s">
        <v>5354</v>
      </c>
      <c r="S609" s="8" t="s">
        <v>5355</v>
      </c>
      <c r="T609" s="8" t="s">
        <v>5356</v>
      </c>
      <c r="U609" s="8" t="s">
        <v>5357</v>
      </c>
      <c r="V609" s="8" t="s">
        <v>5358</v>
      </c>
      <c r="W609" s="8" t="s">
        <v>5359</v>
      </c>
    </row>
    <row r="610" spans="1:23" ht="28" customHeight="1" x14ac:dyDescent="0.3">
      <c r="A610" s="308">
        <v>45380</v>
      </c>
      <c r="B610" s="302">
        <v>1884.837</v>
      </c>
      <c r="C610" s="8">
        <v>8.2940000000000005</v>
      </c>
      <c r="D610" s="268">
        <v>4.4000000000000003E-3</v>
      </c>
      <c r="E610" s="8">
        <v>18.760000000000002</v>
      </c>
      <c r="F610" s="8">
        <v>118.53100000000001</v>
      </c>
      <c r="G610" s="8">
        <v>112.17</v>
      </c>
      <c r="H610" s="8">
        <v>78.23</v>
      </c>
      <c r="I610" s="8">
        <v>179.53</v>
      </c>
      <c r="J610" s="8">
        <v>70.03</v>
      </c>
      <c r="K610" s="268">
        <v>0.61</v>
      </c>
      <c r="L610" s="268">
        <v>0.44540000000000002</v>
      </c>
      <c r="M610" s="268">
        <v>-1.6299999999999999E-2</v>
      </c>
      <c r="N610" s="8">
        <v>505.24</v>
      </c>
      <c r="O610" s="8">
        <v>8212.2999999999993</v>
      </c>
      <c r="P610" s="268">
        <v>6.1499999999999999E-2</v>
      </c>
      <c r="Q610" s="8">
        <v>538</v>
      </c>
      <c r="R610" s="8" t="s">
        <v>5360</v>
      </c>
      <c r="S610" s="8" t="s">
        <v>5361</v>
      </c>
      <c r="T610" s="8" t="s">
        <v>5362</v>
      </c>
      <c r="U610" s="8" t="s">
        <v>5363</v>
      </c>
      <c r="V610" s="8" t="s">
        <v>5364</v>
      </c>
      <c r="W610" s="8" t="s">
        <v>5365</v>
      </c>
    </row>
    <row r="611" spans="1:23" ht="28" customHeight="1" x14ac:dyDescent="0.3">
      <c r="A611" s="308">
        <v>45379</v>
      </c>
      <c r="B611" s="302">
        <v>1876.5429999999999</v>
      </c>
      <c r="C611" s="8">
        <v>12.933</v>
      </c>
      <c r="D611" s="268">
        <v>6.8999999999999999E-3</v>
      </c>
      <c r="E611" s="8">
        <v>17.39</v>
      </c>
      <c r="F611" s="8">
        <v>118.039</v>
      </c>
      <c r="G611" s="8">
        <v>111.61799999999999</v>
      </c>
      <c r="H611" s="8">
        <v>76.83</v>
      </c>
      <c r="I611" s="8">
        <v>180.85</v>
      </c>
      <c r="J611" s="8">
        <v>75.59</v>
      </c>
      <c r="K611" s="268">
        <v>0.62809999999999999</v>
      </c>
      <c r="L611" s="268">
        <v>0.45750000000000002</v>
      </c>
      <c r="M611" s="268">
        <v>-1.6199999999999999E-2</v>
      </c>
      <c r="N611" s="8">
        <v>546.09</v>
      </c>
      <c r="O611" s="8">
        <v>8216.08</v>
      </c>
      <c r="P611" s="268">
        <v>6.6500000000000004E-2</v>
      </c>
      <c r="Q611" s="8">
        <v>540</v>
      </c>
      <c r="R611" s="8" t="s">
        <v>5366</v>
      </c>
      <c r="S611" s="8" t="s">
        <v>5367</v>
      </c>
      <c r="T611" s="8" t="s">
        <v>5368</v>
      </c>
      <c r="U611" s="8" t="s">
        <v>5369</v>
      </c>
      <c r="V611" s="8" t="s">
        <v>5370</v>
      </c>
      <c r="W611" s="8" t="s">
        <v>5371</v>
      </c>
    </row>
    <row r="612" spans="1:23" ht="28" customHeight="1" x14ac:dyDescent="0.3">
      <c r="A612" s="308">
        <v>45378</v>
      </c>
      <c r="B612" s="302">
        <v>1863.61</v>
      </c>
      <c r="C612" s="8">
        <v>-20.861000000000001</v>
      </c>
      <c r="D612" s="268">
        <v>-1.11E-2</v>
      </c>
      <c r="E612" s="8">
        <v>13.79</v>
      </c>
      <c r="F612" s="8">
        <v>117.157</v>
      </c>
      <c r="G612" s="8">
        <v>111.07899999999999</v>
      </c>
      <c r="H612" s="8">
        <v>75.52</v>
      </c>
      <c r="I612" s="8">
        <v>182.47</v>
      </c>
      <c r="J612" s="8">
        <v>80.599999999999994</v>
      </c>
      <c r="K612" s="268">
        <v>0.6532</v>
      </c>
      <c r="L612" s="268">
        <v>0.47349999999999998</v>
      </c>
      <c r="M612" s="268">
        <v>-1.37E-2</v>
      </c>
      <c r="N612" s="8">
        <v>452.42</v>
      </c>
      <c r="O612" s="8">
        <v>8205.73</v>
      </c>
      <c r="P612" s="268">
        <v>5.5100000000000003E-2</v>
      </c>
      <c r="Q612" s="8">
        <v>539</v>
      </c>
      <c r="R612" s="8" t="s">
        <v>5372</v>
      </c>
      <c r="S612" s="8" t="s">
        <v>5373</v>
      </c>
      <c r="T612" s="8" t="s">
        <v>5374</v>
      </c>
      <c r="U612" s="8" t="s">
        <v>5375</v>
      </c>
      <c r="V612" s="8" t="s">
        <v>5376</v>
      </c>
      <c r="W612" s="8" t="s">
        <v>5377</v>
      </c>
    </row>
    <row r="613" spans="1:23" ht="28" customHeight="1" x14ac:dyDescent="0.3">
      <c r="A613" s="308">
        <v>45377</v>
      </c>
      <c r="B613" s="302">
        <v>1884.471</v>
      </c>
      <c r="C613" s="8">
        <v>-6.3150000000000004</v>
      </c>
      <c r="D613" s="268">
        <v>-3.3E-3</v>
      </c>
      <c r="E613" s="8">
        <v>18.28</v>
      </c>
      <c r="F613" s="8">
        <v>118.75</v>
      </c>
      <c r="G613" s="8">
        <v>112.309</v>
      </c>
      <c r="H613" s="8">
        <v>78.06</v>
      </c>
      <c r="I613" s="8">
        <v>180.12</v>
      </c>
      <c r="J613" s="8">
        <v>73.430000000000007</v>
      </c>
      <c r="K613" s="268">
        <v>0.61380000000000001</v>
      </c>
      <c r="L613" s="268">
        <v>0.44140000000000001</v>
      </c>
      <c r="M613" s="268">
        <v>-1.78E-2</v>
      </c>
      <c r="N613" s="8">
        <v>555.05999999999995</v>
      </c>
      <c r="O613" s="8">
        <v>8210.9500000000007</v>
      </c>
      <c r="P613" s="268">
        <v>6.7599999999999993E-2</v>
      </c>
      <c r="Q613" s="8">
        <v>541</v>
      </c>
      <c r="R613" s="8" t="s">
        <v>5378</v>
      </c>
      <c r="S613" s="8" t="s">
        <v>5379</v>
      </c>
      <c r="T613" s="8" t="s">
        <v>5380</v>
      </c>
      <c r="U613" s="8" t="s">
        <v>5381</v>
      </c>
      <c r="V613" s="8" t="s">
        <v>5382</v>
      </c>
      <c r="W613" s="8" t="s">
        <v>5383</v>
      </c>
    </row>
    <row r="614" spans="1:23" ht="28" customHeight="1" x14ac:dyDescent="0.3">
      <c r="A614" s="308">
        <v>45376</v>
      </c>
      <c r="B614" s="302">
        <v>1890.7860000000001</v>
      </c>
      <c r="C614" s="8">
        <v>-9.5589999999999993</v>
      </c>
      <c r="D614" s="268">
        <v>-5.0000000000000001E-3</v>
      </c>
      <c r="E614" s="8">
        <v>20.59</v>
      </c>
      <c r="F614" s="8">
        <v>119.18300000000001</v>
      </c>
      <c r="G614" s="8">
        <v>112.529</v>
      </c>
      <c r="H614" s="8">
        <v>78.06</v>
      </c>
      <c r="I614" s="8">
        <v>181.62</v>
      </c>
      <c r="J614" s="8">
        <v>78.39</v>
      </c>
      <c r="K614" s="268">
        <v>0.62439999999999996</v>
      </c>
      <c r="L614" s="268">
        <v>0.4476</v>
      </c>
      <c r="M614" s="268">
        <v>-1.8499999999999999E-2</v>
      </c>
      <c r="N614" s="8">
        <v>462.22</v>
      </c>
      <c r="O614" s="8">
        <v>8214.7199999999993</v>
      </c>
      <c r="P614" s="268">
        <v>5.6300000000000003E-2</v>
      </c>
      <c r="Q614" s="8">
        <v>541</v>
      </c>
      <c r="R614" s="8" t="s">
        <v>5384</v>
      </c>
      <c r="S614" s="8" t="s">
        <v>5385</v>
      </c>
      <c r="T614" s="8" t="s">
        <v>5386</v>
      </c>
      <c r="U614" s="8" t="s">
        <v>5387</v>
      </c>
      <c r="V614" s="8" t="s">
        <v>5388</v>
      </c>
      <c r="W614" s="8" t="s">
        <v>5389</v>
      </c>
    </row>
    <row r="615" spans="1:23" ht="28" customHeight="1" x14ac:dyDescent="0.3">
      <c r="A615" s="308">
        <v>45373</v>
      </c>
      <c r="B615" s="302">
        <v>1900.345</v>
      </c>
      <c r="C615" s="8">
        <v>-8.1110000000000007</v>
      </c>
      <c r="D615" s="268">
        <v>-4.1999999999999997E-3</v>
      </c>
      <c r="E615" s="8">
        <v>23.68</v>
      </c>
      <c r="F615" s="8">
        <v>119.78700000000001</v>
      </c>
      <c r="G615" s="8">
        <v>113.429</v>
      </c>
      <c r="H615" s="8">
        <v>80.58</v>
      </c>
      <c r="I615" s="8">
        <v>179.46</v>
      </c>
      <c r="J615" s="8">
        <v>70.180000000000007</v>
      </c>
      <c r="K615" s="268">
        <v>0.59670000000000001</v>
      </c>
      <c r="L615" s="268">
        <v>0.4128</v>
      </c>
      <c r="M615" s="268">
        <v>-1.9800000000000002E-2</v>
      </c>
      <c r="N615" s="8">
        <v>432.75</v>
      </c>
      <c r="O615" s="8">
        <v>8217.89</v>
      </c>
      <c r="P615" s="268">
        <v>5.2699999999999997E-2</v>
      </c>
      <c r="Q615" s="8">
        <v>541</v>
      </c>
      <c r="R615" s="8" t="s">
        <v>3533</v>
      </c>
      <c r="S615" s="8" t="s">
        <v>5390</v>
      </c>
      <c r="T615" s="8" t="s">
        <v>5391</v>
      </c>
      <c r="U615" s="8" t="s">
        <v>5392</v>
      </c>
      <c r="V615" s="8" t="s">
        <v>5393</v>
      </c>
      <c r="W615" s="8" t="s">
        <v>5394</v>
      </c>
    </row>
    <row r="616" spans="1:23" ht="28" customHeight="1" x14ac:dyDescent="0.3">
      <c r="A616" s="308">
        <v>45372</v>
      </c>
      <c r="B616" s="302">
        <v>1908.4559999999999</v>
      </c>
      <c r="C616" s="8">
        <v>3.7999999999999999E-2</v>
      </c>
      <c r="D616" s="268">
        <v>0</v>
      </c>
      <c r="E616" s="8">
        <v>25.66</v>
      </c>
      <c r="F616" s="8">
        <v>120.24299999999999</v>
      </c>
      <c r="G616" s="8">
        <v>114.011</v>
      </c>
      <c r="H616" s="8">
        <v>80.819999999999993</v>
      </c>
      <c r="I616" s="8">
        <v>177.64</v>
      </c>
      <c r="J616" s="8">
        <v>64.989999999999995</v>
      </c>
      <c r="K616" s="268">
        <v>0.57399999999999995</v>
      </c>
      <c r="L616" s="268">
        <v>0.40429999999999999</v>
      </c>
      <c r="M616" s="268">
        <v>-2.12E-2</v>
      </c>
      <c r="N616" s="8">
        <v>413.56</v>
      </c>
      <c r="O616" s="8">
        <v>8221.2999999999993</v>
      </c>
      <c r="P616" s="268">
        <v>5.0299999999999997E-2</v>
      </c>
      <c r="Q616" s="8">
        <v>541</v>
      </c>
      <c r="R616" s="8" t="s">
        <v>3529</v>
      </c>
      <c r="S616" s="8" t="s">
        <v>5395</v>
      </c>
      <c r="T616" s="8" t="s">
        <v>5396</v>
      </c>
      <c r="U616" s="8" t="s">
        <v>5397</v>
      </c>
      <c r="V616" s="8" t="s">
        <v>5398</v>
      </c>
      <c r="W616" s="8" t="s">
        <v>5399</v>
      </c>
    </row>
    <row r="617" spans="1:23" ht="28" customHeight="1" x14ac:dyDescent="0.3">
      <c r="A617" s="308">
        <v>45371</v>
      </c>
      <c r="B617" s="302">
        <v>1908.4179999999999</v>
      </c>
      <c r="C617" s="8">
        <v>10.816000000000001</v>
      </c>
      <c r="D617" s="268">
        <v>5.7000000000000002E-3</v>
      </c>
      <c r="E617" s="8">
        <v>26.54</v>
      </c>
      <c r="F617" s="8">
        <v>120.245</v>
      </c>
      <c r="G617" s="8">
        <v>114.321</v>
      </c>
      <c r="H617" s="8">
        <v>81.22</v>
      </c>
      <c r="I617" s="8">
        <v>177.18</v>
      </c>
      <c r="J617" s="8">
        <v>63.73</v>
      </c>
      <c r="K617" s="268">
        <v>0.56940000000000002</v>
      </c>
      <c r="L617" s="268">
        <v>0.40710000000000002</v>
      </c>
      <c r="M617" s="268">
        <v>-2.1499999999999998E-2</v>
      </c>
      <c r="N617" s="8">
        <v>420.61</v>
      </c>
      <c r="O617" s="8">
        <v>8227.4699999999993</v>
      </c>
      <c r="P617" s="268">
        <v>5.11E-2</v>
      </c>
      <c r="Q617" s="8">
        <v>542</v>
      </c>
      <c r="R617" s="8" t="s">
        <v>5400</v>
      </c>
      <c r="S617" s="8" t="s">
        <v>5401</v>
      </c>
      <c r="T617" s="8" t="s">
        <v>5402</v>
      </c>
      <c r="U617" s="8" t="s">
        <v>5403</v>
      </c>
      <c r="V617" s="8" t="s">
        <v>5404</v>
      </c>
      <c r="W617" s="8" t="s">
        <v>5405</v>
      </c>
    </row>
    <row r="618" spans="1:23" ht="28" customHeight="1" x14ac:dyDescent="0.3">
      <c r="A618" s="308">
        <v>45370</v>
      </c>
      <c r="B618" s="302">
        <v>1897.6020000000001</v>
      </c>
      <c r="C618" s="8">
        <v>3.7879999999999998</v>
      </c>
      <c r="D618" s="268">
        <v>2E-3</v>
      </c>
      <c r="E618" s="8">
        <v>23.96</v>
      </c>
      <c r="F618" s="8">
        <v>119.574</v>
      </c>
      <c r="G618" s="8">
        <v>113.185</v>
      </c>
      <c r="H618" s="8">
        <v>79.900000000000006</v>
      </c>
      <c r="I618" s="8">
        <v>177.37</v>
      </c>
      <c r="J618" s="8">
        <v>65.45</v>
      </c>
      <c r="K618" s="268">
        <v>0.57799999999999996</v>
      </c>
      <c r="L618" s="268">
        <v>0.41120000000000001</v>
      </c>
      <c r="M618" s="268">
        <v>-1.95E-2</v>
      </c>
      <c r="N618" s="8">
        <v>387.19</v>
      </c>
      <c r="O618" s="8">
        <v>8229.33</v>
      </c>
      <c r="P618" s="268">
        <v>4.7E-2</v>
      </c>
      <c r="Q618" s="8">
        <v>542</v>
      </c>
      <c r="R618" s="8" t="s">
        <v>5406</v>
      </c>
      <c r="S618" s="8" t="s">
        <v>5407</v>
      </c>
      <c r="T618" s="8" t="s">
        <v>5408</v>
      </c>
      <c r="U618" s="8" t="s">
        <v>5409</v>
      </c>
      <c r="V618" s="8" t="s">
        <v>4414</v>
      </c>
      <c r="W618" s="8" t="s">
        <v>5410</v>
      </c>
    </row>
    <row r="619" spans="1:23" ht="28" customHeight="1" x14ac:dyDescent="0.3">
      <c r="A619" s="308">
        <v>45369</v>
      </c>
      <c r="B619" s="302">
        <v>1893.8140000000001</v>
      </c>
      <c r="C619" s="8">
        <v>15.571</v>
      </c>
      <c r="D619" s="268">
        <v>8.3000000000000001E-3</v>
      </c>
      <c r="E619" s="8">
        <v>23.88</v>
      </c>
      <c r="F619" s="8">
        <v>119.363</v>
      </c>
      <c r="G619" s="8">
        <v>112.81100000000001</v>
      </c>
      <c r="H619" s="8">
        <v>80.36</v>
      </c>
      <c r="I619" s="8">
        <v>176.71</v>
      </c>
      <c r="J619" s="8">
        <v>62.83</v>
      </c>
      <c r="K619" s="268">
        <v>0.57340000000000002</v>
      </c>
      <c r="L619" s="268">
        <v>0.41160000000000002</v>
      </c>
      <c r="M619" s="268">
        <v>-1.72E-2</v>
      </c>
      <c r="N619" s="8">
        <v>417.53</v>
      </c>
      <c r="O619" s="8">
        <v>8232.59</v>
      </c>
      <c r="P619" s="268">
        <v>5.0700000000000002E-2</v>
      </c>
      <c r="Q619" s="8">
        <v>542</v>
      </c>
      <c r="R619" s="8" t="s">
        <v>5411</v>
      </c>
      <c r="S619" s="8" t="s">
        <v>5412</v>
      </c>
      <c r="T619" s="8" t="s">
        <v>5413</v>
      </c>
      <c r="U619" s="8" t="s">
        <v>5414</v>
      </c>
      <c r="V619" s="8" t="s">
        <v>5415</v>
      </c>
      <c r="W619" s="8" t="s">
        <v>5416</v>
      </c>
    </row>
    <row r="620" spans="1:23" ht="28" customHeight="1" x14ac:dyDescent="0.3">
      <c r="A620" s="308">
        <v>45366</v>
      </c>
      <c r="B620" s="302">
        <v>1878.2429999999999</v>
      </c>
      <c r="C620" s="8">
        <v>9.14</v>
      </c>
      <c r="D620" s="268">
        <v>4.8999999999999998E-3</v>
      </c>
      <c r="E620" s="8">
        <v>20.38</v>
      </c>
      <c r="F620" s="8">
        <v>118.367</v>
      </c>
      <c r="G620" s="8">
        <v>112.06100000000001</v>
      </c>
      <c r="H620" s="8">
        <v>78.319999999999993</v>
      </c>
      <c r="I620" s="8">
        <v>177.68</v>
      </c>
      <c r="J620" s="8">
        <v>67.28</v>
      </c>
      <c r="K620" s="268">
        <v>0.59309999999999996</v>
      </c>
      <c r="L620" s="268">
        <v>0.41799999999999998</v>
      </c>
      <c r="M620" s="268">
        <v>-1.41E-2</v>
      </c>
      <c r="N620" s="8">
        <v>375.36</v>
      </c>
      <c r="O620" s="8">
        <v>8234.86</v>
      </c>
      <c r="P620" s="268">
        <v>4.5600000000000002E-2</v>
      </c>
      <c r="Q620" s="8">
        <v>542</v>
      </c>
      <c r="R620" s="8" t="s">
        <v>5417</v>
      </c>
      <c r="S620" s="8" t="s">
        <v>5418</v>
      </c>
      <c r="T620" s="8" t="s">
        <v>5419</v>
      </c>
      <c r="U620" s="8" t="s">
        <v>5420</v>
      </c>
      <c r="V620" s="8" t="s">
        <v>5421</v>
      </c>
      <c r="W620" s="8" t="s">
        <v>5422</v>
      </c>
    </row>
    <row r="621" spans="1:23" ht="28" customHeight="1" x14ac:dyDescent="0.3">
      <c r="A621" s="308">
        <v>45365</v>
      </c>
      <c r="B621" s="302">
        <v>1869.1030000000001</v>
      </c>
      <c r="C621" s="8">
        <v>-3.7080000000000002</v>
      </c>
      <c r="D621" s="268">
        <v>-2E-3</v>
      </c>
      <c r="E621" s="8">
        <v>16.96</v>
      </c>
      <c r="F621" s="8">
        <v>117.755</v>
      </c>
      <c r="G621" s="8">
        <v>111.60599999999999</v>
      </c>
      <c r="H621" s="8">
        <v>77.61</v>
      </c>
      <c r="I621" s="8">
        <v>178.63</v>
      </c>
      <c r="J621" s="8">
        <v>71.989999999999995</v>
      </c>
      <c r="K621" s="268">
        <v>0.60870000000000002</v>
      </c>
      <c r="L621" s="268">
        <v>0.43680000000000002</v>
      </c>
      <c r="M621" s="268">
        <v>-1.2500000000000001E-2</v>
      </c>
      <c r="N621" s="8">
        <v>378.4</v>
      </c>
      <c r="O621" s="8">
        <v>8237.9599999999991</v>
      </c>
      <c r="P621" s="268">
        <v>4.5900000000000003E-2</v>
      </c>
      <c r="Q621" s="8">
        <v>542</v>
      </c>
      <c r="R621" s="8" t="s">
        <v>5423</v>
      </c>
      <c r="S621" s="8" t="s">
        <v>5424</v>
      </c>
      <c r="T621" s="8" t="s">
        <v>5425</v>
      </c>
      <c r="U621" s="8" t="s">
        <v>5426</v>
      </c>
      <c r="V621" s="8" t="s">
        <v>5427</v>
      </c>
      <c r="W621" s="8" t="s">
        <v>5428</v>
      </c>
    </row>
    <row r="622" spans="1:23" ht="28" customHeight="1" x14ac:dyDescent="0.3">
      <c r="A622" s="308">
        <v>45364</v>
      </c>
      <c r="B622" s="302">
        <v>1872.8109999999999</v>
      </c>
      <c r="C622" s="8">
        <v>1.5720000000000001</v>
      </c>
      <c r="D622" s="268">
        <v>8.0000000000000004E-4</v>
      </c>
      <c r="E622" s="8">
        <v>18.260000000000002</v>
      </c>
      <c r="F622" s="8">
        <v>117.943</v>
      </c>
      <c r="G622" s="8">
        <v>111.995</v>
      </c>
      <c r="H622" s="8">
        <v>78.010000000000005</v>
      </c>
      <c r="I622" s="8">
        <v>178.06</v>
      </c>
      <c r="J622" s="8">
        <v>72.099999999999994</v>
      </c>
      <c r="K622" s="268">
        <v>0.60119999999999996</v>
      </c>
      <c r="L622" s="268">
        <v>0.42830000000000001</v>
      </c>
      <c r="M622" s="268">
        <v>-1.29E-2</v>
      </c>
      <c r="N622" s="8">
        <v>434.81</v>
      </c>
      <c r="O622" s="8">
        <v>8240.9699999999993</v>
      </c>
      <c r="P622" s="268">
        <v>5.28E-2</v>
      </c>
      <c r="Q622" s="8">
        <v>542</v>
      </c>
      <c r="R622" s="8" t="s">
        <v>5429</v>
      </c>
      <c r="S622" s="8" t="s">
        <v>5430</v>
      </c>
      <c r="T622" s="8" t="s">
        <v>5431</v>
      </c>
      <c r="U622" s="8" t="s">
        <v>5432</v>
      </c>
      <c r="V622" s="8" t="s">
        <v>5433</v>
      </c>
      <c r="W622" s="8" t="s">
        <v>5434</v>
      </c>
    </row>
    <row r="623" spans="1:23" ht="28" customHeight="1" x14ac:dyDescent="0.3">
      <c r="A623" s="308">
        <v>45363</v>
      </c>
      <c r="B623" s="302">
        <v>1871.239</v>
      </c>
      <c r="C623" s="8">
        <v>5.6340000000000003</v>
      </c>
      <c r="D623" s="268">
        <v>3.0000000000000001E-3</v>
      </c>
      <c r="E623" s="8">
        <v>18.18</v>
      </c>
      <c r="F623" s="8">
        <v>117.81399999999999</v>
      </c>
      <c r="G623" s="8">
        <v>111.75</v>
      </c>
      <c r="H623" s="8">
        <v>78.56</v>
      </c>
      <c r="I623" s="8">
        <v>178.07</v>
      </c>
      <c r="J623" s="8">
        <v>70.3</v>
      </c>
      <c r="K623" s="268">
        <v>0.60260000000000002</v>
      </c>
      <c r="L623" s="268">
        <v>0.42870000000000003</v>
      </c>
      <c r="M623" s="268">
        <v>-1.2699999999999999E-2</v>
      </c>
      <c r="N623" s="8">
        <v>411.63</v>
      </c>
      <c r="O623" s="8">
        <v>8249.49</v>
      </c>
      <c r="P623" s="268">
        <v>4.99E-2</v>
      </c>
      <c r="Q623" s="8">
        <v>543</v>
      </c>
      <c r="R623" s="8" t="s">
        <v>5435</v>
      </c>
      <c r="S623" s="8" t="s">
        <v>5436</v>
      </c>
      <c r="T623" s="8" t="s">
        <v>5437</v>
      </c>
      <c r="U623" s="8" t="s">
        <v>5438</v>
      </c>
      <c r="V623" s="8" t="s">
        <v>5439</v>
      </c>
      <c r="W623" s="8" t="s">
        <v>5440</v>
      </c>
    </row>
    <row r="624" spans="1:23" ht="28" customHeight="1" x14ac:dyDescent="0.3">
      <c r="A624" s="308">
        <v>45362</v>
      </c>
      <c r="B624" s="302">
        <v>1865.605</v>
      </c>
      <c r="C624" s="8">
        <v>13.06</v>
      </c>
      <c r="D624" s="268">
        <v>7.0000000000000001E-3</v>
      </c>
      <c r="E624" s="8">
        <v>15.94</v>
      </c>
      <c r="F624" s="8">
        <v>117.50700000000001</v>
      </c>
      <c r="G624" s="8">
        <v>111.5</v>
      </c>
      <c r="H624" s="8">
        <v>78.180000000000007</v>
      </c>
      <c r="I624" s="8">
        <v>179.4</v>
      </c>
      <c r="J624" s="8">
        <v>70.11</v>
      </c>
      <c r="K624" s="268">
        <v>0.61890000000000001</v>
      </c>
      <c r="L624" s="268">
        <v>0.436</v>
      </c>
      <c r="M624" s="268">
        <v>-1.21E-2</v>
      </c>
      <c r="N624" s="8">
        <v>374.2</v>
      </c>
      <c r="O624" s="8">
        <v>8255.61</v>
      </c>
      <c r="P624" s="268">
        <v>4.53E-2</v>
      </c>
      <c r="Q624" s="8">
        <v>543</v>
      </c>
      <c r="R624" s="8" t="s">
        <v>5441</v>
      </c>
      <c r="S624" s="8" t="s">
        <v>5442</v>
      </c>
      <c r="T624" s="8" t="s">
        <v>5443</v>
      </c>
      <c r="U624" s="8" t="s">
        <v>5444</v>
      </c>
      <c r="V624" s="8" t="s">
        <v>5445</v>
      </c>
      <c r="W624" s="8" t="s">
        <v>5446</v>
      </c>
    </row>
    <row r="625" spans="1:23" ht="28" customHeight="1" x14ac:dyDescent="0.3">
      <c r="A625" s="308">
        <v>45359</v>
      </c>
      <c r="B625" s="302">
        <v>1852.5450000000001</v>
      </c>
      <c r="C625" s="8">
        <v>7.601</v>
      </c>
      <c r="D625" s="268">
        <v>4.1000000000000003E-3</v>
      </c>
      <c r="E625" s="8">
        <v>12.68</v>
      </c>
      <c r="F625" s="8">
        <v>116.648</v>
      </c>
      <c r="G625" s="8">
        <v>110.471</v>
      </c>
      <c r="H625" s="8">
        <v>76.09</v>
      </c>
      <c r="I625" s="8">
        <v>181.29</v>
      </c>
      <c r="J625" s="8">
        <v>75.5</v>
      </c>
      <c r="K625" s="268">
        <v>0.64639999999999997</v>
      </c>
      <c r="L625" s="268">
        <v>0.4657</v>
      </c>
      <c r="M625" s="268">
        <v>-9.4000000000000004E-3</v>
      </c>
      <c r="N625" s="8">
        <v>355.33</v>
      </c>
      <c r="O625" s="8">
        <v>8283.75</v>
      </c>
      <c r="P625" s="268">
        <v>4.2900000000000001E-2</v>
      </c>
      <c r="Q625" s="8">
        <v>544</v>
      </c>
      <c r="R625" s="8" t="s">
        <v>5447</v>
      </c>
      <c r="S625" s="8" t="s">
        <v>5448</v>
      </c>
      <c r="T625" s="8" t="s">
        <v>5449</v>
      </c>
      <c r="U625" s="8" t="s">
        <v>5450</v>
      </c>
      <c r="V625" s="8" t="s">
        <v>5451</v>
      </c>
      <c r="W625" s="8" t="s">
        <v>5452</v>
      </c>
    </row>
    <row r="626" spans="1:23" ht="28" customHeight="1" x14ac:dyDescent="0.3">
      <c r="A626" s="308">
        <v>45358</v>
      </c>
      <c r="B626" s="302">
        <v>1844.944</v>
      </c>
      <c r="C626" s="8">
        <v>-7.2789999999999999</v>
      </c>
      <c r="D626" s="268">
        <v>-3.8999999999999998E-3</v>
      </c>
      <c r="E626" s="8">
        <v>11.96</v>
      </c>
      <c r="F626" s="8">
        <v>116.07599999999999</v>
      </c>
      <c r="G626" s="8">
        <v>110.172</v>
      </c>
      <c r="H626" s="8">
        <v>75.09</v>
      </c>
      <c r="I626" s="8">
        <v>182.42</v>
      </c>
      <c r="J626" s="8">
        <v>79.260000000000005</v>
      </c>
      <c r="K626" s="268">
        <v>0.66339999999999999</v>
      </c>
      <c r="L626" s="268">
        <v>0.47789999999999999</v>
      </c>
      <c r="M626" s="268">
        <v>-7.4999999999999997E-3</v>
      </c>
      <c r="N626" s="8">
        <v>343.4</v>
      </c>
      <c r="O626" s="8">
        <v>8287.44</v>
      </c>
      <c r="P626" s="268">
        <v>4.1399999999999999E-2</v>
      </c>
      <c r="Q626" s="8">
        <v>543</v>
      </c>
      <c r="R626" s="8" t="s">
        <v>5453</v>
      </c>
      <c r="S626" s="8" t="s">
        <v>5454</v>
      </c>
      <c r="T626" s="8" t="s">
        <v>5455</v>
      </c>
      <c r="U626" s="8" t="s">
        <v>5456</v>
      </c>
      <c r="V626" s="8" t="s">
        <v>5457</v>
      </c>
      <c r="W626" s="8" t="s">
        <v>5458</v>
      </c>
    </row>
    <row r="627" spans="1:23" ht="28" customHeight="1" x14ac:dyDescent="0.3">
      <c r="A627" s="308">
        <v>45357</v>
      </c>
      <c r="B627" s="302">
        <v>1852.223</v>
      </c>
      <c r="C627" s="8">
        <v>2.1280000000000001</v>
      </c>
      <c r="D627" s="268">
        <v>1.1999999999999999E-3</v>
      </c>
      <c r="E627" s="8">
        <v>12.42</v>
      </c>
      <c r="F627" s="8">
        <v>116.554</v>
      </c>
      <c r="G627" s="8">
        <v>110.8</v>
      </c>
      <c r="H627" s="8">
        <v>75.27</v>
      </c>
      <c r="I627" s="8">
        <v>182.15</v>
      </c>
      <c r="J627" s="8">
        <v>78.150000000000006</v>
      </c>
      <c r="K627" s="268">
        <v>0.65600000000000003</v>
      </c>
      <c r="L627" s="268">
        <v>0.48230000000000001</v>
      </c>
      <c r="M627" s="268">
        <v>-8.8000000000000005E-3</v>
      </c>
      <c r="N627" s="8">
        <v>353.12</v>
      </c>
      <c r="O627" s="8">
        <v>8336.4</v>
      </c>
      <c r="P627" s="268">
        <v>4.24E-2</v>
      </c>
      <c r="Q627" s="8">
        <v>543</v>
      </c>
      <c r="R627" s="8" t="s">
        <v>5459</v>
      </c>
      <c r="S627" s="8" t="s">
        <v>5460</v>
      </c>
      <c r="T627" s="8" t="s">
        <v>5461</v>
      </c>
      <c r="U627" s="8" t="s">
        <v>5462</v>
      </c>
      <c r="V627" s="8" t="s">
        <v>5463</v>
      </c>
      <c r="W627" s="8" t="s">
        <v>5464</v>
      </c>
    </row>
    <row r="628" spans="1:23" ht="28" customHeight="1" x14ac:dyDescent="0.3">
      <c r="A628" s="308">
        <v>45356</v>
      </c>
      <c r="B628" s="302">
        <v>1850.095</v>
      </c>
      <c r="C628" s="8">
        <v>-14.750999999999999</v>
      </c>
      <c r="D628" s="268">
        <v>-7.9000000000000008E-3</v>
      </c>
      <c r="E628" s="8">
        <v>12</v>
      </c>
      <c r="F628" s="8">
        <v>116.36199999999999</v>
      </c>
      <c r="G628" s="8">
        <v>110.762</v>
      </c>
      <c r="H628" s="8">
        <v>74.31</v>
      </c>
      <c r="I628" s="8">
        <v>183.38</v>
      </c>
      <c r="J628" s="8">
        <v>81.31</v>
      </c>
      <c r="K628" s="268">
        <v>0.67020000000000002</v>
      </c>
      <c r="L628" s="268">
        <v>0.50239999999999996</v>
      </c>
      <c r="M628" s="268">
        <v>-8.3000000000000001E-3</v>
      </c>
      <c r="N628" s="8">
        <v>399.25</v>
      </c>
      <c r="O628" s="8">
        <v>8347.14</v>
      </c>
      <c r="P628" s="268">
        <v>4.7800000000000002E-2</v>
      </c>
      <c r="Q628" s="8">
        <v>544</v>
      </c>
      <c r="R628" s="8" t="s">
        <v>5465</v>
      </c>
      <c r="S628" s="8" t="s">
        <v>5466</v>
      </c>
      <c r="T628" s="8" t="s">
        <v>5467</v>
      </c>
      <c r="U628" s="8" t="s">
        <v>5468</v>
      </c>
      <c r="V628" s="8" t="s">
        <v>5469</v>
      </c>
      <c r="W628" s="8" t="s">
        <v>5470</v>
      </c>
    </row>
    <row r="629" spans="1:23" ht="28" customHeight="1" x14ac:dyDescent="0.3">
      <c r="A629" s="308">
        <v>45355</v>
      </c>
      <c r="B629" s="302">
        <v>1864.846</v>
      </c>
      <c r="C629" s="8">
        <v>-5.1239999999999997</v>
      </c>
      <c r="D629" s="268">
        <v>-2.7000000000000001E-3</v>
      </c>
      <c r="E629" s="8">
        <v>14.72</v>
      </c>
      <c r="F629" s="8">
        <v>117.264</v>
      </c>
      <c r="G629" s="8">
        <v>111.834</v>
      </c>
      <c r="H629" s="8">
        <v>76.069999999999993</v>
      </c>
      <c r="I629" s="8">
        <v>182.54</v>
      </c>
      <c r="J629" s="8">
        <v>79.739999999999995</v>
      </c>
      <c r="K629" s="268">
        <v>0.65280000000000005</v>
      </c>
      <c r="L629" s="268">
        <v>0.48720000000000002</v>
      </c>
      <c r="M629" s="268">
        <v>-1.0699999999999999E-2</v>
      </c>
      <c r="N629" s="8">
        <v>404.2</v>
      </c>
      <c r="O629" s="8">
        <v>8351.75</v>
      </c>
      <c r="P629" s="268">
        <v>4.8399999999999999E-2</v>
      </c>
      <c r="Q629" s="8">
        <v>544</v>
      </c>
      <c r="R629" s="8" t="s">
        <v>3745</v>
      </c>
      <c r="S629" s="8" t="s">
        <v>5471</v>
      </c>
      <c r="T629" s="8" t="s">
        <v>5472</v>
      </c>
      <c r="U629" s="8" t="s">
        <v>5473</v>
      </c>
      <c r="V629" s="8" t="s">
        <v>5474</v>
      </c>
      <c r="W629" s="8" t="s">
        <v>4624</v>
      </c>
    </row>
    <row r="630" spans="1:23" ht="28" customHeight="1" x14ac:dyDescent="0.3">
      <c r="A630" s="308">
        <v>45352</v>
      </c>
      <c r="B630" s="302">
        <v>1869.97</v>
      </c>
      <c r="C630" s="8">
        <v>7.2089999999999996</v>
      </c>
      <c r="D630" s="268">
        <v>3.8999999999999998E-3</v>
      </c>
      <c r="E630" s="8">
        <v>16.989999999999998</v>
      </c>
      <c r="F630" s="8">
        <v>117.52800000000001</v>
      </c>
      <c r="G630" s="8">
        <v>112.664</v>
      </c>
      <c r="H630" s="8">
        <v>75.72</v>
      </c>
      <c r="I630" s="8">
        <v>183.4</v>
      </c>
      <c r="J630" s="8">
        <v>80.72</v>
      </c>
      <c r="K630" s="268">
        <v>0.65869999999999995</v>
      </c>
      <c r="L630" s="268">
        <v>0.48859999999999998</v>
      </c>
      <c r="M630" s="268">
        <v>-1.09E-2</v>
      </c>
      <c r="N630" s="8">
        <v>425.69</v>
      </c>
      <c r="O630" s="8">
        <v>8355.2900000000009</v>
      </c>
      <c r="P630" s="268">
        <v>5.0900000000000001E-2</v>
      </c>
      <c r="Q630" s="8">
        <v>544</v>
      </c>
      <c r="R630" s="8" t="s">
        <v>3891</v>
      </c>
      <c r="S630" s="8" t="s">
        <v>5475</v>
      </c>
      <c r="T630" s="8" t="s">
        <v>5476</v>
      </c>
      <c r="U630" s="8" t="s">
        <v>5477</v>
      </c>
      <c r="V630" s="8" t="s">
        <v>5478</v>
      </c>
      <c r="W630" s="8" t="s">
        <v>5479</v>
      </c>
    </row>
    <row r="631" spans="1:23" ht="28" customHeight="1" x14ac:dyDescent="0.3">
      <c r="A631" s="308">
        <v>45351</v>
      </c>
      <c r="B631" s="302">
        <v>1862.761</v>
      </c>
      <c r="C631" s="8">
        <v>22.614999999999998</v>
      </c>
      <c r="D631" s="268">
        <v>1.23E-2</v>
      </c>
      <c r="E631" s="8">
        <v>15.06</v>
      </c>
      <c r="F631" s="8">
        <v>117.054</v>
      </c>
      <c r="G631" s="8">
        <v>112.114</v>
      </c>
      <c r="H631" s="8">
        <v>74.77</v>
      </c>
      <c r="I631" s="8">
        <v>183.95</v>
      </c>
      <c r="J631" s="8">
        <v>82.75</v>
      </c>
      <c r="K631" s="268">
        <v>0.66890000000000005</v>
      </c>
      <c r="L631" s="268">
        <v>0.50209999999999999</v>
      </c>
      <c r="M631" s="268">
        <v>-9.7000000000000003E-3</v>
      </c>
      <c r="N631" s="8">
        <v>453.79</v>
      </c>
      <c r="O631" s="8">
        <v>8355.9500000000007</v>
      </c>
      <c r="P631" s="268">
        <v>5.4300000000000001E-2</v>
      </c>
      <c r="Q631" s="8">
        <v>544</v>
      </c>
      <c r="R631" s="8" t="s">
        <v>5480</v>
      </c>
      <c r="S631" s="8" t="s">
        <v>5481</v>
      </c>
      <c r="T631" s="8" t="s">
        <v>5482</v>
      </c>
      <c r="U631" s="8" t="s">
        <v>5483</v>
      </c>
      <c r="V631" s="8" t="s">
        <v>5484</v>
      </c>
      <c r="W631" s="8" t="s">
        <v>5485</v>
      </c>
    </row>
    <row r="632" spans="1:23" ht="28" customHeight="1" x14ac:dyDescent="0.3">
      <c r="A632" s="308">
        <v>45350</v>
      </c>
      <c r="B632" s="302">
        <v>1840.146</v>
      </c>
      <c r="C632" s="8">
        <v>-41.24</v>
      </c>
      <c r="D632" s="268">
        <v>-2.1899999999999999E-2</v>
      </c>
      <c r="E632" s="8">
        <v>11.27</v>
      </c>
      <c r="F632" s="8">
        <v>115.59399999999999</v>
      </c>
      <c r="G632" s="8">
        <v>110.70399999999999</v>
      </c>
      <c r="H632" s="8">
        <v>72.150000000000006</v>
      </c>
      <c r="I632" s="8">
        <v>186.51</v>
      </c>
      <c r="J632" s="8">
        <v>87.46</v>
      </c>
      <c r="K632" s="268">
        <v>0.70920000000000005</v>
      </c>
      <c r="L632" s="268">
        <v>0.54059999999999997</v>
      </c>
      <c r="M632" s="268">
        <v>-5.1999999999999998E-3</v>
      </c>
      <c r="N632" s="8">
        <v>479.57</v>
      </c>
      <c r="O632" s="8">
        <v>8359.93</v>
      </c>
      <c r="P632" s="268">
        <v>5.74E-2</v>
      </c>
      <c r="Q632" s="8">
        <v>544</v>
      </c>
      <c r="R632" s="8" t="s">
        <v>5486</v>
      </c>
      <c r="S632" s="8" t="s">
        <v>5487</v>
      </c>
      <c r="T632" s="8" t="s">
        <v>5488</v>
      </c>
      <c r="U632" s="8" t="s">
        <v>5489</v>
      </c>
      <c r="V632" s="8" t="s">
        <v>5490</v>
      </c>
      <c r="W632" s="8" t="s">
        <v>5491</v>
      </c>
    </row>
    <row r="633" spans="1:23" ht="28" customHeight="1" x14ac:dyDescent="0.3">
      <c r="A633" s="308">
        <v>45349</v>
      </c>
      <c r="B633" s="302">
        <v>1881.386</v>
      </c>
      <c r="C633" s="8">
        <v>10.44</v>
      </c>
      <c r="D633" s="268">
        <v>5.5999999999999999E-3</v>
      </c>
      <c r="E633" s="8">
        <v>18.010000000000002</v>
      </c>
      <c r="F633" s="8">
        <v>118.23</v>
      </c>
      <c r="G633" s="8">
        <v>113.4</v>
      </c>
      <c r="H633" s="8">
        <v>77.650000000000006</v>
      </c>
      <c r="I633" s="8">
        <v>181.95</v>
      </c>
      <c r="J633" s="8">
        <v>80.28</v>
      </c>
      <c r="K633" s="268">
        <v>0.63719999999999999</v>
      </c>
      <c r="L633" s="268">
        <v>0.47320000000000001</v>
      </c>
      <c r="M633" s="268">
        <v>-1.2999999999999999E-2</v>
      </c>
      <c r="N633" s="8">
        <v>430.22</v>
      </c>
      <c r="O633" s="8">
        <v>8367.18</v>
      </c>
      <c r="P633" s="268">
        <v>5.1400000000000001E-2</v>
      </c>
      <c r="Q633" s="8">
        <v>545</v>
      </c>
      <c r="R633" s="8" t="s">
        <v>5492</v>
      </c>
      <c r="S633" s="8" t="s">
        <v>5493</v>
      </c>
      <c r="T633" s="8" t="s">
        <v>5494</v>
      </c>
      <c r="U633" s="8" t="s">
        <v>5495</v>
      </c>
      <c r="V633" s="8" t="s">
        <v>5496</v>
      </c>
      <c r="W633" s="8" t="s">
        <v>5497</v>
      </c>
    </row>
    <row r="634" spans="1:23" ht="28" customHeight="1" x14ac:dyDescent="0.3">
      <c r="A634" s="308">
        <v>45348</v>
      </c>
      <c r="B634" s="302">
        <v>1870.9459999999999</v>
      </c>
      <c r="C634" s="8">
        <v>2.895</v>
      </c>
      <c r="D634" s="268">
        <v>1.5E-3</v>
      </c>
      <c r="E634" s="8">
        <v>16.53</v>
      </c>
      <c r="F634" s="8">
        <v>117.55</v>
      </c>
      <c r="G634" s="8">
        <v>112.622</v>
      </c>
      <c r="H634" s="8">
        <v>74.849999999999994</v>
      </c>
      <c r="I634" s="8">
        <v>185.4</v>
      </c>
      <c r="J634" s="8">
        <v>86.36</v>
      </c>
      <c r="K634" s="268">
        <v>0.67849999999999999</v>
      </c>
      <c r="L634" s="268">
        <v>0.51800000000000002</v>
      </c>
      <c r="M634" s="268">
        <v>-1.0999999999999999E-2</v>
      </c>
      <c r="N634" s="8">
        <v>420.29</v>
      </c>
      <c r="O634" s="8">
        <v>8354.89</v>
      </c>
      <c r="P634" s="268">
        <v>5.0299999999999997E-2</v>
      </c>
      <c r="Q634" s="8">
        <v>543</v>
      </c>
      <c r="R634" s="8" t="s">
        <v>5498</v>
      </c>
      <c r="S634" s="8" t="s">
        <v>5499</v>
      </c>
      <c r="T634" s="8" t="s">
        <v>5500</v>
      </c>
      <c r="U634" s="8" t="s">
        <v>5501</v>
      </c>
      <c r="V634" s="8" t="s">
        <v>5502</v>
      </c>
      <c r="W634" s="8" t="s">
        <v>5503</v>
      </c>
    </row>
    <row r="635" spans="1:23" ht="28" customHeight="1" x14ac:dyDescent="0.3">
      <c r="A635" s="308">
        <v>45345</v>
      </c>
      <c r="B635" s="302">
        <v>1868.0509999999999</v>
      </c>
      <c r="C635" s="8">
        <v>7.4980000000000002</v>
      </c>
      <c r="D635" s="268">
        <v>4.0000000000000001E-3</v>
      </c>
      <c r="E635" s="8">
        <v>16.329999999999998</v>
      </c>
      <c r="F635" s="8">
        <v>117.354</v>
      </c>
      <c r="G635" s="8">
        <v>112.271</v>
      </c>
      <c r="H635" s="8">
        <v>73.099999999999994</v>
      </c>
      <c r="I635" s="8">
        <v>187.6</v>
      </c>
      <c r="J635" s="8">
        <v>88.11</v>
      </c>
      <c r="K635" s="268">
        <v>0.70250000000000001</v>
      </c>
      <c r="L635" s="268">
        <v>0.54</v>
      </c>
      <c r="M635" s="268">
        <v>-1.04E-2</v>
      </c>
      <c r="N635" s="8">
        <v>409.05</v>
      </c>
      <c r="O635" s="8">
        <v>8372.83</v>
      </c>
      <c r="P635" s="268">
        <v>4.8899999999999999E-2</v>
      </c>
      <c r="Q635" s="8">
        <v>544</v>
      </c>
      <c r="R635" s="8" t="s">
        <v>5504</v>
      </c>
      <c r="S635" s="8" t="s">
        <v>5505</v>
      </c>
      <c r="T635" s="8" t="s">
        <v>5506</v>
      </c>
      <c r="U635" s="8" t="s">
        <v>5507</v>
      </c>
      <c r="V635" s="8" t="s">
        <v>5508</v>
      </c>
      <c r="W635" s="8" t="s">
        <v>5509</v>
      </c>
    </row>
    <row r="636" spans="1:23" ht="28" customHeight="1" x14ac:dyDescent="0.3">
      <c r="A636" s="308">
        <v>45344</v>
      </c>
      <c r="B636" s="302">
        <v>1860.5530000000001</v>
      </c>
      <c r="C636" s="8">
        <v>5.4909999999999997</v>
      </c>
      <c r="D636" s="268">
        <v>3.0000000000000001E-3</v>
      </c>
      <c r="E636" s="8">
        <v>14.69</v>
      </c>
      <c r="F636" s="8">
        <v>116.92100000000001</v>
      </c>
      <c r="G636" s="8">
        <v>111.834</v>
      </c>
      <c r="H636" s="8">
        <v>70.849999999999994</v>
      </c>
      <c r="I636" s="8">
        <v>191.09</v>
      </c>
      <c r="J636" s="8">
        <v>91.28</v>
      </c>
      <c r="K636" s="268">
        <v>0.74170000000000003</v>
      </c>
      <c r="L636" s="268">
        <v>0.56579999999999997</v>
      </c>
      <c r="M636" s="268">
        <v>-9.4000000000000004E-3</v>
      </c>
      <c r="N636" s="8">
        <v>431.52</v>
      </c>
      <c r="O636" s="8">
        <v>8376.24</v>
      </c>
      <c r="P636" s="268">
        <v>5.1499999999999997E-2</v>
      </c>
      <c r="Q636" s="8">
        <v>544</v>
      </c>
      <c r="R636" s="8" t="s">
        <v>2830</v>
      </c>
      <c r="S636" s="8" t="s">
        <v>5510</v>
      </c>
      <c r="T636" s="8" t="s">
        <v>4916</v>
      </c>
      <c r="U636" s="8" t="s">
        <v>5511</v>
      </c>
      <c r="V636" s="8" t="s">
        <v>5512</v>
      </c>
      <c r="W636" s="8" t="s">
        <v>4694</v>
      </c>
    </row>
    <row r="637" spans="1:23" ht="28" customHeight="1" x14ac:dyDescent="0.3">
      <c r="A637" s="308">
        <v>45343</v>
      </c>
      <c r="B637" s="302">
        <v>1855.0619999999999</v>
      </c>
      <c r="C637" s="8">
        <v>14.412000000000001</v>
      </c>
      <c r="D637" s="268">
        <v>7.7999999999999996E-3</v>
      </c>
      <c r="E637" s="8">
        <v>14.1</v>
      </c>
      <c r="F637" s="8">
        <v>116.61499999999999</v>
      </c>
      <c r="G637" s="8">
        <v>111.767</v>
      </c>
      <c r="H637" s="8">
        <v>69.459999999999994</v>
      </c>
      <c r="I637" s="8">
        <v>193.83</v>
      </c>
      <c r="J637" s="8">
        <v>93.38</v>
      </c>
      <c r="K637" s="268">
        <v>0.7722</v>
      </c>
      <c r="L637" s="268">
        <v>0.60499999999999998</v>
      </c>
      <c r="M637" s="268">
        <v>-8.0999999999999996E-3</v>
      </c>
      <c r="N637" s="8">
        <v>485.45</v>
      </c>
      <c r="O637" s="8">
        <v>8382.64</v>
      </c>
      <c r="P637" s="268">
        <v>5.79E-2</v>
      </c>
      <c r="Q637" s="8">
        <v>545</v>
      </c>
      <c r="R637" s="8" t="s">
        <v>5513</v>
      </c>
      <c r="S637" s="8" t="s">
        <v>5514</v>
      </c>
      <c r="T637" s="8" t="s">
        <v>5515</v>
      </c>
      <c r="U637" s="8" t="s">
        <v>5516</v>
      </c>
      <c r="V637" s="8" t="s">
        <v>5517</v>
      </c>
      <c r="W637" s="8" t="s">
        <v>5518</v>
      </c>
    </row>
    <row r="638" spans="1:23" ht="28" customHeight="1" x14ac:dyDescent="0.3">
      <c r="A638" s="308">
        <v>45342</v>
      </c>
      <c r="B638" s="302">
        <v>1840.65</v>
      </c>
      <c r="C638" s="8">
        <v>16.236999999999998</v>
      </c>
      <c r="D638" s="268">
        <v>8.8999999999999999E-3</v>
      </c>
      <c r="E638" s="8">
        <v>11.91</v>
      </c>
      <c r="F638" s="8">
        <v>115.742</v>
      </c>
      <c r="G638" s="8">
        <v>110.959</v>
      </c>
      <c r="H638" s="8">
        <v>68.540000000000006</v>
      </c>
      <c r="I638" s="8">
        <v>194.72</v>
      </c>
      <c r="J638" s="8">
        <v>94.67</v>
      </c>
      <c r="K638" s="268">
        <v>0.78979999999999995</v>
      </c>
      <c r="L638" s="268">
        <v>0.61199999999999999</v>
      </c>
      <c r="M638" s="268">
        <v>-5.1000000000000004E-3</v>
      </c>
      <c r="N638" s="8">
        <v>442.21</v>
      </c>
      <c r="O638" s="8">
        <v>8396.2199999999993</v>
      </c>
      <c r="P638" s="268">
        <v>5.2699999999999997E-2</v>
      </c>
      <c r="Q638" s="8">
        <v>545</v>
      </c>
      <c r="R638" s="8" t="s">
        <v>5519</v>
      </c>
      <c r="S638" s="8" t="s">
        <v>5520</v>
      </c>
      <c r="T638" s="8" t="s">
        <v>5521</v>
      </c>
      <c r="U638" s="8" t="s">
        <v>5522</v>
      </c>
      <c r="V638" s="8" t="s">
        <v>5523</v>
      </c>
      <c r="W638" s="8" t="s">
        <v>5524</v>
      </c>
    </row>
    <row r="639" spans="1:23" ht="28" customHeight="1" x14ac:dyDescent="0.3">
      <c r="A639" s="308">
        <v>45341</v>
      </c>
      <c r="B639" s="302">
        <v>1824.413</v>
      </c>
      <c r="C639" s="8">
        <v>16.13</v>
      </c>
      <c r="D639" s="268">
        <v>8.8999999999999999E-3</v>
      </c>
      <c r="E639" s="8">
        <v>9.6300000000000008</v>
      </c>
      <c r="F639" s="8">
        <v>114.80500000000001</v>
      </c>
      <c r="G639" s="8">
        <v>109.968</v>
      </c>
      <c r="H639" s="8">
        <v>68.099999999999994</v>
      </c>
      <c r="I639" s="8">
        <v>194.01</v>
      </c>
      <c r="J639" s="8">
        <v>94.75</v>
      </c>
      <c r="K639" s="268">
        <v>0.79210000000000003</v>
      </c>
      <c r="L639" s="268">
        <v>0.60589999999999999</v>
      </c>
      <c r="M639" s="268">
        <v>-2.3E-3</v>
      </c>
      <c r="N639" s="8">
        <v>390.98</v>
      </c>
      <c r="O639" s="8">
        <v>8407.4599999999991</v>
      </c>
      <c r="P639" s="268">
        <v>4.65E-2</v>
      </c>
      <c r="Q639" s="8">
        <v>546</v>
      </c>
      <c r="R639" s="8" t="s">
        <v>5525</v>
      </c>
      <c r="S639" s="8" t="s">
        <v>5526</v>
      </c>
      <c r="T639" s="8" t="s">
        <v>5527</v>
      </c>
      <c r="U639" s="8" t="s">
        <v>5528</v>
      </c>
      <c r="V639" s="8" t="s">
        <v>5529</v>
      </c>
      <c r="W639" s="8" t="s">
        <v>5530</v>
      </c>
    </row>
    <row r="640" spans="1:23" ht="28" customHeight="1" x14ac:dyDescent="0.3">
      <c r="A640" s="308">
        <v>45330</v>
      </c>
      <c r="B640" s="302">
        <v>1808.2829999999999</v>
      </c>
      <c r="C640" s="8">
        <v>26.372</v>
      </c>
      <c r="D640" s="268">
        <v>1.4800000000000001E-2</v>
      </c>
      <c r="E640" s="8">
        <v>8.56</v>
      </c>
      <c r="F640" s="8">
        <v>113.73099999999999</v>
      </c>
      <c r="G640" s="8">
        <v>109.178</v>
      </c>
      <c r="H640" s="8">
        <v>65.7</v>
      </c>
      <c r="I640" s="8">
        <v>195.92</v>
      </c>
      <c r="J640" s="8">
        <v>95.48</v>
      </c>
      <c r="K640" s="268">
        <v>0.82189999999999996</v>
      </c>
      <c r="L640" s="268">
        <v>0.64610000000000001</v>
      </c>
      <c r="M640" s="268">
        <v>1.6999999999999999E-3</v>
      </c>
      <c r="N640" s="8">
        <v>485.53</v>
      </c>
      <c r="O640" s="8">
        <v>8412.42</v>
      </c>
      <c r="P640" s="268">
        <v>5.7700000000000001E-2</v>
      </c>
      <c r="Q640" s="8">
        <v>546</v>
      </c>
      <c r="R640" s="8" t="s">
        <v>5531</v>
      </c>
      <c r="S640" s="8" t="s">
        <v>5532</v>
      </c>
      <c r="T640" s="8" t="s">
        <v>5533</v>
      </c>
      <c r="U640" s="8" t="s">
        <v>5534</v>
      </c>
      <c r="V640" s="8" t="s">
        <v>5535</v>
      </c>
      <c r="W640" s="8" t="s">
        <v>5536</v>
      </c>
    </row>
    <row r="641" spans="1:23" ht="28" customHeight="1" x14ac:dyDescent="0.3">
      <c r="A641" s="308">
        <v>45329</v>
      </c>
      <c r="B641" s="302">
        <v>1781.9110000000001</v>
      </c>
      <c r="C641" s="8">
        <v>-6.1689999999999996</v>
      </c>
      <c r="D641" s="268">
        <v>-3.3999999999999998E-3</v>
      </c>
      <c r="E641" s="8">
        <v>5.8</v>
      </c>
      <c r="F641" s="8">
        <v>112.139</v>
      </c>
      <c r="G641" s="8">
        <v>107.711</v>
      </c>
      <c r="H641" s="8">
        <v>61.52</v>
      </c>
      <c r="I641" s="8">
        <v>204.89</v>
      </c>
      <c r="J641" s="8">
        <v>98.54</v>
      </c>
      <c r="K641" s="268">
        <v>0.92759999999999998</v>
      </c>
      <c r="L641" s="268">
        <v>0.74239999999999995</v>
      </c>
      <c r="M641" s="268">
        <v>6.4999999999999997E-3</v>
      </c>
      <c r="N641" s="8">
        <v>497.43</v>
      </c>
      <c r="O641" s="8">
        <v>8425.2999999999993</v>
      </c>
      <c r="P641" s="268">
        <v>5.8999999999999997E-2</v>
      </c>
      <c r="Q641" s="8">
        <v>546</v>
      </c>
      <c r="R641" s="8" t="s">
        <v>5537</v>
      </c>
      <c r="S641" s="8" t="s">
        <v>5538</v>
      </c>
      <c r="T641" s="8" t="s">
        <v>5539</v>
      </c>
      <c r="U641" s="8" t="s">
        <v>5540</v>
      </c>
      <c r="V641" s="8" t="s">
        <v>5541</v>
      </c>
      <c r="W641" s="8" t="s">
        <v>5542</v>
      </c>
    </row>
    <row r="642" spans="1:23" ht="28" customHeight="1" x14ac:dyDescent="0.3">
      <c r="A642" s="308">
        <v>45328</v>
      </c>
      <c r="B642" s="302">
        <v>1788.08</v>
      </c>
      <c r="C642" s="8">
        <v>34.268999999999998</v>
      </c>
      <c r="D642" s="268">
        <v>1.95E-2</v>
      </c>
      <c r="E642" s="8">
        <v>4.91</v>
      </c>
      <c r="F642" s="8">
        <v>112.56399999999999</v>
      </c>
      <c r="G642" s="8">
        <v>108.002</v>
      </c>
      <c r="H642" s="8">
        <v>62.56</v>
      </c>
      <c r="I642" s="8">
        <v>203.81</v>
      </c>
      <c r="J642" s="8">
        <v>99.17</v>
      </c>
      <c r="K642" s="268">
        <v>0.91239999999999999</v>
      </c>
      <c r="L642" s="268">
        <v>0.72770000000000001</v>
      </c>
      <c r="M642" s="268">
        <v>5.1999999999999998E-3</v>
      </c>
      <c r="N642" s="8">
        <v>472.77</v>
      </c>
      <c r="O642" s="8">
        <v>8436.2900000000009</v>
      </c>
      <c r="P642" s="268">
        <v>5.6000000000000001E-2</v>
      </c>
      <c r="Q642" s="8">
        <v>546</v>
      </c>
      <c r="R642" s="8" t="s">
        <v>5543</v>
      </c>
      <c r="S642" s="8" t="s">
        <v>4184</v>
      </c>
      <c r="T642" s="8" t="s">
        <v>5544</v>
      </c>
      <c r="U642" s="8" t="s">
        <v>5545</v>
      </c>
      <c r="V642" s="8" t="s">
        <v>5546</v>
      </c>
      <c r="W642" s="8" t="s">
        <v>5547</v>
      </c>
    </row>
    <row r="643" spans="1:23" ht="28" customHeight="1" x14ac:dyDescent="0.3">
      <c r="A643" s="308">
        <v>45327</v>
      </c>
      <c r="B643" s="302">
        <v>1753.8109999999999</v>
      </c>
      <c r="C643" s="8">
        <v>-30.765999999999998</v>
      </c>
      <c r="D643" s="268">
        <v>-1.72E-2</v>
      </c>
      <c r="E643" s="8">
        <v>1.32</v>
      </c>
      <c r="F643" s="8">
        <v>110.29600000000001</v>
      </c>
      <c r="G643" s="8">
        <v>106.05</v>
      </c>
      <c r="H643" s="8">
        <v>61.15</v>
      </c>
      <c r="I643" s="8">
        <v>203.89</v>
      </c>
      <c r="J643" s="8">
        <v>100</v>
      </c>
      <c r="K643" s="268">
        <v>0.93589999999999995</v>
      </c>
      <c r="L643" s="268">
        <v>0.73050000000000004</v>
      </c>
      <c r="M643" s="268">
        <v>1.15E-2</v>
      </c>
      <c r="N643" s="8">
        <v>391.7</v>
      </c>
      <c r="O643" s="8">
        <v>8447.67</v>
      </c>
      <c r="P643" s="268">
        <v>4.6399999999999997E-2</v>
      </c>
      <c r="Q643" s="8">
        <v>545</v>
      </c>
      <c r="R643" s="8" t="s">
        <v>5548</v>
      </c>
      <c r="S643" s="8" t="s">
        <v>5549</v>
      </c>
      <c r="T643" s="8" t="s">
        <v>5550</v>
      </c>
      <c r="U643" s="8" t="s">
        <v>5551</v>
      </c>
      <c r="V643" s="8" t="s">
        <v>5552</v>
      </c>
      <c r="W643" s="8" t="s">
        <v>5553</v>
      </c>
    </row>
    <row r="644" spans="1:23" ht="28" customHeight="1" x14ac:dyDescent="0.3">
      <c r="A644" s="308">
        <v>45324</v>
      </c>
      <c r="B644" s="302">
        <v>1784.577</v>
      </c>
      <c r="C644" s="8">
        <v>-18.044</v>
      </c>
      <c r="D644" s="268">
        <v>-0.01</v>
      </c>
      <c r="E644" s="8">
        <v>2.04</v>
      </c>
      <c r="F644" s="8">
        <v>112.255</v>
      </c>
      <c r="G644" s="8">
        <v>107.818</v>
      </c>
      <c r="H644" s="8">
        <v>66.86</v>
      </c>
      <c r="I644" s="8">
        <v>192.69</v>
      </c>
      <c r="J644" s="8">
        <v>99.69</v>
      </c>
      <c r="K644" s="268">
        <v>0.8044</v>
      </c>
      <c r="L644" s="268">
        <v>0.61299999999999999</v>
      </c>
      <c r="M644" s="268">
        <v>5.1000000000000004E-3</v>
      </c>
      <c r="N644" s="8">
        <v>374.2</v>
      </c>
      <c r="O644" s="8">
        <v>8454.24</v>
      </c>
      <c r="P644" s="268">
        <v>4.4299999999999999E-2</v>
      </c>
      <c r="Q644" s="8">
        <v>545</v>
      </c>
      <c r="R644" s="8" t="s">
        <v>5554</v>
      </c>
      <c r="S644" s="8" t="s">
        <v>5555</v>
      </c>
      <c r="T644" s="8" t="s">
        <v>5556</v>
      </c>
      <c r="U644" s="8" t="s">
        <v>5557</v>
      </c>
      <c r="V644" s="8" t="s">
        <v>5558</v>
      </c>
      <c r="W644" s="8" t="s">
        <v>5559</v>
      </c>
    </row>
    <row r="645" spans="1:23" ht="28" customHeight="1" x14ac:dyDescent="0.3">
      <c r="A645" s="308">
        <v>45323</v>
      </c>
      <c r="B645" s="302">
        <v>1802.6210000000001</v>
      </c>
      <c r="C645" s="8">
        <v>1.4410000000000001</v>
      </c>
      <c r="D645" s="268">
        <v>8.0000000000000004E-4</v>
      </c>
      <c r="E645" s="8">
        <v>2.33</v>
      </c>
      <c r="F645" s="8">
        <v>113.43899999999999</v>
      </c>
      <c r="G645" s="8">
        <v>108.8</v>
      </c>
      <c r="H645" s="8">
        <v>70.650000000000006</v>
      </c>
      <c r="I645" s="8">
        <v>187.36</v>
      </c>
      <c r="J645" s="8">
        <v>97.94</v>
      </c>
      <c r="K645" s="268">
        <v>0.73919999999999997</v>
      </c>
      <c r="L645" s="268">
        <v>0.55459999999999998</v>
      </c>
      <c r="M645" s="268">
        <v>1.5E-3</v>
      </c>
      <c r="N645" s="8">
        <v>364.26</v>
      </c>
      <c r="O645" s="8">
        <v>8478.9599999999991</v>
      </c>
      <c r="P645" s="268">
        <v>4.2999999999999997E-2</v>
      </c>
      <c r="Q645" s="8">
        <v>545</v>
      </c>
      <c r="R645" s="8" t="s">
        <v>5560</v>
      </c>
      <c r="S645" s="8" t="s">
        <v>5561</v>
      </c>
      <c r="T645" s="8" t="s">
        <v>5562</v>
      </c>
      <c r="U645" s="8" t="s">
        <v>5563</v>
      </c>
      <c r="V645" s="8" t="s">
        <v>3825</v>
      </c>
      <c r="W645" s="8" t="s">
        <v>5564</v>
      </c>
    </row>
    <row r="646" spans="1:23" ht="28" customHeight="1" x14ac:dyDescent="0.3">
      <c r="A646" s="308">
        <v>45322</v>
      </c>
      <c r="B646" s="302">
        <v>1801.18</v>
      </c>
      <c r="C646" s="8">
        <v>-25.686</v>
      </c>
      <c r="D646" s="268">
        <v>-1.41E-2</v>
      </c>
      <c r="E646" s="8">
        <v>1.91</v>
      </c>
      <c r="F646" s="8">
        <v>113.27800000000001</v>
      </c>
      <c r="G646" s="8">
        <v>108.542</v>
      </c>
      <c r="H646" s="8">
        <v>71.400000000000006</v>
      </c>
      <c r="I646" s="8">
        <v>184.89</v>
      </c>
      <c r="J646" s="8">
        <v>96.6</v>
      </c>
      <c r="K646" s="268">
        <v>0.71609999999999996</v>
      </c>
      <c r="L646" s="268">
        <v>0.53120000000000001</v>
      </c>
      <c r="M646" s="268">
        <v>2.0999999999999999E-3</v>
      </c>
      <c r="N646" s="8">
        <v>330.11</v>
      </c>
      <c r="O646" s="8">
        <v>8493.77</v>
      </c>
      <c r="P646" s="268">
        <v>3.8899999999999997E-2</v>
      </c>
      <c r="Q646" s="8">
        <v>545</v>
      </c>
      <c r="R646" s="8" t="s">
        <v>5565</v>
      </c>
      <c r="S646" s="8" t="s">
        <v>5566</v>
      </c>
      <c r="T646" s="8" t="s">
        <v>5567</v>
      </c>
      <c r="U646" s="8" t="s">
        <v>5568</v>
      </c>
      <c r="V646" s="8" t="s">
        <v>5569</v>
      </c>
      <c r="W646" s="8" t="s">
        <v>5570</v>
      </c>
    </row>
    <row r="647" spans="1:23" ht="28" customHeight="1" x14ac:dyDescent="0.3">
      <c r="A647" s="308">
        <v>45321</v>
      </c>
      <c r="B647" s="302">
        <v>1826.866</v>
      </c>
      <c r="C647" s="8">
        <v>-21.327999999999999</v>
      </c>
      <c r="D647" s="268">
        <v>-1.15E-2</v>
      </c>
      <c r="E647" s="8">
        <v>3.73</v>
      </c>
      <c r="F647" s="8">
        <v>114.965</v>
      </c>
      <c r="G647" s="8">
        <v>110.059</v>
      </c>
      <c r="H647" s="8">
        <v>75</v>
      </c>
      <c r="I647" s="8">
        <v>181.04</v>
      </c>
      <c r="J647" s="8">
        <v>91.41</v>
      </c>
      <c r="K647" s="268">
        <v>0.66080000000000005</v>
      </c>
      <c r="L647" s="268">
        <v>0.4854</v>
      </c>
      <c r="M647" s="268">
        <v>-3.2000000000000002E-3</v>
      </c>
      <c r="N647" s="8">
        <v>292.38</v>
      </c>
      <c r="O647" s="8">
        <v>8500.6299999999992</v>
      </c>
      <c r="P647" s="268">
        <v>3.44E-2</v>
      </c>
      <c r="Q647" s="8">
        <v>545</v>
      </c>
      <c r="R647" s="8" t="s">
        <v>5571</v>
      </c>
      <c r="S647" s="8" t="s">
        <v>4488</v>
      </c>
      <c r="T647" s="8" t="s">
        <v>5572</v>
      </c>
      <c r="U647" s="8" t="s">
        <v>5573</v>
      </c>
      <c r="V647" s="8" t="s">
        <v>5574</v>
      </c>
      <c r="W647" s="8" t="s">
        <v>5575</v>
      </c>
    </row>
    <row r="648" spans="1:23" ht="28" customHeight="1" x14ac:dyDescent="0.3">
      <c r="A648" s="308">
        <v>45320</v>
      </c>
      <c r="B648" s="302">
        <v>1848.194</v>
      </c>
      <c r="C648" s="8">
        <v>-25.443999999999999</v>
      </c>
      <c r="D648" s="268">
        <v>-1.3599999999999999E-2</v>
      </c>
      <c r="E648" s="8">
        <v>6.31</v>
      </c>
      <c r="F648" s="8">
        <v>116.416</v>
      </c>
      <c r="G648" s="8">
        <v>111.15</v>
      </c>
      <c r="H648" s="8">
        <v>77.38</v>
      </c>
      <c r="I648" s="8">
        <v>178.75</v>
      </c>
      <c r="J648" s="8">
        <v>84.92</v>
      </c>
      <c r="K648" s="268">
        <v>0.62339999999999995</v>
      </c>
      <c r="L648" s="268">
        <v>0.44490000000000002</v>
      </c>
      <c r="M648" s="268">
        <v>-7.4999999999999997E-3</v>
      </c>
      <c r="N648" s="8">
        <v>296.35000000000002</v>
      </c>
      <c r="O648" s="8">
        <v>8514.84</v>
      </c>
      <c r="P648" s="268">
        <v>3.4799999999999998E-2</v>
      </c>
      <c r="Q648" s="8">
        <v>546</v>
      </c>
      <c r="R648" s="8" t="s">
        <v>5576</v>
      </c>
      <c r="S648" s="8" t="s">
        <v>5577</v>
      </c>
      <c r="T648" s="8" t="s">
        <v>5578</v>
      </c>
      <c r="U648" s="8" t="s">
        <v>5579</v>
      </c>
      <c r="V648" s="8" t="s">
        <v>5580</v>
      </c>
      <c r="W648" s="8" t="s">
        <v>5581</v>
      </c>
    </row>
    <row r="649" spans="1:23" ht="28" customHeight="1" x14ac:dyDescent="0.3">
      <c r="A649" s="308">
        <v>45317</v>
      </c>
      <c r="B649" s="302">
        <v>1873.6379999999999</v>
      </c>
      <c r="C649" s="8">
        <v>2.2829999999999999</v>
      </c>
      <c r="D649" s="268">
        <v>1.1999999999999999E-3</v>
      </c>
      <c r="E649" s="8">
        <v>10.33</v>
      </c>
      <c r="F649" s="8">
        <v>118.193</v>
      </c>
      <c r="G649" s="8">
        <v>112.7</v>
      </c>
      <c r="H649" s="8">
        <v>80.31</v>
      </c>
      <c r="I649" s="8">
        <v>177.03</v>
      </c>
      <c r="J649" s="8">
        <v>80.599999999999994</v>
      </c>
      <c r="K649" s="268">
        <v>0.58840000000000003</v>
      </c>
      <c r="L649" s="268">
        <v>0.43880000000000002</v>
      </c>
      <c r="M649" s="268">
        <v>-1.2E-2</v>
      </c>
      <c r="N649" s="8">
        <v>355.5</v>
      </c>
      <c r="O649" s="8">
        <v>8522.7000000000007</v>
      </c>
      <c r="P649" s="268">
        <v>4.1700000000000001E-2</v>
      </c>
      <c r="Q649" s="8">
        <v>547</v>
      </c>
      <c r="R649" s="8" t="s">
        <v>5582</v>
      </c>
      <c r="S649" s="8" t="s">
        <v>5583</v>
      </c>
      <c r="T649" s="8" t="s">
        <v>5584</v>
      </c>
      <c r="U649" s="8" t="s">
        <v>5585</v>
      </c>
      <c r="V649" s="8" t="s">
        <v>5502</v>
      </c>
      <c r="W649" s="8" t="s">
        <v>5586</v>
      </c>
    </row>
    <row r="650" spans="1:23" ht="28" customHeight="1" x14ac:dyDescent="0.3">
      <c r="A650" s="308">
        <v>45316</v>
      </c>
      <c r="B650" s="302">
        <v>1871.355</v>
      </c>
      <c r="C650" s="8">
        <v>32.366</v>
      </c>
      <c r="D650" s="268">
        <v>1.7600000000000001E-2</v>
      </c>
      <c r="E650" s="8">
        <v>10.79</v>
      </c>
      <c r="F650" s="8">
        <v>118.03</v>
      </c>
      <c r="G650" s="8">
        <v>112.502</v>
      </c>
      <c r="H650" s="8">
        <v>81.03</v>
      </c>
      <c r="I650" s="8">
        <v>175.56</v>
      </c>
      <c r="J650" s="8">
        <v>77.819999999999993</v>
      </c>
      <c r="K650" s="268">
        <v>0.57530000000000003</v>
      </c>
      <c r="L650" s="268">
        <v>0.41349999999999998</v>
      </c>
      <c r="M650" s="268">
        <v>-1.12E-2</v>
      </c>
      <c r="N650" s="8">
        <v>418.78</v>
      </c>
      <c r="O650" s="8">
        <v>8557.86</v>
      </c>
      <c r="P650" s="268">
        <v>4.8899999999999999E-2</v>
      </c>
      <c r="Q650" s="8">
        <v>548</v>
      </c>
      <c r="R650" s="8" t="s">
        <v>5587</v>
      </c>
      <c r="S650" s="8" t="s">
        <v>5588</v>
      </c>
      <c r="T650" s="8" t="s">
        <v>5589</v>
      </c>
      <c r="U650" s="8" t="s">
        <v>5590</v>
      </c>
      <c r="V650" s="8" t="s">
        <v>5591</v>
      </c>
      <c r="W650" s="8" t="s">
        <v>5592</v>
      </c>
    </row>
    <row r="651" spans="1:23" ht="28" customHeight="1" x14ac:dyDescent="0.3">
      <c r="A651" s="308">
        <v>45315</v>
      </c>
      <c r="B651" s="302">
        <v>1838.989</v>
      </c>
      <c r="C651" s="8">
        <v>-6.4779999999999998</v>
      </c>
      <c r="D651" s="268">
        <v>-3.5000000000000001E-3</v>
      </c>
      <c r="E651" s="8">
        <v>4.6500000000000004</v>
      </c>
      <c r="F651" s="8">
        <v>116.021</v>
      </c>
      <c r="G651" s="8">
        <v>110.50700000000001</v>
      </c>
      <c r="H651" s="8">
        <v>77.98</v>
      </c>
      <c r="I651" s="8">
        <v>176.32</v>
      </c>
      <c r="J651" s="8">
        <v>83.23</v>
      </c>
      <c r="K651" s="268">
        <v>0.60299999999999998</v>
      </c>
      <c r="L651" s="268">
        <v>0.43680000000000002</v>
      </c>
      <c r="M651" s="268">
        <v>-5.1999999999999998E-3</v>
      </c>
      <c r="N651" s="8">
        <v>350.7</v>
      </c>
      <c r="O651" s="8">
        <v>8532.14</v>
      </c>
      <c r="P651" s="268">
        <v>4.1099999999999998E-2</v>
      </c>
      <c r="Q651" s="8">
        <v>546</v>
      </c>
      <c r="R651" s="8" t="s">
        <v>2412</v>
      </c>
      <c r="S651" s="8" t="s">
        <v>5593</v>
      </c>
      <c r="T651" s="8" t="s">
        <v>5594</v>
      </c>
      <c r="U651" s="8" t="s">
        <v>4847</v>
      </c>
      <c r="V651" s="8" t="s">
        <v>5595</v>
      </c>
      <c r="W651" s="8" t="s">
        <v>5596</v>
      </c>
    </row>
    <row r="652" spans="1:23" ht="28" customHeight="1" x14ac:dyDescent="0.3">
      <c r="A652" s="308">
        <v>45314</v>
      </c>
      <c r="B652" s="302">
        <v>1845.4670000000001</v>
      </c>
      <c r="C652" s="8">
        <v>2.5059999999999998</v>
      </c>
      <c r="D652" s="268">
        <v>1.4E-3</v>
      </c>
      <c r="E652" s="8">
        <v>4.83</v>
      </c>
      <c r="F652" s="8">
        <v>116.423</v>
      </c>
      <c r="G652" s="8">
        <v>111.098</v>
      </c>
      <c r="H652" s="8">
        <v>77.260000000000005</v>
      </c>
      <c r="I652" s="8">
        <v>178.76</v>
      </c>
      <c r="J652" s="8">
        <v>88.88</v>
      </c>
      <c r="K652" s="268">
        <v>0.62329999999999997</v>
      </c>
      <c r="L652" s="268">
        <v>0.45619999999999999</v>
      </c>
      <c r="M652" s="268">
        <v>-6.1000000000000004E-3</v>
      </c>
      <c r="N652" s="8">
        <v>410.2</v>
      </c>
      <c r="O652" s="8">
        <v>8545.33</v>
      </c>
      <c r="P652" s="268">
        <v>4.8000000000000001E-2</v>
      </c>
      <c r="Q652" s="8">
        <v>547</v>
      </c>
      <c r="R652" s="8" t="s">
        <v>5411</v>
      </c>
      <c r="S652" s="8" t="s">
        <v>5597</v>
      </c>
      <c r="T652" s="8" t="s">
        <v>5598</v>
      </c>
      <c r="U652" s="8" t="s">
        <v>5599</v>
      </c>
      <c r="V652" s="8" t="s">
        <v>5600</v>
      </c>
      <c r="W652" s="8" t="s">
        <v>5601</v>
      </c>
    </row>
    <row r="653" spans="1:23" ht="28" customHeight="1" x14ac:dyDescent="0.3">
      <c r="A653" s="308">
        <v>45313</v>
      </c>
      <c r="B653" s="302">
        <v>1842.961</v>
      </c>
      <c r="C653" s="8">
        <v>-41.554000000000002</v>
      </c>
      <c r="D653" s="268">
        <v>-2.2100000000000002E-2</v>
      </c>
      <c r="E653" s="8">
        <v>4.59</v>
      </c>
      <c r="F653" s="8">
        <v>116.236</v>
      </c>
      <c r="G653" s="8">
        <v>111.3</v>
      </c>
      <c r="H653" s="8">
        <v>77.41</v>
      </c>
      <c r="I653" s="8">
        <v>178.6</v>
      </c>
      <c r="J653" s="8">
        <v>89.29</v>
      </c>
      <c r="K653" s="268">
        <v>0.62360000000000004</v>
      </c>
      <c r="L653" s="268">
        <v>0.4582</v>
      </c>
      <c r="M653" s="268">
        <v>-5.7000000000000002E-3</v>
      </c>
      <c r="N653" s="8">
        <v>315.41000000000003</v>
      </c>
      <c r="O653" s="8">
        <v>8548.52</v>
      </c>
      <c r="P653" s="268">
        <v>3.6900000000000002E-2</v>
      </c>
      <c r="Q653" s="8">
        <v>547</v>
      </c>
      <c r="R653" s="8" t="s">
        <v>5602</v>
      </c>
      <c r="S653" s="8" t="s">
        <v>5603</v>
      </c>
      <c r="T653" s="8" t="s">
        <v>5604</v>
      </c>
      <c r="U653" s="8" t="s">
        <v>5605</v>
      </c>
      <c r="V653" s="8" t="s">
        <v>5606</v>
      </c>
      <c r="W653" s="8" t="s">
        <v>5607</v>
      </c>
    </row>
    <row r="654" spans="1:23" ht="28" customHeight="1" x14ac:dyDescent="0.3">
      <c r="A654" s="308">
        <v>45310</v>
      </c>
      <c r="B654" s="302">
        <v>1884.5150000000001</v>
      </c>
      <c r="C654" s="8">
        <v>-3.9849999999999999</v>
      </c>
      <c r="D654" s="268">
        <v>-2.0999999999999999E-3</v>
      </c>
      <c r="E654" s="8">
        <v>10.92</v>
      </c>
      <c r="F654" s="8">
        <v>119.006</v>
      </c>
      <c r="G654" s="8">
        <v>113.82299999999999</v>
      </c>
      <c r="H654" s="8">
        <v>82.1</v>
      </c>
      <c r="I654" s="8">
        <v>174.99</v>
      </c>
      <c r="J654" s="8">
        <v>74.66</v>
      </c>
      <c r="K654" s="268">
        <v>0.55979999999999996</v>
      </c>
      <c r="L654" s="268">
        <v>0.39800000000000002</v>
      </c>
      <c r="M654" s="268">
        <v>-1.34E-2</v>
      </c>
      <c r="N654" s="8">
        <v>303.54000000000002</v>
      </c>
      <c r="O654" s="8">
        <v>8538.15</v>
      </c>
      <c r="P654" s="268">
        <v>3.56E-2</v>
      </c>
      <c r="Q654" s="8">
        <v>546</v>
      </c>
      <c r="R654" s="8" t="s">
        <v>5608</v>
      </c>
      <c r="S654" s="8" t="s">
        <v>5609</v>
      </c>
      <c r="T654" s="8" t="s">
        <v>5610</v>
      </c>
      <c r="U654" s="8" t="s">
        <v>5611</v>
      </c>
      <c r="V654" s="8" t="s">
        <v>5612</v>
      </c>
      <c r="W654" s="8" t="s">
        <v>5613</v>
      </c>
    </row>
    <row r="655" spans="1:23" ht="28" customHeight="1" x14ac:dyDescent="0.3">
      <c r="A655" s="308">
        <v>45309</v>
      </c>
      <c r="B655" s="302">
        <v>1888.5</v>
      </c>
      <c r="C655" s="8">
        <v>-3.2160000000000002</v>
      </c>
      <c r="D655" s="268">
        <v>-1.6999999999999999E-3</v>
      </c>
      <c r="E655" s="8">
        <v>11.23</v>
      </c>
      <c r="F655" s="8">
        <v>119.161</v>
      </c>
      <c r="G655" s="8">
        <v>113.66200000000001</v>
      </c>
      <c r="H655" s="8">
        <v>83.1</v>
      </c>
      <c r="I655" s="8">
        <v>173.67</v>
      </c>
      <c r="J655" s="8">
        <v>69.14</v>
      </c>
      <c r="K655" s="268">
        <v>0.54510000000000003</v>
      </c>
      <c r="L655" s="268">
        <v>0.38719999999999999</v>
      </c>
      <c r="M655" s="268">
        <v>-1.44E-2</v>
      </c>
      <c r="N655" s="8">
        <v>365.62</v>
      </c>
      <c r="O655" s="8">
        <v>8513.58</v>
      </c>
      <c r="P655" s="268">
        <v>4.2900000000000001E-2</v>
      </c>
      <c r="Q655" s="8">
        <v>544</v>
      </c>
      <c r="R655" s="8" t="s">
        <v>5614</v>
      </c>
      <c r="S655" s="8" t="s">
        <v>5615</v>
      </c>
      <c r="T655" s="8" t="s">
        <v>5616</v>
      </c>
      <c r="U655" s="8" t="s">
        <v>5617</v>
      </c>
      <c r="V655" s="8" t="s">
        <v>5618</v>
      </c>
      <c r="W655" s="8" t="s">
        <v>4960</v>
      </c>
    </row>
    <row r="656" spans="1:23" ht="28" customHeight="1" x14ac:dyDescent="0.3">
      <c r="A656" s="308">
        <v>45308</v>
      </c>
      <c r="B656" s="302">
        <v>1891.7159999999999</v>
      </c>
      <c r="C656" s="8">
        <v>-24.527999999999999</v>
      </c>
      <c r="D656" s="268">
        <v>-1.2800000000000001E-2</v>
      </c>
      <c r="E656" s="8">
        <v>11.57</v>
      </c>
      <c r="F656" s="8">
        <v>119.429</v>
      </c>
      <c r="G656" s="8">
        <v>114.026</v>
      </c>
      <c r="H656" s="8">
        <v>83.6</v>
      </c>
      <c r="I656" s="8">
        <v>173.49</v>
      </c>
      <c r="J656" s="8">
        <v>66.36</v>
      </c>
      <c r="K656" s="268">
        <v>0.54059999999999997</v>
      </c>
      <c r="L656" s="268">
        <v>0.38919999999999999</v>
      </c>
      <c r="M656" s="268">
        <v>-1.4800000000000001E-2</v>
      </c>
      <c r="N656" s="8">
        <v>297.39999999999998</v>
      </c>
      <c r="O656" s="8">
        <v>8513.58</v>
      </c>
      <c r="P656" s="268">
        <v>3.49E-2</v>
      </c>
      <c r="Q656" s="8">
        <v>543</v>
      </c>
      <c r="R656" s="8" t="s">
        <v>5619</v>
      </c>
      <c r="S656" s="8" t="s">
        <v>5620</v>
      </c>
      <c r="T656" s="8" t="s">
        <v>5621</v>
      </c>
      <c r="U656" s="8" t="s">
        <v>5622</v>
      </c>
      <c r="V656" s="8" t="s">
        <v>5623</v>
      </c>
      <c r="W656" s="8" t="s">
        <v>5624</v>
      </c>
    </row>
    <row r="657" spans="1:23" ht="28" customHeight="1" x14ac:dyDescent="0.3">
      <c r="A657" s="308">
        <v>45307</v>
      </c>
      <c r="B657" s="302">
        <v>1916.2439999999999</v>
      </c>
      <c r="C657" s="8">
        <v>-10.54</v>
      </c>
      <c r="D657" s="268">
        <v>-5.4999999999999997E-3</v>
      </c>
      <c r="E657" s="8">
        <v>18.22</v>
      </c>
      <c r="F657" s="8">
        <v>121.11799999999999</v>
      </c>
      <c r="G657" s="8">
        <v>115.718</v>
      </c>
      <c r="H657" s="8">
        <v>85.69</v>
      </c>
      <c r="I657" s="8">
        <v>172.94</v>
      </c>
      <c r="J657" s="8">
        <v>60.32</v>
      </c>
      <c r="K657" s="268">
        <v>0.51819999999999999</v>
      </c>
      <c r="L657" s="268">
        <v>0.36990000000000001</v>
      </c>
      <c r="M657" s="268">
        <v>-1.9699999999999999E-2</v>
      </c>
      <c r="N657" s="8">
        <v>304.16000000000003</v>
      </c>
      <c r="O657" s="8">
        <v>8507.6</v>
      </c>
      <c r="P657" s="268">
        <v>3.5799999999999998E-2</v>
      </c>
      <c r="Q657" s="8">
        <v>542</v>
      </c>
      <c r="R657" s="8" t="s">
        <v>5625</v>
      </c>
      <c r="S657" s="8" t="s">
        <v>5626</v>
      </c>
      <c r="T657" s="8" t="s">
        <v>5627</v>
      </c>
      <c r="U657" s="8" t="s">
        <v>5628</v>
      </c>
      <c r="V657" s="8" t="s">
        <v>5629</v>
      </c>
      <c r="W657" s="8" t="s">
        <v>5630</v>
      </c>
    </row>
    <row r="658" spans="1:23" ht="28" customHeight="1" x14ac:dyDescent="0.3">
      <c r="A658" s="308">
        <v>45306</v>
      </c>
      <c r="B658" s="302">
        <v>1926.7840000000001</v>
      </c>
      <c r="C658" s="8">
        <v>-6.1079999999999997</v>
      </c>
      <c r="D658" s="268">
        <v>-3.2000000000000002E-3</v>
      </c>
      <c r="E658" s="8">
        <v>21.69</v>
      </c>
      <c r="F658" s="8">
        <v>121.78100000000001</v>
      </c>
      <c r="G658" s="8">
        <v>116.587</v>
      </c>
      <c r="H658" s="8">
        <v>86.11</v>
      </c>
      <c r="I658" s="8">
        <v>174.28</v>
      </c>
      <c r="J658" s="8">
        <v>63.44</v>
      </c>
      <c r="K658" s="268">
        <v>0.52500000000000002</v>
      </c>
      <c r="L658" s="268">
        <v>0.375</v>
      </c>
      <c r="M658" s="268">
        <v>-2.1899999999999999E-2</v>
      </c>
      <c r="N658" s="8">
        <v>309.18</v>
      </c>
      <c r="O658" s="8">
        <v>8498.19</v>
      </c>
      <c r="P658" s="268">
        <v>3.6400000000000002E-2</v>
      </c>
      <c r="Q658" s="8">
        <v>541</v>
      </c>
      <c r="R658" s="8" t="s">
        <v>5631</v>
      </c>
      <c r="S658" s="8" t="s">
        <v>5632</v>
      </c>
      <c r="T658" s="8" t="s">
        <v>5633</v>
      </c>
      <c r="U658" s="8" t="s">
        <v>5634</v>
      </c>
      <c r="V658" s="8" t="s">
        <v>5635</v>
      </c>
      <c r="W658" s="8" t="s">
        <v>5636</v>
      </c>
    </row>
    <row r="659" spans="1:23" ht="28" customHeight="1" x14ac:dyDescent="0.3">
      <c r="A659" s="308">
        <v>45303</v>
      </c>
      <c r="B659" s="302">
        <v>1932.8920000000001</v>
      </c>
      <c r="C659" s="8">
        <v>-0.42499999999999999</v>
      </c>
      <c r="D659" s="268">
        <v>-2.0000000000000001E-4</v>
      </c>
      <c r="E659" s="8">
        <v>24.57</v>
      </c>
      <c r="F659" s="8">
        <v>122.152</v>
      </c>
      <c r="G659" s="8">
        <v>116.85599999999999</v>
      </c>
      <c r="H659" s="8">
        <v>86.74</v>
      </c>
      <c r="I659" s="8">
        <v>174.29</v>
      </c>
      <c r="J659" s="8">
        <v>61.9</v>
      </c>
      <c r="K659" s="268">
        <v>0.52139999999999997</v>
      </c>
      <c r="L659" s="268">
        <v>0.3649</v>
      </c>
      <c r="M659" s="268">
        <v>-2.2800000000000001E-2</v>
      </c>
      <c r="N659" s="8">
        <v>334.88</v>
      </c>
      <c r="O659" s="8">
        <v>8502.9699999999993</v>
      </c>
      <c r="P659" s="268">
        <v>3.9399999999999998E-2</v>
      </c>
      <c r="Q659" s="8">
        <v>540</v>
      </c>
      <c r="R659" s="8" t="s">
        <v>5637</v>
      </c>
      <c r="S659" s="8" t="s">
        <v>2486</v>
      </c>
      <c r="T659" s="8" t="s">
        <v>5638</v>
      </c>
      <c r="U659" s="8" t="s">
        <v>5639</v>
      </c>
      <c r="V659" s="8" t="s">
        <v>5640</v>
      </c>
      <c r="W659" s="8" t="s">
        <v>5641</v>
      </c>
    </row>
    <row r="660" spans="1:23" ht="28" customHeight="1" x14ac:dyDescent="0.3">
      <c r="A660" s="308">
        <v>45302</v>
      </c>
      <c r="B660" s="302">
        <v>1933.317</v>
      </c>
      <c r="C660" s="8">
        <v>14.506</v>
      </c>
      <c r="D660" s="268">
        <v>7.6E-3</v>
      </c>
      <c r="E660" s="8">
        <v>22.58</v>
      </c>
      <c r="F660" s="8">
        <v>122.21299999999999</v>
      </c>
      <c r="G660" s="8">
        <v>116.741</v>
      </c>
      <c r="H660" s="8">
        <v>86.57</v>
      </c>
      <c r="I660" s="8">
        <v>173.85</v>
      </c>
      <c r="J660" s="8">
        <v>60.95</v>
      </c>
      <c r="K660" s="268">
        <v>0.51639999999999997</v>
      </c>
      <c r="L660" s="268">
        <v>0.36759999999999998</v>
      </c>
      <c r="M660" s="268">
        <v>-2.3400000000000001E-2</v>
      </c>
      <c r="N660" s="8">
        <v>374.58</v>
      </c>
      <c r="O660" s="8">
        <v>8493.93</v>
      </c>
      <c r="P660" s="268">
        <v>4.41E-2</v>
      </c>
      <c r="Q660" s="8">
        <v>539</v>
      </c>
      <c r="R660" s="8" t="s">
        <v>5642</v>
      </c>
      <c r="S660" s="8" t="s">
        <v>5643</v>
      </c>
      <c r="T660" s="8" t="s">
        <v>5644</v>
      </c>
      <c r="U660" s="8" t="s">
        <v>5645</v>
      </c>
      <c r="V660" s="8" t="s">
        <v>5646</v>
      </c>
      <c r="W660" s="8" t="s">
        <v>5647</v>
      </c>
    </row>
    <row r="661" spans="1:23" ht="28" customHeight="1" x14ac:dyDescent="0.3">
      <c r="A661" s="308">
        <v>45301</v>
      </c>
      <c r="B661" s="302">
        <v>1918.8109999999999</v>
      </c>
      <c r="C661" s="8">
        <v>-4.9050000000000002</v>
      </c>
      <c r="D661" s="268">
        <v>-2.5999999999999999E-3</v>
      </c>
      <c r="E661" s="8">
        <v>18.28</v>
      </c>
      <c r="F661" s="8">
        <v>121.212</v>
      </c>
      <c r="G661" s="8">
        <v>115.71899999999999</v>
      </c>
      <c r="H661" s="8">
        <v>85.55</v>
      </c>
      <c r="I661" s="8">
        <v>174.26</v>
      </c>
      <c r="J661" s="8">
        <v>63.92</v>
      </c>
      <c r="K661" s="268">
        <v>0.53039999999999998</v>
      </c>
      <c r="L661" s="268">
        <v>0.37280000000000002</v>
      </c>
      <c r="M661" s="268">
        <v>-2.0799999999999999E-2</v>
      </c>
      <c r="N661" s="8">
        <v>337.27</v>
      </c>
      <c r="O661" s="8">
        <v>8496.32</v>
      </c>
      <c r="P661" s="268">
        <v>3.9699999999999999E-2</v>
      </c>
      <c r="Q661" s="8">
        <v>540</v>
      </c>
      <c r="R661" s="8" t="s">
        <v>5465</v>
      </c>
      <c r="S661" s="8" t="s">
        <v>2999</v>
      </c>
      <c r="T661" s="8" t="s">
        <v>5648</v>
      </c>
      <c r="U661" s="8" t="s">
        <v>5649</v>
      </c>
      <c r="V661" s="8" t="s">
        <v>5650</v>
      </c>
      <c r="W661" s="8" t="s">
        <v>5651</v>
      </c>
    </row>
    <row r="662" spans="1:23" ht="28" customHeight="1" x14ac:dyDescent="0.3">
      <c r="A662" s="308">
        <v>45300</v>
      </c>
      <c r="B662" s="302">
        <v>1923.7159999999999</v>
      </c>
      <c r="C662" s="8">
        <v>6.06</v>
      </c>
      <c r="D662" s="268">
        <v>3.2000000000000002E-3</v>
      </c>
      <c r="E662" s="8">
        <v>18.88</v>
      </c>
      <c r="F662" s="8">
        <v>121.569</v>
      </c>
      <c r="G662" s="8">
        <v>116.185</v>
      </c>
      <c r="H662" s="8">
        <v>86.06</v>
      </c>
      <c r="I662" s="8">
        <v>173.84</v>
      </c>
      <c r="J662" s="8">
        <v>61.19</v>
      </c>
      <c r="K662" s="268">
        <v>0.52270000000000005</v>
      </c>
      <c r="L662" s="268">
        <v>0.3609</v>
      </c>
      <c r="M662" s="268">
        <v>-2.18E-2</v>
      </c>
      <c r="N662" s="8">
        <v>371.7</v>
      </c>
      <c r="O662" s="8">
        <v>8500.92</v>
      </c>
      <c r="P662" s="268">
        <v>4.3700000000000003E-2</v>
      </c>
      <c r="Q662" s="8">
        <v>540</v>
      </c>
      <c r="R662" s="8" t="s">
        <v>5652</v>
      </c>
      <c r="S662" s="8" t="s">
        <v>5653</v>
      </c>
      <c r="T662" s="8" t="s">
        <v>5654</v>
      </c>
      <c r="U662" s="8" t="s">
        <v>5655</v>
      </c>
      <c r="V662" s="8" t="s">
        <v>5656</v>
      </c>
      <c r="W662" s="8" t="s">
        <v>5657</v>
      </c>
    </row>
    <row r="663" spans="1:23" ht="28" customHeight="1" x14ac:dyDescent="0.3">
      <c r="A663" s="308">
        <v>45299</v>
      </c>
      <c r="B663" s="302">
        <v>1917.6559999999999</v>
      </c>
      <c r="C663" s="8">
        <v>-19.605</v>
      </c>
      <c r="D663" s="268">
        <v>-1.01E-2</v>
      </c>
      <c r="E663" s="8">
        <v>15.33</v>
      </c>
      <c r="F663" s="8">
        <v>121.104</v>
      </c>
      <c r="G663" s="8">
        <v>115.55200000000001</v>
      </c>
      <c r="H663" s="8">
        <v>85.38</v>
      </c>
      <c r="I663" s="8">
        <v>173.97</v>
      </c>
      <c r="J663" s="8">
        <v>63.98</v>
      </c>
      <c r="K663" s="268">
        <v>0.52859999999999996</v>
      </c>
      <c r="L663" s="268">
        <v>0.36670000000000003</v>
      </c>
      <c r="M663" s="268">
        <v>-2.0400000000000001E-2</v>
      </c>
      <c r="N663" s="8">
        <v>306.11</v>
      </c>
      <c r="O663" s="8">
        <v>8503.8799999999992</v>
      </c>
      <c r="P663" s="268">
        <v>3.5999999999999997E-2</v>
      </c>
      <c r="Q663" s="8">
        <v>540</v>
      </c>
      <c r="R663" s="8" t="s">
        <v>5459</v>
      </c>
      <c r="S663" s="8" t="s">
        <v>5658</v>
      </c>
      <c r="T663" s="8" t="s">
        <v>5659</v>
      </c>
      <c r="U663" s="8" t="s">
        <v>5660</v>
      </c>
      <c r="V663" s="8" t="s">
        <v>5661</v>
      </c>
      <c r="W663" s="8" t="s">
        <v>5662</v>
      </c>
    </row>
    <row r="664" spans="1:23" ht="28" customHeight="1" x14ac:dyDescent="0.3">
      <c r="A664" s="308">
        <v>45296</v>
      </c>
      <c r="B664" s="302">
        <v>1937.261</v>
      </c>
      <c r="C664" s="8">
        <v>-13.303000000000001</v>
      </c>
      <c r="D664" s="268">
        <v>-6.7999999999999996E-3</v>
      </c>
      <c r="E664" s="8">
        <v>22.15</v>
      </c>
      <c r="F664" s="8">
        <v>122.371</v>
      </c>
      <c r="G664" s="8">
        <v>116.869</v>
      </c>
      <c r="H664" s="8">
        <v>87.18</v>
      </c>
      <c r="I664" s="8">
        <v>173.25</v>
      </c>
      <c r="J664" s="8">
        <v>57.35</v>
      </c>
      <c r="K664" s="268">
        <v>0.50880000000000003</v>
      </c>
      <c r="L664" s="268">
        <v>0.3523</v>
      </c>
      <c r="M664" s="268">
        <v>-2.4299999999999999E-2</v>
      </c>
      <c r="N664" s="8">
        <v>378.9</v>
      </c>
      <c r="O664" s="8">
        <v>8509.82</v>
      </c>
      <c r="P664" s="268">
        <v>4.4499999999999998E-2</v>
      </c>
      <c r="Q664" s="8">
        <v>540</v>
      </c>
      <c r="R664" s="8" t="s">
        <v>5663</v>
      </c>
      <c r="S664" s="8" t="s">
        <v>3275</v>
      </c>
      <c r="T664" s="8" t="s">
        <v>5664</v>
      </c>
      <c r="U664" s="8" t="s">
        <v>5665</v>
      </c>
      <c r="V664" s="8" t="s">
        <v>5666</v>
      </c>
      <c r="W664" s="8" t="s">
        <v>5667</v>
      </c>
    </row>
    <row r="665" spans="1:23" ht="28" customHeight="1" x14ac:dyDescent="0.3">
      <c r="A665" s="308">
        <v>45295</v>
      </c>
      <c r="B665" s="302">
        <v>1950.5640000000001</v>
      </c>
      <c r="C665" s="8">
        <v>-6.6150000000000002</v>
      </c>
      <c r="D665" s="268">
        <v>-3.3999999999999998E-3</v>
      </c>
      <c r="E665" s="8">
        <v>26.92</v>
      </c>
      <c r="F665" s="8">
        <v>123.32299999999999</v>
      </c>
      <c r="G665" s="8">
        <v>118.056</v>
      </c>
      <c r="H665" s="8">
        <v>88.7</v>
      </c>
      <c r="I665" s="8">
        <v>172.82</v>
      </c>
      <c r="J665" s="8">
        <v>53.75</v>
      </c>
      <c r="K665" s="268">
        <v>0.495</v>
      </c>
      <c r="L665" s="268">
        <v>0.34079999999999999</v>
      </c>
      <c r="M665" s="268">
        <v>-2.7199999999999998E-2</v>
      </c>
      <c r="N665" s="8">
        <v>392.2</v>
      </c>
      <c r="O665" s="8">
        <v>8518.02</v>
      </c>
      <c r="P665" s="268">
        <v>4.5999999999999999E-2</v>
      </c>
      <c r="Q665" s="8">
        <v>541</v>
      </c>
      <c r="R665" s="8" t="s">
        <v>5668</v>
      </c>
      <c r="S665" s="8" t="s">
        <v>5669</v>
      </c>
      <c r="T665" s="8" t="s">
        <v>5670</v>
      </c>
      <c r="U665" s="8" t="s">
        <v>5671</v>
      </c>
      <c r="V665" s="8" t="s">
        <v>5672</v>
      </c>
      <c r="W665" s="8" t="s">
        <v>5673</v>
      </c>
    </row>
    <row r="666" spans="1:23" ht="28" customHeight="1" x14ac:dyDescent="0.3">
      <c r="A666" s="308">
        <v>45294</v>
      </c>
      <c r="B666" s="302">
        <v>1957.1790000000001</v>
      </c>
      <c r="C666" s="8">
        <v>-14.114000000000001</v>
      </c>
      <c r="D666" s="268">
        <v>-7.1999999999999998E-3</v>
      </c>
      <c r="E666" s="8">
        <v>29.58</v>
      </c>
      <c r="F666" s="8">
        <v>123.765</v>
      </c>
      <c r="G666" s="8">
        <v>118.41200000000001</v>
      </c>
      <c r="H666" s="8">
        <v>88.83</v>
      </c>
      <c r="I666" s="8">
        <v>173.09</v>
      </c>
      <c r="J666" s="8">
        <v>53.85</v>
      </c>
      <c r="K666" s="268">
        <v>0.49330000000000002</v>
      </c>
      <c r="L666" s="268">
        <v>0.3468</v>
      </c>
      <c r="M666" s="268">
        <v>-2.8500000000000001E-2</v>
      </c>
      <c r="N666" s="8">
        <v>375.94</v>
      </c>
      <c r="O666" s="8">
        <v>8525.0499999999993</v>
      </c>
      <c r="P666" s="268">
        <v>4.41E-2</v>
      </c>
      <c r="Q666" s="8">
        <v>541</v>
      </c>
      <c r="R666" s="8" t="s">
        <v>5674</v>
      </c>
      <c r="S666" s="8" t="s">
        <v>2353</v>
      </c>
      <c r="T666" s="8" t="s">
        <v>5675</v>
      </c>
      <c r="U666" s="8" t="s">
        <v>5676</v>
      </c>
      <c r="V666" s="8" t="s">
        <v>5677</v>
      </c>
      <c r="W666" s="8" t="s">
        <v>5678</v>
      </c>
    </row>
    <row r="667" spans="1:23" ht="28" customHeight="1" x14ac:dyDescent="0.3">
      <c r="A667" s="308">
        <v>45293</v>
      </c>
      <c r="B667" s="302">
        <v>1971.2929999999999</v>
      </c>
      <c r="C667" s="8">
        <v>3.2280000000000002</v>
      </c>
      <c r="D667" s="268">
        <v>1.6000000000000001E-3</v>
      </c>
      <c r="E667" s="8">
        <v>34.479999999999997</v>
      </c>
      <c r="F667" s="8">
        <v>124.71899999999999</v>
      </c>
      <c r="G667" s="8">
        <v>119.17400000000001</v>
      </c>
      <c r="H667" s="8">
        <v>89.47</v>
      </c>
      <c r="I667" s="8">
        <v>174.14</v>
      </c>
      <c r="J667" s="8">
        <v>55.62</v>
      </c>
      <c r="K667" s="268">
        <v>0.49419999999999997</v>
      </c>
      <c r="L667" s="268">
        <v>0.34539999999999998</v>
      </c>
      <c r="M667" s="268">
        <v>-3.1199999999999999E-2</v>
      </c>
      <c r="N667" s="8">
        <v>377.78</v>
      </c>
      <c r="O667" s="8">
        <v>8532.08</v>
      </c>
      <c r="P667" s="268">
        <v>4.4299999999999999E-2</v>
      </c>
      <c r="Q667" s="8">
        <v>541</v>
      </c>
      <c r="R667" s="8" t="s">
        <v>5679</v>
      </c>
      <c r="S667" s="8" t="s">
        <v>4133</v>
      </c>
      <c r="T667" s="8" t="s">
        <v>5680</v>
      </c>
      <c r="U667" s="8" t="s">
        <v>5681</v>
      </c>
      <c r="V667" s="8" t="s">
        <v>5682</v>
      </c>
      <c r="W667" s="8" t="s">
        <v>5683</v>
      </c>
    </row>
    <row r="668" spans="1:23" ht="28" customHeight="1" x14ac:dyDescent="0.3">
      <c r="A668" s="308">
        <v>45289</v>
      </c>
      <c r="B668" s="302">
        <v>1968.0650000000001</v>
      </c>
      <c r="C668" s="8">
        <v>18.076000000000001</v>
      </c>
      <c r="D668" s="268">
        <v>9.2999999999999992E-3</v>
      </c>
      <c r="E668" s="8">
        <v>33.200000000000003</v>
      </c>
      <c r="F668" s="8">
        <v>124.49</v>
      </c>
      <c r="G668" s="8">
        <v>118.55</v>
      </c>
      <c r="H668" s="8">
        <v>88.32</v>
      </c>
      <c r="I668" s="8">
        <v>173.57</v>
      </c>
      <c r="J668" s="8">
        <v>54.32</v>
      </c>
      <c r="K668" s="268">
        <v>0.49080000000000001</v>
      </c>
      <c r="L668" s="268">
        <v>0.33950000000000002</v>
      </c>
      <c r="M668" s="268">
        <v>-2.98E-2</v>
      </c>
      <c r="N668" s="8">
        <v>541.49</v>
      </c>
      <c r="O668" s="8">
        <v>8530.69</v>
      </c>
      <c r="P668" s="268">
        <v>6.3500000000000001E-2</v>
      </c>
      <c r="Q668" s="8">
        <v>541</v>
      </c>
      <c r="R668" s="8" t="s">
        <v>5684</v>
      </c>
      <c r="S668" s="8" t="s">
        <v>5685</v>
      </c>
      <c r="T668" s="8" t="s">
        <v>5686</v>
      </c>
      <c r="U668" s="8" t="s">
        <v>5687</v>
      </c>
      <c r="V668" s="8" t="s">
        <v>5688</v>
      </c>
      <c r="W668" s="8" t="s">
        <v>5689</v>
      </c>
    </row>
    <row r="669" spans="1:23" ht="28" customHeight="1" x14ac:dyDescent="0.3">
      <c r="A669" s="308">
        <v>45288</v>
      </c>
      <c r="B669" s="302">
        <v>1949.989</v>
      </c>
      <c r="C669" s="8">
        <v>26.524999999999999</v>
      </c>
      <c r="D669" s="268">
        <v>1.38E-2</v>
      </c>
      <c r="E669" s="8">
        <v>25.79</v>
      </c>
      <c r="F669" s="8">
        <v>123.379</v>
      </c>
      <c r="G669" s="8">
        <v>117.532</v>
      </c>
      <c r="H669" s="8">
        <v>87.3</v>
      </c>
      <c r="I669" s="8">
        <v>173.32</v>
      </c>
      <c r="J669" s="8">
        <v>58.46</v>
      </c>
      <c r="K669" s="268">
        <v>0.49940000000000001</v>
      </c>
      <c r="L669" s="268">
        <v>0.34839999999999999</v>
      </c>
      <c r="M669" s="268">
        <v>-2.6700000000000002E-2</v>
      </c>
      <c r="N669" s="8">
        <v>437.01</v>
      </c>
      <c r="O669" s="8">
        <v>8523.8799999999992</v>
      </c>
      <c r="P669" s="268">
        <v>5.1299999999999998E-2</v>
      </c>
      <c r="Q669" s="8">
        <v>540</v>
      </c>
      <c r="R669" s="8" t="s">
        <v>5690</v>
      </c>
      <c r="S669" s="8" t="s">
        <v>5691</v>
      </c>
      <c r="T669" s="8" t="s">
        <v>5692</v>
      </c>
      <c r="U669" s="8" t="s">
        <v>5693</v>
      </c>
      <c r="V669" s="8" t="s">
        <v>5694</v>
      </c>
      <c r="W669" s="8" t="s">
        <v>5695</v>
      </c>
    </row>
    <row r="670" spans="1:23" ht="28" customHeight="1" x14ac:dyDescent="0.3">
      <c r="A670" s="308">
        <v>45287</v>
      </c>
      <c r="B670" s="302">
        <v>1923.4639999999999</v>
      </c>
      <c r="C670" s="8">
        <v>9.1120000000000001</v>
      </c>
      <c r="D670" s="268">
        <v>4.7999999999999996E-3</v>
      </c>
      <c r="E670" s="8">
        <v>15.15</v>
      </c>
      <c r="F670" s="8">
        <v>121.745</v>
      </c>
      <c r="G670" s="8">
        <v>115.655</v>
      </c>
      <c r="H670" s="8">
        <v>85.58</v>
      </c>
      <c r="I670" s="8">
        <v>173.5</v>
      </c>
      <c r="J670" s="8">
        <v>63.53</v>
      </c>
      <c r="K670" s="268">
        <v>0.51749999999999996</v>
      </c>
      <c r="L670" s="268">
        <v>0.36659999999999998</v>
      </c>
      <c r="M670" s="268">
        <v>-2.2100000000000002E-2</v>
      </c>
      <c r="N670" s="8">
        <v>400.84</v>
      </c>
      <c r="O670" s="8">
        <v>8527.48</v>
      </c>
      <c r="P670" s="268">
        <v>4.7E-2</v>
      </c>
      <c r="Q670" s="8">
        <v>540</v>
      </c>
      <c r="R670" s="8" t="s">
        <v>5696</v>
      </c>
      <c r="S670" s="8" t="s">
        <v>5697</v>
      </c>
      <c r="T670" s="8" t="s">
        <v>5698</v>
      </c>
      <c r="U670" s="8" t="s">
        <v>5699</v>
      </c>
      <c r="V670" s="8" t="s">
        <v>5700</v>
      </c>
      <c r="W670" s="8" t="s">
        <v>5701</v>
      </c>
    </row>
    <row r="671" spans="1:23" ht="28" customHeight="1" x14ac:dyDescent="0.3">
      <c r="A671" s="308">
        <v>45286</v>
      </c>
      <c r="B671" s="302">
        <v>1914.3520000000001</v>
      </c>
      <c r="C671" s="8">
        <v>-16.898</v>
      </c>
      <c r="D671" s="268">
        <v>-8.8000000000000005E-3</v>
      </c>
      <c r="E671" s="8">
        <v>12.41</v>
      </c>
      <c r="F671" s="8">
        <v>121.1</v>
      </c>
      <c r="G671" s="8">
        <v>115.111</v>
      </c>
      <c r="H671" s="8">
        <v>84.89</v>
      </c>
      <c r="I671" s="8">
        <v>173.3</v>
      </c>
      <c r="J671" s="8">
        <v>65.239999999999995</v>
      </c>
      <c r="K671" s="268">
        <v>0.52200000000000002</v>
      </c>
      <c r="L671" s="268">
        <v>0.36969999999999997</v>
      </c>
      <c r="M671" s="268">
        <v>-2.0299999999999999E-2</v>
      </c>
      <c r="N671" s="8">
        <v>369.43</v>
      </c>
      <c r="O671" s="8">
        <v>8532.14</v>
      </c>
      <c r="P671" s="268">
        <v>4.3299999999999998E-2</v>
      </c>
      <c r="Q671" s="8">
        <v>540</v>
      </c>
      <c r="R671" s="8" t="s">
        <v>5702</v>
      </c>
      <c r="S671" s="8" t="s">
        <v>5703</v>
      </c>
      <c r="T671" s="8" t="s">
        <v>5704</v>
      </c>
      <c r="U671" s="8" t="s">
        <v>5705</v>
      </c>
      <c r="V671" s="8" t="s">
        <v>5706</v>
      </c>
      <c r="W671" s="8" t="s">
        <v>5707</v>
      </c>
    </row>
    <row r="672" spans="1:23" ht="28" customHeight="1" x14ac:dyDescent="0.3">
      <c r="A672" s="308">
        <v>45285</v>
      </c>
      <c r="B672" s="302">
        <v>1931.25</v>
      </c>
      <c r="C672" s="8">
        <v>-4.7430000000000003</v>
      </c>
      <c r="D672" s="268">
        <v>-2.3999999999999998E-3</v>
      </c>
      <c r="E672" s="8">
        <v>16.88</v>
      </c>
      <c r="F672" s="8">
        <v>122.35299999999999</v>
      </c>
      <c r="G672" s="8">
        <v>115.916</v>
      </c>
      <c r="H672" s="8">
        <v>85.71</v>
      </c>
      <c r="I672" s="8">
        <v>173.78</v>
      </c>
      <c r="J672" s="8">
        <v>63.66</v>
      </c>
      <c r="K672" s="268">
        <v>0.51429999999999998</v>
      </c>
      <c r="L672" s="268">
        <v>0.3594</v>
      </c>
      <c r="M672" s="268">
        <v>-2.2800000000000001E-2</v>
      </c>
      <c r="N672" s="8">
        <v>376.05</v>
      </c>
      <c r="O672" s="8">
        <v>8534.89</v>
      </c>
      <c r="P672" s="268">
        <v>4.41E-2</v>
      </c>
      <c r="Q672" s="8">
        <v>540</v>
      </c>
      <c r="R672" s="8" t="s">
        <v>5708</v>
      </c>
      <c r="S672" s="8" t="s">
        <v>5709</v>
      </c>
      <c r="T672" s="8" t="s">
        <v>5710</v>
      </c>
      <c r="U672" s="8" t="s">
        <v>5711</v>
      </c>
      <c r="V672" s="8" t="s">
        <v>4683</v>
      </c>
      <c r="W672" s="8" t="s">
        <v>5712</v>
      </c>
    </row>
    <row r="673" spans="1:23" ht="28" customHeight="1" x14ac:dyDescent="0.3">
      <c r="A673" s="308">
        <v>45282</v>
      </c>
      <c r="B673" s="302">
        <v>1935.9929999999999</v>
      </c>
      <c r="C673" s="8">
        <v>-4.3849999999999998</v>
      </c>
      <c r="D673" s="268">
        <v>-2.3E-3</v>
      </c>
      <c r="E673" s="8">
        <v>17.079999999999998</v>
      </c>
      <c r="F673" s="8">
        <v>122.697</v>
      </c>
      <c r="G673" s="8">
        <v>116.452</v>
      </c>
      <c r="H673" s="8">
        <v>86.23</v>
      </c>
      <c r="I673" s="8">
        <v>174</v>
      </c>
      <c r="J673" s="8">
        <v>64.430000000000007</v>
      </c>
      <c r="K673" s="268">
        <v>0.51300000000000001</v>
      </c>
      <c r="L673" s="268">
        <v>0.36849999999999999</v>
      </c>
      <c r="M673" s="268">
        <v>-2.3599999999999999E-2</v>
      </c>
      <c r="N673" s="8">
        <v>424.36</v>
      </c>
      <c r="O673" s="8">
        <v>8541.42</v>
      </c>
      <c r="P673" s="268">
        <v>4.9700000000000001E-2</v>
      </c>
      <c r="Q673" s="8">
        <v>541</v>
      </c>
      <c r="R673" s="8" t="s">
        <v>5713</v>
      </c>
      <c r="S673" s="8" t="s">
        <v>5714</v>
      </c>
      <c r="T673" s="8" t="s">
        <v>5715</v>
      </c>
      <c r="U673" s="8" t="s">
        <v>5716</v>
      </c>
      <c r="V673" s="8" t="s">
        <v>5717</v>
      </c>
      <c r="W673" s="8" t="s">
        <v>5718</v>
      </c>
    </row>
    <row r="674" spans="1:23" ht="28" customHeight="1" x14ac:dyDescent="0.3">
      <c r="A674" s="308">
        <v>45281</v>
      </c>
      <c r="B674" s="302">
        <v>1940.3779999999999</v>
      </c>
      <c r="C674" s="8">
        <v>10.441000000000001</v>
      </c>
      <c r="D674" s="268">
        <v>5.4000000000000003E-3</v>
      </c>
      <c r="E674" s="8">
        <v>18.34</v>
      </c>
      <c r="F674" s="8">
        <v>123.012</v>
      </c>
      <c r="G674" s="8">
        <v>116.574</v>
      </c>
      <c r="H674" s="8">
        <v>87.31</v>
      </c>
      <c r="I674" s="8">
        <v>173.09</v>
      </c>
      <c r="J674" s="8">
        <v>60.44</v>
      </c>
      <c r="K674" s="268">
        <v>0.50070000000000003</v>
      </c>
      <c r="L674" s="268">
        <v>0.35489999999999999</v>
      </c>
      <c r="M674" s="268">
        <v>-2.4400000000000002E-2</v>
      </c>
      <c r="N674" s="8">
        <v>403.05</v>
      </c>
      <c r="O674" s="8">
        <v>8550.75</v>
      </c>
      <c r="P674" s="268">
        <v>4.7100000000000003E-2</v>
      </c>
      <c r="Q674" s="8">
        <v>543</v>
      </c>
      <c r="R674" s="8" t="s">
        <v>5719</v>
      </c>
      <c r="S674" s="8" t="s">
        <v>5720</v>
      </c>
      <c r="T674" s="8" t="s">
        <v>5721</v>
      </c>
      <c r="U674" s="8" t="s">
        <v>5722</v>
      </c>
      <c r="V674" s="8" t="s">
        <v>5723</v>
      </c>
      <c r="W674" s="8" t="s">
        <v>5724</v>
      </c>
    </row>
    <row r="675" spans="1:23" ht="28" customHeight="1" x14ac:dyDescent="0.3">
      <c r="A675" s="308">
        <v>45280</v>
      </c>
      <c r="B675" s="302">
        <v>1929.9369999999999</v>
      </c>
      <c r="C675" s="8">
        <v>-7.9649999999999999</v>
      </c>
      <c r="D675" s="268">
        <v>-4.1000000000000003E-3</v>
      </c>
      <c r="E675" s="8">
        <v>15.02</v>
      </c>
      <c r="F675" s="8">
        <v>122.328</v>
      </c>
      <c r="G675" s="8">
        <v>115.997</v>
      </c>
      <c r="H675" s="8">
        <v>86.74</v>
      </c>
      <c r="I675" s="8">
        <v>172.91</v>
      </c>
      <c r="J675" s="8">
        <v>57.87</v>
      </c>
      <c r="K675" s="268">
        <v>0.50580000000000003</v>
      </c>
      <c r="L675" s="268">
        <v>0.3533</v>
      </c>
      <c r="M675" s="268">
        <v>-2.2200000000000001E-2</v>
      </c>
      <c r="N675" s="8">
        <v>387.26</v>
      </c>
      <c r="O675" s="8">
        <v>8555.85</v>
      </c>
      <c r="P675" s="268">
        <v>4.53E-2</v>
      </c>
      <c r="Q675" s="8">
        <v>544</v>
      </c>
      <c r="R675" s="8" t="s">
        <v>2545</v>
      </c>
      <c r="S675" s="8" t="s">
        <v>5725</v>
      </c>
      <c r="T675" s="8" t="s">
        <v>5726</v>
      </c>
      <c r="U675" s="8" t="s">
        <v>5727</v>
      </c>
      <c r="V675" s="8" t="s">
        <v>5728</v>
      </c>
      <c r="W675" s="8" t="s">
        <v>5729</v>
      </c>
    </row>
    <row r="676" spans="1:23" ht="28" customHeight="1" x14ac:dyDescent="0.3">
      <c r="A676" s="308">
        <v>45279</v>
      </c>
      <c r="B676" s="302">
        <v>1937.902</v>
      </c>
      <c r="C676" s="8">
        <v>-5.968</v>
      </c>
      <c r="D676" s="268">
        <v>-3.0999999999999999E-3</v>
      </c>
      <c r="E676" s="8">
        <v>16.420000000000002</v>
      </c>
      <c r="F676" s="8">
        <v>122.88200000000001</v>
      </c>
      <c r="G676" s="8">
        <v>115.922</v>
      </c>
      <c r="H676" s="8">
        <v>87.61</v>
      </c>
      <c r="I676" s="8">
        <v>172.49</v>
      </c>
      <c r="J676" s="8">
        <v>56.25</v>
      </c>
      <c r="K676" s="268">
        <v>0.49609999999999999</v>
      </c>
      <c r="L676" s="268">
        <v>0.3453</v>
      </c>
      <c r="M676" s="268">
        <v>-2.3699999999999999E-2</v>
      </c>
      <c r="N676" s="8">
        <v>346.48</v>
      </c>
      <c r="O676" s="8">
        <v>8556.57</v>
      </c>
      <c r="P676" s="268">
        <v>4.0500000000000001E-2</v>
      </c>
      <c r="Q676" s="8">
        <v>544</v>
      </c>
      <c r="R676" s="8" t="s">
        <v>5730</v>
      </c>
      <c r="S676" s="8" t="s">
        <v>5731</v>
      </c>
      <c r="T676" s="8" t="s">
        <v>5732</v>
      </c>
      <c r="U676" s="8" t="s">
        <v>5733</v>
      </c>
      <c r="V676" s="8" t="s">
        <v>5734</v>
      </c>
      <c r="W676" s="8" t="s">
        <v>5735</v>
      </c>
    </row>
    <row r="677" spans="1:23" ht="28" customHeight="1" x14ac:dyDescent="0.3">
      <c r="A677" s="308">
        <v>45278</v>
      </c>
      <c r="B677" s="302">
        <v>1943.87</v>
      </c>
      <c r="C677" s="8">
        <v>-13.289</v>
      </c>
      <c r="D677" s="268">
        <v>-6.7999999999999996E-3</v>
      </c>
      <c r="E677" s="8">
        <v>17.329999999999998</v>
      </c>
      <c r="F677" s="8">
        <v>123.232</v>
      </c>
      <c r="G677" s="8">
        <v>116.66500000000001</v>
      </c>
      <c r="H677" s="8">
        <v>87.18</v>
      </c>
      <c r="I677" s="8">
        <v>173.63</v>
      </c>
      <c r="J677" s="8">
        <v>60.31</v>
      </c>
      <c r="K677" s="268">
        <v>0.50390000000000001</v>
      </c>
      <c r="L677" s="268">
        <v>0.35499999999999998</v>
      </c>
      <c r="M677" s="268">
        <v>-2.4899999999999999E-2</v>
      </c>
      <c r="N677" s="8">
        <v>343.27</v>
      </c>
      <c r="O677" s="8">
        <v>8560.42</v>
      </c>
      <c r="P677" s="268">
        <v>4.0099999999999997E-2</v>
      </c>
      <c r="Q677" s="8">
        <v>544</v>
      </c>
      <c r="R677" s="8" t="s">
        <v>5736</v>
      </c>
      <c r="S677" s="8" t="s">
        <v>3181</v>
      </c>
      <c r="T677" s="8" t="s">
        <v>5737</v>
      </c>
      <c r="U677" s="8" t="s">
        <v>5738</v>
      </c>
      <c r="V677" s="8" t="s">
        <v>5739</v>
      </c>
      <c r="W677" s="8" t="s">
        <v>5740</v>
      </c>
    </row>
    <row r="678" spans="1:23" ht="28" customHeight="1" x14ac:dyDescent="0.3">
      <c r="A678" s="308">
        <v>45275</v>
      </c>
      <c r="B678" s="302">
        <v>1957.1590000000001</v>
      </c>
      <c r="C678" s="8">
        <v>-7.4260000000000002</v>
      </c>
      <c r="D678" s="268">
        <v>-3.8E-3</v>
      </c>
      <c r="E678" s="8">
        <v>22.93</v>
      </c>
      <c r="F678" s="8">
        <v>124.14</v>
      </c>
      <c r="G678" s="8">
        <v>117.506</v>
      </c>
      <c r="H678" s="8">
        <v>88.56</v>
      </c>
      <c r="I678" s="8">
        <v>173.59</v>
      </c>
      <c r="J678" s="8">
        <v>57.9</v>
      </c>
      <c r="K678" s="268">
        <v>0.4945</v>
      </c>
      <c r="L678" s="268">
        <v>0.35139999999999999</v>
      </c>
      <c r="M678" s="268">
        <v>-2.7300000000000001E-2</v>
      </c>
      <c r="N678" s="8">
        <v>340.69</v>
      </c>
      <c r="O678" s="8">
        <v>8552.27</v>
      </c>
      <c r="P678" s="268">
        <v>3.9800000000000002E-2</v>
      </c>
      <c r="Q678" s="8">
        <v>542</v>
      </c>
      <c r="R678" s="8" t="s">
        <v>2809</v>
      </c>
      <c r="S678" s="8" t="s">
        <v>5741</v>
      </c>
      <c r="T678" s="8" t="s">
        <v>3849</v>
      </c>
      <c r="U678" s="8" t="s">
        <v>5742</v>
      </c>
      <c r="V678" s="8" t="s">
        <v>5743</v>
      </c>
      <c r="W678" s="8" t="s">
        <v>5744</v>
      </c>
    </row>
    <row r="679" spans="1:23" ht="28" customHeight="1" x14ac:dyDescent="0.3">
      <c r="A679" s="308">
        <v>45274</v>
      </c>
      <c r="B679" s="302">
        <v>1964.585</v>
      </c>
      <c r="C679" s="8">
        <v>-3.7989999999999999</v>
      </c>
      <c r="D679" s="268">
        <v>-1.9E-3</v>
      </c>
      <c r="E679" s="8">
        <v>25.42</v>
      </c>
      <c r="F679" s="8">
        <v>124.661</v>
      </c>
      <c r="G679" s="8">
        <v>117.804</v>
      </c>
      <c r="H679" s="8">
        <v>89.15</v>
      </c>
      <c r="I679" s="8">
        <v>173.95</v>
      </c>
      <c r="J679" s="8">
        <v>56.22</v>
      </c>
      <c r="K679" s="268">
        <v>0.4929</v>
      </c>
      <c r="L679" s="268">
        <v>0.34889999999999999</v>
      </c>
      <c r="M679" s="268">
        <v>-2.86E-2</v>
      </c>
      <c r="N679" s="8">
        <v>366.93</v>
      </c>
      <c r="O679" s="8">
        <v>8560.86</v>
      </c>
      <c r="P679" s="268">
        <v>4.2900000000000001E-2</v>
      </c>
      <c r="Q679" s="8">
        <v>542</v>
      </c>
      <c r="R679" s="8" t="s">
        <v>5745</v>
      </c>
      <c r="S679" s="8" t="s">
        <v>5746</v>
      </c>
      <c r="T679" s="8" t="s">
        <v>5747</v>
      </c>
      <c r="U679" s="8" t="s">
        <v>5748</v>
      </c>
      <c r="V679" s="8" t="s">
        <v>5749</v>
      </c>
      <c r="W679" s="8" t="s">
        <v>5750</v>
      </c>
    </row>
    <row r="680" spans="1:23" ht="28" customHeight="1" x14ac:dyDescent="0.3">
      <c r="A680" s="308">
        <v>45273</v>
      </c>
      <c r="B680" s="302">
        <v>1968.384</v>
      </c>
      <c r="C680" s="8">
        <v>-8.3420000000000005</v>
      </c>
      <c r="D680" s="268">
        <v>-4.1999999999999997E-3</v>
      </c>
      <c r="E680" s="8">
        <v>27.39</v>
      </c>
      <c r="F680" s="8">
        <v>124.982</v>
      </c>
      <c r="G680" s="8">
        <v>118.15</v>
      </c>
      <c r="H680" s="8">
        <v>89.14</v>
      </c>
      <c r="I680" s="8">
        <v>174.28</v>
      </c>
      <c r="J680" s="8">
        <v>56.69</v>
      </c>
      <c r="K680" s="268">
        <v>0.49299999999999999</v>
      </c>
      <c r="L680" s="268">
        <v>0.33950000000000002</v>
      </c>
      <c r="M680" s="268">
        <v>-2.9000000000000001E-2</v>
      </c>
      <c r="N680" s="8">
        <v>398.66</v>
      </c>
      <c r="O680" s="8">
        <v>8565.67</v>
      </c>
      <c r="P680" s="268">
        <v>4.65E-2</v>
      </c>
      <c r="Q680" s="8">
        <v>543</v>
      </c>
      <c r="R680" s="8" t="s">
        <v>5751</v>
      </c>
      <c r="S680" s="8" t="s">
        <v>5752</v>
      </c>
      <c r="T680" s="8" t="s">
        <v>5753</v>
      </c>
      <c r="U680" s="8" t="s">
        <v>5754</v>
      </c>
      <c r="V680" s="8" t="s">
        <v>5755</v>
      </c>
      <c r="W680" s="8" t="s">
        <v>5756</v>
      </c>
    </row>
    <row r="681" spans="1:23" ht="28" customHeight="1" x14ac:dyDescent="0.3">
      <c r="A681" s="308">
        <v>45272</v>
      </c>
      <c r="B681" s="302">
        <v>1976.7260000000001</v>
      </c>
      <c r="C681" s="8">
        <v>0.86899999999999999</v>
      </c>
      <c r="D681" s="268">
        <v>4.0000000000000002E-4</v>
      </c>
      <c r="E681" s="8">
        <v>29.25</v>
      </c>
      <c r="F681" s="8">
        <v>125.572</v>
      </c>
      <c r="G681" s="8">
        <v>118.9</v>
      </c>
      <c r="H681" s="8">
        <v>90.17</v>
      </c>
      <c r="I681" s="8">
        <v>174.25</v>
      </c>
      <c r="J681" s="8">
        <v>55.17</v>
      </c>
      <c r="K681" s="268">
        <v>0.48680000000000001</v>
      </c>
      <c r="L681" s="268">
        <v>0.33310000000000001</v>
      </c>
      <c r="M681" s="268">
        <v>-3.04E-2</v>
      </c>
      <c r="N681" s="8">
        <v>441.62</v>
      </c>
      <c r="O681" s="8">
        <v>8569.7199999999993</v>
      </c>
      <c r="P681" s="268">
        <v>5.1499999999999997E-2</v>
      </c>
      <c r="Q681" s="8">
        <v>543</v>
      </c>
      <c r="R681" s="8" t="s">
        <v>5757</v>
      </c>
      <c r="S681" s="8" t="s">
        <v>3357</v>
      </c>
      <c r="T681" s="8" t="s">
        <v>5758</v>
      </c>
      <c r="U681" s="8" t="s">
        <v>5759</v>
      </c>
      <c r="V681" s="8" t="s">
        <v>5760</v>
      </c>
      <c r="W681" s="8" t="s">
        <v>5761</v>
      </c>
    </row>
    <row r="682" spans="1:23" ht="28" customHeight="1" x14ac:dyDescent="0.3">
      <c r="A682" s="308">
        <v>45271</v>
      </c>
      <c r="B682" s="302">
        <v>1975.857</v>
      </c>
      <c r="C682" s="8">
        <v>4.4950000000000001</v>
      </c>
      <c r="D682" s="268">
        <v>2.3E-3</v>
      </c>
      <c r="E682" s="8">
        <v>28.4</v>
      </c>
      <c r="F682" s="8">
        <v>125.599</v>
      </c>
      <c r="G682" s="8">
        <v>118.559</v>
      </c>
      <c r="H682" s="8">
        <v>89.96</v>
      </c>
      <c r="I682" s="8">
        <v>174.47</v>
      </c>
      <c r="J682" s="8">
        <v>55.71</v>
      </c>
      <c r="K682" s="268">
        <v>0.48870000000000002</v>
      </c>
      <c r="L682" s="268">
        <v>0.34100000000000003</v>
      </c>
      <c r="M682" s="268">
        <v>-3.0300000000000001E-2</v>
      </c>
      <c r="N682" s="8">
        <v>470.96</v>
      </c>
      <c r="O682" s="8">
        <v>8583.51</v>
      </c>
      <c r="P682" s="268">
        <v>5.4899999999999997E-2</v>
      </c>
      <c r="Q682" s="8">
        <v>544</v>
      </c>
      <c r="R682" s="8" t="s">
        <v>5762</v>
      </c>
      <c r="S682" s="8" t="s">
        <v>3222</v>
      </c>
      <c r="T682" s="8" t="s">
        <v>5763</v>
      </c>
      <c r="U682" s="8" t="s">
        <v>5764</v>
      </c>
      <c r="V682" s="8" t="s">
        <v>5765</v>
      </c>
      <c r="W682" s="8" t="s">
        <v>5766</v>
      </c>
    </row>
    <row r="683" spans="1:23" ht="28" customHeight="1" x14ac:dyDescent="0.3">
      <c r="A683" s="308">
        <v>45268</v>
      </c>
      <c r="B683" s="302">
        <v>1971.3620000000001</v>
      </c>
      <c r="C683" s="8">
        <v>0.76900000000000002</v>
      </c>
      <c r="D683" s="268">
        <v>4.0000000000000002E-4</v>
      </c>
      <c r="E683" s="8">
        <v>28.15</v>
      </c>
      <c r="F683" s="8">
        <v>125.255</v>
      </c>
      <c r="G683" s="8">
        <v>118.316</v>
      </c>
      <c r="H683" s="8">
        <v>89.09</v>
      </c>
      <c r="I683" s="8">
        <v>175.3</v>
      </c>
      <c r="J683" s="8">
        <v>60.72</v>
      </c>
      <c r="K683" s="268">
        <v>0.50039999999999996</v>
      </c>
      <c r="L683" s="268">
        <v>0.35780000000000001</v>
      </c>
      <c r="M683" s="268">
        <v>-2.9399999999999999E-2</v>
      </c>
      <c r="N683" s="8">
        <v>496.46</v>
      </c>
      <c r="O683" s="8">
        <v>8593.5400000000009</v>
      </c>
      <c r="P683" s="268">
        <v>5.7799999999999997E-2</v>
      </c>
      <c r="Q683" s="8">
        <v>545</v>
      </c>
      <c r="R683" s="8" t="s">
        <v>3538</v>
      </c>
      <c r="S683" s="8" t="s">
        <v>3030</v>
      </c>
      <c r="T683" s="8" t="s">
        <v>5767</v>
      </c>
      <c r="U683" s="8" t="s">
        <v>5768</v>
      </c>
      <c r="V683" s="8" t="s">
        <v>5769</v>
      </c>
      <c r="W683" s="8" t="s">
        <v>5770</v>
      </c>
    </row>
    <row r="684" spans="1:23" ht="28" customHeight="1" x14ac:dyDescent="0.3">
      <c r="A684" s="308">
        <v>45267</v>
      </c>
      <c r="B684" s="302">
        <v>1970.5930000000001</v>
      </c>
      <c r="C684" s="8">
        <v>0.80800000000000005</v>
      </c>
      <c r="D684" s="268">
        <v>4.0000000000000002E-4</v>
      </c>
      <c r="E684" s="8">
        <v>26.5</v>
      </c>
      <c r="F684" s="8">
        <v>125.242</v>
      </c>
      <c r="G684" s="8">
        <v>118.3</v>
      </c>
      <c r="H684" s="8">
        <v>88.98</v>
      </c>
      <c r="I684" s="8">
        <v>173.95</v>
      </c>
      <c r="J684" s="8">
        <v>52.46</v>
      </c>
      <c r="K684" s="268">
        <v>0.48699999999999999</v>
      </c>
      <c r="L684" s="268">
        <v>0.3473</v>
      </c>
      <c r="M684" s="268">
        <v>-2.9600000000000001E-2</v>
      </c>
      <c r="N684" s="8">
        <v>458.24</v>
      </c>
      <c r="O684" s="8">
        <v>8600.4500000000007</v>
      </c>
      <c r="P684" s="268">
        <v>5.33E-2</v>
      </c>
      <c r="Q684" s="8">
        <v>545</v>
      </c>
      <c r="R684" s="8" t="s">
        <v>5771</v>
      </c>
      <c r="S684" s="8" t="s">
        <v>5772</v>
      </c>
      <c r="T684" s="8" t="s">
        <v>5773</v>
      </c>
      <c r="U684" s="8" t="s">
        <v>5774</v>
      </c>
      <c r="V684" s="8" t="s">
        <v>5775</v>
      </c>
      <c r="W684" s="8" t="s">
        <v>5776</v>
      </c>
    </row>
    <row r="685" spans="1:23" ht="28" customHeight="1" x14ac:dyDescent="0.3">
      <c r="A685" s="308">
        <v>45266</v>
      </c>
      <c r="B685" s="302">
        <v>1969.7850000000001</v>
      </c>
      <c r="C685" s="8">
        <v>2.7930000000000001</v>
      </c>
      <c r="D685" s="268">
        <v>1.4E-3</v>
      </c>
      <c r="E685" s="8">
        <v>26.6</v>
      </c>
      <c r="F685" s="8">
        <v>125.21599999999999</v>
      </c>
      <c r="G685" s="8">
        <v>118.449</v>
      </c>
      <c r="H685" s="8">
        <v>89.87</v>
      </c>
      <c r="I685" s="8">
        <v>173.4</v>
      </c>
      <c r="J685" s="8">
        <v>52.75</v>
      </c>
      <c r="K685" s="268">
        <v>0.48180000000000001</v>
      </c>
      <c r="L685" s="268">
        <v>0.34029999999999999</v>
      </c>
      <c r="M685" s="268">
        <v>-2.9100000000000001E-2</v>
      </c>
      <c r="N685" s="8">
        <v>411.02</v>
      </c>
      <c r="O685" s="8">
        <v>8604.66</v>
      </c>
      <c r="P685" s="268">
        <v>4.7800000000000002E-2</v>
      </c>
      <c r="Q685" s="8">
        <v>545</v>
      </c>
      <c r="R685" s="8" t="s">
        <v>5777</v>
      </c>
      <c r="S685" s="8" t="s">
        <v>5778</v>
      </c>
      <c r="T685" s="8" t="s">
        <v>5779</v>
      </c>
      <c r="U685" s="8" t="s">
        <v>5780</v>
      </c>
      <c r="V685" s="8" t="s">
        <v>5781</v>
      </c>
      <c r="W685" s="8" t="s">
        <v>5782</v>
      </c>
    </row>
    <row r="686" spans="1:23" ht="28" customHeight="1" x14ac:dyDescent="0.3">
      <c r="A686" s="308">
        <v>45265</v>
      </c>
      <c r="B686" s="302">
        <v>1966.992</v>
      </c>
      <c r="C686" s="8">
        <v>-12.829000000000001</v>
      </c>
      <c r="D686" s="268">
        <v>-6.4999999999999997E-3</v>
      </c>
      <c r="E686" s="8">
        <v>25.8</v>
      </c>
      <c r="F686" s="8">
        <v>124.964</v>
      </c>
      <c r="G686" s="8">
        <v>118.45</v>
      </c>
      <c r="H686" s="8">
        <v>89.27</v>
      </c>
      <c r="I686" s="8">
        <v>173.71</v>
      </c>
      <c r="J686" s="8">
        <v>54.98</v>
      </c>
      <c r="K686" s="268">
        <v>0.4874</v>
      </c>
      <c r="L686" s="268">
        <v>0.34089999999999998</v>
      </c>
      <c r="M686" s="268">
        <v>-2.87E-2</v>
      </c>
      <c r="N686" s="8">
        <v>435.19</v>
      </c>
      <c r="O686" s="8">
        <v>8603.1299999999992</v>
      </c>
      <c r="P686" s="268">
        <v>5.0599999999999999E-2</v>
      </c>
      <c r="Q686" s="8">
        <v>543</v>
      </c>
      <c r="R686" s="8" t="s">
        <v>3717</v>
      </c>
      <c r="S686" s="8" t="s">
        <v>2863</v>
      </c>
      <c r="T686" s="8" t="s">
        <v>5783</v>
      </c>
      <c r="U686" s="8" t="s">
        <v>5784</v>
      </c>
      <c r="V686" s="8" t="s">
        <v>5785</v>
      </c>
      <c r="W686" s="8" t="s">
        <v>5786</v>
      </c>
    </row>
    <row r="687" spans="1:23" ht="28" customHeight="1" x14ac:dyDescent="0.3">
      <c r="A687" s="308">
        <v>45264</v>
      </c>
      <c r="B687" s="302">
        <v>1979.8209999999999</v>
      </c>
      <c r="C687" s="8">
        <v>1.1080000000000001</v>
      </c>
      <c r="D687" s="268">
        <v>5.9999999999999995E-4</v>
      </c>
      <c r="E687" s="8">
        <v>31.29</v>
      </c>
      <c r="F687" s="8">
        <v>125.72199999999999</v>
      </c>
      <c r="G687" s="8">
        <v>119.139</v>
      </c>
      <c r="H687" s="8">
        <v>91.01</v>
      </c>
      <c r="I687" s="8">
        <v>173.02</v>
      </c>
      <c r="J687" s="8">
        <v>48.11</v>
      </c>
      <c r="K687" s="268">
        <v>0.47299999999999998</v>
      </c>
      <c r="L687" s="268">
        <v>0.33090000000000003</v>
      </c>
      <c r="M687" s="268">
        <v>-3.1099999999999999E-2</v>
      </c>
      <c r="N687" s="8">
        <v>435.55</v>
      </c>
      <c r="O687" s="8">
        <v>8607.2800000000007</v>
      </c>
      <c r="P687" s="268">
        <v>5.0599999999999999E-2</v>
      </c>
      <c r="Q687" s="8">
        <v>543</v>
      </c>
      <c r="R687" s="8" t="s">
        <v>5787</v>
      </c>
      <c r="S687" s="8" t="s">
        <v>5788</v>
      </c>
      <c r="T687" s="8" t="s">
        <v>5640</v>
      </c>
      <c r="U687" s="8" t="s">
        <v>5789</v>
      </c>
      <c r="V687" s="8" t="s">
        <v>5790</v>
      </c>
      <c r="W687" s="8" t="s">
        <v>5791</v>
      </c>
    </row>
    <row r="688" spans="1:23" ht="28" customHeight="1" x14ac:dyDescent="0.3">
      <c r="A688" s="308">
        <v>45261</v>
      </c>
      <c r="B688" s="302">
        <v>1978.713</v>
      </c>
      <c r="C688" s="8">
        <v>4.0869999999999997</v>
      </c>
      <c r="D688" s="268">
        <v>2.0999999999999999E-3</v>
      </c>
      <c r="E688" s="8">
        <v>32.43</v>
      </c>
      <c r="F688" s="8">
        <v>125.849</v>
      </c>
      <c r="G688" s="8">
        <v>119.259</v>
      </c>
      <c r="H688" s="8">
        <v>91.15</v>
      </c>
      <c r="I688" s="8">
        <v>172.6</v>
      </c>
      <c r="J688" s="8">
        <v>47.53</v>
      </c>
      <c r="K688" s="268">
        <v>0.46750000000000003</v>
      </c>
      <c r="L688" s="268">
        <v>0.32469999999999999</v>
      </c>
      <c r="M688" s="268">
        <v>-3.0300000000000001E-2</v>
      </c>
      <c r="N688" s="8">
        <v>535.85</v>
      </c>
      <c r="O688" s="8">
        <v>8612.59</v>
      </c>
      <c r="P688" s="268">
        <v>6.2199999999999998E-2</v>
      </c>
      <c r="Q688" s="8">
        <v>544</v>
      </c>
      <c r="R688" s="8" t="s">
        <v>5441</v>
      </c>
      <c r="S688" s="8" t="s">
        <v>5792</v>
      </c>
      <c r="T688" s="8" t="s">
        <v>5793</v>
      </c>
      <c r="U688" s="8" t="s">
        <v>3706</v>
      </c>
      <c r="V688" s="8" t="s">
        <v>5794</v>
      </c>
      <c r="W688" s="8" t="s">
        <v>5795</v>
      </c>
    </row>
    <row r="689" spans="1:23" ht="28" customHeight="1" x14ac:dyDescent="0.3">
      <c r="A689" s="308">
        <v>45260</v>
      </c>
      <c r="B689" s="302">
        <v>1974.626</v>
      </c>
      <c r="C689" s="8">
        <v>-5.5640000000000001</v>
      </c>
      <c r="D689" s="268">
        <v>-2.8E-3</v>
      </c>
      <c r="E689" s="8">
        <v>28.57</v>
      </c>
      <c r="F689" s="8">
        <v>125.7</v>
      </c>
      <c r="G689" s="8">
        <v>118.77800000000001</v>
      </c>
      <c r="H689" s="8">
        <v>90.78</v>
      </c>
      <c r="I689" s="8">
        <v>172.3</v>
      </c>
      <c r="J689" s="8">
        <v>46.76</v>
      </c>
      <c r="K689" s="268">
        <v>0.46589999999999998</v>
      </c>
      <c r="L689" s="268">
        <v>0.32750000000000001</v>
      </c>
      <c r="M689" s="268">
        <v>-2.9499999999999998E-2</v>
      </c>
      <c r="N689" s="8">
        <v>564.05999999999995</v>
      </c>
      <c r="O689" s="8">
        <v>8624.09</v>
      </c>
      <c r="P689" s="268">
        <v>6.54E-2</v>
      </c>
      <c r="Q689" s="8">
        <v>545</v>
      </c>
      <c r="R689" s="8" t="s">
        <v>2417</v>
      </c>
      <c r="S689" s="8" t="s">
        <v>2583</v>
      </c>
      <c r="T689" s="8" t="s">
        <v>5796</v>
      </c>
      <c r="U689" s="8" t="s">
        <v>5797</v>
      </c>
      <c r="V689" s="8" t="s">
        <v>5798</v>
      </c>
      <c r="W689" s="8" t="s">
        <v>5799</v>
      </c>
    </row>
    <row r="690" spans="1:23" ht="28" customHeight="1" x14ac:dyDescent="0.3">
      <c r="A690" s="308">
        <v>45259</v>
      </c>
      <c r="B690" s="302">
        <v>1980.19</v>
      </c>
      <c r="C690" s="8">
        <v>-5.2809999999999997</v>
      </c>
      <c r="D690" s="268">
        <v>-2.7000000000000001E-3</v>
      </c>
      <c r="E690" s="8">
        <v>30.7</v>
      </c>
      <c r="F690" s="8">
        <v>125.977</v>
      </c>
      <c r="G690" s="8">
        <v>119.37</v>
      </c>
      <c r="H690" s="8">
        <v>91.61</v>
      </c>
      <c r="I690" s="8">
        <v>171.79</v>
      </c>
      <c r="J690" s="8">
        <v>44.44</v>
      </c>
      <c r="K690" s="268">
        <v>0.45810000000000001</v>
      </c>
      <c r="L690" s="268">
        <v>0.32240000000000002</v>
      </c>
      <c r="M690" s="268">
        <v>-3.0800000000000001E-2</v>
      </c>
      <c r="N690" s="8">
        <v>480.32</v>
      </c>
      <c r="O690" s="8">
        <v>8631.9</v>
      </c>
      <c r="P690" s="268">
        <v>5.5599999999999997E-2</v>
      </c>
      <c r="Q690" s="8">
        <v>545</v>
      </c>
      <c r="R690" s="8" t="s">
        <v>5800</v>
      </c>
      <c r="S690" s="8" t="s">
        <v>2613</v>
      </c>
      <c r="T690" s="8" t="s">
        <v>5801</v>
      </c>
      <c r="U690" s="8" t="s">
        <v>5802</v>
      </c>
      <c r="V690" s="8" t="s">
        <v>5803</v>
      </c>
      <c r="W690" s="8" t="s">
        <v>5803</v>
      </c>
    </row>
    <row r="691" spans="1:23" ht="28" customHeight="1" x14ac:dyDescent="0.3">
      <c r="A691" s="308">
        <v>45258</v>
      </c>
      <c r="B691" s="302">
        <v>1985.471</v>
      </c>
      <c r="C691" s="8">
        <v>8.2249999999999996</v>
      </c>
      <c r="D691" s="268">
        <v>4.1999999999999997E-3</v>
      </c>
      <c r="E691" s="8">
        <v>32.770000000000003</v>
      </c>
      <c r="F691" s="8">
        <v>126.256</v>
      </c>
      <c r="G691" s="8">
        <v>119.68600000000001</v>
      </c>
      <c r="H691" s="8">
        <v>92.19</v>
      </c>
      <c r="I691" s="8">
        <v>171.54</v>
      </c>
      <c r="J691" s="8">
        <v>43.65</v>
      </c>
      <c r="K691" s="268">
        <v>0.45279999999999998</v>
      </c>
      <c r="L691" s="268">
        <v>0.31530000000000002</v>
      </c>
      <c r="M691" s="268">
        <v>-3.15E-2</v>
      </c>
      <c r="N691" s="8">
        <v>479.5</v>
      </c>
      <c r="O691" s="8">
        <v>8637.49</v>
      </c>
      <c r="P691" s="268">
        <v>5.5500000000000001E-2</v>
      </c>
      <c r="Q691" s="8">
        <v>546</v>
      </c>
      <c r="R691" s="8" t="s">
        <v>5804</v>
      </c>
      <c r="S691" s="8" t="s">
        <v>5805</v>
      </c>
      <c r="T691" s="8" t="s">
        <v>4313</v>
      </c>
      <c r="U691" s="8" t="s">
        <v>5806</v>
      </c>
      <c r="V691" s="8" t="s">
        <v>5807</v>
      </c>
      <c r="W691" s="8" t="s">
        <v>5808</v>
      </c>
    </row>
    <row r="692" spans="1:23" ht="28" customHeight="1" x14ac:dyDescent="0.3">
      <c r="A692" s="308">
        <v>45257</v>
      </c>
      <c r="B692" s="302">
        <v>1977.2460000000001</v>
      </c>
      <c r="C692" s="8">
        <v>5.7370000000000001</v>
      </c>
      <c r="D692" s="268">
        <v>2.8999999999999998E-3</v>
      </c>
      <c r="E692" s="8">
        <v>29.42</v>
      </c>
      <c r="F692" s="8">
        <v>125.752</v>
      </c>
      <c r="G692" s="8">
        <v>119.12</v>
      </c>
      <c r="H692" s="8">
        <v>91.19</v>
      </c>
      <c r="I692" s="8">
        <v>171.88</v>
      </c>
      <c r="J692" s="8">
        <v>45.6</v>
      </c>
      <c r="K692" s="268">
        <v>0.46129999999999999</v>
      </c>
      <c r="L692" s="268">
        <v>0.31440000000000001</v>
      </c>
      <c r="M692" s="268">
        <v>-2.9899999999999999E-2</v>
      </c>
      <c r="N692" s="8">
        <v>474.13</v>
      </c>
      <c r="O692" s="8">
        <v>8646.6200000000008</v>
      </c>
      <c r="P692" s="268">
        <v>5.4800000000000001E-2</v>
      </c>
      <c r="Q692" s="8">
        <v>546</v>
      </c>
      <c r="R692" s="8" t="s">
        <v>2652</v>
      </c>
      <c r="S692" s="8" t="s">
        <v>5809</v>
      </c>
      <c r="T692" s="8" t="s">
        <v>5810</v>
      </c>
      <c r="U692" s="8" t="s">
        <v>5811</v>
      </c>
      <c r="V692" s="8" t="s">
        <v>5812</v>
      </c>
      <c r="W692" s="8" t="s">
        <v>5813</v>
      </c>
    </row>
    <row r="693" spans="1:23" ht="28" customHeight="1" x14ac:dyDescent="0.3">
      <c r="A693" s="308">
        <v>45254</v>
      </c>
      <c r="B693" s="302">
        <v>1971.509</v>
      </c>
      <c r="C693" s="8">
        <v>-10.843</v>
      </c>
      <c r="D693" s="268">
        <v>-5.4999999999999997E-3</v>
      </c>
      <c r="E693" s="8">
        <v>26.92</v>
      </c>
      <c r="F693" s="8">
        <v>125.35599999999999</v>
      </c>
      <c r="G693" s="8">
        <v>118.764</v>
      </c>
      <c r="H693" s="8">
        <v>91.25</v>
      </c>
      <c r="I693" s="8">
        <v>170.94</v>
      </c>
      <c r="J693" s="8">
        <v>44.47</v>
      </c>
      <c r="K693" s="268">
        <v>0.45579999999999998</v>
      </c>
      <c r="L693" s="268">
        <v>0.31540000000000001</v>
      </c>
      <c r="M693" s="268">
        <v>-2.93E-2</v>
      </c>
      <c r="N693" s="8">
        <v>410.61</v>
      </c>
      <c r="O693" s="8">
        <v>8642.57</v>
      </c>
      <c r="P693" s="268">
        <v>4.7500000000000001E-2</v>
      </c>
      <c r="Q693" s="8">
        <v>545</v>
      </c>
      <c r="R693" s="8" t="s">
        <v>2635</v>
      </c>
      <c r="S693" s="8" t="s">
        <v>5814</v>
      </c>
      <c r="T693" s="8" t="s">
        <v>5815</v>
      </c>
      <c r="U693" s="8" t="s">
        <v>5816</v>
      </c>
      <c r="V693" s="8" t="s">
        <v>5817</v>
      </c>
      <c r="W693" s="8" t="s">
        <v>5818</v>
      </c>
    </row>
    <row r="694" spans="1:23" ht="28" customHeight="1" x14ac:dyDescent="0.3">
      <c r="A694" s="308">
        <v>45253</v>
      </c>
      <c r="B694" s="302">
        <v>1982.3520000000001</v>
      </c>
      <c r="C694" s="8">
        <v>2.238</v>
      </c>
      <c r="D694" s="268">
        <v>1.1000000000000001E-3</v>
      </c>
      <c r="E694" s="8">
        <v>30.08</v>
      </c>
      <c r="F694" s="8">
        <v>126.027</v>
      </c>
      <c r="G694" s="8">
        <v>119.593</v>
      </c>
      <c r="H694" s="8">
        <v>92.57</v>
      </c>
      <c r="I694" s="8">
        <v>170.57</v>
      </c>
      <c r="J694" s="8">
        <v>41.21</v>
      </c>
      <c r="K694" s="268">
        <v>0.44540000000000002</v>
      </c>
      <c r="L694" s="268">
        <v>0.30769999999999997</v>
      </c>
      <c r="M694" s="268">
        <v>-3.09E-2</v>
      </c>
      <c r="N694" s="8">
        <v>445.69</v>
      </c>
      <c r="O694" s="8">
        <v>8647.1</v>
      </c>
      <c r="P694" s="268">
        <v>5.1499999999999997E-2</v>
      </c>
      <c r="Q694" s="8">
        <v>546</v>
      </c>
      <c r="R694" s="8" t="s">
        <v>5819</v>
      </c>
      <c r="S694" s="8" t="s">
        <v>5820</v>
      </c>
      <c r="T694" s="8" t="s">
        <v>5770</v>
      </c>
      <c r="U694" s="8" t="s">
        <v>5821</v>
      </c>
      <c r="V694" s="8" t="s">
        <v>5822</v>
      </c>
      <c r="W694" s="8" t="s">
        <v>5823</v>
      </c>
    </row>
    <row r="695" spans="1:23" ht="28" customHeight="1" x14ac:dyDescent="0.3">
      <c r="A695" s="308">
        <v>45252</v>
      </c>
      <c r="B695" s="302">
        <v>1980.114</v>
      </c>
      <c r="C695" s="8">
        <v>-19.091999999999999</v>
      </c>
      <c r="D695" s="268">
        <v>-9.4999999999999998E-3</v>
      </c>
      <c r="E695" s="8">
        <v>30.8</v>
      </c>
      <c r="F695" s="8">
        <v>125.82599999999999</v>
      </c>
      <c r="G695" s="8">
        <v>119.70099999999999</v>
      </c>
      <c r="H695" s="8">
        <v>91.19</v>
      </c>
      <c r="I695" s="8">
        <v>172.13</v>
      </c>
      <c r="J695" s="8">
        <v>48.68</v>
      </c>
      <c r="K695" s="268">
        <v>0.46300000000000002</v>
      </c>
      <c r="L695" s="268">
        <v>0.32119999999999999</v>
      </c>
      <c r="M695" s="268">
        <v>-3.0200000000000001E-2</v>
      </c>
      <c r="N695" s="8">
        <v>421.21</v>
      </c>
      <c r="O695" s="8">
        <v>8648.92</v>
      </c>
      <c r="P695" s="268">
        <v>4.87E-2</v>
      </c>
      <c r="Q695" s="8">
        <v>546</v>
      </c>
      <c r="R695" s="8" t="s">
        <v>2676</v>
      </c>
      <c r="S695" s="8" t="s">
        <v>4212</v>
      </c>
      <c r="T695" s="8" t="s">
        <v>5824</v>
      </c>
      <c r="U695" s="8" t="s">
        <v>5825</v>
      </c>
      <c r="V695" s="8" t="s">
        <v>5826</v>
      </c>
      <c r="W695" s="8" t="s">
        <v>5827</v>
      </c>
    </row>
    <row r="696" spans="1:23" ht="28" customHeight="1" x14ac:dyDescent="0.3">
      <c r="A696" s="308">
        <v>45251</v>
      </c>
      <c r="B696" s="302">
        <v>1999.2059999999999</v>
      </c>
      <c r="C696" s="8">
        <v>-7.7069999999999999</v>
      </c>
      <c r="D696" s="268">
        <v>-3.8E-3</v>
      </c>
      <c r="E696" s="8">
        <v>39.67</v>
      </c>
      <c r="F696" s="8">
        <v>126.877</v>
      </c>
      <c r="G696" s="8">
        <v>120.90900000000001</v>
      </c>
      <c r="H696" s="8">
        <v>92.23</v>
      </c>
      <c r="I696" s="8">
        <v>172.6</v>
      </c>
      <c r="J696" s="8">
        <v>48.1</v>
      </c>
      <c r="K696" s="268">
        <v>0.45729999999999998</v>
      </c>
      <c r="L696" s="268">
        <v>0.32069999999999999</v>
      </c>
      <c r="M696" s="268">
        <v>-3.32E-2</v>
      </c>
      <c r="N696" s="8">
        <v>475.3</v>
      </c>
      <c r="O696" s="8">
        <v>8647.5</v>
      </c>
      <c r="P696" s="268">
        <v>5.5E-2</v>
      </c>
      <c r="Q696" s="8">
        <v>546</v>
      </c>
      <c r="R696" s="8" t="s">
        <v>5771</v>
      </c>
      <c r="S696" s="8" t="s">
        <v>2712</v>
      </c>
      <c r="T696" s="8" t="s">
        <v>5828</v>
      </c>
      <c r="U696" s="8" t="s">
        <v>5829</v>
      </c>
      <c r="V696" s="8" t="s">
        <v>5830</v>
      </c>
      <c r="W696" s="8" t="s">
        <v>5831</v>
      </c>
    </row>
    <row r="697" spans="1:23" ht="28" customHeight="1" x14ac:dyDescent="0.3">
      <c r="A697" s="308">
        <v>45250</v>
      </c>
      <c r="B697" s="302">
        <v>2006.913</v>
      </c>
      <c r="C697" s="8">
        <v>12.525</v>
      </c>
      <c r="D697" s="268">
        <v>6.3E-3</v>
      </c>
      <c r="E697" s="8">
        <v>42.58</v>
      </c>
      <c r="F697" s="8">
        <v>127.375</v>
      </c>
      <c r="G697" s="8">
        <v>121.399</v>
      </c>
      <c r="H697" s="8">
        <v>92.27</v>
      </c>
      <c r="I697" s="8">
        <v>172.71</v>
      </c>
      <c r="J697" s="8">
        <v>46.92</v>
      </c>
      <c r="K697" s="268">
        <v>0.45340000000000003</v>
      </c>
      <c r="L697" s="268">
        <v>0.31890000000000002</v>
      </c>
      <c r="M697" s="268">
        <v>-3.5099999999999999E-2</v>
      </c>
      <c r="N697" s="8">
        <v>472.85</v>
      </c>
      <c r="O697" s="8">
        <v>8634.6200000000008</v>
      </c>
      <c r="P697" s="268">
        <v>5.4800000000000001E-2</v>
      </c>
      <c r="Q697" s="8">
        <v>544</v>
      </c>
      <c r="R697" s="8" t="s">
        <v>5832</v>
      </c>
      <c r="S697" s="8" t="s">
        <v>5833</v>
      </c>
      <c r="T697" s="8" t="s">
        <v>5834</v>
      </c>
      <c r="U697" s="8" t="s">
        <v>5835</v>
      </c>
      <c r="V697" s="8" t="s">
        <v>5836</v>
      </c>
      <c r="W697" s="8" t="s">
        <v>5837</v>
      </c>
    </row>
    <row r="698" spans="1:23" ht="28" customHeight="1" x14ac:dyDescent="0.3">
      <c r="A698" s="308">
        <v>45247</v>
      </c>
      <c r="B698" s="302">
        <v>1994.3879999999999</v>
      </c>
      <c r="C698" s="8">
        <v>0.63800000000000001</v>
      </c>
      <c r="D698" s="268">
        <v>2.9999999999999997E-4</v>
      </c>
      <c r="E698" s="8">
        <v>37.299999999999997</v>
      </c>
      <c r="F698" s="8">
        <v>126.431</v>
      </c>
      <c r="G698" s="8">
        <v>120.724</v>
      </c>
      <c r="H698" s="8">
        <v>91.47</v>
      </c>
      <c r="I698" s="8">
        <v>172.03</v>
      </c>
      <c r="J698" s="8">
        <v>47.06</v>
      </c>
      <c r="K698" s="268">
        <v>0.45600000000000002</v>
      </c>
      <c r="L698" s="268">
        <v>0.3231</v>
      </c>
      <c r="M698" s="268">
        <v>-3.2000000000000001E-2</v>
      </c>
      <c r="N698" s="8">
        <v>509.94</v>
      </c>
      <c r="O698" s="8">
        <v>8636.2099999999991</v>
      </c>
      <c r="P698" s="268">
        <v>5.8999999999999997E-2</v>
      </c>
      <c r="Q698" s="8">
        <v>543</v>
      </c>
      <c r="R698" s="8" t="s">
        <v>2407</v>
      </c>
      <c r="S698" s="8" t="s">
        <v>5838</v>
      </c>
      <c r="T698" s="8" t="s">
        <v>5839</v>
      </c>
      <c r="U698" s="8" t="s">
        <v>5840</v>
      </c>
      <c r="V698" s="8" t="s">
        <v>5841</v>
      </c>
      <c r="W698" s="8" t="s">
        <v>5842</v>
      </c>
    </row>
    <row r="699" spans="1:23" ht="28" customHeight="1" x14ac:dyDescent="0.3">
      <c r="A699" s="308">
        <v>45246</v>
      </c>
      <c r="B699" s="302">
        <v>1993.75</v>
      </c>
      <c r="C699" s="8">
        <v>-15.795</v>
      </c>
      <c r="D699" s="268">
        <v>-7.9000000000000008E-3</v>
      </c>
      <c r="E699" s="8">
        <v>38.32</v>
      </c>
      <c r="F699" s="8">
        <v>126.449</v>
      </c>
      <c r="G699" s="8">
        <v>120.687</v>
      </c>
      <c r="H699" s="8">
        <v>90.96</v>
      </c>
      <c r="I699" s="8">
        <v>172.97</v>
      </c>
      <c r="J699" s="8">
        <v>51.65</v>
      </c>
      <c r="K699" s="268">
        <v>0.4652</v>
      </c>
      <c r="L699" s="268">
        <v>0.33260000000000001</v>
      </c>
      <c r="M699" s="268">
        <v>-3.1699999999999999E-2</v>
      </c>
      <c r="N699" s="8">
        <v>504.39</v>
      </c>
      <c r="O699" s="8">
        <v>8640.2099999999991</v>
      </c>
      <c r="P699" s="268">
        <v>5.8400000000000001E-2</v>
      </c>
      <c r="Q699" s="8">
        <v>544</v>
      </c>
      <c r="R699" s="8" t="s">
        <v>5843</v>
      </c>
      <c r="S699" s="8" t="s">
        <v>3226</v>
      </c>
      <c r="T699" s="8" t="s">
        <v>5844</v>
      </c>
      <c r="U699" s="8" t="s">
        <v>5845</v>
      </c>
      <c r="V699" s="8" t="s">
        <v>5846</v>
      </c>
      <c r="W699" s="8" t="s">
        <v>5847</v>
      </c>
    </row>
    <row r="700" spans="1:23" ht="28" customHeight="1" x14ac:dyDescent="0.3">
      <c r="A700" s="308">
        <v>45245</v>
      </c>
      <c r="B700" s="302">
        <v>2009.5450000000001</v>
      </c>
      <c r="C700" s="8">
        <v>8.9629999999999992</v>
      </c>
      <c r="D700" s="268">
        <v>4.4999999999999997E-3</v>
      </c>
      <c r="E700" s="8">
        <v>45.74</v>
      </c>
      <c r="F700" s="8">
        <v>127.52500000000001</v>
      </c>
      <c r="G700" s="8">
        <v>122.032</v>
      </c>
      <c r="H700" s="8">
        <v>91.74</v>
      </c>
      <c r="I700" s="8">
        <v>173.72</v>
      </c>
      <c r="J700" s="8">
        <v>51.27</v>
      </c>
      <c r="K700" s="268">
        <v>0.46189999999999998</v>
      </c>
      <c r="L700" s="268">
        <v>0.3372</v>
      </c>
      <c r="M700" s="268">
        <v>-4.07E-2</v>
      </c>
      <c r="N700" s="8">
        <v>542.58000000000004</v>
      </c>
      <c r="O700" s="8">
        <v>8650</v>
      </c>
      <c r="P700" s="268">
        <v>6.2700000000000006E-2</v>
      </c>
      <c r="Q700" s="8">
        <v>544</v>
      </c>
      <c r="R700" s="8" t="s">
        <v>5848</v>
      </c>
      <c r="S700" s="8" t="s">
        <v>5849</v>
      </c>
      <c r="T700" s="8" t="s">
        <v>5850</v>
      </c>
      <c r="U700" s="8" t="s">
        <v>5851</v>
      </c>
      <c r="V700" s="8" t="s">
        <v>5852</v>
      </c>
      <c r="W700" s="8" t="s">
        <v>5853</v>
      </c>
    </row>
    <row r="701" spans="1:23" ht="28" customHeight="1" x14ac:dyDescent="0.3">
      <c r="A701" s="308">
        <v>45244</v>
      </c>
      <c r="B701" s="302">
        <v>2000.5820000000001</v>
      </c>
      <c r="C701" s="8">
        <v>7.4939999999999998</v>
      </c>
      <c r="D701" s="268">
        <v>3.8E-3</v>
      </c>
      <c r="E701" s="8">
        <v>43.41</v>
      </c>
      <c r="F701" s="8">
        <v>126.95699999999999</v>
      </c>
      <c r="G701" s="8">
        <v>120.98699999999999</v>
      </c>
      <c r="H701" s="8">
        <v>91.47</v>
      </c>
      <c r="I701" s="8">
        <v>173.78</v>
      </c>
      <c r="J701" s="8">
        <v>53.06</v>
      </c>
      <c r="K701" s="268">
        <v>0.46820000000000001</v>
      </c>
      <c r="L701" s="268">
        <v>0.33810000000000001</v>
      </c>
      <c r="M701" s="268">
        <v>-3.7400000000000003E-2</v>
      </c>
      <c r="N701" s="8">
        <v>477.68</v>
      </c>
      <c r="O701" s="8">
        <v>8653.5300000000007</v>
      </c>
      <c r="P701" s="268">
        <v>5.5199999999999999E-2</v>
      </c>
      <c r="Q701" s="8">
        <v>544</v>
      </c>
      <c r="R701" s="8" t="s">
        <v>5854</v>
      </c>
      <c r="S701" s="8" t="s">
        <v>5855</v>
      </c>
      <c r="T701" s="8" t="s">
        <v>5856</v>
      </c>
      <c r="U701" s="8" t="s">
        <v>5857</v>
      </c>
      <c r="V701" s="8" t="s">
        <v>4865</v>
      </c>
      <c r="W701" s="8" t="s">
        <v>5858</v>
      </c>
    </row>
    <row r="702" spans="1:23" ht="28" customHeight="1" x14ac:dyDescent="0.3">
      <c r="A702" s="308">
        <v>45243</v>
      </c>
      <c r="B702" s="302">
        <v>1993.088</v>
      </c>
      <c r="C702" s="8">
        <v>4.335</v>
      </c>
      <c r="D702" s="268">
        <v>2.2000000000000001E-3</v>
      </c>
      <c r="E702" s="8">
        <v>39.22</v>
      </c>
      <c r="F702" s="8">
        <v>126.373</v>
      </c>
      <c r="G702" s="8">
        <v>120.752</v>
      </c>
      <c r="H702" s="8">
        <v>91.28</v>
      </c>
      <c r="I702" s="8">
        <v>173.38</v>
      </c>
      <c r="J702" s="8">
        <v>52.23</v>
      </c>
      <c r="K702" s="268">
        <v>0.47010000000000002</v>
      </c>
      <c r="L702" s="268">
        <v>0.34060000000000001</v>
      </c>
      <c r="M702" s="268">
        <v>-3.7199999999999997E-2</v>
      </c>
      <c r="N702" s="8">
        <v>390.36</v>
      </c>
      <c r="O702" s="8">
        <v>8654.25</v>
      </c>
      <c r="P702" s="268">
        <v>4.5100000000000001E-2</v>
      </c>
      <c r="Q702" s="8">
        <v>544</v>
      </c>
      <c r="R702" s="8" t="s">
        <v>5224</v>
      </c>
      <c r="S702" s="8" t="s">
        <v>3230</v>
      </c>
      <c r="T702" s="8" t="s">
        <v>5859</v>
      </c>
      <c r="U702" s="8" t="s">
        <v>5860</v>
      </c>
      <c r="V702" s="8" t="s">
        <v>5861</v>
      </c>
      <c r="W702" s="8" t="s">
        <v>3459</v>
      </c>
    </row>
    <row r="703" spans="1:23" ht="28" customHeight="1" x14ac:dyDescent="0.3">
      <c r="A703" s="308">
        <v>45240</v>
      </c>
      <c r="B703" s="302">
        <v>1988.7529999999999</v>
      </c>
      <c r="C703" s="8">
        <v>-3.427</v>
      </c>
      <c r="D703" s="268">
        <v>-1.6999999999999999E-3</v>
      </c>
      <c r="E703" s="8">
        <v>38.380000000000003</v>
      </c>
      <c r="F703" s="8">
        <v>126.029</v>
      </c>
      <c r="G703" s="8">
        <v>120.301</v>
      </c>
      <c r="H703" s="8">
        <v>90.27</v>
      </c>
      <c r="I703" s="8">
        <v>173.85</v>
      </c>
      <c r="J703" s="8">
        <v>53.98</v>
      </c>
      <c r="K703" s="268">
        <v>0.47820000000000001</v>
      </c>
      <c r="L703" s="268">
        <v>0.3453</v>
      </c>
      <c r="M703" s="268">
        <v>-3.6900000000000002E-2</v>
      </c>
      <c r="N703" s="8">
        <v>372.93</v>
      </c>
      <c r="O703" s="8">
        <v>8644.5300000000007</v>
      </c>
      <c r="P703" s="268">
        <v>4.3099999999999999E-2</v>
      </c>
      <c r="Q703" s="8">
        <v>542</v>
      </c>
      <c r="R703" s="8" t="s">
        <v>3538</v>
      </c>
      <c r="S703" s="8" t="s">
        <v>3069</v>
      </c>
      <c r="T703" s="8" t="s">
        <v>5862</v>
      </c>
      <c r="U703" s="8" t="s">
        <v>5863</v>
      </c>
      <c r="V703" s="8" t="s">
        <v>5864</v>
      </c>
      <c r="W703" s="8" t="s">
        <v>5865</v>
      </c>
    </row>
    <row r="704" spans="1:23" ht="28" customHeight="1" x14ac:dyDescent="0.3">
      <c r="A704" s="308">
        <v>45239</v>
      </c>
      <c r="B704" s="302">
        <v>1992.18</v>
      </c>
      <c r="C704" s="8">
        <v>-4.4119999999999999</v>
      </c>
      <c r="D704" s="268">
        <v>-2.2000000000000001E-3</v>
      </c>
      <c r="E704" s="8">
        <v>39.22</v>
      </c>
      <c r="F704" s="8">
        <v>126.26</v>
      </c>
      <c r="G704" s="8">
        <v>120.697</v>
      </c>
      <c r="H704" s="8">
        <v>90.46</v>
      </c>
      <c r="I704" s="8">
        <v>174.19</v>
      </c>
      <c r="J704" s="8">
        <v>55</v>
      </c>
      <c r="K704" s="268">
        <v>0.4793</v>
      </c>
      <c r="L704" s="268">
        <v>0.35199999999999998</v>
      </c>
      <c r="M704" s="268">
        <v>-3.5999999999999997E-2</v>
      </c>
      <c r="N704" s="8">
        <v>444.24</v>
      </c>
      <c r="O704" s="8">
        <v>8633.52</v>
      </c>
      <c r="P704" s="268">
        <v>5.1499999999999997E-2</v>
      </c>
      <c r="Q704" s="8">
        <v>541</v>
      </c>
      <c r="R704" s="8" t="s">
        <v>5866</v>
      </c>
      <c r="S704" s="8" t="s">
        <v>4166</v>
      </c>
      <c r="T704" s="8" t="s">
        <v>5867</v>
      </c>
      <c r="U704" s="8" t="s">
        <v>5868</v>
      </c>
      <c r="V704" s="8" t="s">
        <v>5869</v>
      </c>
      <c r="W704" s="8" t="s">
        <v>5870</v>
      </c>
    </row>
    <row r="705" spans="1:23" ht="28" customHeight="1" x14ac:dyDescent="0.3">
      <c r="A705" s="308">
        <v>45238</v>
      </c>
      <c r="B705" s="302">
        <v>1996.5920000000001</v>
      </c>
      <c r="C705" s="8">
        <v>1.2170000000000001</v>
      </c>
      <c r="D705" s="268">
        <v>5.9999999999999995E-4</v>
      </c>
      <c r="E705" s="8">
        <v>40.29</v>
      </c>
      <c r="F705" s="8">
        <v>126.547</v>
      </c>
      <c r="G705" s="8">
        <v>120.831</v>
      </c>
      <c r="H705" s="8">
        <v>90.58</v>
      </c>
      <c r="I705" s="8">
        <v>174.16</v>
      </c>
      <c r="J705" s="8">
        <v>53.89</v>
      </c>
      <c r="K705" s="268">
        <v>0.47620000000000001</v>
      </c>
      <c r="L705" s="268">
        <v>0.34389999999999998</v>
      </c>
      <c r="M705" s="268">
        <v>-3.7600000000000001E-2</v>
      </c>
      <c r="N705" s="8">
        <v>456.74</v>
      </c>
      <c r="O705" s="8">
        <v>8632.9</v>
      </c>
      <c r="P705" s="268">
        <v>5.2900000000000003E-2</v>
      </c>
      <c r="Q705" s="8">
        <v>540</v>
      </c>
      <c r="R705" s="8" t="s">
        <v>3511</v>
      </c>
      <c r="S705" s="8" t="s">
        <v>3006</v>
      </c>
      <c r="T705" s="8" t="s">
        <v>4592</v>
      </c>
      <c r="U705" s="8" t="s">
        <v>5871</v>
      </c>
      <c r="V705" s="8" t="s">
        <v>5872</v>
      </c>
      <c r="W705" s="8" t="s">
        <v>5873</v>
      </c>
    </row>
    <row r="706" spans="1:23" ht="28" customHeight="1" x14ac:dyDescent="0.3">
      <c r="A706" s="308">
        <v>45237</v>
      </c>
      <c r="B706" s="302">
        <v>1995.375</v>
      </c>
      <c r="C706" s="8">
        <v>7.2960000000000003</v>
      </c>
      <c r="D706" s="268">
        <v>3.7000000000000002E-3</v>
      </c>
      <c r="E706" s="8">
        <v>41.72</v>
      </c>
      <c r="F706" s="8">
        <v>126.44499999999999</v>
      </c>
      <c r="G706" s="8">
        <v>120.788</v>
      </c>
      <c r="H706" s="8">
        <v>90.98</v>
      </c>
      <c r="I706" s="8">
        <v>174</v>
      </c>
      <c r="J706" s="8">
        <v>54.62</v>
      </c>
      <c r="K706" s="268">
        <v>0.47560000000000002</v>
      </c>
      <c r="L706" s="268">
        <v>0.34889999999999999</v>
      </c>
      <c r="M706" s="268">
        <v>-3.7499999999999999E-2</v>
      </c>
      <c r="N706" s="8">
        <v>434.71</v>
      </c>
      <c r="O706" s="8">
        <v>8634.56</v>
      </c>
      <c r="P706" s="268">
        <v>5.0299999999999997E-2</v>
      </c>
      <c r="Q706" s="8">
        <v>540</v>
      </c>
      <c r="R706" s="8" t="s">
        <v>5406</v>
      </c>
      <c r="S706" s="8" t="s">
        <v>5874</v>
      </c>
      <c r="T706" s="8" t="s">
        <v>5875</v>
      </c>
      <c r="U706" s="8" t="s">
        <v>5876</v>
      </c>
      <c r="V706" s="8" t="s">
        <v>5877</v>
      </c>
      <c r="W706" s="8" t="s">
        <v>5878</v>
      </c>
    </row>
    <row r="707" spans="1:23" ht="28" customHeight="1" x14ac:dyDescent="0.3">
      <c r="A707" s="308">
        <v>45236</v>
      </c>
      <c r="B707" s="302">
        <v>1988.079</v>
      </c>
      <c r="C707" s="8">
        <v>23.263000000000002</v>
      </c>
      <c r="D707" s="268">
        <v>1.18E-2</v>
      </c>
      <c r="E707" s="8">
        <v>40.299999999999997</v>
      </c>
      <c r="F707" s="8">
        <v>125.96599999999999</v>
      </c>
      <c r="G707" s="8">
        <v>120.605</v>
      </c>
      <c r="H707" s="8">
        <v>90.63</v>
      </c>
      <c r="I707" s="8">
        <v>173.55</v>
      </c>
      <c r="J707" s="8">
        <v>55.44</v>
      </c>
      <c r="K707" s="268">
        <v>0.47589999999999999</v>
      </c>
      <c r="L707" s="268">
        <v>0.35099999999999998</v>
      </c>
      <c r="M707" s="268">
        <v>-3.6200000000000003E-2</v>
      </c>
      <c r="N707" s="8">
        <v>427.42</v>
      </c>
      <c r="O707" s="8">
        <v>8636.61</v>
      </c>
      <c r="P707" s="268">
        <v>4.9500000000000002E-2</v>
      </c>
      <c r="Q707" s="8">
        <v>541</v>
      </c>
      <c r="R707" s="8" t="s">
        <v>2490</v>
      </c>
      <c r="S707" s="8" t="s">
        <v>5746</v>
      </c>
      <c r="T707" s="8" t="s">
        <v>5879</v>
      </c>
      <c r="U707" s="8" t="s">
        <v>5880</v>
      </c>
      <c r="V707" s="8" t="s">
        <v>5881</v>
      </c>
      <c r="W707" s="8" t="s">
        <v>5882</v>
      </c>
    </row>
    <row r="708" spans="1:23" ht="28" customHeight="1" x14ac:dyDescent="0.3">
      <c r="A708" s="308">
        <v>45233</v>
      </c>
      <c r="B708" s="302">
        <v>1964.816</v>
      </c>
      <c r="C708" s="8">
        <v>14.180999999999999</v>
      </c>
      <c r="D708" s="268">
        <v>7.3000000000000001E-3</v>
      </c>
      <c r="E708" s="8">
        <v>31.26</v>
      </c>
      <c r="F708" s="8">
        <v>124.783</v>
      </c>
      <c r="G708" s="8">
        <v>119.117</v>
      </c>
      <c r="H708" s="8">
        <v>88.68</v>
      </c>
      <c r="I708" s="8">
        <v>173.37</v>
      </c>
      <c r="J708" s="8">
        <v>55.07</v>
      </c>
      <c r="K708" s="268">
        <v>0.4859</v>
      </c>
      <c r="L708" s="268">
        <v>0.3569</v>
      </c>
      <c r="M708" s="268">
        <v>-3.2300000000000002E-2</v>
      </c>
      <c r="N708" s="8">
        <v>381.83</v>
      </c>
      <c r="O708" s="8">
        <v>8629.89</v>
      </c>
      <c r="P708" s="268">
        <v>4.4200000000000003E-2</v>
      </c>
      <c r="Q708" s="8">
        <v>540</v>
      </c>
      <c r="R708" s="8" t="s">
        <v>5883</v>
      </c>
      <c r="S708" s="8" t="s">
        <v>2442</v>
      </c>
      <c r="T708" s="8" t="s">
        <v>5884</v>
      </c>
      <c r="U708" s="8" t="s">
        <v>5885</v>
      </c>
      <c r="V708" s="8" t="s">
        <v>5886</v>
      </c>
      <c r="W708" s="8" t="s">
        <v>5887</v>
      </c>
    </row>
    <row r="709" spans="1:23" ht="28" customHeight="1" x14ac:dyDescent="0.3">
      <c r="A709" s="308">
        <v>45232</v>
      </c>
      <c r="B709" s="302">
        <v>1950.635</v>
      </c>
      <c r="C709" s="8">
        <v>-7.048</v>
      </c>
      <c r="D709" s="268">
        <v>-3.5999999999999999E-3</v>
      </c>
      <c r="E709" s="8">
        <v>25</v>
      </c>
      <c r="F709" s="8">
        <v>123.833</v>
      </c>
      <c r="G709" s="8">
        <v>118.3</v>
      </c>
      <c r="H709" s="8">
        <v>87.83</v>
      </c>
      <c r="I709" s="8">
        <v>173.46</v>
      </c>
      <c r="J709" s="8">
        <v>58.97</v>
      </c>
      <c r="K709" s="268">
        <v>0.49630000000000002</v>
      </c>
      <c r="L709" s="268">
        <v>0.37019999999999997</v>
      </c>
      <c r="M709" s="268">
        <v>-2.9700000000000001E-2</v>
      </c>
      <c r="N709" s="8">
        <v>320.74</v>
      </c>
      <c r="O709" s="8">
        <v>8630.9699999999993</v>
      </c>
      <c r="P709" s="268">
        <v>3.7199999999999997E-2</v>
      </c>
      <c r="Q709" s="8">
        <v>540</v>
      </c>
      <c r="R709" s="8" t="s">
        <v>5888</v>
      </c>
      <c r="S709" s="8" t="s">
        <v>5889</v>
      </c>
      <c r="T709" s="8" t="s">
        <v>5890</v>
      </c>
      <c r="U709" s="8" t="s">
        <v>5891</v>
      </c>
      <c r="V709" s="8" t="s">
        <v>5892</v>
      </c>
      <c r="W709" s="8" t="s">
        <v>5893</v>
      </c>
    </row>
    <row r="710" spans="1:23" ht="28" customHeight="1" x14ac:dyDescent="0.3">
      <c r="A710" s="308">
        <v>45231</v>
      </c>
      <c r="B710" s="302">
        <v>1957.683</v>
      </c>
      <c r="C710" s="8">
        <v>-5.0839999999999996</v>
      </c>
      <c r="D710" s="268">
        <v>-2.5999999999999999E-3</v>
      </c>
      <c r="E710" s="8">
        <v>27.73</v>
      </c>
      <c r="F710" s="8">
        <v>124.31699999999999</v>
      </c>
      <c r="G710" s="8">
        <v>118.47499999999999</v>
      </c>
      <c r="H710" s="8">
        <v>88.57</v>
      </c>
      <c r="I710" s="8">
        <v>172.62</v>
      </c>
      <c r="J710" s="8">
        <v>55.15</v>
      </c>
      <c r="K710" s="268">
        <v>0.48299999999999998</v>
      </c>
      <c r="L710" s="268">
        <v>0.3498</v>
      </c>
      <c r="M710" s="268">
        <v>-3.09E-2</v>
      </c>
      <c r="N710" s="8">
        <v>357.7</v>
      </c>
      <c r="O710" s="8">
        <v>8631.99</v>
      </c>
      <c r="P710" s="268">
        <v>4.1399999999999999E-2</v>
      </c>
      <c r="Q710" s="8">
        <v>540</v>
      </c>
      <c r="R710" s="8" t="s">
        <v>5894</v>
      </c>
      <c r="S710" s="8" t="s">
        <v>5895</v>
      </c>
      <c r="T710" s="8" t="s">
        <v>5896</v>
      </c>
      <c r="U710" s="8" t="s">
        <v>5897</v>
      </c>
      <c r="V710" s="8" t="s">
        <v>5898</v>
      </c>
      <c r="W710" s="8" t="s">
        <v>5899</v>
      </c>
    </row>
    <row r="711" spans="1:23" ht="28" customHeight="1" x14ac:dyDescent="0.3">
      <c r="A711" s="308">
        <v>45230</v>
      </c>
      <c r="B711" s="302">
        <v>1962.7670000000001</v>
      </c>
      <c r="C711" s="8">
        <v>-16.268000000000001</v>
      </c>
      <c r="D711" s="268">
        <v>-8.2000000000000007E-3</v>
      </c>
      <c r="E711" s="8">
        <v>28.35</v>
      </c>
      <c r="F711" s="8">
        <v>124.658</v>
      </c>
      <c r="G711" s="8">
        <v>118.628</v>
      </c>
      <c r="H711" s="8">
        <v>88.42</v>
      </c>
      <c r="I711" s="8">
        <v>173.47</v>
      </c>
      <c r="J711" s="8">
        <v>56.54</v>
      </c>
      <c r="K711" s="268">
        <v>0.48809999999999998</v>
      </c>
      <c r="L711" s="268">
        <v>0.36299999999999999</v>
      </c>
      <c r="M711" s="268">
        <v>-3.1E-2</v>
      </c>
      <c r="N711" s="8">
        <v>407.9</v>
      </c>
      <c r="O711" s="8">
        <v>8636.75</v>
      </c>
      <c r="P711" s="268">
        <v>4.7199999999999999E-2</v>
      </c>
      <c r="Q711" s="8">
        <v>541</v>
      </c>
      <c r="R711" s="8" t="s">
        <v>5900</v>
      </c>
      <c r="S711" s="8" t="s">
        <v>5901</v>
      </c>
      <c r="T711" s="8" t="s">
        <v>5902</v>
      </c>
      <c r="U711" s="8" t="s">
        <v>5903</v>
      </c>
      <c r="V711" s="8" t="s">
        <v>5904</v>
      </c>
      <c r="W711" s="8" t="s">
        <v>5905</v>
      </c>
    </row>
    <row r="712" spans="1:23" ht="28" customHeight="1" x14ac:dyDescent="0.3">
      <c r="A712" s="308">
        <v>45229</v>
      </c>
      <c r="B712" s="302">
        <v>1979.0350000000001</v>
      </c>
      <c r="C712" s="8">
        <v>7.492</v>
      </c>
      <c r="D712" s="268">
        <v>3.8E-3</v>
      </c>
      <c r="E712" s="8">
        <v>34.33</v>
      </c>
      <c r="F712" s="8">
        <v>125.947</v>
      </c>
      <c r="G712" s="8">
        <v>119.414</v>
      </c>
      <c r="H712" s="8">
        <v>88.96</v>
      </c>
      <c r="I712" s="8">
        <v>175.32</v>
      </c>
      <c r="J712" s="8">
        <v>59.23</v>
      </c>
      <c r="K712" s="268">
        <v>0.49370000000000003</v>
      </c>
      <c r="L712" s="268">
        <v>0.36299999999999999</v>
      </c>
      <c r="M712" s="268">
        <v>-4.19E-2</v>
      </c>
      <c r="N712" s="8">
        <v>415.25</v>
      </c>
      <c r="O712" s="8">
        <v>8638.2900000000009</v>
      </c>
      <c r="P712" s="268">
        <v>4.8099999999999997E-2</v>
      </c>
      <c r="Q712" s="8">
        <v>541</v>
      </c>
      <c r="R712" s="8" t="s">
        <v>5843</v>
      </c>
      <c r="S712" s="8" t="s">
        <v>5906</v>
      </c>
      <c r="T712" s="8" t="s">
        <v>5907</v>
      </c>
      <c r="U712" s="8" t="s">
        <v>4352</v>
      </c>
      <c r="V712" s="8" t="s">
        <v>5908</v>
      </c>
      <c r="W712" s="8" t="s">
        <v>5909</v>
      </c>
    </row>
    <row r="713" spans="1:23" ht="28" customHeight="1" x14ac:dyDescent="0.3">
      <c r="A713" s="308">
        <v>45226</v>
      </c>
      <c r="B713" s="302">
        <v>1971.5429999999999</v>
      </c>
      <c r="C713" s="8">
        <v>21.315999999999999</v>
      </c>
      <c r="D713" s="268">
        <v>1.09E-2</v>
      </c>
      <c r="E713" s="8">
        <v>28.99</v>
      </c>
      <c r="F713" s="8">
        <v>125.449</v>
      </c>
      <c r="G713" s="8">
        <v>119.06699999999999</v>
      </c>
      <c r="H713" s="8">
        <v>87.9</v>
      </c>
      <c r="I713" s="8">
        <v>176.19</v>
      </c>
      <c r="J713" s="8">
        <v>63.85</v>
      </c>
      <c r="K713" s="268">
        <v>0.50739999999999996</v>
      </c>
      <c r="L713" s="268">
        <v>0.3755</v>
      </c>
      <c r="M713" s="268">
        <v>-4.1300000000000003E-2</v>
      </c>
      <c r="N713" s="8">
        <v>459.63</v>
      </c>
      <c r="O713" s="8">
        <v>8646.2000000000007</v>
      </c>
      <c r="P713" s="268">
        <v>5.3199999999999997E-2</v>
      </c>
      <c r="Q713" s="8">
        <v>542</v>
      </c>
      <c r="R713" s="8" t="s">
        <v>3897</v>
      </c>
      <c r="S713" s="8" t="s">
        <v>5910</v>
      </c>
      <c r="T713" s="8" t="s">
        <v>5911</v>
      </c>
      <c r="U713" s="8" t="s">
        <v>5912</v>
      </c>
      <c r="V713" s="8" t="s">
        <v>5913</v>
      </c>
      <c r="W713" s="8" t="s">
        <v>5914</v>
      </c>
    </row>
    <row r="714" spans="1:23" ht="28" customHeight="1" x14ac:dyDescent="0.3">
      <c r="A714" s="308">
        <v>45225</v>
      </c>
      <c r="B714" s="302">
        <v>1950.2270000000001</v>
      </c>
      <c r="C714" s="8">
        <v>2.7269999999999999</v>
      </c>
      <c r="D714" s="268">
        <v>1.4E-3</v>
      </c>
      <c r="E714" s="8">
        <v>22.93</v>
      </c>
      <c r="F714" s="8">
        <v>124.117</v>
      </c>
      <c r="G714" s="8">
        <v>117.363</v>
      </c>
      <c r="H714" s="8">
        <v>86.45</v>
      </c>
      <c r="I714" s="8">
        <v>175.89</v>
      </c>
      <c r="J714" s="8">
        <v>65.47</v>
      </c>
      <c r="K714" s="268">
        <v>0.51770000000000005</v>
      </c>
      <c r="L714" s="268">
        <v>0.38090000000000002</v>
      </c>
      <c r="M714" s="268">
        <v>-3.6600000000000001E-2</v>
      </c>
      <c r="N714" s="8">
        <v>392.18</v>
      </c>
      <c r="O714" s="8">
        <v>8640.7900000000009</v>
      </c>
      <c r="P714" s="268">
        <v>4.5400000000000003E-2</v>
      </c>
      <c r="Q714" s="8">
        <v>541</v>
      </c>
      <c r="R714" s="8" t="s">
        <v>5915</v>
      </c>
      <c r="S714" s="8" t="s">
        <v>5916</v>
      </c>
      <c r="T714" s="8" t="s">
        <v>5917</v>
      </c>
      <c r="U714" s="8" t="s">
        <v>5918</v>
      </c>
      <c r="V714" s="8" t="s">
        <v>5919</v>
      </c>
      <c r="W714" s="8" t="s">
        <v>5920</v>
      </c>
    </row>
    <row r="715" spans="1:23" ht="28" customHeight="1" x14ac:dyDescent="0.3">
      <c r="A715" s="308">
        <v>45224</v>
      </c>
      <c r="B715" s="302">
        <v>1947.5</v>
      </c>
      <c r="C715" s="8">
        <v>15.398999999999999</v>
      </c>
      <c r="D715" s="268">
        <v>8.0000000000000002E-3</v>
      </c>
      <c r="E715" s="8">
        <v>20.71</v>
      </c>
      <c r="F715" s="8">
        <v>124.04300000000001</v>
      </c>
      <c r="G715" s="8">
        <v>117.521</v>
      </c>
      <c r="H715" s="8">
        <v>86.75</v>
      </c>
      <c r="I715" s="8">
        <v>175.57</v>
      </c>
      <c r="J715" s="8">
        <v>66.22</v>
      </c>
      <c r="K715" s="268">
        <v>0.51529999999999998</v>
      </c>
      <c r="L715" s="268">
        <v>0.38369999999999999</v>
      </c>
      <c r="M715" s="268">
        <v>-3.5000000000000003E-2</v>
      </c>
      <c r="N715" s="8">
        <v>454.61</v>
      </c>
      <c r="O715" s="8">
        <v>8644.66</v>
      </c>
      <c r="P715" s="268">
        <v>5.2600000000000001E-2</v>
      </c>
      <c r="Q715" s="8">
        <v>543</v>
      </c>
      <c r="R715" s="8" t="s">
        <v>5921</v>
      </c>
      <c r="S715" s="8" t="s">
        <v>5922</v>
      </c>
      <c r="T715" s="8" t="s">
        <v>5923</v>
      </c>
      <c r="U715" s="8" t="s">
        <v>5924</v>
      </c>
      <c r="V715" s="8" t="s">
        <v>5925</v>
      </c>
      <c r="W715" s="8" t="s">
        <v>5926</v>
      </c>
    </row>
    <row r="716" spans="1:23" ht="28" customHeight="1" x14ac:dyDescent="0.3">
      <c r="A716" s="308">
        <v>45223</v>
      </c>
      <c r="B716" s="302">
        <v>1932.1010000000001</v>
      </c>
      <c r="C716" s="8">
        <v>28.347000000000001</v>
      </c>
      <c r="D716" s="268">
        <v>1.49E-2</v>
      </c>
      <c r="E716" s="8">
        <v>16.670000000000002</v>
      </c>
      <c r="F716" s="8">
        <v>122.99299999999999</v>
      </c>
      <c r="G716" s="8">
        <v>116.806</v>
      </c>
      <c r="H716" s="8">
        <v>85.31</v>
      </c>
      <c r="I716" s="8">
        <v>175.51</v>
      </c>
      <c r="J716" s="8">
        <v>71.430000000000007</v>
      </c>
      <c r="K716" s="268">
        <v>0.5252</v>
      </c>
      <c r="L716" s="268">
        <v>0.3952</v>
      </c>
      <c r="M716" s="268">
        <v>-3.1800000000000002E-2</v>
      </c>
      <c r="N716" s="8">
        <v>415.47</v>
      </c>
      <c r="O716" s="8">
        <v>8648.42</v>
      </c>
      <c r="P716" s="268">
        <v>4.8000000000000001E-2</v>
      </c>
      <c r="Q716" s="8">
        <v>543</v>
      </c>
      <c r="R716" s="8" t="s">
        <v>5927</v>
      </c>
      <c r="S716" s="8" t="s">
        <v>5928</v>
      </c>
      <c r="T716" s="8" t="s">
        <v>5929</v>
      </c>
      <c r="U716" s="8" t="s">
        <v>5930</v>
      </c>
      <c r="V716" s="8" t="s">
        <v>5931</v>
      </c>
      <c r="W716" s="8" t="s">
        <v>5932</v>
      </c>
    </row>
    <row r="717" spans="1:23" ht="28" customHeight="1" x14ac:dyDescent="0.3">
      <c r="A717" s="308">
        <v>45222</v>
      </c>
      <c r="B717" s="302">
        <v>1903.7539999999999</v>
      </c>
      <c r="C717" s="8">
        <v>-22.85</v>
      </c>
      <c r="D717" s="268">
        <v>-1.1900000000000001E-2</v>
      </c>
      <c r="E717" s="8">
        <v>9.3800000000000008</v>
      </c>
      <c r="F717" s="8">
        <v>121.06699999999999</v>
      </c>
      <c r="G717" s="8">
        <v>114.623</v>
      </c>
      <c r="H717" s="8">
        <v>83.35</v>
      </c>
      <c r="I717" s="8">
        <v>175.03</v>
      </c>
      <c r="J717" s="8">
        <v>75</v>
      </c>
      <c r="K717" s="268">
        <v>0.53959999999999997</v>
      </c>
      <c r="L717" s="268">
        <v>0.39939999999999998</v>
      </c>
      <c r="M717" s="268">
        <v>-2.5999999999999999E-2</v>
      </c>
      <c r="N717" s="8">
        <v>355.48</v>
      </c>
      <c r="O717" s="8">
        <v>8651.32</v>
      </c>
      <c r="P717" s="268">
        <v>4.1099999999999998E-2</v>
      </c>
      <c r="Q717" s="8">
        <v>543</v>
      </c>
      <c r="R717" s="8" t="s">
        <v>5933</v>
      </c>
      <c r="S717" s="8" t="s">
        <v>5934</v>
      </c>
      <c r="T717" s="8" t="s">
        <v>5935</v>
      </c>
      <c r="U717" s="8" t="s">
        <v>5936</v>
      </c>
      <c r="V717" s="8" t="s">
        <v>5937</v>
      </c>
      <c r="W717" s="8" t="s">
        <v>5938</v>
      </c>
    </row>
    <row r="718" spans="1:23" ht="28" customHeight="1" x14ac:dyDescent="0.3">
      <c r="A718" s="308">
        <v>45219</v>
      </c>
      <c r="B718" s="302">
        <v>1926.604</v>
      </c>
      <c r="C718" s="8">
        <v>-8.359</v>
      </c>
      <c r="D718" s="268">
        <v>-4.3E-3</v>
      </c>
      <c r="E718" s="8">
        <v>13.79</v>
      </c>
      <c r="F718" s="8">
        <v>122.61</v>
      </c>
      <c r="G718" s="8">
        <v>116.17</v>
      </c>
      <c r="H718" s="8">
        <v>85.52</v>
      </c>
      <c r="I718" s="8">
        <v>174.5</v>
      </c>
      <c r="J718" s="8">
        <v>70.2</v>
      </c>
      <c r="K718" s="268">
        <v>0.51880000000000004</v>
      </c>
      <c r="L718" s="268">
        <v>0.38919999999999999</v>
      </c>
      <c r="M718" s="268">
        <v>-0.03</v>
      </c>
      <c r="N718" s="8">
        <v>360.18</v>
      </c>
      <c r="O718" s="8">
        <v>8647.11</v>
      </c>
      <c r="P718" s="268">
        <v>4.1700000000000001E-2</v>
      </c>
      <c r="Q718" s="8">
        <v>542</v>
      </c>
      <c r="R718" s="8" t="s">
        <v>5939</v>
      </c>
      <c r="S718" s="8" t="s">
        <v>5940</v>
      </c>
      <c r="T718" s="8" t="s">
        <v>5941</v>
      </c>
      <c r="U718" s="8" t="s">
        <v>5942</v>
      </c>
      <c r="V718" s="8" t="s">
        <v>5943</v>
      </c>
      <c r="W718" s="8" t="s">
        <v>5944</v>
      </c>
    </row>
    <row r="719" spans="1:23" ht="28" customHeight="1" x14ac:dyDescent="0.3">
      <c r="A719" s="308">
        <v>45218</v>
      </c>
      <c r="B719" s="302">
        <v>1934.963</v>
      </c>
      <c r="C719" s="8">
        <v>-18.381</v>
      </c>
      <c r="D719" s="268">
        <v>-9.4000000000000004E-3</v>
      </c>
      <c r="E719" s="8">
        <v>15.16</v>
      </c>
      <c r="F719" s="8">
        <v>123.27500000000001</v>
      </c>
      <c r="G719" s="8">
        <v>117.13</v>
      </c>
      <c r="H719" s="8">
        <v>86.39</v>
      </c>
      <c r="I719" s="8">
        <v>174.71</v>
      </c>
      <c r="J719" s="8">
        <v>66.180000000000007</v>
      </c>
      <c r="K719" s="268">
        <v>0.51439999999999997</v>
      </c>
      <c r="L719" s="268">
        <v>0.38030000000000003</v>
      </c>
      <c r="M719" s="268">
        <v>-3.1600000000000003E-2</v>
      </c>
      <c r="N719" s="8">
        <v>359.12</v>
      </c>
      <c r="O719" s="8">
        <v>8648.68</v>
      </c>
      <c r="P719" s="268">
        <v>4.1500000000000002E-2</v>
      </c>
      <c r="Q719" s="8">
        <v>542</v>
      </c>
      <c r="R719" s="8" t="s">
        <v>5945</v>
      </c>
      <c r="S719" s="8" t="s">
        <v>5946</v>
      </c>
      <c r="T719" s="8" t="s">
        <v>5947</v>
      </c>
      <c r="U719" s="8" t="s">
        <v>5948</v>
      </c>
      <c r="V719" s="8" t="s">
        <v>5949</v>
      </c>
      <c r="W719" s="8" t="s">
        <v>5950</v>
      </c>
    </row>
    <row r="720" spans="1:23" ht="28" customHeight="1" x14ac:dyDescent="0.3">
      <c r="A720" s="308">
        <v>45217</v>
      </c>
      <c r="B720" s="302">
        <v>1953.3440000000001</v>
      </c>
      <c r="C720" s="8">
        <v>-21.486000000000001</v>
      </c>
      <c r="D720" s="268">
        <v>-1.09E-2</v>
      </c>
      <c r="E720" s="8">
        <v>21.45</v>
      </c>
      <c r="F720" s="8">
        <v>124.63200000000001</v>
      </c>
      <c r="G720" s="8">
        <v>118.149</v>
      </c>
      <c r="H720" s="8">
        <v>87.25</v>
      </c>
      <c r="I720" s="8">
        <v>175.81</v>
      </c>
      <c r="J720" s="8">
        <v>65.459999999999994</v>
      </c>
      <c r="K720" s="268">
        <v>0.51170000000000004</v>
      </c>
      <c r="L720" s="268">
        <v>0.37930000000000003</v>
      </c>
      <c r="M720" s="268">
        <v>-3.5099999999999999E-2</v>
      </c>
      <c r="N720" s="8">
        <v>368.02</v>
      </c>
      <c r="O720" s="8">
        <v>8646.5300000000007</v>
      </c>
      <c r="P720" s="268">
        <v>4.2599999999999999E-2</v>
      </c>
      <c r="Q720" s="8">
        <v>542</v>
      </c>
      <c r="R720" s="8" t="s">
        <v>5951</v>
      </c>
      <c r="S720" s="8" t="s">
        <v>5952</v>
      </c>
      <c r="T720" s="8" t="s">
        <v>5953</v>
      </c>
      <c r="U720" s="8" t="s">
        <v>5954</v>
      </c>
      <c r="V720" s="8" t="s">
        <v>5955</v>
      </c>
      <c r="W720" s="8" t="s">
        <v>5956</v>
      </c>
    </row>
    <row r="721" spans="1:23" ht="28" customHeight="1" x14ac:dyDescent="0.3">
      <c r="A721" s="308">
        <v>45216</v>
      </c>
      <c r="B721" s="302">
        <v>1974.83</v>
      </c>
      <c r="C721" s="8">
        <v>-8.7080000000000002</v>
      </c>
      <c r="D721" s="268">
        <v>-4.4000000000000003E-3</v>
      </c>
      <c r="E721" s="8">
        <v>28.55</v>
      </c>
      <c r="F721" s="8">
        <v>125.956</v>
      </c>
      <c r="G721" s="8">
        <v>119.78</v>
      </c>
      <c r="H721" s="8">
        <v>88.33</v>
      </c>
      <c r="I721" s="8">
        <v>176.03</v>
      </c>
      <c r="J721" s="8">
        <v>62.62</v>
      </c>
      <c r="K721" s="268">
        <v>0.50070000000000003</v>
      </c>
      <c r="L721" s="268">
        <v>0.37619999999999998</v>
      </c>
      <c r="M721" s="268">
        <v>-3.8899999999999997E-2</v>
      </c>
      <c r="N721" s="8">
        <v>348.81</v>
      </c>
      <c r="O721" s="8">
        <v>8646.93</v>
      </c>
      <c r="P721" s="268">
        <v>4.0300000000000002E-2</v>
      </c>
      <c r="Q721" s="8">
        <v>541</v>
      </c>
      <c r="R721" s="8" t="s">
        <v>5957</v>
      </c>
      <c r="S721" s="8" t="s">
        <v>2353</v>
      </c>
      <c r="T721" s="8" t="s">
        <v>5958</v>
      </c>
      <c r="U721" s="8" t="s">
        <v>5959</v>
      </c>
      <c r="V721" s="8" t="s">
        <v>5960</v>
      </c>
      <c r="W721" s="8" t="s">
        <v>5961</v>
      </c>
    </row>
    <row r="722" spans="1:23" ht="28" customHeight="1" x14ac:dyDescent="0.3">
      <c r="A722" s="308">
        <v>45215</v>
      </c>
      <c r="B722" s="302">
        <v>1983.538</v>
      </c>
      <c r="C722" s="8">
        <v>-15.250999999999999</v>
      </c>
      <c r="D722" s="268">
        <v>-7.6E-3</v>
      </c>
      <c r="E722" s="8">
        <v>29.99</v>
      </c>
      <c r="F722" s="8">
        <v>126.592</v>
      </c>
      <c r="G722" s="8">
        <v>120.081</v>
      </c>
      <c r="H722" s="8">
        <v>88.69</v>
      </c>
      <c r="I722" s="8">
        <v>177.03</v>
      </c>
      <c r="J722" s="8">
        <v>65.209999999999994</v>
      </c>
      <c r="K722" s="268">
        <v>0.50439999999999996</v>
      </c>
      <c r="L722" s="268">
        <v>0.38169999999999998</v>
      </c>
      <c r="M722" s="268">
        <v>-4.0500000000000001E-2</v>
      </c>
      <c r="N722" s="8">
        <v>347.43</v>
      </c>
      <c r="O722" s="8">
        <v>8654.7099999999991</v>
      </c>
      <c r="P722" s="268">
        <v>4.0099999999999997E-2</v>
      </c>
      <c r="Q722" s="8">
        <v>542</v>
      </c>
      <c r="R722" s="8" t="s">
        <v>5962</v>
      </c>
      <c r="S722" s="8" t="s">
        <v>5963</v>
      </c>
      <c r="T722" s="8" t="s">
        <v>5964</v>
      </c>
      <c r="U722" s="8" t="s">
        <v>5965</v>
      </c>
      <c r="V722" s="8" t="s">
        <v>5966</v>
      </c>
      <c r="W722" s="8" t="s">
        <v>5967</v>
      </c>
    </row>
    <row r="723" spans="1:23" ht="28" customHeight="1" x14ac:dyDescent="0.3">
      <c r="A723" s="308">
        <v>45212</v>
      </c>
      <c r="B723" s="302">
        <v>1998.789</v>
      </c>
      <c r="C723" s="8">
        <v>-5.4720000000000004</v>
      </c>
      <c r="D723" s="268">
        <v>-2.7000000000000001E-3</v>
      </c>
      <c r="E723" s="8">
        <v>37.53</v>
      </c>
      <c r="F723" s="8">
        <v>127.598</v>
      </c>
      <c r="G723" s="8">
        <v>120.89400000000001</v>
      </c>
      <c r="H723" s="8">
        <v>89.1</v>
      </c>
      <c r="I723" s="8">
        <v>178.17</v>
      </c>
      <c r="J723" s="8">
        <v>65.94</v>
      </c>
      <c r="K723" s="268">
        <v>0.50570000000000004</v>
      </c>
      <c r="L723" s="268">
        <v>0.38890000000000002</v>
      </c>
      <c r="M723" s="268">
        <v>-4.19E-2</v>
      </c>
      <c r="N723" s="8">
        <v>388.59</v>
      </c>
      <c r="O723" s="8">
        <v>8658.0400000000009</v>
      </c>
      <c r="P723" s="268">
        <v>4.4900000000000002E-2</v>
      </c>
      <c r="Q723" s="8">
        <v>541</v>
      </c>
      <c r="R723" s="8" t="s">
        <v>5968</v>
      </c>
      <c r="S723" s="8" t="s">
        <v>5969</v>
      </c>
      <c r="T723" s="8" t="s">
        <v>5223</v>
      </c>
      <c r="U723" s="8" t="s">
        <v>5970</v>
      </c>
      <c r="V723" s="8" t="s">
        <v>5971</v>
      </c>
      <c r="W723" s="8" t="s">
        <v>5941</v>
      </c>
    </row>
    <row r="724" spans="1:23" ht="28" customHeight="1" x14ac:dyDescent="0.3">
      <c r="A724" s="308">
        <v>45211</v>
      </c>
      <c r="B724" s="302">
        <v>2004.261</v>
      </c>
      <c r="C724" s="8">
        <v>1.962</v>
      </c>
      <c r="D724" s="268">
        <v>1E-3</v>
      </c>
      <c r="E724" s="8">
        <v>39.61</v>
      </c>
      <c r="F724" s="8">
        <v>127.949</v>
      </c>
      <c r="G724" s="8">
        <v>121.4</v>
      </c>
      <c r="H724" s="8">
        <v>89.29</v>
      </c>
      <c r="I724" s="8">
        <v>178.24</v>
      </c>
      <c r="J724" s="8">
        <v>63.93</v>
      </c>
      <c r="K724" s="268">
        <v>0.50290000000000001</v>
      </c>
      <c r="L724" s="268">
        <v>0.38619999999999999</v>
      </c>
      <c r="M724" s="268">
        <v>-4.2599999999999999E-2</v>
      </c>
      <c r="N724" s="8">
        <v>389.35</v>
      </c>
      <c r="O724" s="8">
        <v>8649.89</v>
      </c>
      <c r="P724" s="268">
        <v>4.4999999999999998E-2</v>
      </c>
      <c r="Q724" s="8">
        <v>539</v>
      </c>
      <c r="R724" s="8" t="s">
        <v>5972</v>
      </c>
      <c r="S724" s="8" t="s">
        <v>5973</v>
      </c>
      <c r="T724" s="8" t="s">
        <v>5974</v>
      </c>
      <c r="U724" s="8" t="s">
        <v>5975</v>
      </c>
      <c r="V724" s="8" t="s">
        <v>5976</v>
      </c>
      <c r="W724" s="8" t="s">
        <v>5977</v>
      </c>
    </row>
    <row r="725" spans="1:23" ht="28" customHeight="1" x14ac:dyDescent="0.3">
      <c r="A725" s="308">
        <v>45210</v>
      </c>
      <c r="B725" s="302">
        <v>2002.299</v>
      </c>
      <c r="C725" s="8">
        <v>-3.8919999999999999</v>
      </c>
      <c r="D725" s="268">
        <v>-1.9E-3</v>
      </c>
      <c r="E725" s="8">
        <v>37.92</v>
      </c>
      <c r="F725" s="8">
        <v>127.895</v>
      </c>
      <c r="G725" s="8">
        <v>120.994</v>
      </c>
      <c r="H725" s="8">
        <v>88.64</v>
      </c>
      <c r="I725" s="8">
        <v>179.25</v>
      </c>
      <c r="J725" s="8">
        <v>66.92</v>
      </c>
      <c r="K725" s="268">
        <v>0.51359999999999995</v>
      </c>
      <c r="L725" s="268">
        <v>0.38929999999999998</v>
      </c>
      <c r="M725" s="268">
        <v>-4.1700000000000001E-2</v>
      </c>
      <c r="N725" s="8">
        <v>374.68</v>
      </c>
      <c r="O725" s="8">
        <v>8650.5499999999993</v>
      </c>
      <c r="P725" s="268">
        <v>4.3299999999999998E-2</v>
      </c>
      <c r="Q725" s="8">
        <v>538</v>
      </c>
      <c r="R725" s="8">
        <v>0</v>
      </c>
      <c r="S725" s="8" t="s">
        <v>5978</v>
      </c>
      <c r="T725" s="8" t="s">
        <v>5979</v>
      </c>
      <c r="U725" s="8" t="s">
        <v>5980</v>
      </c>
      <c r="V725" s="8" t="s">
        <v>5981</v>
      </c>
      <c r="W725" s="8" t="s">
        <v>5982</v>
      </c>
    </row>
    <row r="726" spans="1:23" ht="28" customHeight="1" x14ac:dyDescent="0.3">
      <c r="A726" s="308">
        <v>45209</v>
      </c>
      <c r="B726" s="302">
        <v>2006.191</v>
      </c>
      <c r="C726" s="8">
        <v>-5.673</v>
      </c>
      <c r="D726" s="268">
        <v>-2.8E-3</v>
      </c>
      <c r="E726" s="8">
        <v>38.840000000000003</v>
      </c>
      <c r="F726" s="8">
        <v>128.15600000000001</v>
      </c>
      <c r="G726" s="8">
        <v>120.88</v>
      </c>
      <c r="H726" s="8">
        <v>88.49</v>
      </c>
      <c r="I726" s="8">
        <v>180.2</v>
      </c>
      <c r="J726" s="8">
        <v>66.209999999999994</v>
      </c>
      <c r="K726" s="268">
        <v>0.52049999999999996</v>
      </c>
      <c r="L726" s="268">
        <v>0.39600000000000002</v>
      </c>
      <c r="M726" s="268">
        <v>-4.2299999999999997E-2</v>
      </c>
      <c r="N726" s="8">
        <v>364.64</v>
      </c>
      <c r="O726" s="8">
        <v>8660.07</v>
      </c>
      <c r="P726" s="268">
        <v>4.2099999999999999E-2</v>
      </c>
      <c r="Q726" s="8">
        <v>539</v>
      </c>
      <c r="R726" s="8">
        <v>0</v>
      </c>
      <c r="S726" s="8" t="s">
        <v>5983</v>
      </c>
      <c r="T726" s="8" t="s">
        <v>5984</v>
      </c>
      <c r="U726" s="8" t="s">
        <v>5985</v>
      </c>
      <c r="V726" s="8" t="s">
        <v>5986</v>
      </c>
      <c r="W726" s="8" t="s">
        <v>5987</v>
      </c>
    </row>
    <row r="727" spans="1:23" ht="28" customHeight="1" x14ac:dyDescent="0.3">
      <c r="A727" s="308">
        <v>45208</v>
      </c>
      <c r="B727" s="302">
        <v>2011.864</v>
      </c>
      <c r="C727" s="8">
        <v>-2.9420000000000002</v>
      </c>
      <c r="D727" s="268">
        <v>-1.5E-3</v>
      </c>
      <c r="E727" s="8">
        <v>41.12</v>
      </c>
      <c r="F727" s="8">
        <v>128.53299999999999</v>
      </c>
      <c r="G727" s="8">
        <v>121.306</v>
      </c>
      <c r="H727" s="8">
        <v>89.03</v>
      </c>
      <c r="I727" s="8">
        <v>180.24</v>
      </c>
      <c r="J727" s="8">
        <v>67.819999999999993</v>
      </c>
      <c r="K727" s="268">
        <v>0.5171</v>
      </c>
      <c r="L727" s="268">
        <v>0.3931</v>
      </c>
      <c r="M727" s="268">
        <v>-4.36E-2</v>
      </c>
      <c r="N727" s="8">
        <v>336.01</v>
      </c>
      <c r="O727" s="8">
        <v>8663.2800000000007</v>
      </c>
      <c r="P727" s="268">
        <v>3.8800000000000001E-2</v>
      </c>
      <c r="Q727" s="8">
        <v>539</v>
      </c>
      <c r="R727" s="8">
        <v>0</v>
      </c>
      <c r="S727" s="8" t="s">
        <v>3724</v>
      </c>
      <c r="T727" s="8" t="s">
        <v>5988</v>
      </c>
      <c r="U727" s="8" t="s">
        <v>5989</v>
      </c>
      <c r="V727" s="8" t="s">
        <v>5990</v>
      </c>
      <c r="W727" s="8" t="s">
        <v>5991</v>
      </c>
    </row>
    <row r="728" spans="1:23" ht="28" customHeight="1" x14ac:dyDescent="0.3">
      <c r="A728" s="308">
        <v>45197</v>
      </c>
      <c r="B728" s="302">
        <v>2014.806</v>
      </c>
      <c r="C728" s="8">
        <v>11.398999999999999</v>
      </c>
      <c r="D728" s="268">
        <v>5.7000000000000002E-3</v>
      </c>
      <c r="E728" s="8">
        <v>42.94</v>
      </c>
      <c r="F728" s="8">
        <v>128.637</v>
      </c>
      <c r="G728" s="8">
        <v>121.429</v>
      </c>
      <c r="H728" s="8">
        <v>88.82</v>
      </c>
      <c r="I728" s="8">
        <v>179.99</v>
      </c>
      <c r="J728" s="8">
        <v>67.05</v>
      </c>
      <c r="K728" s="268">
        <v>0.51359999999999995</v>
      </c>
      <c r="L728" s="268">
        <v>0.3881</v>
      </c>
      <c r="M728" s="268">
        <v>-4.2099999999999999E-2</v>
      </c>
      <c r="N728" s="8">
        <v>407.22</v>
      </c>
      <c r="O728" s="8">
        <v>8659.4699999999993</v>
      </c>
      <c r="P728" s="268">
        <v>4.7E-2</v>
      </c>
      <c r="Q728" s="8">
        <v>538</v>
      </c>
      <c r="R728" s="8">
        <v>0</v>
      </c>
      <c r="S728" s="8" t="s">
        <v>5992</v>
      </c>
      <c r="T728" s="8" t="s">
        <v>5993</v>
      </c>
      <c r="U728" s="8" t="s">
        <v>4173</v>
      </c>
      <c r="V728" s="8" t="s">
        <v>5994</v>
      </c>
      <c r="W728" s="8" t="s">
        <v>5995</v>
      </c>
    </row>
    <row r="729" spans="1:23" ht="28" customHeight="1" x14ac:dyDescent="0.3">
      <c r="A729" s="308">
        <v>45196</v>
      </c>
      <c r="B729" s="302">
        <v>2003.4069999999999</v>
      </c>
      <c r="C729" s="8">
        <v>4.0190000000000001</v>
      </c>
      <c r="D729" s="268">
        <v>2E-3</v>
      </c>
      <c r="E729" s="8">
        <v>38.83</v>
      </c>
      <c r="F729" s="8">
        <v>127.855</v>
      </c>
      <c r="G729" s="8">
        <v>120.68600000000001</v>
      </c>
      <c r="H729" s="8">
        <v>87.75</v>
      </c>
      <c r="I729" s="8">
        <v>179.52</v>
      </c>
      <c r="J729" s="8">
        <v>69.02</v>
      </c>
      <c r="K729" s="268">
        <v>0.51659999999999995</v>
      </c>
      <c r="L729" s="268">
        <v>0.39479999999999998</v>
      </c>
      <c r="M729" s="268">
        <v>-3.9800000000000002E-2</v>
      </c>
      <c r="N729" s="8">
        <v>419.77</v>
      </c>
      <c r="O729" s="8">
        <v>8663.0499999999993</v>
      </c>
      <c r="P729" s="268">
        <v>4.8500000000000001E-2</v>
      </c>
      <c r="Q729" s="8">
        <v>538</v>
      </c>
      <c r="R729" s="8">
        <v>0</v>
      </c>
      <c r="S729" s="8" t="s">
        <v>2815</v>
      </c>
      <c r="T729" s="8" t="s">
        <v>5996</v>
      </c>
      <c r="U729" s="8" t="s">
        <v>5997</v>
      </c>
      <c r="V729" s="8" t="s">
        <v>5998</v>
      </c>
      <c r="W729" s="8" t="s">
        <v>5999</v>
      </c>
    </row>
    <row r="730" spans="1:23" ht="28" customHeight="1" x14ac:dyDescent="0.3">
      <c r="A730" s="308">
        <v>45195</v>
      </c>
      <c r="B730" s="302">
        <v>1999.3879999999999</v>
      </c>
      <c r="C730" s="8">
        <v>-1.1000000000000001</v>
      </c>
      <c r="D730" s="268">
        <v>-5.9999999999999995E-4</v>
      </c>
      <c r="E730" s="8">
        <v>37.299999999999997</v>
      </c>
      <c r="F730" s="8">
        <v>127.68600000000001</v>
      </c>
      <c r="G730" s="8">
        <v>120.2</v>
      </c>
      <c r="H730" s="8">
        <v>87.79</v>
      </c>
      <c r="I730" s="8">
        <v>180.05</v>
      </c>
      <c r="J730" s="8">
        <v>69.94</v>
      </c>
      <c r="K730" s="268">
        <v>0.52359999999999995</v>
      </c>
      <c r="L730" s="268">
        <v>0.40239999999999998</v>
      </c>
      <c r="M730" s="268">
        <v>-3.9E-2</v>
      </c>
      <c r="N730" s="8">
        <v>386.9</v>
      </c>
      <c r="O730" s="8">
        <v>8665.48</v>
      </c>
      <c r="P730" s="268">
        <v>4.4600000000000001E-2</v>
      </c>
      <c r="Q730" s="8">
        <v>538</v>
      </c>
      <c r="R730" s="8">
        <v>0</v>
      </c>
      <c r="S730" s="8" t="s">
        <v>6000</v>
      </c>
      <c r="T730" s="8" t="s">
        <v>6001</v>
      </c>
      <c r="U730" s="8" t="s">
        <v>6002</v>
      </c>
      <c r="V730" s="8" t="s">
        <v>4048</v>
      </c>
      <c r="W730" s="8" t="s">
        <v>6003</v>
      </c>
    </row>
    <row r="731" spans="1:23" ht="28" customHeight="1" x14ac:dyDescent="0.3">
      <c r="A731" s="308">
        <v>45194</v>
      </c>
      <c r="B731" s="302">
        <v>2000.4880000000001</v>
      </c>
      <c r="C731" s="8">
        <v>-3.306</v>
      </c>
      <c r="D731" s="268">
        <v>-1.6999999999999999E-3</v>
      </c>
      <c r="E731" s="8">
        <v>36.24</v>
      </c>
      <c r="F731" s="8">
        <v>127.96599999999999</v>
      </c>
      <c r="G731" s="8">
        <v>120.301</v>
      </c>
      <c r="H731" s="8">
        <v>88.29</v>
      </c>
      <c r="I731" s="8">
        <v>179.4</v>
      </c>
      <c r="J731" s="8">
        <v>65.650000000000006</v>
      </c>
      <c r="K731" s="268">
        <v>0.51439999999999997</v>
      </c>
      <c r="L731" s="268">
        <v>0.39179999999999998</v>
      </c>
      <c r="M731" s="268">
        <v>-4.07E-2</v>
      </c>
      <c r="N731" s="8">
        <v>363.06</v>
      </c>
      <c r="O731" s="8">
        <v>8669.4</v>
      </c>
      <c r="P731" s="268">
        <v>4.19E-2</v>
      </c>
      <c r="Q731" s="8">
        <v>539</v>
      </c>
      <c r="R731" s="8">
        <v>0</v>
      </c>
      <c r="S731" s="8" t="s">
        <v>6004</v>
      </c>
      <c r="T731" s="8" t="s">
        <v>6005</v>
      </c>
      <c r="U731" s="8" t="s">
        <v>6006</v>
      </c>
      <c r="V731" s="8" t="s">
        <v>3508</v>
      </c>
      <c r="W731" s="8" t="s">
        <v>6007</v>
      </c>
    </row>
    <row r="732" spans="1:23" ht="28" customHeight="1" x14ac:dyDescent="0.3">
      <c r="A732" s="308">
        <v>45191</v>
      </c>
      <c r="B732" s="302">
        <v>2003.7940000000001</v>
      </c>
      <c r="C732" s="8">
        <v>19.053999999999998</v>
      </c>
      <c r="D732" s="268">
        <v>9.5999999999999992E-3</v>
      </c>
      <c r="E732" s="8">
        <v>37.86</v>
      </c>
      <c r="F732" s="8">
        <v>128.14400000000001</v>
      </c>
      <c r="G732" s="8">
        <v>120.494</v>
      </c>
      <c r="H732" s="8">
        <v>88.82</v>
      </c>
      <c r="I732" s="8">
        <v>179.13</v>
      </c>
      <c r="J732" s="8">
        <v>62.64</v>
      </c>
      <c r="K732" s="268">
        <v>0.50990000000000002</v>
      </c>
      <c r="L732" s="268">
        <v>0.38850000000000001</v>
      </c>
      <c r="M732" s="268">
        <v>-4.1399999999999999E-2</v>
      </c>
      <c r="N732" s="8">
        <v>434.43</v>
      </c>
      <c r="O732" s="8">
        <v>8670.35</v>
      </c>
      <c r="P732" s="268">
        <v>5.0099999999999999E-2</v>
      </c>
      <c r="Q732" s="8">
        <v>539</v>
      </c>
      <c r="R732" s="8">
        <v>0</v>
      </c>
      <c r="S732" s="8" t="s">
        <v>6008</v>
      </c>
      <c r="T732" s="8" t="s">
        <v>6009</v>
      </c>
      <c r="U732" s="8" t="s">
        <v>6010</v>
      </c>
      <c r="V732" s="8" t="s">
        <v>6011</v>
      </c>
      <c r="W732" s="8" t="s">
        <v>6012</v>
      </c>
    </row>
    <row r="733" spans="1:23" ht="28" customHeight="1" x14ac:dyDescent="0.3">
      <c r="A733" s="308">
        <v>45190</v>
      </c>
      <c r="B733" s="302">
        <v>1984.74</v>
      </c>
      <c r="C733" s="8">
        <v>-4.9740000000000002</v>
      </c>
      <c r="D733" s="268">
        <v>-2.5000000000000001E-3</v>
      </c>
      <c r="E733" s="8">
        <v>29.13</v>
      </c>
      <c r="F733" s="8">
        <v>126.807</v>
      </c>
      <c r="G733" s="8">
        <v>119.483</v>
      </c>
      <c r="H733" s="8">
        <v>86.91</v>
      </c>
      <c r="I733" s="8">
        <v>178.99</v>
      </c>
      <c r="J733" s="8">
        <v>68.31</v>
      </c>
      <c r="K733" s="268">
        <v>0.52180000000000004</v>
      </c>
      <c r="L733" s="268">
        <v>0.39729999999999999</v>
      </c>
      <c r="M733" s="268">
        <v>-3.7900000000000003E-2</v>
      </c>
      <c r="N733" s="8">
        <v>304.27</v>
      </c>
      <c r="O733" s="8">
        <v>8671.7800000000007</v>
      </c>
      <c r="P733" s="268">
        <v>3.5099999999999999E-2</v>
      </c>
      <c r="Q733" s="8">
        <v>539</v>
      </c>
      <c r="R733" s="8">
        <v>0</v>
      </c>
      <c r="S733" s="8" t="s">
        <v>6013</v>
      </c>
      <c r="T733" s="8" t="s">
        <v>6014</v>
      </c>
      <c r="U733" s="8" t="s">
        <v>6015</v>
      </c>
      <c r="V733" s="8" t="s">
        <v>6016</v>
      </c>
      <c r="W733" s="8" t="s">
        <v>6017</v>
      </c>
    </row>
    <row r="734" spans="1:23" ht="28" customHeight="1" x14ac:dyDescent="0.3">
      <c r="A734" s="308">
        <v>45189</v>
      </c>
      <c r="B734" s="302">
        <v>1989.7139999999999</v>
      </c>
      <c r="C734" s="8">
        <v>-5.327</v>
      </c>
      <c r="D734" s="268">
        <v>-2.7000000000000001E-3</v>
      </c>
      <c r="E734" s="8">
        <v>32.380000000000003</v>
      </c>
      <c r="F734" s="8">
        <v>127.093</v>
      </c>
      <c r="G734" s="8">
        <v>119.881</v>
      </c>
      <c r="H734" s="8">
        <v>87.77</v>
      </c>
      <c r="I734" s="8">
        <v>178.37</v>
      </c>
      <c r="J734" s="8">
        <v>65.17</v>
      </c>
      <c r="K734" s="268">
        <v>0.51270000000000004</v>
      </c>
      <c r="L734" s="268">
        <v>0.39700000000000002</v>
      </c>
      <c r="M734" s="268">
        <v>-3.8699999999999998E-2</v>
      </c>
      <c r="N734" s="8">
        <v>295.08</v>
      </c>
      <c r="O734" s="8">
        <v>8676.9500000000007</v>
      </c>
      <c r="P734" s="268">
        <v>3.4000000000000002E-2</v>
      </c>
      <c r="Q734" s="8">
        <v>539</v>
      </c>
      <c r="R734" s="8">
        <v>0</v>
      </c>
      <c r="S734" s="8" t="s">
        <v>6018</v>
      </c>
      <c r="T734" s="8" t="s">
        <v>6019</v>
      </c>
      <c r="U734" s="8" t="s">
        <v>6020</v>
      </c>
      <c r="V734" s="8" t="s">
        <v>6021</v>
      </c>
      <c r="W734" s="8" t="s">
        <v>4738</v>
      </c>
    </row>
    <row r="735" spans="1:23" ht="28" customHeight="1" x14ac:dyDescent="0.3">
      <c r="A735" s="308">
        <v>45188</v>
      </c>
      <c r="B735" s="302">
        <v>1995.0409999999999</v>
      </c>
      <c r="C735" s="8">
        <v>-9.6020000000000003</v>
      </c>
      <c r="D735" s="268">
        <v>-4.7999999999999996E-3</v>
      </c>
      <c r="E735" s="8">
        <v>34.32</v>
      </c>
      <c r="F735" s="8">
        <v>127.526</v>
      </c>
      <c r="G735" s="8">
        <v>120.294</v>
      </c>
      <c r="H735" s="8">
        <v>87.9</v>
      </c>
      <c r="I735" s="8">
        <v>178.19</v>
      </c>
      <c r="J735" s="8">
        <v>63.3</v>
      </c>
      <c r="K735" s="268">
        <v>0.50660000000000005</v>
      </c>
      <c r="L735" s="268">
        <v>0.39450000000000002</v>
      </c>
      <c r="M735" s="268">
        <v>-3.9300000000000002E-2</v>
      </c>
      <c r="N735" s="8">
        <v>308.85000000000002</v>
      </c>
      <c r="O735" s="8">
        <v>8681.69</v>
      </c>
      <c r="P735" s="268">
        <v>3.56E-2</v>
      </c>
      <c r="Q735" s="8">
        <v>539</v>
      </c>
      <c r="R735" s="8">
        <v>0</v>
      </c>
      <c r="S735" s="8" t="s">
        <v>6022</v>
      </c>
      <c r="T735" s="8" t="s">
        <v>6023</v>
      </c>
      <c r="U735" s="8" t="s">
        <v>2421</v>
      </c>
      <c r="V735" s="8" t="s">
        <v>6024</v>
      </c>
      <c r="W735" s="8" t="s">
        <v>6025</v>
      </c>
    </row>
    <row r="736" spans="1:23" ht="28" customHeight="1" x14ac:dyDescent="0.3">
      <c r="A736" s="308">
        <v>45187</v>
      </c>
      <c r="B736" s="302">
        <v>2004.643</v>
      </c>
      <c r="C736" s="8">
        <v>6.8719999999999999</v>
      </c>
      <c r="D736" s="268">
        <v>3.3999999999999998E-3</v>
      </c>
      <c r="E736" s="8">
        <v>37.26</v>
      </c>
      <c r="F736" s="8">
        <v>128.24100000000001</v>
      </c>
      <c r="G736" s="8">
        <v>120.902</v>
      </c>
      <c r="H736" s="8">
        <v>89.07</v>
      </c>
      <c r="I736" s="8">
        <v>178.79</v>
      </c>
      <c r="J736" s="8">
        <v>60.63</v>
      </c>
      <c r="K736" s="268">
        <v>0.50549999999999995</v>
      </c>
      <c r="L736" s="268">
        <v>0.38140000000000002</v>
      </c>
      <c r="M736" s="268">
        <v>-4.0399999999999998E-2</v>
      </c>
      <c r="N736" s="8">
        <v>368.4</v>
      </c>
      <c r="O736" s="8">
        <v>8685.1299999999992</v>
      </c>
      <c r="P736" s="268">
        <v>4.24E-2</v>
      </c>
      <c r="Q736" s="8">
        <v>539</v>
      </c>
      <c r="R736" s="8">
        <v>0</v>
      </c>
      <c r="S736" s="8" t="s">
        <v>6026</v>
      </c>
      <c r="T736" s="8" t="s">
        <v>6027</v>
      </c>
      <c r="U736" s="8" t="s">
        <v>6028</v>
      </c>
      <c r="V736" s="8" t="s">
        <v>6029</v>
      </c>
      <c r="W736" s="8" t="s">
        <v>6030</v>
      </c>
    </row>
    <row r="737" spans="1:23" ht="28" customHeight="1" x14ac:dyDescent="0.3">
      <c r="A737" s="308">
        <v>45184</v>
      </c>
      <c r="B737" s="302">
        <v>1997.771</v>
      </c>
      <c r="C737" s="8">
        <v>2.9119999999999999</v>
      </c>
      <c r="D737" s="268">
        <v>1.5E-3</v>
      </c>
      <c r="E737" s="8">
        <v>33.5</v>
      </c>
      <c r="F737" s="8">
        <v>127.732</v>
      </c>
      <c r="G737" s="8">
        <v>120.389</v>
      </c>
      <c r="H737" s="8">
        <v>88.29</v>
      </c>
      <c r="I737" s="8">
        <v>179.02</v>
      </c>
      <c r="J737" s="8">
        <v>62.87</v>
      </c>
      <c r="K737" s="268">
        <v>0.51290000000000002</v>
      </c>
      <c r="L737" s="268">
        <v>0.3886</v>
      </c>
      <c r="M737" s="268">
        <v>-3.85E-2</v>
      </c>
      <c r="N737" s="8">
        <v>380.63</v>
      </c>
      <c r="O737" s="8">
        <v>8690.11</v>
      </c>
      <c r="P737" s="268">
        <v>4.3799999999999999E-2</v>
      </c>
      <c r="Q737" s="8">
        <v>539</v>
      </c>
      <c r="R737" s="8">
        <v>0</v>
      </c>
      <c r="S737" s="8" t="s">
        <v>6031</v>
      </c>
      <c r="T737" s="8" t="s">
        <v>6032</v>
      </c>
      <c r="U737" s="8" t="s">
        <v>6033</v>
      </c>
      <c r="V737" s="8" t="s">
        <v>6034</v>
      </c>
      <c r="W737" s="8" t="s">
        <v>6035</v>
      </c>
    </row>
    <row r="738" spans="1:23" ht="28" customHeight="1" x14ac:dyDescent="0.3">
      <c r="A738" s="308">
        <v>45183</v>
      </c>
      <c r="B738" s="302">
        <v>1994.8589999999999</v>
      </c>
      <c r="C738" s="8">
        <v>-9.6820000000000004</v>
      </c>
      <c r="D738" s="268">
        <v>-4.7999999999999996E-3</v>
      </c>
      <c r="E738" s="8">
        <v>33.33</v>
      </c>
      <c r="F738" s="8">
        <v>127.57599999999999</v>
      </c>
      <c r="G738" s="8">
        <v>120.248</v>
      </c>
      <c r="H738" s="8">
        <v>88.3</v>
      </c>
      <c r="I738" s="8">
        <v>178.96</v>
      </c>
      <c r="J738" s="8">
        <v>61.81</v>
      </c>
      <c r="K738" s="268">
        <v>0.51380000000000003</v>
      </c>
      <c r="L738" s="268">
        <v>0.38490000000000002</v>
      </c>
      <c r="M738" s="268">
        <v>-3.7499999999999999E-2</v>
      </c>
      <c r="N738" s="8">
        <v>340.43</v>
      </c>
      <c r="O738" s="8">
        <v>8693.7199999999993</v>
      </c>
      <c r="P738" s="268">
        <v>3.9199999999999999E-2</v>
      </c>
      <c r="Q738" s="8">
        <v>538</v>
      </c>
      <c r="R738" s="8">
        <v>0</v>
      </c>
      <c r="S738" s="8" t="s">
        <v>6036</v>
      </c>
      <c r="T738" s="8" t="s">
        <v>6037</v>
      </c>
      <c r="U738" s="8" t="s">
        <v>6038</v>
      </c>
      <c r="V738" s="8" t="s">
        <v>6039</v>
      </c>
      <c r="W738" s="8" t="s">
        <v>6040</v>
      </c>
    </row>
    <row r="739" spans="1:23" ht="28" customHeight="1" x14ac:dyDescent="0.3">
      <c r="A739" s="308">
        <v>45182</v>
      </c>
      <c r="B739" s="302">
        <v>2004.5409999999999</v>
      </c>
      <c r="C739" s="8">
        <v>-14.212</v>
      </c>
      <c r="D739" s="268">
        <v>-7.0000000000000001E-3</v>
      </c>
      <c r="E739" s="8">
        <v>37.119999999999997</v>
      </c>
      <c r="F739" s="8">
        <v>128.251</v>
      </c>
      <c r="G739" s="8">
        <v>120.873</v>
      </c>
      <c r="H739" s="8">
        <v>89.03</v>
      </c>
      <c r="I739" s="8">
        <v>178.99</v>
      </c>
      <c r="J739" s="8">
        <v>58.56</v>
      </c>
      <c r="K739" s="268">
        <v>0.50739999999999996</v>
      </c>
      <c r="L739" s="268">
        <v>0.38250000000000001</v>
      </c>
      <c r="M739" s="268">
        <v>-3.8800000000000001E-2</v>
      </c>
      <c r="N739" s="8">
        <v>370.55</v>
      </c>
      <c r="O739" s="8">
        <v>8691.7800000000007</v>
      </c>
      <c r="P739" s="268">
        <v>4.2599999999999999E-2</v>
      </c>
      <c r="Q739" s="8">
        <v>537</v>
      </c>
      <c r="R739" s="8">
        <v>0</v>
      </c>
      <c r="S739" s="8" t="s">
        <v>2695</v>
      </c>
      <c r="T739" s="8" t="s">
        <v>6041</v>
      </c>
      <c r="U739" s="8" t="s">
        <v>6042</v>
      </c>
      <c r="V739" s="8" t="s">
        <v>6043</v>
      </c>
      <c r="W739" s="8" t="s">
        <v>6044</v>
      </c>
    </row>
    <row r="740" spans="1:23" ht="28" customHeight="1" x14ac:dyDescent="0.3">
      <c r="A740" s="308">
        <v>45181</v>
      </c>
      <c r="B740" s="302">
        <v>2018.7529999999999</v>
      </c>
      <c r="C740" s="8">
        <v>-0.78800000000000003</v>
      </c>
      <c r="D740" s="268">
        <v>-4.0000000000000002E-4</v>
      </c>
      <c r="E740" s="8">
        <v>41.2</v>
      </c>
      <c r="F740" s="8">
        <v>129.261</v>
      </c>
      <c r="G740" s="8">
        <v>121.56</v>
      </c>
      <c r="H740" s="8">
        <v>89.42</v>
      </c>
      <c r="I740" s="8">
        <v>179.39</v>
      </c>
      <c r="J740" s="8">
        <v>57.56</v>
      </c>
      <c r="K740" s="268">
        <v>0.50129999999999997</v>
      </c>
      <c r="L740" s="268">
        <v>0.37209999999999999</v>
      </c>
      <c r="M740" s="268">
        <v>-4.1500000000000002E-2</v>
      </c>
      <c r="N740" s="8">
        <v>432.68</v>
      </c>
      <c r="O740" s="8">
        <v>8674.07</v>
      </c>
      <c r="P740" s="268">
        <v>4.99E-2</v>
      </c>
      <c r="Q740" s="8">
        <v>535</v>
      </c>
      <c r="R740" s="8">
        <v>0</v>
      </c>
      <c r="S740" s="8" t="s">
        <v>3084</v>
      </c>
      <c r="T740" s="8" t="s">
        <v>6045</v>
      </c>
      <c r="U740" s="8" t="s">
        <v>6046</v>
      </c>
      <c r="V740" s="8" t="s">
        <v>4619</v>
      </c>
      <c r="W740" s="8" t="s">
        <v>6047</v>
      </c>
    </row>
    <row r="741" spans="1:23" ht="28" customHeight="1" x14ac:dyDescent="0.3">
      <c r="A741" s="308">
        <v>45180</v>
      </c>
      <c r="B741" s="302">
        <v>2019.5409999999999</v>
      </c>
      <c r="C741" s="8">
        <v>5.5389999999999997</v>
      </c>
      <c r="D741" s="268">
        <v>2.8E-3</v>
      </c>
      <c r="E741" s="8">
        <v>41.38</v>
      </c>
      <c r="F741" s="8">
        <v>129.34200000000001</v>
      </c>
      <c r="G741" s="8">
        <v>121.896</v>
      </c>
      <c r="H741" s="8">
        <v>89.64</v>
      </c>
      <c r="I741" s="8">
        <v>179.75</v>
      </c>
      <c r="J741" s="8">
        <v>58.14</v>
      </c>
      <c r="K741" s="268">
        <v>0.504</v>
      </c>
      <c r="L741" s="268">
        <v>0.3725</v>
      </c>
      <c r="M741" s="268">
        <v>-4.1399999999999999E-2</v>
      </c>
      <c r="N741" s="8">
        <v>478.48</v>
      </c>
      <c r="O741" s="8">
        <v>8680.0300000000007</v>
      </c>
      <c r="P741" s="268">
        <v>5.5100000000000003E-2</v>
      </c>
      <c r="Q741" s="8">
        <v>535</v>
      </c>
      <c r="R741" s="8">
        <v>0</v>
      </c>
      <c r="S741" s="8" t="s">
        <v>2343</v>
      </c>
      <c r="T741" s="8" t="s">
        <v>6048</v>
      </c>
      <c r="U741" s="8" t="s">
        <v>5345</v>
      </c>
      <c r="V741" s="8" t="s">
        <v>6049</v>
      </c>
      <c r="W741" s="8" t="s">
        <v>6050</v>
      </c>
    </row>
    <row r="742" spans="1:23" ht="28" customHeight="1" x14ac:dyDescent="0.3">
      <c r="A742" s="308">
        <v>45177</v>
      </c>
      <c r="B742" s="302">
        <v>2014.002</v>
      </c>
      <c r="C742" s="8">
        <v>-4.6230000000000002</v>
      </c>
      <c r="D742" s="268">
        <v>-2.3E-3</v>
      </c>
      <c r="E742" s="8">
        <v>38.159999999999997</v>
      </c>
      <c r="F742" s="8">
        <v>129.02600000000001</v>
      </c>
      <c r="G742" s="8">
        <v>121.00700000000001</v>
      </c>
      <c r="H742" s="8">
        <v>89.45</v>
      </c>
      <c r="I742" s="8">
        <v>180.75</v>
      </c>
      <c r="J742" s="8">
        <v>62.13</v>
      </c>
      <c r="K742" s="268">
        <v>0.51719999999999999</v>
      </c>
      <c r="L742" s="268">
        <v>0.38219999999999998</v>
      </c>
      <c r="M742" s="268">
        <v>-3.9899999999999998E-2</v>
      </c>
      <c r="N742" s="8">
        <v>530.35</v>
      </c>
      <c r="O742" s="8">
        <v>8648.24</v>
      </c>
      <c r="P742" s="268">
        <v>6.13E-2</v>
      </c>
      <c r="Q742" s="8">
        <v>533</v>
      </c>
      <c r="R742" s="8">
        <v>0</v>
      </c>
      <c r="S742" s="8" t="s">
        <v>6051</v>
      </c>
      <c r="T742" s="8" t="s">
        <v>6052</v>
      </c>
      <c r="U742" s="8" t="s">
        <v>6053</v>
      </c>
      <c r="V742" s="8" t="s">
        <v>6054</v>
      </c>
      <c r="W742" s="8" t="s">
        <v>6055</v>
      </c>
    </row>
    <row r="743" spans="1:23" ht="28" customHeight="1" x14ac:dyDescent="0.3">
      <c r="A743" s="308">
        <v>45176</v>
      </c>
      <c r="B743" s="302">
        <v>2018.625</v>
      </c>
      <c r="C743" s="8">
        <v>-33.198</v>
      </c>
      <c r="D743" s="268">
        <v>-1.6199999999999999E-2</v>
      </c>
      <c r="E743" s="8">
        <v>40.909999999999997</v>
      </c>
      <c r="F743" s="8">
        <v>129.27199999999999</v>
      </c>
      <c r="G743" s="8">
        <v>121.78</v>
      </c>
      <c r="H743" s="8">
        <v>89.08</v>
      </c>
      <c r="I743" s="8">
        <v>181.36</v>
      </c>
      <c r="J743" s="8">
        <v>64.02</v>
      </c>
      <c r="K743" s="268">
        <v>0.52090000000000003</v>
      </c>
      <c r="L743" s="268">
        <v>0.38669999999999999</v>
      </c>
      <c r="M743" s="268">
        <v>-4.07E-2</v>
      </c>
      <c r="N743" s="8">
        <v>595.16999999999996</v>
      </c>
      <c r="O743" s="8">
        <v>8654.24</v>
      </c>
      <c r="P743" s="268">
        <v>6.88E-2</v>
      </c>
      <c r="Q743" s="8">
        <v>533</v>
      </c>
      <c r="R743" s="8">
        <v>0</v>
      </c>
      <c r="S743" s="8" t="s">
        <v>3730</v>
      </c>
      <c r="T743" s="8" t="s">
        <v>6056</v>
      </c>
      <c r="U743" s="8" t="s">
        <v>6057</v>
      </c>
      <c r="V743" s="8" t="s">
        <v>6058</v>
      </c>
      <c r="W743" s="8" t="s">
        <v>6059</v>
      </c>
    </row>
    <row r="744" spans="1:23" ht="28" customHeight="1" x14ac:dyDescent="0.3">
      <c r="A744" s="308">
        <v>45175</v>
      </c>
      <c r="B744" s="302">
        <v>2051.8020000000001</v>
      </c>
      <c r="C744" s="8">
        <v>-2.1000000000000001E-2</v>
      </c>
      <c r="D744" s="268">
        <v>0</v>
      </c>
      <c r="E744" s="8">
        <v>55.1</v>
      </c>
      <c r="F744" s="8">
        <v>131.58699999999999</v>
      </c>
      <c r="G744" s="8">
        <v>123.53700000000001</v>
      </c>
      <c r="H744" s="8">
        <v>89.92</v>
      </c>
      <c r="I744" s="8">
        <v>183.44</v>
      </c>
      <c r="J744" s="8">
        <v>64.13</v>
      </c>
      <c r="K744" s="268">
        <v>0.51849999999999996</v>
      </c>
      <c r="L744" s="268">
        <v>0.38950000000000001</v>
      </c>
      <c r="M744" s="268">
        <v>-4.58E-2</v>
      </c>
      <c r="N744" s="8">
        <v>475.51</v>
      </c>
      <c r="O744" s="8">
        <v>8656.9699999999993</v>
      </c>
      <c r="P744" s="268">
        <v>5.4899999999999997E-2</v>
      </c>
      <c r="Q744" s="8">
        <v>532</v>
      </c>
      <c r="R744" s="8">
        <v>0</v>
      </c>
      <c r="S744" s="8" t="s">
        <v>3740</v>
      </c>
      <c r="T744" s="8" t="s">
        <v>6060</v>
      </c>
      <c r="U744" s="8" t="s">
        <v>6061</v>
      </c>
      <c r="V744" s="8" t="s">
        <v>6062</v>
      </c>
      <c r="W744" s="8" t="s">
        <v>6063</v>
      </c>
    </row>
    <row r="745" spans="1:23" ht="28" customHeight="1" x14ac:dyDescent="0.3">
      <c r="A745" s="308">
        <v>45174</v>
      </c>
      <c r="B745" s="302">
        <v>2051.8229999999999</v>
      </c>
      <c r="C745" s="8">
        <v>-3</v>
      </c>
      <c r="D745" s="268">
        <v>-1.5E-3</v>
      </c>
      <c r="E745" s="8">
        <v>55.35</v>
      </c>
      <c r="F745" s="8">
        <v>131.62700000000001</v>
      </c>
      <c r="G745" s="8">
        <v>123.264</v>
      </c>
      <c r="H745" s="8">
        <v>90.09</v>
      </c>
      <c r="I745" s="8">
        <v>184.11</v>
      </c>
      <c r="J745" s="8">
        <v>66.489999999999995</v>
      </c>
      <c r="K745" s="268">
        <v>0.52480000000000004</v>
      </c>
      <c r="L745" s="268">
        <v>0.39650000000000002</v>
      </c>
      <c r="M745" s="268">
        <v>-4.5999999999999999E-2</v>
      </c>
      <c r="N745" s="8">
        <v>503.06</v>
      </c>
      <c r="O745" s="8">
        <v>8668.2099999999991</v>
      </c>
      <c r="P745" s="268">
        <v>5.8000000000000003E-2</v>
      </c>
      <c r="Q745" s="8">
        <v>531</v>
      </c>
      <c r="R745" s="8" t="s">
        <v>6064</v>
      </c>
      <c r="S745" s="8" t="s">
        <v>4028</v>
      </c>
      <c r="T745" s="8" t="s">
        <v>5011</v>
      </c>
      <c r="U745" s="8" t="s">
        <v>6065</v>
      </c>
      <c r="V745" s="8" t="s">
        <v>6066</v>
      </c>
      <c r="W745" s="8" t="s">
        <v>6067</v>
      </c>
    </row>
    <row r="746" spans="1:23" ht="28" customHeight="1" x14ac:dyDescent="0.3">
      <c r="A746" s="308">
        <v>45173</v>
      </c>
      <c r="B746" s="302">
        <v>2054.8229999999999</v>
      </c>
      <c r="C746" s="8">
        <v>13.96</v>
      </c>
      <c r="D746" s="268">
        <v>6.7999999999999996E-3</v>
      </c>
      <c r="E746" s="8">
        <v>57.25</v>
      </c>
      <c r="F746" s="8">
        <v>131.83099999999999</v>
      </c>
      <c r="G746" s="8">
        <v>123.334</v>
      </c>
      <c r="H746" s="8">
        <v>89.52</v>
      </c>
      <c r="I746" s="8">
        <v>184.14</v>
      </c>
      <c r="J746" s="8">
        <v>64.84</v>
      </c>
      <c r="K746" s="268">
        <v>0.52310000000000001</v>
      </c>
      <c r="L746" s="268">
        <v>0.40100000000000002</v>
      </c>
      <c r="M746" s="268">
        <v>-4.6800000000000001E-2</v>
      </c>
      <c r="N746" s="8">
        <v>435.81</v>
      </c>
      <c r="O746" s="8">
        <v>8676.7800000000007</v>
      </c>
      <c r="P746" s="268">
        <v>5.0200000000000002E-2</v>
      </c>
      <c r="Q746" s="8">
        <v>531</v>
      </c>
      <c r="R746" s="8" t="s">
        <v>6068</v>
      </c>
      <c r="S746" s="8" t="s">
        <v>6069</v>
      </c>
      <c r="T746" s="8" t="s">
        <v>6070</v>
      </c>
      <c r="U746" s="8" t="s">
        <v>6071</v>
      </c>
      <c r="V746" s="8" t="s">
        <v>6072</v>
      </c>
      <c r="W746" s="8" t="s">
        <v>6073</v>
      </c>
    </row>
    <row r="747" spans="1:23" ht="28" customHeight="1" x14ac:dyDescent="0.3">
      <c r="A747" s="308">
        <v>45170</v>
      </c>
      <c r="B747" s="302">
        <v>2040.8630000000001</v>
      </c>
      <c r="C747" s="8">
        <v>3.6059999999999999</v>
      </c>
      <c r="D747" s="268">
        <v>1.8E-3</v>
      </c>
      <c r="E747" s="8">
        <v>52.02</v>
      </c>
      <c r="F747" s="8">
        <v>130.85499999999999</v>
      </c>
      <c r="G747" s="8">
        <v>122.574</v>
      </c>
      <c r="H747" s="8">
        <v>88.07</v>
      </c>
      <c r="I747" s="8">
        <v>184.44</v>
      </c>
      <c r="J747" s="8">
        <v>68.89</v>
      </c>
      <c r="K747" s="268">
        <v>0.53580000000000005</v>
      </c>
      <c r="L747" s="268">
        <v>0.40799999999999997</v>
      </c>
      <c r="M747" s="268">
        <v>-4.3900000000000002E-2</v>
      </c>
      <c r="N747" s="8">
        <v>466.68</v>
      </c>
      <c r="O747" s="8">
        <v>8673.66</v>
      </c>
      <c r="P747" s="268">
        <v>5.3800000000000001E-2</v>
      </c>
      <c r="Q747" s="8">
        <v>530</v>
      </c>
      <c r="R747" s="8" t="s">
        <v>6074</v>
      </c>
      <c r="S747" s="8" t="s">
        <v>6075</v>
      </c>
      <c r="T747" s="8" t="s">
        <v>6076</v>
      </c>
      <c r="U747" s="8" t="s">
        <v>6077</v>
      </c>
      <c r="V747" s="8" t="s">
        <v>6078</v>
      </c>
      <c r="W747" s="8" t="s">
        <v>6079</v>
      </c>
    </row>
    <row r="748" spans="1:23" ht="28" customHeight="1" x14ac:dyDescent="0.3">
      <c r="A748" s="308">
        <v>45169</v>
      </c>
      <c r="B748" s="302">
        <v>2037.2570000000001</v>
      </c>
      <c r="C748" s="8">
        <v>-0.42799999999999999</v>
      </c>
      <c r="D748" s="268">
        <v>-2.0000000000000001E-4</v>
      </c>
      <c r="E748" s="8">
        <v>49.74</v>
      </c>
      <c r="F748" s="8">
        <v>130.78899999999999</v>
      </c>
      <c r="G748" s="8">
        <v>121.896</v>
      </c>
      <c r="H748" s="8">
        <v>87.54</v>
      </c>
      <c r="I748" s="8">
        <v>184.55</v>
      </c>
      <c r="J748" s="8">
        <v>69.63</v>
      </c>
      <c r="K748" s="268">
        <v>0.53759999999999997</v>
      </c>
      <c r="L748" s="268">
        <v>0.41220000000000001</v>
      </c>
      <c r="M748" s="268">
        <v>-4.3200000000000002E-2</v>
      </c>
      <c r="N748" s="8">
        <v>487.33</v>
      </c>
      <c r="O748" s="8">
        <v>8677.11</v>
      </c>
      <c r="P748" s="268">
        <v>5.62E-2</v>
      </c>
      <c r="Q748" s="8">
        <v>530</v>
      </c>
      <c r="R748" s="8" t="s">
        <v>6080</v>
      </c>
      <c r="S748" s="8" t="s">
        <v>6081</v>
      </c>
      <c r="T748" s="8" t="s">
        <v>6082</v>
      </c>
      <c r="U748" s="8" t="s">
        <v>6083</v>
      </c>
      <c r="V748" s="8" t="s">
        <v>5872</v>
      </c>
      <c r="W748" s="8" t="s">
        <v>6084</v>
      </c>
    </row>
    <row r="749" spans="1:23" ht="28" customHeight="1" x14ac:dyDescent="0.3">
      <c r="A749" s="308">
        <v>45168</v>
      </c>
      <c r="B749" s="302">
        <v>2037.6849999999999</v>
      </c>
      <c r="C749" s="8">
        <v>2.93</v>
      </c>
      <c r="D749" s="268">
        <v>1.4E-3</v>
      </c>
      <c r="E749" s="8">
        <v>49.77</v>
      </c>
      <c r="F749" s="8">
        <v>130.71600000000001</v>
      </c>
      <c r="G749" s="8">
        <v>121.999</v>
      </c>
      <c r="H749" s="8">
        <v>88.3</v>
      </c>
      <c r="I749" s="8">
        <v>183.74</v>
      </c>
      <c r="J749" s="8">
        <v>67.819999999999993</v>
      </c>
      <c r="K749" s="268">
        <v>0.53029999999999999</v>
      </c>
      <c r="L749" s="268">
        <v>0.40339999999999998</v>
      </c>
      <c r="M749" s="268">
        <v>-4.3499999999999997E-2</v>
      </c>
      <c r="N749" s="8">
        <v>553.59</v>
      </c>
      <c r="O749" s="8">
        <v>8674.69</v>
      </c>
      <c r="P749" s="268">
        <v>6.3799999999999996E-2</v>
      </c>
      <c r="Q749" s="8">
        <v>529</v>
      </c>
      <c r="R749" s="8" t="s">
        <v>6085</v>
      </c>
      <c r="S749" s="8" t="s">
        <v>6086</v>
      </c>
      <c r="T749" s="8" t="s">
        <v>6087</v>
      </c>
      <c r="U749" s="8" t="s">
        <v>6088</v>
      </c>
      <c r="V749" s="8" t="s">
        <v>6089</v>
      </c>
      <c r="W749" s="8" t="s">
        <v>6090</v>
      </c>
    </row>
    <row r="750" spans="1:23" ht="28" customHeight="1" x14ac:dyDescent="0.3">
      <c r="A750" s="308">
        <v>45167</v>
      </c>
      <c r="B750" s="302">
        <v>2034.7550000000001</v>
      </c>
      <c r="C750" s="8">
        <v>25.954000000000001</v>
      </c>
      <c r="D750" s="268">
        <v>1.29E-2</v>
      </c>
      <c r="E750" s="8">
        <v>48.35</v>
      </c>
      <c r="F750" s="8">
        <v>130.75200000000001</v>
      </c>
      <c r="G750" s="8">
        <v>121.66200000000001</v>
      </c>
      <c r="H750" s="8">
        <v>88.25</v>
      </c>
      <c r="I750" s="8">
        <v>184.32</v>
      </c>
      <c r="J750" s="8">
        <v>68.510000000000005</v>
      </c>
      <c r="K750" s="268">
        <v>0.53569999999999995</v>
      </c>
      <c r="L750" s="268">
        <v>0.41170000000000001</v>
      </c>
      <c r="M750" s="268">
        <v>-4.3200000000000002E-2</v>
      </c>
      <c r="N750" s="8">
        <v>580.16</v>
      </c>
      <c r="O750" s="8">
        <v>8669.8700000000008</v>
      </c>
      <c r="P750" s="268">
        <v>6.6900000000000001E-2</v>
      </c>
      <c r="Q750" s="8">
        <v>528</v>
      </c>
      <c r="R750" s="8" t="s">
        <v>3587</v>
      </c>
      <c r="S750" s="8" t="s">
        <v>5685</v>
      </c>
      <c r="T750" s="8" t="s">
        <v>6091</v>
      </c>
      <c r="U750" s="8" t="s">
        <v>6092</v>
      </c>
      <c r="V750" s="8" t="s">
        <v>6093</v>
      </c>
      <c r="W750" s="8" t="s">
        <v>6094</v>
      </c>
    </row>
    <row r="751" spans="1:23" ht="28" customHeight="1" x14ac:dyDescent="0.3">
      <c r="A751" s="308">
        <v>45166</v>
      </c>
      <c r="B751" s="302">
        <v>2008.8009999999999</v>
      </c>
      <c r="C751" s="8">
        <v>6.6070000000000002</v>
      </c>
      <c r="D751" s="268">
        <v>3.3E-3</v>
      </c>
      <c r="E751" s="8">
        <v>36.08</v>
      </c>
      <c r="F751" s="8">
        <v>129.05600000000001</v>
      </c>
      <c r="G751" s="8">
        <v>119.91800000000001</v>
      </c>
      <c r="H751" s="8">
        <v>85.2</v>
      </c>
      <c r="I751" s="8">
        <v>185.5</v>
      </c>
      <c r="J751" s="8">
        <v>75.27</v>
      </c>
      <c r="K751" s="268">
        <v>0.5645</v>
      </c>
      <c r="L751" s="268">
        <v>0.43480000000000002</v>
      </c>
      <c r="M751" s="268">
        <v>-3.9E-2</v>
      </c>
      <c r="N751" s="8">
        <v>628.4</v>
      </c>
      <c r="O751" s="8">
        <v>8656.3700000000008</v>
      </c>
      <c r="P751" s="268">
        <v>7.2599999999999998E-2</v>
      </c>
      <c r="Q751" s="8">
        <v>527</v>
      </c>
      <c r="R751" s="8" t="s">
        <v>6095</v>
      </c>
      <c r="S751" s="8" t="s">
        <v>6096</v>
      </c>
      <c r="T751" s="8" t="s">
        <v>6097</v>
      </c>
      <c r="U751" s="8" t="s">
        <v>6098</v>
      </c>
      <c r="V751" s="8" t="s">
        <v>6099</v>
      </c>
      <c r="W751" s="8" t="s">
        <v>5766</v>
      </c>
    </row>
    <row r="752" spans="1:23" ht="28" customHeight="1" x14ac:dyDescent="0.3">
      <c r="A752" s="308">
        <v>45163</v>
      </c>
      <c r="B752" s="302">
        <v>2002.194</v>
      </c>
      <c r="C752" s="8">
        <v>-17.164999999999999</v>
      </c>
      <c r="D752" s="268">
        <v>-8.5000000000000006E-3</v>
      </c>
      <c r="E752" s="8">
        <v>33.33</v>
      </c>
      <c r="F752" s="8">
        <v>128.55000000000001</v>
      </c>
      <c r="G752" s="8">
        <v>119.4</v>
      </c>
      <c r="H752" s="8">
        <v>84.55</v>
      </c>
      <c r="I752" s="8">
        <v>185.42</v>
      </c>
      <c r="J752" s="8">
        <v>79.709999999999994</v>
      </c>
      <c r="K752" s="268">
        <v>0.56869999999999998</v>
      </c>
      <c r="L752" s="268">
        <v>0.45240000000000002</v>
      </c>
      <c r="M752" s="268">
        <v>-3.7400000000000003E-2</v>
      </c>
      <c r="N752" s="8">
        <v>541.38</v>
      </c>
      <c r="O752" s="8">
        <v>8656.4699999999993</v>
      </c>
      <c r="P752" s="268">
        <v>6.25E-2</v>
      </c>
      <c r="Q752" s="8">
        <v>527</v>
      </c>
      <c r="R752" s="8" t="s">
        <v>6064</v>
      </c>
      <c r="S752" s="8" t="s">
        <v>6100</v>
      </c>
      <c r="T752" s="8" t="s">
        <v>6101</v>
      </c>
      <c r="U752" s="8" t="s">
        <v>6102</v>
      </c>
      <c r="V752" s="8" t="s">
        <v>6103</v>
      </c>
      <c r="W752" s="8" t="s">
        <v>6104</v>
      </c>
    </row>
    <row r="753" spans="1:23" ht="28" customHeight="1" x14ac:dyDescent="0.3">
      <c r="A753" s="308">
        <v>45162</v>
      </c>
      <c r="B753" s="302">
        <v>2019.3589999999999</v>
      </c>
      <c r="C753" s="8">
        <v>6.782</v>
      </c>
      <c r="D753" s="268">
        <v>3.3999999999999998E-3</v>
      </c>
      <c r="E753" s="8">
        <v>39.130000000000003</v>
      </c>
      <c r="F753" s="8">
        <v>129.81</v>
      </c>
      <c r="G753" s="8">
        <v>120.446</v>
      </c>
      <c r="H753" s="8">
        <v>86</v>
      </c>
      <c r="I753" s="8">
        <v>185.61</v>
      </c>
      <c r="J753" s="8">
        <v>76.95</v>
      </c>
      <c r="K753" s="268">
        <v>0.55800000000000005</v>
      </c>
      <c r="L753" s="268">
        <v>0.43659999999999999</v>
      </c>
      <c r="M753" s="268">
        <v>-4.02E-2</v>
      </c>
      <c r="N753" s="8">
        <v>526.04</v>
      </c>
      <c r="O753" s="8">
        <v>8651.0499999999993</v>
      </c>
      <c r="P753" s="268">
        <v>6.08E-2</v>
      </c>
      <c r="Q753" s="8">
        <v>526</v>
      </c>
      <c r="R753" s="8" t="s">
        <v>6105</v>
      </c>
      <c r="S753" s="8" t="s">
        <v>3009</v>
      </c>
      <c r="T753" s="8" t="s">
        <v>3014</v>
      </c>
      <c r="U753" s="8" t="s">
        <v>6106</v>
      </c>
      <c r="V753" s="8" t="s">
        <v>6107</v>
      </c>
      <c r="W753" s="8" t="s">
        <v>6108</v>
      </c>
    </row>
    <row r="754" spans="1:23" ht="28" customHeight="1" x14ac:dyDescent="0.3">
      <c r="A754" s="308">
        <v>45161</v>
      </c>
      <c r="B754" s="302">
        <v>2012.577</v>
      </c>
      <c r="C754" s="8">
        <v>-16.536999999999999</v>
      </c>
      <c r="D754" s="268">
        <v>-8.0999999999999996E-3</v>
      </c>
      <c r="E754" s="8">
        <v>36.42</v>
      </c>
      <c r="F754" s="8">
        <v>129.35900000000001</v>
      </c>
      <c r="G754" s="8">
        <v>120.05</v>
      </c>
      <c r="H754" s="8">
        <v>85.41</v>
      </c>
      <c r="I754" s="8">
        <v>184.75</v>
      </c>
      <c r="J754" s="8">
        <v>75.62</v>
      </c>
      <c r="K754" s="268">
        <v>0.55400000000000005</v>
      </c>
      <c r="L754" s="268">
        <v>0.42770000000000002</v>
      </c>
      <c r="M754" s="268">
        <v>-3.9300000000000002E-2</v>
      </c>
      <c r="N754" s="8">
        <v>483.65</v>
      </c>
      <c r="O754" s="8">
        <v>8619.9</v>
      </c>
      <c r="P754" s="268">
        <v>5.6099999999999997E-2</v>
      </c>
      <c r="Q754" s="8">
        <v>524</v>
      </c>
      <c r="R754" s="8" t="s">
        <v>6109</v>
      </c>
      <c r="S754" s="8" t="s">
        <v>6110</v>
      </c>
      <c r="T754" s="8" t="s">
        <v>6111</v>
      </c>
      <c r="U754" s="8" t="s">
        <v>6112</v>
      </c>
      <c r="V754" s="8" t="s">
        <v>6113</v>
      </c>
      <c r="W754" s="8" t="s">
        <v>6114</v>
      </c>
    </row>
    <row r="755" spans="1:23" ht="28" customHeight="1" x14ac:dyDescent="0.3">
      <c r="A755" s="308">
        <v>45160</v>
      </c>
      <c r="B755" s="302">
        <v>2029.114</v>
      </c>
      <c r="C755" s="8">
        <v>-10.525</v>
      </c>
      <c r="D755" s="268">
        <v>-5.1999999999999998E-3</v>
      </c>
      <c r="E755" s="8">
        <v>40.54</v>
      </c>
      <c r="F755" s="8">
        <v>130.56100000000001</v>
      </c>
      <c r="G755" s="8">
        <v>121.012</v>
      </c>
      <c r="H755" s="8">
        <v>87.35</v>
      </c>
      <c r="I755" s="8">
        <v>184.37</v>
      </c>
      <c r="J755" s="8">
        <v>72.84</v>
      </c>
      <c r="K755" s="268">
        <v>0.53810000000000002</v>
      </c>
      <c r="L755" s="268">
        <v>0.40989999999999999</v>
      </c>
      <c r="M755" s="268">
        <v>-4.1599999999999998E-2</v>
      </c>
      <c r="N755" s="8">
        <v>569.27</v>
      </c>
      <c r="O755" s="8">
        <v>8616.5400000000009</v>
      </c>
      <c r="P755" s="268">
        <v>6.6100000000000006E-2</v>
      </c>
      <c r="Q755" s="8">
        <v>523</v>
      </c>
      <c r="R755" s="8" t="s">
        <v>6115</v>
      </c>
      <c r="S755" s="8" t="s">
        <v>6116</v>
      </c>
      <c r="T755" s="8" t="s">
        <v>6117</v>
      </c>
      <c r="U755" s="8" t="s">
        <v>6118</v>
      </c>
      <c r="V755" s="8" t="s">
        <v>6119</v>
      </c>
      <c r="W755" s="8" t="s">
        <v>6120</v>
      </c>
    </row>
    <row r="756" spans="1:23" ht="28" customHeight="1" x14ac:dyDescent="0.3">
      <c r="A756" s="308">
        <v>45159</v>
      </c>
      <c r="B756" s="302">
        <v>2039.6389999999999</v>
      </c>
      <c r="C756" s="8">
        <v>-4.5999999999999996</v>
      </c>
      <c r="D756" s="268">
        <v>-2.3E-3</v>
      </c>
      <c r="E756" s="8">
        <v>44.72</v>
      </c>
      <c r="F756" s="8">
        <v>131.28899999999999</v>
      </c>
      <c r="G756" s="8">
        <v>122.002</v>
      </c>
      <c r="H756" s="8">
        <v>87.47</v>
      </c>
      <c r="I756" s="8">
        <v>185.51</v>
      </c>
      <c r="J756" s="8">
        <v>74.66</v>
      </c>
      <c r="K756" s="268">
        <v>0.54220000000000002</v>
      </c>
      <c r="L756" s="268">
        <v>0.42080000000000001</v>
      </c>
      <c r="M756" s="268">
        <v>-4.3799999999999999E-2</v>
      </c>
      <c r="N756" s="8">
        <v>470.95</v>
      </c>
      <c r="O756" s="8">
        <v>8617.7099999999991</v>
      </c>
      <c r="P756" s="268">
        <v>5.4600000000000003E-2</v>
      </c>
      <c r="Q756" s="8">
        <v>523</v>
      </c>
      <c r="R756" s="8" t="s">
        <v>6121</v>
      </c>
      <c r="S756" s="8" t="s">
        <v>6122</v>
      </c>
      <c r="T756" s="8" t="s">
        <v>6123</v>
      </c>
      <c r="U756" s="8" t="s">
        <v>6124</v>
      </c>
      <c r="V756" s="8" t="s">
        <v>6125</v>
      </c>
      <c r="W756" s="8" t="s">
        <v>6126</v>
      </c>
    </row>
    <row r="757" spans="1:23" ht="28" customHeight="1" x14ac:dyDescent="0.3">
      <c r="A757" s="308">
        <v>45156</v>
      </c>
      <c r="B757" s="302">
        <v>2044.239</v>
      </c>
      <c r="C757" s="8">
        <v>-5.0410000000000004</v>
      </c>
      <c r="D757" s="268">
        <v>-2.5000000000000001E-3</v>
      </c>
      <c r="E757" s="8">
        <v>48.83</v>
      </c>
      <c r="F757" s="8">
        <v>131.572</v>
      </c>
      <c r="G757" s="8">
        <v>122.496</v>
      </c>
      <c r="H757" s="8">
        <v>87.36</v>
      </c>
      <c r="I757" s="8">
        <v>185</v>
      </c>
      <c r="J757" s="8">
        <v>73.27</v>
      </c>
      <c r="K757" s="268">
        <v>0.5343</v>
      </c>
      <c r="L757" s="268">
        <v>0.41699999999999998</v>
      </c>
      <c r="M757" s="268">
        <v>-4.4600000000000001E-2</v>
      </c>
      <c r="N757" s="8">
        <v>458.95</v>
      </c>
      <c r="O757" s="8">
        <v>8577.99</v>
      </c>
      <c r="P757" s="268">
        <v>5.3499999999999999E-2</v>
      </c>
      <c r="Q757" s="8">
        <v>520</v>
      </c>
      <c r="R757" s="8" t="s">
        <v>6127</v>
      </c>
      <c r="S757" s="8" t="s">
        <v>6096</v>
      </c>
      <c r="T757" s="8" t="s">
        <v>6128</v>
      </c>
      <c r="U757" s="8" t="s">
        <v>6129</v>
      </c>
      <c r="V757" s="8" t="s">
        <v>6130</v>
      </c>
      <c r="W757" s="8" t="s">
        <v>6131</v>
      </c>
    </row>
    <row r="758" spans="1:23" ht="28" customHeight="1" x14ac:dyDescent="0.3">
      <c r="A758" s="308">
        <v>45155</v>
      </c>
      <c r="B758" s="302">
        <v>2049.2800000000002</v>
      </c>
      <c r="C758" s="8">
        <v>11.026999999999999</v>
      </c>
      <c r="D758" s="268">
        <v>5.4000000000000003E-3</v>
      </c>
      <c r="E758" s="8">
        <v>50.3</v>
      </c>
      <c r="F758" s="8">
        <v>131.87200000000001</v>
      </c>
      <c r="G758" s="8">
        <v>122.461</v>
      </c>
      <c r="H758" s="8">
        <v>88.81</v>
      </c>
      <c r="I758" s="8">
        <v>183.56</v>
      </c>
      <c r="J758" s="8">
        <v>69.31</v>
      </c>
      <c r="K758" s="268">
        <v>0.51680000000000004</v>
      </c>
      <c r="L758" s="268">
        <v>0.40649999999999997</v>
      </c>
      <c r="M758" s="268">
        <v>-4.53E-2</v>
      </c>
      <c r="N758" s="8">
        <v>537.16999999999996</v>
      </c>
      <c r="O758" s="8">
        <v>8577.7099999999991</v>
      </c>
      <c r="P758" s="268">
        <v>6.2600000000000003E-2</v>
      </c>
      <c r="Q758" s="8">
        <v>519</v>
      </c>
      <c r="R758" s="8" t="s">
        <v>6080</v>
      </c>
      <c r="S758" s="8" t="s">
        <v>2760</v>
      </c>
      <c r="T758" s="8" t="s">
        <v>6132</v>
      </c>
      <c r="U758" s="8" t="s">
        <v>6133</v>
      </c>
      <c r="V758" s="8" t="s">
        <v>6134</v>
      </c>
      <c r="W758" s="8" t="s">
        <v>6135</v>
      </c>
    </row>
    <row r="759" spans="1:23" ht="28" customHeight="1" x14ac:dyDescent="0.3">
      <c r="A759" s="308">
        <v>45154</v>
      </c>
      <c r="B759" s="302">
        <v>2038.2529999999999</v>
      </c>
      <c r="C759" s="8">
        <v>-4.9859999999999998</v>
      </c>
      <c r="D759" s="268">
        <v>-2.3999999999999998E-3</v>
      </c>
      <c r="E759" s="8">
        <v>48.89</v>
      </c>
      <c r="F759" s="8">
        <v>131.09299999999999</v>
      </c>
      <c r="G759" s="8">
        <v>121.77500000000001</v>
      </c>
      <c r="H759" s="8">
        <v>87.68</v>
      </c>
      <c r="I759" s="8">
        <v>183.75</v>
      </c>
      <c r="J759" s="8">
        <v>73.67</v>
      </c>
      <c r="K759" s="268">
        <v>0.52659999999999996</v>
      </c>
      <c r="L759" s="268">
        <v>0.41410000000000002</v>
      </c>
      <c r="M759" s="268">
        <v>-4.36E-2</v>
      </c>
      <c r="N759" s="8">
        <v>476.7</v>
      </c>
      <c r="O759" s="8">
        <v>8560.74</v>
      </c>
      <c r="P759" s="268">
        <v>5.57E-2</v>
      </c>
      <c r="Q759" s="8">
        <v>518</v>
      </c>
      <c r="R759" s="8" t="s">
        <v>6136</v>
      </c>
      <c r="S759" s="8" t="s">
        <v>6137</v>
      </c>
      <c r="T759" s="8" t="s">
        <v>6138</v>
      </c>
      <c r="U759" s="8" t="s">
        <v>6139</v>
      </c>
      <c r="V759" s="8" t="s">
        <v>6140</v>
      </c>
      <c r="W759" s="8" t="s">
        <v>6141</v>
      </c>
    </row>
    <row r="760" spans="1:23" ht="28" customHeight="1" x14ac:dyDescent="0.3">
      <c r="A760" s="308">
        <v>45153</v>
      </c>
      <c r="B760" s="302">
        <v>2043.239</v>
      </c>
      <c r="C760" s="8">
        <v>-8.35</v>
      </c>
      <c r="D760" s="268">
        <v>-4.1000000000000003E-3</v>
      </c>
      <c r="E760" s="8">
        <v>49.42</v>
      </c>
      <c r="F760" s="8">
        <v>131.465</v>
      </c>
      <c r="G760" s="8">
        <v>122</v>
      </c>
      <c r="H760" s="8">
        <v>88.58</v>
      </c>
      <c r="I760" s="8">
        <v>183.05</v>
      </c>
      <c r="J760" s="8">
        <v>71.81</v>
      </c>
      <c r="K760" s="268">
        <v>0.51580000000000004</v>
      </c>
      <c r="L760" s="268">
        <v>0.39979999999999999</v>
      </c>
      <c r="M760" s="268">
        <v>-4.4400000000000002E-2</v>
      </c>
      <c r="N760" s="8">
        <v>585.84</v>
      </c>
      <c r="O760" s="8">
        <v>8545.7199999999993</v>
      </c>
      <c r="P760" s="268">
        <v>6.8599999999999994E-2</v>
      </c>
      <c r="Q760" s="8">
        <v>514</v>
      </c>
      <c r="R760" s="8" t="s">
        <v>6142</v>
      </c>
      <c r="S760" s="8" t="s">
        <v>3062</v>
      </c>
      <c r="T760" s="8" t="s">
        <v>6143</v>
      </c>
      <c r="U760" s="8" t="s">
        <v>6144</v>
      </c>
      <c r="V760" s="8" t="s">
        <v>6145</v>
      </c>
      <c r="W760" s="8" t="s">
        <v>6146</v>
      </c>
    </row>
    <row r="761" spans="1:23" ht="28" customHeight="1" x14ac:dyDescent="0.3">
      <c r="A761" s="308">
        <v>45152</v>
      </c>
      <c r="B761" s="302">
        <v>2051.5889999999999</v>
      </c>
      <c r="C761" s="8">
        <v>-4.07</v>
      </c>
      <c r="D761" s="268">
        <v>-2E-3</v>
      </c>
      <c r="E761" s="8">
        <v>51.21</v>
      </c>
      <c r="F761" s="8">
        <v>132.1</v>
      </c>
      <c r="G761" s="8">
        <v>122.64</v>
      </c>
      <c r="H761" s="8">
        <v>89.15</v>
      </c>
      <c r="I761" s="8">
        <v>183.1</v>
      </c>
      <c r="J761" s="8">
        <v>69.47</v>
      </c>
      <c r="K761" s="268">
        <v>0.5101</v>
      </c>
      <c r="L761" s="268">
        <v>0.39529999999999998</v>
      </c>
      <c r="M761" s="268">
        <v>-4.5900000000000003E-2</v>
      </c>
      <c r="N761" s="8">
        <v>582.45000000000005</v>
      </c>
      <c r="O761" s="8">
        <v>8522.52</v>
      </c>
      <c r="P761" s="268">
        <v>6.83E-2</v>
      </c>
      <c r="Q761" s="8">
        <v>511</v>
      </c>
      <c r="R761" s="8" t="s">
        <v>6147</v>
      </c>
      <c r="S761" s="8" t="s">
        <v>6148</v>
      </c>
      <c r="T761" s="8" t="s">
        <v>6149</v>
      </c>
      <c r="U761" s="8" t="s">
        <v>6150</v>
      </c>
      <c r="V761" s="8" t="s">
        <v>6151</v>
      </c>
      <c r="W761" s="8" t="s">
        <v>6152</v>
      </c>
    </row>
    <row r="762" spans="1:23" ht="28" customHeight="1" x14ac:dyDescent="0.3">
      <c r="A762" s="308">
        <v>45149</v>
      </c>
      <c r="B762" s="302">
        <v>2055.6590000000001</v>
      </c>
      <c r="C762" s="8">
        <v>-7.0129999999999999</v>
      </c>
      <c r="D762" s="268">
        <v>-3.3999999999999998E-3</v>
      </c>
      <c r="E762" s="8">
        <v>54.29</v>
      </c>
      <c r="F762" s="8">
        <v>132.33600000000001</v>
      </c>
      <c r="G762" s="8">
        <v>123.008</v>
      </c>
      <c r="H762" s="8">
        <v>88.45</v>
      </c>
      <c r="I762" s="8">
        <v>183.75</v>
      </c>
      <c r="J762" s="8">
        <v>73.42</v>
      </c>
      <c r="K762" s="268">
        <v>0.5141</v>
      </c>
      <c r="L762" s="268">
        <v>0.40620000000000001</v>
      </c>
      <c r="M762" s="268">
        <v>-4.6300000000000001E-2</v>
      </c>
      <c r="N762" s="8">
        <v>543.45000000000005</v>
      </c>
      <c r="O762" s="8">
        <v>8523.36</v>
      </c>
      <c r="P762" s="268">
        <v>6.3799999999999996E-2</v>
      </c>
      <c r="Q762" s="8">
        <v>511</v>
      </c>
      <c r="R762" s="8" t="s">
        <v>6153</v>
      </c>
      <c r="S762" s="8" t="s">
        <v>6154</v>
      </c>
      <c r="T762" s="8" t="s">
        <v>6155</v>
      </c>
      <c r="U762" s="8" t="s">
        <v>6156</v>
      </c>
      <c r="V762" s="8" t="s">
        <v>6157</v>
      </c>
      <c r="W762" s="8" t="s">
        <v>6158</v>
      </c>
    </row>
    <row r="763" spans="1:23" ht="28" customHeight="1" x14ac:dyDescent="0.3">
      <c r="A763" s="308">
        <v>45148</v>
      </c>
      <c r="B763" s="302">
        <v>2062.672</v>
      </c>
      <c r="C763" s="8">
        <v>-1.28</v>
      </c>
      <c r="D763" s="268">
        <v>-5.9999999999999995E-4</v>
      </c>
      <c r="E763" s="8">
        <v>58.69</v>
      </c>
      <c r="F763" s="8">
        <v>132.75399999999999</v>
      </c>
      <c r="G763" s="8">
        <v>123.232</v>
      </c>
      <c r="H763" s="8">
        <v>89.91</v>
      </c>
      <c r="I763" s="8">
        <v>182.2</v>
      </c>
      <c r="J763" s="8">
        <v>66.040000000000006</v>
      </c>
      <c r="K763" s="268">
        <v>0.4945</v>
      </c>
      <c r="L763" s="268">
        <v>0.38819999999999999</v>
      </c>
      <c r="M763" s="268">
        <v>-4.7699999999999999E-2</v>
      </c>
      <c r="N763" s="8">
        <v>496.2</v>
      </c>
      <c r="O763" s="8">
        <v>8489.99</v>
      </c>
      <c r="P763" s="268">
        <v>5.8400000000000001E-2</v>
      </c>
      <c r="Q763" s="8">
        <v>507</v>
      </c>
      <c r="R763" s="8" t="s">
        <v>3470</v>
      </c>
      <c r="S763" s="8" t="s">
        <v>6159</v>
      </c>
      <c r="T763" s="8" t="s">
        <v>6160</v>
      </c>
      <c r="U763" s="8" t="s">
        <v>6161</v>
      </c>
      <c r="V763" s="8" t="s">
        <v>6162</v>
      </c>
      <c r="W763" s="8" t="s">
        <v>6163</v>
      </c>
    </row>
    <row r="764" spans="1:23" ht="28" customHeight="1" x14ac:dyDescent="0.3">
      <c r="A764" s="308">
        <v>45147</v>
      </c>
      <c r="B764" s="302">
        <v>2063.9520000000002</v>
      </c>
      <c r="C764" s="8">
        <v>-4.4260000000000002</v>
      </c>
      <c r="D764" s="268">
        <v>-2.0999999999999999E-3</v>
      </c>
      <c r="E764" s="8">
        <v>56.68</v>
      </c>
      <c r="F764" s="8">
        <v>132.9</v>
      </c>
      <c r="G764" s="8">
        <v>123.08499999999999</v>
      </c>
      <c r="H764" s="8">
        <v>89.55</v>
      </c>
      <c r="I764" s="8">
        <v>182.66</v>
      </c>
      <c r="J764" s="8">
        <v>66.72</v>
      </c>
      <c r="K764" s="268">
        <v>0.49759999999999999</v>
      </c>
      <c r="L764" s="268">
        <v>0.38779999999999998</v>
      </c>
      <c r="M764" s="268">
        <v>-4.7899999999999998E-2</v>
      </c>
      <c r="N764" s="8">
        <v>571.98</v>
      </c>
      <c r="O764" s="8">
        <v>8489</v>
      </c>
      <c r="P764" s="268">
        <v>6.7400000000000002E-2</v>
      </c>
      <c r="Q764" s="8">
        <v>506</v>
      </c>
      <c r="R764" s="8" t="s">
        <v>6164</v>
      </c>
      <c r="S764" s="8" t="s">
        <v>3016</v>
      </c>
      <c r="T764" s="8" t="s">
        <v>6165</v>
      </c>
      <c r="U764" s="8" t="s">
        <v>6166</v>
      </c>
      <c r="V764" s="8" t="s">
        <v>6167</v>
      </c>
      <c r="W764" s="8" t="s">
        <v>6168</v>
      </c>
    </row>
    <row r="765" spans="1:23" ht="28" customHeight="1" x14ac:dyDescent="0.3">
      <c r="A765" s="308">
        <v>45146</v>
      </c>
      <c r="B765" s="302">
        <v>2068.3780000000002</v>
      </c>
      <c r="C765" s="8">
        <v>-2.8170000000000002</v>
      </c>
      <c r="D765" s="268">
        <v>-1.4E-3</v>
      </c>
      <c r="E765" s="8">
        <v>57.89</v>
      </c>
      <c r="F765" s="8">
        <v>133.23599999999999</v>
      </c>
      <c r="G765" s="8">
        <v>123.464</v>
      </c>
      <c r="H765" s="8">
        <v>90.58</v>
      </c>
      <c r="I765" s="8">
        <v>182.08</v>
      </c>
      <c r="J765" s="8">
        <v>63.22</v>
      </c>
      <c r="K765" s="268">
        <v>0.48849999999999999</v>
      </c>
      <c r="L765" s="268">
        <v>0.38090000000000002</v>
      </c>
      <c r="M765" s="268">
        <v>-4.8800000000000003E-2</v>
      </c>
      <c r="N765" s="8">
        <v>620.79999999999995</v>
      </c>
      <c r="O765" s="8">
        <v>8491.33</v>
      </c>
      <c r="P765" s="268">
        <v>7.3099999999999998E-2</v>
      </c>
      <c r="Q765" s="8">
        <v>504</v>
      </c>
      <c r="R765" s="8" t="s">
        <v>6169</v>
      </c>
      <c r="S765" s="8" t="s">
        <v>3096</v>
      </c>
      <c r="T765" s="8" t="s">
        <v>6170</v>
      </c>
      <c r="U765" s="8" t="s">
        <v>5840</v>
      </c>
      <c r="V765" s="8" t="s">
        <v>6171</v>
      </c>
      <c r="W765" s="8" t="s">
        <v>6172</v>
      </c>
    </row>
    <row r="766" spans="1:23" ht="28" customHeight="1" x14ac:dyDescent="0.3">
      <c r="A766" s="308">
        <v>45145</v>
      </c>
      <c r="B766" s="302">
        <v>2071.1950000000002</v>
      </c>
      <c r="C766" s="8">
        <v>-9.2159999999999993</v>
      </c>
      <c r="D766" s="268">
        <v>-4.4000000000000003E-3</v>
      </c>
      <c r="E766" s="8">
        <v>59.5</v>
      </c>
      <c r="F766" s="8">
        <v>133.38499999999999</v>
      </c>
      <c r="G766" s="8">
        <v>123.78700000000001</v>
      </c>
      <c r="H766" s="8">
        <v>90.84</v>
      </c>
      <c r="I766" s="8">
        <v>182.33</v>
      </c>
      <c r="J766" s="8">
        <v>64.400000000000006</v>
      </c>
      <c r="K766" s="268">
        <v>0.4894</v>
      </c>
      <c r="L766" s="268">
        <v>0.38279999999999997</v>
      </c>
      <c r="M766" s="268">
        <v>-4.9099999999999998E-2</v>
      </c>
      <c r="N766" s="8">
        <v>585.07000000000005</v>
      </c>
      <c r="O766" s="8">
        <v>8495.5300000000007</v>
      </c>
      <c r="P766" s="268">
        <v>6.8900000000000003E-2</v>
      </c>
      <c r="Q766" s="8">
        <v>504</v>
      </c>
      <c r="R766" s="8" t="s">
        <v>6085</v>
      </c>
      <c r="S766" s="8" t="s">
        <v>6173</v>
      </c>
      <c r="T766" s="8" t="s">
        <v>6174</v>
      </c>
      <c r="U766" s="8" t="s">
        <v>6175</v>
      </c>
      <c r="V766" s="8" t="s">
        <v>6176</v>
      </c>
      <c r="W766" s="8" t="s">
        <v>6177</v>
      </c>
    </row>
    <row r="767" spans="1:23" ht="28" customHeight="1" x14ac:dyDescent="0.3">
      <c r="A767" s="308">
        <v>45142</v>
      </c>
      <c r="B767" s="302">
        <v>2080.4110000000001</v>
      </c>
      <c r="C767" s="8">
        <v>4.4630000000000001</v>
      </c>
      <c r="D767" s="268">
        <v>2.0999999999999999E-3</v>
      </c>
      <c r="E767" s="8">
        <v>62.77</v>
      </c>
      <c r="F767" s="8">
        <v>133.92500000000001</v>
      </c>
      <c r="G767" s="8">
        <v>124.499</v>
      </c>
      <c r="H767" s="8">
        <v>91.15</v>
      </c>
      <c r="I767" s="8">
        <v>182.19</v>
      </c>
      <c r="J767" s="8">
        <v>63.77</v>
      </c>
      <c r="K767" s="268">
        <v>0.48270000000000002</v>
      </c>
      <c r="L767" s="268">
        <v>0.37940000000000002</v>
      </c>
      <c r="M767" s="268">
        <v>-5.0099999999999999E-2</v>
      </c>
      <c r="N767" s="8">
        <v>759.49</v>
      </c>
      <c r="O767" s="8">
        <v>8416.0400000000009</v>
      </c>
      <c r="P767" s="268">
        <v>9.0200000000000002E-2</v>
      </c>
      <c r="Q767" s="8">
        <v>505</v>
      </c>
      <c r="R767" s="8" t="s">
        <v>6178</v>
      </c>
      <c r="S767" s="8" t="s">
        <v>3066</v>
      </c>
      <c r="T767" s="8" t="s">
        <v>6179</v>
      </c>
      <c r="U767" s="8" t="s">
        <v>6180</v>
      </c>
      <c r="V767" s="8" t="s">
        <v>6181</v>
      </c>
      <c r="W767" s="8" t="s">
        <v>6182</v>
      </c>
    </row>
    <row r="768" spans="1:23" ht="28" customHeight="1" x14ac:dyDescent="0.3">
      <c r="A768" s="308">
        <v>45141</v>
      </c>
      <c r="B768" s="302">
        <v>2075.9479999999999</v>
      </c>
      <c r="C768" s="8">
        <v>3.9580000000000002</v>
      </c>
      <c r="D768" s="268">
        <v>1.9E-3</v>
      </c>
      <c r="E768" s="8">
        <v>63.58</v>
      </c>
      <c r="F768" s="8">
        <v>133.505</v>
      </c>
      <c r="G768" s="8">
        <v>124.197</v>
      </c>
      <c r="H768" s="8">
        <v>91.23</v>
      </c>
      <c r="I768" s="8">
        <v>181.4</v>
      </c>
      <c r="J768" s="8">
        <v>62.21</v>
      </c>
      <c r="K768" s="268">
        <v>0.47889999999999999</v>
      </c>
      <c r="L768" s="268">
        <v>0.37890000000000001</v>
      </c>
      <c r="M768" s="268">
        <v>-4.9399999999999999E-2</v>
      </c>
      <c r="N768" s="8">
        <v>661.82</v>
      </c>
      <c r="O768" s="8">
        <v>8428.41</v>
      </c>
      <c r="P768" s="268">
        <v>7.85E-2</v>
      </c>
      <c r="Q768" s="8">
        <v>504</v>
      </c>
      <c r="R768" s="8" t="s">
        <v>2377</v>
      </c>
      <c r="S768" s="8" t="s">
        <v>3096</v>
      </c>
      <c r="T768" s="8" t="s">
        <v>6183</v>
      </c>
      <c r="U768" s="8" t="s">
        <v>5638</v>
      </c>
      <c r="V768" s="8" t="s">
        <v>6184</v>
      </c>
      <c r="W768" s="8" t="s">
        <v>6185</v>
      </c>
    </row>
    <row r="769" spans="1:23" ht="28" customHeight="1" x14ac:dyDescent="0.3">
      <c r="A769" s="308">
        <v>45140</v>
      </c>
      <c r="B769" s="302">
        <v>2071.9899999999998</v>
      </c>
      <c r="C769" s="8">
        <v>3.2269999999999999</v>
      </c>
      <c r="D769" s="268">
        <v>1.6000000000000001E-3</v>
      </c>
      <c r="E769" s="8">
        <v>60.25</v>
      </c>
      <c r="F769" s="8">
        <v>133.25</v>
      </c>
      <c r="G769" s="8">
        <v>124.056</v>
      </c>
      <c r="H769" s="8">
        <v>91</v>
      </c>
      <c r="I769" s="8">
        <v>181.08</v>
      </c>
      <c r="J769" s="8">
        <v>60.3</v>
      </c>
      <c r="K769" s="268">
        <v>0.4783</v>
      </c>
      <c r="L769" s="268">
        <v>0.37330000000000002</v>
      </c>
      <c r="M769" s="268">
        <v>-4.8899999999999999E-2</v>
      </c>
      <c r="N769" s="8">
        <v>618.22</v>
      </c>
      <c r="O769" s="8">
        <v>8415.69</v>
      </c>
      <c r="P769" s="268">
        <v>7.3499999999999996E-2</v>
      </c>
      <c r="Q769" s="8">
        <v>502</v>
      </c>
      <c r="R769" s="8" t="s">
        <v>2737</v>
      </c>
      <c r="S769" s="8" t="s">
        <v>6186</v>
      </c>
      <c r="T769" s="8" t="s">
        <v>6187</v>
      </c>
      <c r="U769" s="8" t="s">
        <v>3630</v>
      </c>
      <c r="V769" s="8" t="s">
        <v>6188</v>
      </c>
      <c r="W769" s="8" t="s">
        <v>6189</v>
      </c>
    </row>
    <row r="770" spans="1:23" ht="28" customHeight="1" x14ac:dyDescent="0.3">
      <c r="A770" s="308">
        <v>45139</v>
      </c>
      <c r="B770" s="302">
        <v>2068.7629999999999</v>
      </c>
      <c r="C770" s="8">
        <v>-5.5380000000000003</v>
      </c>
      <c r="D770" s="268">
        <v>-2.7000000000000001E-3</v>
      </c>
      <c r="E770" s="8">
        <v>60.48</v>
      </c>
      <c r="F770" s="8">
        <v>132.97900000000001</v>
      </c>
      <c r="G770" s="8">
        <v>124.2</v>
      </c>
      <c r="H770" s="8">
        <v>91.19</v>
      </c>
      <c r="I770" s="8">
        <v>180.62</v>
      </c>
      <c r="J770" s="8">
        <v>59.5</v>
      </c>
      <c r="K770" s="268">
        <v>0.47639999999999999</v>
      </c>
      <c r="L770" s="268">
        <v>0.37880000000000003</v>
      </c>
      <c r="M770" s="268">
        <v>-4.8399999999999999E-2</v>
      </c>
      <c r="N770" s="8">
        <v>634.44000000000005</v>
      </c>
      <c r="O770" s="8">
        <v>8414</v>
      </c>
      <c r="P770" s="268">
        <v>7.5399999999999995E-2</v>
      </c>
      <c r="Q770" s="8">
        <v>501</v>
      </c>
      <c r="R770" s="8" t="s">
        <v>6190</v>
      </c>
      <c r="S770" s="8" t="s">
        <v>6191</v>
      </c>
      <c r="T770" s="8" t="s">
        <v>6192</v>
      </c>
      <c r="U770" s="8" t="s">
        <v>6193</v>
      </c>
      <c r="V770" s="8" t="s">
        <v>6194</v>
      </c>
      <c r="W770" s="8" t="s">
        <v>6195</v>
      </c>
    </row>
    <row r="771" spans="1:23" ht="28" customHeight="1" x14ac:dyDescent="0.3">
      <c r="A771" s="308">
        <v>45138</v>
      </c>
      <c r="B771" s="302">
        <v>2074.3009999999999</v>
      </c>
      <c r="C771" s="8">
        <v>9.1690000000000005</v>
      </c>
      <c r="D771" s="268">
        <v>4.4000000000000003E-3</v>
      </c>
      <c r="E771" s="8">
        <v>63.64</v>
      </c>
      <c r="F771" s="8">
        <v>133.36199999999999</v>
      </c>
      <c r="G771" s="8">
        <v>124.785</v>
      </c>
      <c r="H771" s="8">
        <v>91.53</v>
      </c>
      <c r="I771" s="8">
        <v>181.18</v>
      </c>
      <c r="J771" s="8">
        <v>58.89</v>
      </c>
      <c r="K771" s="268">
        <v>0.47820000000000001</v>
      </c>
      <c r="L771" s="268">
        <v>0.37530000000000002</v>
      </c>
      <c r="M771" s="268">
        <v>-4.9399999999999999E-2</v>
      </c>
      <c r="N771" s="8">
        <v>574.41</v>
      </c>
      <c r="O771" s="8">
        <v>8421.2099999999991</v>
      </c>
      <c r="P771" s="268">
        <v>6.8199999999999997E-2</v>
      </c>
      <c r="Q771" s="8">
        <v>501</v>
      </c>
      <c r="R771" s="8" t="s">
        <v>6196</v>
      </c>
      <c r="S771" s="8" t="s">
        <v>3752</v>
      </c>
      <c r="T771" s="8" t="s">
        <v>6197</v>
      </c>
      <c r="U771" s="8" t="s">
        <v>6198</v>
      </c>
      <c r="V771" s="8" t="s">
        <v>6199</v>
      </c>
      <c r="W771" s="8" t="s">
        <v>6200</v>
      </c>
    </row>
    <row r="772" spans="1:23" ht="28" customHeight="1" x14ac:dyDescent="0.3">
      <c r="A772" s="308">
        <v>45135</v>
      </c>
      <c r="B772" s="302">
        <v>2065.1320000000001</v>
      </c>
      <c r="C772" s="8">
        <v>12.786</v>
      </c>
      <c r="D772" s="268">
        <v>6.1999999999999998E-3</v>
      </c>
      <c r="E772" s="8">
        <v>60.92</v>
      </c>
      <c r="F772" s="8">
        <v>132.43899999999999</v>
      </c>
      <c r="G772" s="8">
        <v>124.58499999999999</v>
      </c>
      <c r="H772" s="8">
        <v>90.9</v>
      </c>
      <c r="I772" s="8">
        <v>180.84</v>
      </c>
      <c r="J772" s="8">
        <v>62.91</v>
      </c>
      <c r="K772" s="268">
        <v>0.48399999999999999</v>
      </c>
      <c r="L772" s="268">
        <v>0.3785</v>
      </c>
      <c r="M772" s="268">
        <v>-4.1300000000000003E-2</v>
      </c>
      <c r="N772" s="8">
        <v>612.45000000000005</v>
      </c>
      <c r="O772" s="8">
        <v>8427.5</v>
      </c>
      <c r="P772" s="268">
        <v>7.2700000000000001E-2</v>
      </c>
      <c r="Q772" s="8">
        <v>501</v>
      </c>
      <c r="R772" s="8" t="s">
        <v>6201</v>
      </c>
      <c r="S772" s="8" t="s">
        <v>6202</v>
      </c>
      <c r="T772" s="8" t="s">
        <v>6203</v>
      </c>
      <c r="U772" s="8" t="s">
        <v>6204</v>
      </c>
      <c r="V772" s="8" t="s">
        <v>6205</v>
      </c>
      <c r="W772" s="8" t="s">
        <v>6206</v>
      </c>
    </row>
    <row r="773" spans="1:23" ht="28" customHeight="1" x14ac:dyDescent="0.3">
      <c r="A773" s="308">
        <v>45134</v>
      </c>
      <c r="B773" s="302">
        <v>2052.346</v>
      </c>
      <c r="C773" s="8">
        <v>-4.9169999999999998</v>
      </c>
      <c r="D773" s="268">
        <v>-2.3999999999999998E-3</v>
      </c>
      <c r="E773" s="8">
        <v>53.97</v>
      </c>
      <c r="F773" s="8">
        <v>131.70400000000001</v>
      </c>
      <c r="G773" s="8">
        <v>123.72</v>
      </c>
      <c r="H773" s="8">
        <v>90.06</v>
      </c>
      <c r="I773" s="8">
        <v>180.74</v>
      </c>
      <c r="J773" s="8">
        <v>64.290000000000006</v>
      </c>
      <c r="K773" s="268">
        <v>0.49030000000000001</v>
      </c>
      <c r="L773" s="268">
        <v>0.37880000000000003</v>
      </c>
      <c r="M773" s="268">
        <v>-3.8600000000000002E-2</v>
      </c>
      <c r="N773" s="8">
        <v>519.32000000000005</v>
      </c>
      <c r="O773" s="8">
        <v>8430.01</v>
      </c>
      <c r="P773" s="268">
        <v>6.1600000000000002E-2</v>
      </c>
      <c r="Q773" s="8">
        <v>501</v>
      </c>
      <c r="R773" s="8" t="s">
        <v>6207</v>
      </c>
      <c r="S773" s="8" t="s">
        <v>5792</v>
      </c>
      <c r="T773" s="8" t="s">
        <v>6208</v>
      </c>
      <c r="U773" s="8" t="s">
        <v>6209</v>
      </c>
      <c r="V773" s="8" t="s">
        <v>6210</v>
      </c>
      <c r="W773" s="8" t="s">
        <v>6211</v>
      </c>
    </row>
    <row r="774" spans="1:23" ht="28" customHeight="1" x14ac:dyDescent="0.3">
      <c r="A774" s="308">
        <v>45133</v>
      </c>
      <c r="B774" s="302">
        <v>2057.2629999999999</v>
      </c>
      <c r="C774" s="8">
        <v>-3.9990000000000001</v>
      </c>
      <c r="D774" s="268">
        <v>-1.9E-3</v>
      </c>
      <c r="E774" s="8">
        <v>55.54</v>
      </c>
      <c r="F774" s="8">
        <v>132.07400000000001</v>
      </c>
      <c r="G774" s="8">
        <v>124.1</v>
      </c>
      <c r="H774" s="8">
        <v>90.97</v>
      </c>
      <c r="I774" s="8">
        <v>180.27</v>
      </c>
      <c r="J774" s="8">
        <v>60.41</v>
      </c>
      <c r="K774" s="268">
        <v>0.48199999999999998</v>
      </c>
      <c r="L774" s="268">
        <v>0.37109999999999999</v>
      </c>
      <c r="M774" s="268">
        <v>-3.9199999999999999E-2</v>
      </c>
      <c r="N774" s="8">
        <v>440.73</v>
      </c>
      <c r="O774" s="8">
        <v>8431.2999999999993</v>
      </c>
      <c r="P774" s="268">
        <v>5.2299999999999999E-2</v>
      </c>
      <c r="Q774" s="8">
        <v>501</v>
      </c>
      <c r="R774" s="8" t="s">
        <v>4003</v>
      </c>
      <c r="S774" s="8" t="s">
        <v>6212</v>
      </c>
      <c r="T774" s="8" t="s">
        <v>6213</v>
      </c>
      <c r="U774" s="8" t="s">
        <v>6214</v>
      </c>
      <c r="V774" s="8" t="s">
        <v>6215</v>
      </c>
      <c r="W774" s="8" t="s">
        <v>6216</v>
      </c>
    </row>
    <row r="775" spans="1:23" ht="28" customHeight="1" x14ac:dyDescent="0.3">
      <c r="A775" s="308">
        <v>45132</v>
      </c>
      <c r="B775" s="302">
        <v>2061.2620000000002</v>
      </c>
      <c r="C775" s="8">
        <v>20.266999999999999</v>
      </c>
      <c r="D775" s="268">
        <v>9.9000000000000008E-3</v>
      </c>
      <c r="E775" s="8">
        <v>58.44</v>
      </c>
      <c r="F775" s="8">
        <v>132.494</v>
      </c>
      <c r="G775" s="8">
        <v>123.881</v>
      </c>
      <c r="H775" s="8">
        <v>91</v>
      </c>
      <c r="I775" s="8">
        <v>180.45</v>
      </c>
      <c r="J775" s="8">
        <v>60.61</v>
      </c>
      <c r="K775" s="268">
        <v>0.47960000000000003</v>
      </c>
      <c r="L775" s="268">
        <v>0.36909999999999998</v>
      </c>
      <c r="M775" s="268">
        <v>-3.9600000000000003E-2</v>
      </c>
      <c r="N775" s="8">
        <v>639.73</v>
      </c>
      <c r="O775" s="8">
        <v>8433.86</v>
      </c>
      <c r="P775" s="268">
        <v>7.5899999999999995E-2</v>
      </c>
      <c r="Q775" s="8">
        <v>501</v>
      </c>
      <c r="R775" s="8" t="s">
        <v>2387</v>
      </c>
      <c r="S775" s="8" t="s">
        <v>3000</v>
      </c>
      <c r="T775" s="8" t="s">
        <v>6217</v>
      </c>
      <c r="U775" s="8" t="s">
        <v>6218</v>
      </c>
      <c r="V775" s="8" t="s">
        <v>6219</v>
      </c>
      <c r="W775" s="8" t="s">
        <v>6220</v>
      </c>
    </row>
    <row r="776" spans="1:23" ht="28" customHeight="1" x14ac:dyDescent="0.3">
      <c r="A776" s="308">
        <v>45131</v>
      </c>
      <c r="B776" s="302">
        <v>2040.9949999999999</v>
      </c>
      <c r="C776" s="8">
        <v>-2.7589999999999999</v>
      </c>
      <c r="D776" s="268">
        <v>-1.4E-3</v>
      </c>
      <c r="E776" s="8">
        <v>49.95</v>
      </c>
      <c r="F776" s="8">
        <v>131.00299999999999</v>
      </c>
      <c r="G776" s="8">
        <v>122.794</v>
      </c>
      <c r="H776" s="8">
        <v>89.41</v>
      </c>
      <c r="I776" s="8">
        <v>180.05</v>
      </c>
      <c r="J776" s="8">
        <v>64.989999999999995</v>
      </c>
      <c r="K776" s="268">
        <v>0.49049999999999999</v>
      </c>
      <c r="L776" s="268">
        <v>0.3805</v>
      </c>
      <c r="M776" s="268">
        <v>-3.61E-2</v>
      </c>
      <c r="N776" s="8">
        <v>503.64</v>
      </c>
      <c r="O776" s="8">
        <v>8445.8799999999992</v>
      </c>
      <c r="P776" s="268">
        <v>5.96E-2</v>
      </c>
      <c r="Q776" s="8">
        <v>504</v>
      </c>
      <c r="R776" s="8" t="s">
        <v>2352</v>
      </c>
      <c r="S776" s="8" t="s">
        <v>6221</v>
      </c>
      <c r="T776" s="8" t="s">
        <v>6222</v>
      </c>
      <c r="U776" s="8" t="s">
        <v>6223</v>
      </c>
      <c r="V776" s="8" t="s">
        <v>6224</v>
      </c>
      <c r="W776" s="8" t="s">
        <v>6225</v>
      </c>
    </row>
    <row r="777" spans="1:23" ht="28" customHeight="1" x14ac:dyDescent="0.3">
      <c r="A777" s="308">
        <v>45128</v>
      </c>
      <c r="B777" s="302">
        <v>2043.7539999999999</v>
      </c>
      <c r="C777" s="8">
        <v>-2.722</v>
      </c>
      <c r="D777" s="268">
        <v>-1.2999999999999999E-3</v>
      </c>
      <c r="E777" s="8">
        <v>51.49</v>
      </c>
      <c r="F777" s="8">
        <v>131.14400000000001</v>
      </c>
      <c r="G777" s="8">
        <v>122.898</v>
      </c>
      <c r="H777" s="8">
        <v>89.52</v>
      </c>
      <c r="I777" s="8">
        <v>180.04</v>
      </c>
      <c r="J777" s="8">
        <v>65.56</v>
      </c>
      <c r="K777" s="268">
        <v>0.48899999999999999</v>
      </c>
      <c r="L777" s="268">
        <v>0.38579999999999998</v>
      </c>
      <c r="M777" s="268">
        <v>-3.5999999999999997E-2</v>
      </c>
      <c r="N777" s="8">
        <v>465.08</v>
      </c>
      <c r="O777" s="8">
        <v>8448.7000000000007</v>
      </c>
      <c r="P777" s="268">
        <v>5.5E-2</v>
      </c>
      <c r="Q777" s="8">
        <v>504</v>
      </c>
      <c r="R777" s="8" t="s">
        <v>3538</v>
      </c>
      <c r="S777" s="8" t="s">
        <v>6226</v>
      </c>
      <c r="T777" s="8" t="s">
        <v>6227</v>
      </c>
      <c r="U777" s="8" t="s">
        <v>6228</v>
      </c>
      <c r="V777" s="8" t="s">
        <v>6229</v>
      </c>
      <c r="W777" s="8" t="s">
        <v>6230</v>
      </c>
    </row>
    <row r="778" spans="1:23" ht="28" customHeight="1" x14ac:dyDescent="0.3">
      <c r="A778" s="308">
        <v>45127</v>
      </c>
      <c r="B778" s="302">
        <v>2046.4760000000001</v>
      </c>
      <c r="C778" s="8">
        <v>-8.1359999999999992</v>
      </c>
      <c r="D778" s="268">
        <v>-4.0000000000000001E-3</v>
      </c>
      <c r="E778" s="8">
        <v>52.71</v>
      </c>
      <c r="F778" s="8">
        <v>131.363</v>
      </c>
      <c r="G778" s="8">
        <v>123.279</v>
      </c>
      <c r="H778" s="8">
        <v>89.56</v>
      </c>
      <c r="I778" s="8">
        <v>180.47</v>
      </c>
      <c r="J778" s="8">
        <v>66.73</v>
      </c>
      <c r="K778" s="268">
        <v>0.49109999999999998</v>
      </c>
      <c r="L778" s="268">
        <v>0.38619999999999999</v>
      </c>
      <c r="M778" s="268">
        <v>-3.6299999999999999E-2</v>
      </c>
      <c r="N778" s="8">
        <v>479.4</v>
      </c>
      <c r="O778" s="8">
        <v>8446.76</v>
      </c>
      <c r="P778" s="268">
        <v>5.6800000000000003E-2</v>
      </c>
      <c r="Q778" s="8">
        <v>503</v>
      </c>
      <c r="R778" s="8" t="s">
        <v>6231</v>
      </c>
      <c r="S778" s="8" t="s">
        <v>6232</v>
      </c>
      <c r="T778" s="8" t="s">
        <v>3001</v>
      </c>
      <c r="U778" s="8" t="s">
        <v>6233</v>
      </c>
      <c r="V778" s="8" t="s">
        <v>6234</v>
      </c>
      <c r="W778" s="8" t="s">
        <v>6235</v>
      </c>
    </row>
    <row r="779" spans="1:23" ht="28" customHeight="1" x14ac:dyDescent="0.3">
      <c r="A779" s="308">
        <v>45126</v>
      </c>
      <c r="B779" s="302">
        <v>2054.6120000000001</v>
      </c>
      <c r="C779" s="8">
        <v>1.0269999999999999</v>
      </c>
      <c r="D779" s="268">
        <v>5.0000000000000001E-4</v>
      </c>
      <c r="E779" s="8">
        <v>54.14</v>
      </c>
      <c r="F779" s="8">
        <v>132.1</v>
      </c>
      <c r="G779" s="8">
        <v>123.37</v>
      </c>
      <c r="H779" s="8">
        <v>90.13</v>
      </c>
      <c r="I779" s="8">
        <v>180.28</v>
      </c>
      <c r="J779" s="8">
        <v>63.58</v>
      </c>
      <c r="K779" s="268">
        <v>0.48180000000000001</v>
      </c>
      <c r="L779" s="268">
        <v>0.37909999999999999</v>
      </c>
      <c r="M779" s="268">
        <v>-3.7400000000000003E-2</v>
      </c>
      <c r="N779" s="8">
        <v>593.21</v>
      </c>
      <c r="O779" s="8">
        <v>8438.01</v>
      </c>
      <c r="P779" s="268">
        <v>7.0300000000000001E-2</v>
      </c>
      <c r="Q779" s="8">
        <v>502</v>
      </c>
      <c r="R779" s="8" t="s">
        <v>5843</v>
      </c>
      <c r="S779" s="8" t="s">
        <v>6236</v>
      </c>
      <c r="T779" s="8" t="s">
        <v>6237</v>
      </c>
      <c r="U779" s="8" t="s">
        <v>6238</v>
      </c>
      <c r="V779" s="8" t="s">
        <v>5018</v>
      </c>
      <c r="W779" s="8" t="s">
        <v>3541</v>
      </c>
    </row>
    <row r="780" spans="1:23" ht="28" customHeight="1" x14ac:dyDescent="0.3">
      <c r="A780" s="308">
        <v>45125</v>
      </c>
      <c r="B780" s="302">
        <v>2053.585</v>
      </c>
      <c r="C780" s="8">
        <v>6.5910000000000002</v>
      </c>
      <c r="D780" s="268">
        <v>3.2000000000000002E-3</v>
      </c>
      <c r="E780" s="8">
        <v>56.41</v>
      </c>
      <c r="F780" s="8">
        <v>132.03700000000001</v>
      </c>
      <c r="G780" s="8">
        <v>123.386</v>
      </c>
      <c r="H780" s="8">
        <v>90.31</v>
      </c>
      <c r="I780" s="8">
        <v>179.86</v>
      </c>
      <c r="J780" s="8">
        <v>62.18</v>
      </c>
      <c r="K780" s="268">
        <v>0.47820000000000001</v>
      </c>
      <c r="L780" s="268">
        <v>0.37019999999999997</v>
      </c>
      <c r="M780" s="268">
        <v>-3.7400000000000003E-2</v>
      </c>
      <c r="N780" s="8">
        <v>659.5</v>
      </c>
      <c r="O780" s="8">
        <v>8438.19</v>
      </c>
      <c r="P780" s="268">
        <v>7.8200000000000006E-2</v>
      </c>
      <c r="Q780" s="8">
        <v>501</v>
      </c>
      <c r="R780" s="8" t="s">
        <v>6239</v>
      </c>
      <c r="S780" s="8" t="s">
        <v>6240</v>
      </c>
      <c r="T780" s="8" t="s">
        <v>6241</v>
      </c>
      <c r="U780" s="8" t="s">
        <v>6242</v>
      </c>
      <c r="V780" s="8" t="s">
        <v>6243</v>
      </c>
      <c r="W780" s="8" t="s">
        <v>6244</v>
      </c>
    </row>
    <row r="781" spans="1:23" ht="28" customHeight="1" x14ac:dyDescent="0.3">
      <c r="A781" s="308">
        <v>45124</v>
      </c>
      <c r="B781" s="302">
        <v>2046.9939999999999</v>
      </c>
      <c r="C781" s="8">
        <v>-8.5299999999999994</v>
      </c>
      <c r="D781" s="268">
        <v>-4.1000000000000003E-3</v>
      </c>
      <c r="E781" s="8">
        <v>52.65</v>
      </c>
      <c r="F781" s="8">
        <v>131.54</v>
      </c>
      <c r="G781" s="8">
        <v>122.98</v>
      </c>
      <c r="H781" s="8">
        <v>89.74</v>
      </c>
      <c r="I781" s="8">
        <v>179.36</v>
      </c>
      <c r="J781" s="8">
        <v>62.07</v>
      </c>
      <c r="K781" s="268">
        <v>0.47820000000000001</v>
      </c>
      <c r="L781" s="268">
        <v>0.3785</v>
      </c>
      <c r="M781" s="268">
        <v>-3.6299999999999999E-2</v>
      </c>
      <c r="N781" s="8">
        <v>537.74</v>
      </c>
      <c r="O781" s="8">
        <v>8431.69</v>
      </c>
      <c r="P781" s="268">
        <v>6.3799999999999996E-2</v>
      </c>
      <c r="Q781" s="8">
        <v>499</v>
      </c>
      <c r="R781" s="8" t="s">
        <v>5696</v>
      </c>
      <c r="S781" s="8" t="s">
        <v>6236</v>
      </c>
      <c r="T781" s="8" t="s">
        <v>6245</v>
      </c>
      <c r="U781" s="8" t="s">
        <v>6246</v>
      </c>
      <c r="V781" s="8" t="s">
        <v>6247</v>
      </c>
      <c r="W781" s="8" t="s">
        <v>6248</v>
      </c>
    </row>
    <row r="782" spans="1:23" ht="28" customHeight="1" x14ac:dyDescent="0.3">
      <c r="A782" s="308">
        <v>45121</v>
      </c>
      <c r="B782" s="302">
        <v>2055.5239999999999</v>
      </c>
      <c r="C782" s="8">
        <v>-6.226</v>
      </c>
      <c r="D782" s="268">
        <v>-3.0000000000000001E-3</v>
      </c>
      <c r="E782" s="8">
        <v>55.28</v>
      </c>
      <c r="F782" s="8">
        <v>132.166</v>
      </c>
      <c r="G782" s="8">
        <v>122.995</v>
      </c>
      <c r="H782" s="8">
        <v>90.04</v>
      </c>
      <c r="I782" s="8">
        <v>180.3</v>
      </c>
      <c r="J782" s="8">
        <v>63.04</v>
      </c>
      <c r="K782" s="268">
        <v>0.48139999999999999</v>
      </c>
      <c r="L782" s="268">
        <v>0.375</v>
      </c>
      <c r="M782" s="268">
        <v>-3.7600000000000001E-2</v>
      </c>
      <c r="N782" s="8">
        <v>704.05</v>
      </c>
      <c r="O782" s="8">
        <v>8414.2800000000007</v>
      </c>
      <c r="P782" s="268">
        <v>8.3699999999999997E-2</v>
      </c>
      <c r="Q782" s="8">
        <v>498</v>
      </c>
      <c r="R782" s="8" t="s">
        <v>6249</v>
      </c>
      <c r="S782" s="8" t="s">
        <v>6250</v>
      </c>
      <c r="T782" s="8" t="s">
        <v>6251</v>
      </c>
      <c r="U782" s="8" t="s">
        <v>6252</v>
      </c>
      <c r="V782" s="8" t="s">
        <v>6253</v>
      </c>
      <c r="W782" s="8" t="s">
        <v>6254</v>
      </c>
    </row>
    <row r="783" spans="1:23" ht="28" customHeight="1" x14ac:dyDescent="0.3">
      <c r="A783" s="308">
        <v>45120</v>
      </c>
      <c r="B783" s="302">
        <v>2061.75</v>
      </c>
      <c r="C783" s="8">
        <v>9.91</v>
      </c>
      <c r="D783" s="268">
        <v>4.7999999999999996E-3</v>
      </c>
      <c r="E783" s="8">
        <v>58.58</v>
      </c>
      <c r="F783" s="8">
        <v>132.86600000000001</v>
      </c>
      <c r="G783" s="8">
        <v>123.366</v>
      </c>
      <c r="H783" s="8">
        <v>90.24</v>
      </c>
      <c r="I783" s="8">
        <v>180.92</v>
      </c>
      <c r="J783" s="8">
        <v>62.64</v>
      </c>
      <c r="K783" s="268">
        <v>0.48060000000000003</v>
      </c>
      <c r="L783" s="268">
        <v>0.37559999999999999</v>
      </c>
      <c r="M783" s="268">
        <v>-3.9E-2</v>
      </c>
      <c r="N783" s="8">
        <v>644.66</v>
      </c>
      <c r="O783" s="8">
        <v>8429.33</v>
      </c>
      <c r="P783" s="268">
        <v>7.6499999999999999E-2</v>
      </c>
      <c r="Q783" s="8">
        <v>498</v>
      </c>
      <c r="R783" s="8" t="s">
        <v>5800</v>
      </c>
      <c r="S783" s="8" t="s">
        <v>6255</v>
      </c>
      <c r="T783" s="8" t="s">
        <v>6256</v>
      </c>
      <c r="U783" s="8" t="s">
        <v>6257</v>
      </c>
      <c r="V783" s="8" t="s">
        <v>6258</v>
      </c>
      <c r="W783" s="8" t="s">
        <v>6259</v>
      </c>
    </row>
    <row r="784" spans="1:23" ht="28" customHeight="1" x14ac:dyDescent="0.3">
      <c r="A784" s="308">
        <v>45119</v>
      </c>
      <c r="B784" s="302">
        <v>2051.84</v>
      </c>
      <c r="C784" s="8">
        <v>-6.8760000000000003</v>
      </c>
      <c r="D784" s="268">
        <v>-3.3E-3</v>
      </c>
      <c r="E784" s="8">
        <v>53.82</v>
      </c>
      <c r="F784" s="8">
        <v>132.29900000000001</v>
      </c>
      <c r="G784" s="8">
        <v>122.85</v>
      </c>
      <c r="H784" s="8">
        <v>89.57</v>
      </c>
      <c r="I784" s="8">
        <v>181.04</v>
      </c>
      <c r="J784" s="8">
        <v>65.010000000000005</v>
      </c>
      <c r="K784" s="268">
        <v>0.4874</v>
      </c>
      <c r="L784" s="268">
        <v>0.38519999999999999</v>
      </c>
      <c r="M784" s="268">
        <v>-3.73E-2</v>
      </c>
      <c r="N784" s="8">
        <v>700.39</v>
      </c>
      <c r="O784" s="8">
        <v>8430.59</v>
      </c>
      <c r="P784" s="268">
        <v>8.3099999999999993E-2</v>
      </c>
      <c r="Q784" s="8">
        <v>498</v>
      </c>
      <c r="R784" s="8" t="s">
        <v>3807</v>
      </c>
      <c r="S784" s="8" t="s">
        <v>6260</v>
      </c>
      <c r="T784" s="8" t="s">
        <v>6245</v>
      </c>
      <c r="U784" s="8" t="s">
        <v>6261</v>
      </c>
      <c r="V784" s="8" t="s">
        <v>6262</v>
      </c>
      <c r="W784" s="8" t="s">
        <v>6263</v>
      </c>
    </row>
    <row r="785" spans="1:23" ht="28" customHeight="1" x14ac:dyDescent="0.3">
      <c r="A785" s="308">
        <v>45118</v>
      </c>
      <c r="B785" s="302">
        <v>2058.7159999999999</v>
      </c>
      <c r="C785" s="8">
        <v>7.7939999999999996</v>
      </c>
      <c r="D785" s="268">
        <v>3.8E-3</v>
      </c>
      <c r="E785" s="8">
        <v>57.17</v>
      </c>
      <c r="F785" s="8">
        <v>132.79</v>
      </c>
      <c r="G785" s="8">
        <v>123.251</v>
      </c>
      <c r="H785" s="8">
        <v>90.69</v>
      </c>
      <c r="I785" s="8">
        <v>180.45</v>
      </c>
      <c r="J785" s="8">
        <v>62.52</v>
      </c>
      <c r="K785" s="268">
        <v>0.47660000000000002</v>
      </c>
      <c r="L785" s="268">
        <v>0.374</v>
      </c>
      <c r="M785" s="268">
        <v>-3.8100000000000002E-2</v>
      </c>
      <c r="N785" s="8">
        <v>718.18</v>
      </c>
      <c r="O785" s="8">
        <v>8436.3700000000008</v>
      </c>
      <c r="P785" s="268">
        <v>8.5099999999999995E-2</v>
      </c>
      <c r="Q785" s="8">
        <v>498</v>
      </c>
      <c r="R785" s="8" t="s">
        <v>6264</v>
      </c>
      <c r="S785" s="8" t="s">
        <v>6265</v>
      </c>
      <c r="T785" s="8" t="s">
        <v>2791</v>
      </c>
      <c r="U785" s="8" t="s">
        <v>6266</v>
      </c>
      <c r="V785" s="8" t="s">
        <v>6267</v>
      </c>
      <c r="W785" s="8" t="s">
        <v>6268</v>
      </c>
    </row>
    <row r="786" spans="1:23" ht="28" customHeight="1" x14ac:dyDescent="0.3">
      <c r="A786" s="308">
        <v>45117</v>
      </c>
      <c r="B786" s="302">
        <v>2050.922</v>
      </c>
      <c r="C786" s="8">
        <v>-5.8</v>
      </c>
      <c r="D786" s="268">
        <v>-2.8E-3</v>
      </c>
      <c r="E786" s="8">
        <v>53.86</v>
      </c>
      <c r="F786" s="8">
        <v>132.179</v>
      </c>
      <c r="G786" s="8">
        <v>123.02</v>
      </c>
      <c r="H786" s="8">
        <v>89.72</v>
      </c>
      <c r="I786" s="8">
        <v>180.63</v>
      </c>
      <c r="J786" s="8">
        <v>64.16</v>
      </c>
      <c r="K786" s="268">
        <v>0.48449999999999999</v>
      </c>
      <c r="L786" s="268">
        <v>0.3755</v>
      </c>
      <c r="M786" s="268">
        <v>-3.7999999999999999E-2</v>
      </c>
      <c r="N786" s="8">
        <v>598.04</v>
      </c>
      <c r="O786" s="8">
        <v>8444.2199999999993</v>
      </c>
      <c r="P786" s="268">
        <v>7.0800000000000002E-2</v>
      </c>
      <c r="Q786" s="8">
        <v>498</v>
      </c>
      <c r="R786" s="8" t="s">
        <v>6269</v>
      </c>
      <c r="S786" s="8" t="s">
        <v>6270</v>
      </c>
      <c r="T786" s="8" t="s">
        <v>6271</v>
      </c>
      <c r="U786" s="8" t="s">
        <v>6272</v>
      </c>
      <c r="V786" s="8" t="s">
        <v>6273</v>
      </c>
      <c r="W786" s="8" t="s">
        <v>6274</v>
      </c>
    </row>
    <row r="787" spans="1:23" ht="28" customHeight="1" x14ac:dyDescent="0.3">
      <c r="A787" s="308">
        <v>45114</v>
      </c>
      <c r="B787" s="302">
        <v>2056.7220000000002</v>
      </c>
      <c r="C787" s="8">
        <v>-3.214</v>
      </c>
      <c r="D787" s="268">
        <v>-1.6000000000000001E-3</v>
      </c>
      <c r="E787" s="8">
        <v>55.89</v>
      </c>
      <c r="F787" s="8">
        <v>132.547</v>
      </c>
      <c r="G787" s="8">
        <v>122.765</v>
      </c>
      <c r="H787" s="8">
        <v>89.57</v>
      </c>
      <c r="I787" s="8">
        <v>181.31</v>
      </c>
      <c r="J787" s="8">
        <v>65.010000000000005</v>
      </c>
      <c r="K787" s="268">
        <v>0.48759999999999998</v>
      </c>
      <c r="L787" s="268">
        <v>0.37930000000000003</v>
      </c>
      <c r="M787" s="268">
        <v>-4.2599999999999999E-2</v>
      </c>
      <c r="N787" s="8">
        <v>681.75</v>
      </c>
      <c r="O787" s="8">
        <v>8403.36</v>
      </c>
      <c r="P787" s="268">
        <v>8.1100000000000005E-2</v>
      </c>
      <c r="Q787" s="8">
        <v>494</v>
      </c>
      <c r="R787" s="8" t="s">
        <v>6275</v>
      </c>
      <c r="S787" s="8" t="s">
        <v>6276</v>
      </c>
      <c r="T787" s="8" t="s">
        <v>6277</v>
      </c>
      <c r="U787" s="8" t="s">
        <v>6278</v>
      </c>
      <c r="V787" s="8" t="s">
        <v>6279</v>
      </c>
      <c r="W787" s="8" t="s">
        <v>6280</v>
      </c>
    </row>
    <row r="788" spans="1:23" ht="28" customHeight="1" x14ac:dyDescent="0.3">
      <c r="A788" s="308">
        <v>45113</v>
      </c>
      <c r="B788" s="302">
        <v>2059.9360000000001</v>
      </c>
      <c r="C788" s="8">
        <v>0.432</v>
      </c>
      <c r="D788" s="268">
        <v>2.0000000000000001E-4</v>
      </c>
      <c r="E788" s="8">
        <v>56.14</v>
      </c>
      <c r="F788" s="8">
        <v>132.85</v>
      </c>
      <c r="G788" s="8">
        <v>122.85</v>
      </c>
      <c r="H788" s="8">
        <v>90.16</v>
      </c>
      <c r="I788" s="8">
        <v>181.03</v>
      </c>
      <c r="J788" s="8">
        <v>63.85</v>
      </c>
      <c r="K788" s="268">
        <v>0.48180000000000001</v>
      </c>
      <c r="L788" s="268">
        <v>0.37209999999999999</v>
      </c>
      <c r="M788" s="268">
        <v>-4.2799999999999998E-2</v>
      </c>
      <c r="N788" s="8">
        <v>785.86</v>
      </c>
      <c r="O788" s="8">
        <v>8398.81</v>
      </c>
      <c r="P788" s="268">
        <v>9.3600000000000003E-2</v>
      </c>
      <c r="Q788" s="8">
        <v>493</v>
      </c>
      <c r="R788" s="8" t="s">
        <v>5608</v>
      </c>
      <c r="S788" s="8" t="s">
        <v>5709</v>
      </c>
      <c r="T788" s="8" t="s">
        <v>6281</v>
      </c>
      <c r="U788" s="8" t="s">
        <v>4888</v>
      </c>
      <c r="V788" s="8" t="s">
        <v>6282</v>
      </c>
      <c r="W788" s="8" t="s">
        <v>6283</v>
      </c>
    </row>
    <row r="789" spans="1:23" ht="28" customHeight="1" x14ac:dyDescent="0.3">
      <c r="A789" s="308">
        <v>45112</v>
      </c>
      <c r="B789" s="302">
        <v>2059.5039999999999</v>
      </c>
      <c r="C789" s="8">
        <v>-3.6309999999999998</v>
      </c>
      <c r="D789" s="268">
        <v>-1.8E-3</v>
      </c>
      <c r="E789" s="8">
        <v>54.99</v>
      </c>
      <c r="F789" s="8">
        <v>132.76499999999999</v>
      </c>
      <c r="G789" s="8">
        <v>122.557</v>
      </c>
      <c r="H789" s="8">
        <v>90.16</v>
      </c>
      <c r="I789" s="8">
        <v>180.71</v>
      </c>
      <c r="J789" s="8">
        <v>62.65</v>
      </c>
      <c r="K789" s="268">
        <v>0.47949999999999998</v>
      </c>
      <c r="L789" s="268">
        <v>0.37280000000000002</v>
      </c>
      <c r="M789" s="268">
        <v>-4.2799999999999998E-2</v>
      </c>
      <c r="N789" s="8">
        <v>777.58</v>
      </c>
      <c r="O789" s="8">
        <v>8390.07</v>
      </c>
      <c r="P789" s="268">
        <v>9.2700000000000005E-2</v>
      </c>
      <c r="Q789" s="8">
        <v>492</v>
      </c>
      <c r="R789" s="8" t="s">
        <v>6284</v>
      </c>
      <c r="S789" s="8" t="s">
        <v>5940</v>
      </c>
      <c r="T789" s="8" t="s">
        <v>6285</v>
      </c>
      <c r="U789" s="8" t="s">
        <v>5710</v>
      </c>
      <c r="V789" s="8" t="s">
        <v>6286</v>
      </c>
      <c r="W789" s="8" t="s">
        <v>6287</v>
      </c>
    </row>
    <row r="790" spans="1:23" ht="28" customHeight="1" x14ac:dyDescent="0.3">
      <c r="A790" s="308">
        <v>45111</v>
      </c>
      <c r="B790" s="302">
        <v>2063.1350000000002</v>
      </c>
      <c r="C790" s="8">
        <v>5.1859999999999999</v>
      </c>
      <c r="D790" s="268">
        <v>2.5000000000000001E-3</v>
      </c>
      <c r="E790" s="8">
        <v>58.46</v>
      </c>
      <c r="F790" s="8">
        <v>133.02500000000001</v>
      </c>
      <c r="G790" s="8">
        <v>122.77500000000001</v>
      </c>
      <c r="H790" s="8">
        <v>90.88</v>
      </c>
      <c r="I790" s="8">
        <v>180.32</v>
      </c>
      <c r="J790" s="8">
        <v>60.67</v>
      </c>
      <c r="K790" s="268">
        <v>0.47299999999999998</v>
      </c>
      <c r="L790" s="268">
        <v>0.37230000000000002</v>
      </c>
      <c r="M790" s="268">
        <v>-4.3200000000000002E-2</v>
      </c>
      <c r="N790" s="8">
        <v>776.21</v>
      </c>
      <c r="O790" s="8">
        <v>8390.91</v>
      </c>
      <c r="P790" s="268">
        <v>9.2499999999999999E-2</v>
      </c>
      <c r="Q790" s="8">
        <v>492</v>
      </c>
      <c r="R790" s="8" t="s">
        <v>3587</v>
      </c>
      <c r="S790" s="8" t="s">
        <v>6288</v>
      </c>
      <c r="T790" s="8" t="s">
        <v>2964</v>
      </c>
      <c r="U790" s="8" t="s">
        <v>6289</v>
      </c>
      <c r="V790" s="8" t="s">
        <v>6290</v>
      </c>
      <c r="W790" s="8" t="s">
        <v>6291</v>
      </c>
    </row>
    <row r="791" spans="1:23" ht="28" customHeight="1" x14ac:dyDescent="0.3">
      <c r="A791" s="308">
        <v>45110</v>
      </c>
      <c r="B791" s="302">
        <v>2057.9490000000001</v>
      </c>
      <c r="C791" s="8">
        <v>7.5250000000000004</v>
      </c>
      <c r="D791" s="268">
        <v>3.7000000000000002E-3</v>
      </c>
      <c r="E791" s="8">
        <v>55.12</v>
      </c>
      <c r="F791" s="8">
        <v>132.709</v>
      </c>
      <c r="G791" s="8">
        <v>122.79900000000001</v>
      </c>
      <c r="H791" s="8">
        <v>89.74</v>
      </c>
      <c r="I791" s="8">
        <v>180.31</v>
      </c>
      <c r="J791" s="8">
        <v>61.13</v>
      </c>
      <c r="K791" s="268">
        <v>0.47599999999999998</v>
      </c>
      <c r="L791" s="268">
        <v>0.3735</v>
      </c>
      <c r="M791" s="268">
        <v>-4.2299999999999997E-2</v>
      </c>
      <c r="N791" s="8">
        <v>738.67</v>
      </c>
      <c r="O791" s="8">
        <v>8461.0499999999993</v>
      </c>
      <c r="P791" s="268">
        <v>8.7300000000000003E-2</v>
      </c>
      <c r="Q791" s="8">
        <v>493</v>
      </c>
      <c r="R791" s="8" t="s">
        <v>6292</v>
      </c>
      <c r="S791" s="8" t="s">
        <v>6293</v>
      </c>
      <c r="T791" s="8" t="s">
        <v>6294</v>
      </c>
      <c r="U791" s="8" t="s">
        <v>6295</v>
      </c>
      <c r="V791" s="8" t="s">
        <v>6296</v>
      </c>
      <c r="W791" s="8" t="s">
        <v>6297</v>
      </c>
    </row>
    <row r="792" spans="1:23" ht="28" customHeight="1" x14ac:dyDescent="0.3">
      <c r="A792" s="308">
        <v>45107</v>
      </c>
      <c r="B792" s="302">
        <v>2050.424</v>
      </c>
      <c r="C792" s="8">
        <v>8.0879999999999992</v>
      </c>
      <c r="D792" s="268">
        <v>4.0000000000000001E-3</v>
      </c>
      <c r="E792" s="8">
        <v>53.92</v>
      </c>
      <c r="F792" s="8">
        <v>132.041</v>
      </c>
      <c r="G792" s="8">
        <v>122.417</v>
      </c>
      <c r="H792" s="8">
        <v>89.27</v>
      </c>
      <c r="I792" s="8">
        <v>179.67</v>
      </c>
      <c r="J792" s="8">
        <v>63.46</v>
      </c>
      <c r="K792" s="268">
        <v>0.4763</v>
      </c>
      <c r="L792" s="268">
        <v>0.37969999999999998</v>
      </c>
      <c r="M792" s="268">
        <v>-4.1000000000000002E-2</v>
      </c>
      <c r="N792" s="8">
        <v>856.12</v>
      </c>
      <c r="O792" s="8">
        <v>8461.2800000000007</v>
      </c>
      <c r="P792" s="268">
        <v>0.1012</v>
      </c>
      <c r="Q792" s="8">
        <v>493</v>
      </c>
      <c r="R792" s="8" t="s">
        <v>6298</v>
      </c>
      <c r="S792" s="8" t="s">
        <v>6299</v>
      </c>
      <c r="T792" s="8" t="s">
        <v>6300</v>
      </c>
      <c r="U792" s="8" t="s">
        <v>6301</v>
      </c>
      <c r="V792" s="8" t="s">
        <v>3488</v>
      </c>
      <c r="W792" s="8" t="s">
        <v>6302</v>
      </c>
    </row>
    <row r="793" spans="1:23" ht="28" customHeight="1" x14ac:dyDescent="0.3">
      <c r="A793" s="308">
        <v>45106</v>
      </c>
      <c r="B793" s="302">
        <v>2042.336</v>
      </c>
      <c r="C793" s="8">
        <v>8.3190000000000008</v>
      </c>
      <c r="D793" s="268">
        <v>4.1000000000000003E-3</v>
      </c>
      <c r="E793" s="8">
        <v>50</v>
      </c>
      <c r="F793" s="8">
        <v>131.58000000000001</v>
      </c>
      <c r="G793" s="8">
        <v>121.42</v>
      </c>
      <c r="H793" s="8">
        <v>88.22</v>
      </c>
      <c r="I793" s="8">
        <v>180.66</v>
      </c>
      <c r="J793" s="8">
        <v>67.62</v>
      </c>
      <c r="K793" s="268">
        <v>0.49080000000000001</v>
      </c>
      <c r="L793" s="268">
        <v>0.39269999999999999</v>
      </c>
      <c r="M793" s="268">
        <v>-3.9199999999999999E-2</v>
      </c>
      <c r="N793" s="8">
        <v>746.38</v>
      </c>
      <c r="O793" s="8">
        <v>8463.61</v>
      </c>
      <c r="P793" s="268">
        <v>8.8200000000000001E-2</v>
      </c>
      <c r="Q793" s="8">
        <v>494</v>
      </c>
      <c r="R793" s="8" t="s">
        <v>6303</v>
      </c>
      <c r="S793" s="8" t="s">
        <v>6304</v>
      </c>
      <c r="T793" s="8" t="s">
        <v>6305</v>
      </c>
      <c r="U793" s="8" t="s">
        <v>6306</v>
      </c>
      <c r="V793" s="8" t="s">
        <v>6307</v>
      </c>
      <c r="W793" s="8" t="s">
        <v>6308</v>
      </c>
    </row>
    <row r="794" spans="1:23" ht="28" customHeight="1" x14ac:dyDescent="0.3">
      <c r="A794" s="308">
        <v>45105</v>
      </c>
      <c r="B794" s="302">
        <v>2034.0170000000001</v>
      </c>
      <c r="C794" s="8">
        <v>-2.7090000000000001</v>
      </c>
      <c r="D794" s="268">
        <v>-1.2999999999999999E-3</v>
      </c>
      <c r="E794" s="8">
        <v>47.75</v>
      </c>
      <c r="F794" s="8">
        <v>131.143</v>
      </c>
      <c r="G794" s="8">
        <v>121.313</v>
      </c>
      <c r="H794" s="8">
        <v>87.73</v>
      </c>
      <c r="I794" s="8">
        <v>181.06</v>
      </c>
      <c r="J794" s="8">
        <v>68.75</v>
      </c>
      <c r="K794" s="268">
        <v>0.49919999999999998</v>
      </c>
      <c r="L794" s="268">
        <v>0.39889999999999998</v>
      </c>
      <c r="M794" s="268">
        <v>-3.78E-2</v>
      </c>
      <c r="N794" s="8">
        <v>727.09</v>
      </c>
      <c r="O794" s="8">
        <v>8464.6299999999992</v>
      </c>
      <c r="P794" s="268">
        <v>8.5900000000000004E-2</v>
      </c>
      <c r="Q794" s="8">
        <v>494</v>
      </c>
      <c r="R794" s="8" t="s">
        <v>6309</v>
      </c>
      <c r="S794" s="8" t="s">
        <v>6310</v>
      </c>
      <c r="T794" s="8" t="s">
        <v>4682</v>
      </c>
      <c r="U794" s="8" t="s">
        <v>3696</v>
      </c>
      <c r="V794" s="8" t="s">
        <v>6311</v>
      </c>
      <c r="W794" s="8" t="s">
        <v>6312</v>
      </c>
    </row>
    <row r="795" spans="1:23" ht="28" customHeight="1" x14ac:dyDescent="0.3">
      <c r="A795" s="308">
        <v>45104</v>
      </c>
      <c r="B795" s="302">
        <v>2036.7260000000001</v>
      </c>
      <c r="C795" s="8">
        <v>14.62</v>
      </c>
      <c r="D795" s="268">
        <v>7.1999999999999998E-3</v>
      </c>
      <c r="E795" s="8">
        <v>47.86</v>
      </c>
      <c r="F795" s="8">
        <v>131.29900000000001</v>
      </c>
      <c r="G795" s="8">
        <v>120.979</v>
      </c>
      <c r="H795" s="8">
        <v>87.91</v>
      </c>
      <c r="I795" s="8">
        <v>181.22</v>
      </c>
      <c r="J795" s="8">
        <v>69.05</v>
      </c>
      <c r="K795" s="268">
        <v>0.49919999999999998</v>
      </c>
      <c r="L795" s="268">
        <v>0.39579999999999999</v>
      </c>
      <c r="M795" s="268">
        <v>-3.7999999999999999E-2</v>
      </c>
      <c r="N795" s="8">
        <v>736.36</v>
      </c>
      <c r="O795" s="8">
        <v>8468.6299999999992</v>
      </c>
      <c r="P795" s="268">
        <v>8.6999999999999994E-2</v>
      </c>
      <c r="Q795" s="8">
        <v>494</v>
      </c>
      <c r="R795" s="8" t="s">
        <v>6313</v>
      </c>
      <c r="S795" s="8" t="s">
        <v>6314</v>
      </c>
      <c r="T795" s="8" t="s">
        <v>6315</v>
      </c>
      <c r="U795" s="8" t="s">
        <v>6316</v>
      </c>
      <c r="V795" s="8" t="s">
        <v>6317</v>
      </c>
      <c r="W795" s="8" t="s">
        <v>6318</v>
      </c>
    </row>
    <row r="796" spans="1:23" ht="28" customHeight="1" x14ac:dyDescent="0.3">
      <c r="A796" s="308">
        <v>45103</v>
      </c>
      <c r="B796" s="302">
        <v>2022.106</v>
      </c>
      <c r="C796" s="8">
        <v>-15.547000000000001</v>
      </c>
      <c r="D796" s="268">
        <v>-7.6E-3</v>
      </c>
      <c r="E796" s="8">
        <v>42.32</v>
      </c>
      <c r="F796" s="8">
        <v>130.16800000000001</v>
      </c>
      <c r="G796" s="8">
        <v>120.214</v>
      </c>
      <c r="H796" s="8">
        <v>86.4</v>
      </c>
      <c r="I796" s="8">
        <v>182</v>
      </c>
      <c r="J796" s="8">
        <v>75.040000000000006</v>
      </c>
      <c r="K796" s="268">
        <v>0.51829999999999998</v>
      </c>
      <c r="L796" s="268">
        <v>0.41149999999999998</v>
      </c>
      <c r="M796" s="268">
        <v>-3.5700000000000003E-2</v>
      </c>
      <c r="N796" s="8">
        <v>581.12</v>
      </c>
      <c r="O796" s="8">
        <v>8468.83</v>
      </c>
      <c r="P796" s="268">
        <v>6.8599999999999994E-2</v>
      </c>
      <c r="Q796" s="8">
        <v>494</v>
      </c>
      <c r="R796" s="8" t="s">
        <v>2481</v>
      </c>
      <c r="S796" s="8" t="s">
        <v>6319</v>
      </c>
      <c r="T796" s="8" t="s">
        <v>6320</v>
      </c>
      <c r="U796" s="8" t="s">
        <v>6321</v>
      </c>
      <c r="V796" s="8" t="s">
        <v>4477</v>
      </c>
      <c r="W796" s="8" t="s">
        <v>6322</v>
      </c>
    </row>
    <row r="797" spans="1:23" ht="28" customHeight="1" x14ac:dyDescent="0.3">
      <c r="A797" s="308">
        <v>45098</v>
      </c>
      <c r="B797" s="302">
        <v>2037.653</v>
      </c>
      <c r="C797" s="8">
        <v>-14.571</v>
      </c>
      <c r="D797" s="268">
        <v>-7.1000000000000004E-3</v>
      </c>
      <c r="E797" s="8">
        <v>50.73</v>
      </c>
      <c r="F797" s="8">
        <v>131.19300000000001</v>
      </c>
      <c r="G797" s="8">
        <v>121.212</v>
      </c>
      <c r="H797" s="8">
        <v>88.13</v>
      </c>
      <c r="I797" s="8">
        <v>182.1</v>
      </c>
      <c r="J797" s="8">
        <v>73.42</v>
      </c>
      <c r="K797" s="268">
        <v>0.50900000000000001</v>
      </c>
      <c r="L797" s="268">
        <v>0.3997</v>
      </c>
      <c r="M797" s="268">
        <v>-3.7999999999999999E-2</v>
      </c>
      <c r="N797" s="8">
        <v>649.98</v>
      </c>
      <c r="O797" s="8">
        <v>8479.0499999999993</v>
      </c>
      <c r="P797" s="268">
        <v>7.6700000000000004E-2</v>
      </c>
      <c r="Q797" s="8">
        <v>495</v>
      </c>
      <c r="R797" s="8" t="s">
        <v>6323</v>
      </c>
      <c r="S797" s="8" t="s">
        <v>6324</v>
      </c>
      <c r="T797" s="8" t="s">
        <v>6325</v>
      </c>
      <c r="U797" s="8" t="s">
        <v>6326</v>
      </c>
      <c r="V797" s="8" t="s">
        <v>6327</v>
      </c>
      <c r="W797" s="8" t="s">
        <v>6328</v>
      </c>
    </row>
    <row r="798" spans="1:23" ht="28" customHeight="1" x14ac:dyDescent="0.3">
      <c r="A798" s="308">
        <v>45097</v>
      </c>
      <c r="B798" s="302">
        <v>2052.2240000000002</v>
      </c>
      <c r="C798" s="8">
        <v>-2.7330000000000001</v>
      </c>
      <c r="D798" s="268">
        <v>-1.2999999999999999E-3</v>
      </c>
      <c r="E798" s="8">
        <v>54.14</v>
      </c>
      <c r="F798" s="8">
        <v>132.29599999999999</v>
      </c>
      <c r="G798" s="8">
        <v>121.78</v>
      </c>
      <c r="H798" s="8">
        <v>88.66</v>
      </c>
      <c r="I798" s="8">
        <v>182.09</v>
      </c>
      <c r="J798" s="8">
        <v>70.180000000000007</v>
      </c>
      <c r="K798" s="268">
        <v>0.49790000000000001</v>
      </c>
      <c r="L798" s="268">
        <v>0.38969999999999999</v>
      </c>
      <c r="M798" s="268">
        <v>-4.3400000000000001E-2</v>
      </c>
      <c r="N798" s="8">
        <v>737.76</v>
      </c>
      <c r="O798" s="8">
        <v>8486.34</v>
      </c>
      <c r="P798" s="268">
        <v>8.6900000000000005E-2</v>
      </c>
      <c r="Q798" s="8">
        <v>495</v>
      </c>
      <c r="R798" s="8" t="s">
        <v>6329</v>
      </c>
      <c r="S798" s="8" t="s">
        <v>6330</v>
      </c>
      <c r="T798" s="8" t="s">
        <v>3193</v>
      </c>
      <c r="U798" s="8" t="s">
        <v>6331</v>
      </c>
      <c r="V798" s="8" t="s">
        <v>6332</v>
      </c>
      <c r="W798" s="8" t="s">
        <v>6333</v>
      </c>
    </row>
    <row r="799" spans="1:23" ht="28" customHeight="1" x14ac:dyDescent="0.3">
      <c r="A799" s="308">
        <v>45096</v>
      </c>
      <c r="B799" s="302">
        <v>2054.9569999999999</v>
      </c>
      <c r="C799" s="8">
        <v>-4.758</v>
      </c>
      <c r="D799" s="268">
        <v>-2.3E-3</v>
      </c>
      <c r="E799" s="8">
        <v>55.12</v>
      </c>
      <c r="F799" s="8">
        <v>132.61699999999999</v>
      </c>
      <c r="G799" s="8">
        <v>122</v>
      </c>
      <c r="H799" s="8">
        <v>89.04</v>
      </c>
      <c r="I799" s="8">
        <v>181.94</v>
      </c>
      <c r="J799" s="8">
        <v>68.819999999999993</v>
      </c>
      <c r="K799" s="268">
        <v>0.49330000000000002</v>
      </c>
      <c r="L799" s="268">
        <v>0.38279999999999997</v>
      </c>
      <c r="M799" s="268">
        <v>-4.3999999999999997E-2</v>
      </c>
      <c r="N799" s="8">
        <v>765.45</v>
      </c>
      <c r="O799" s="8">
        <v>8486.36</v>
      </c>
      <c r="P799" s="268">
        <v>9.0200000000000002E-2</v>
      </c>
      <c r="Q799" s="8">
        <v>495</v>
      </c>
      <c r="R799" s="8" t="s">
        <v>6334</v>
      </c>
      <c r="S799" s="8" t="s">
        <v>4344</v>
      </c>
      <c r="T799" s="8" t="s">
        <v>6335</v>
      </c>
      <c r="U799" s="8" t="s">
        <v>6336</v>
      </c>
      <c r="V799" s="8" t="s">
        <v>6337</v>
      </c>
      <c r="W799" s="8" t="s">
        <v>6338</v>
      </c>
    </row>
    <row r="800" spans="1:23" ht="28" customHeight="1" x14ac:dyDescent="0.3">
      <c r="A800" s="308">
        <v>45093</v>
      </c>
      <c r="B800" s="302">
        <v>2059.7150000000001</v>
      </c>
      <c r="C800" s="8">
        <v>5.423</v>
      </c>
      <c r="D800" s="268">
        <v>2.5999999999999999E-3</v>
      </c>
      <c r="E800" s="8">
        <v>58.49</v>
      </c>
      <c r="F800" s="8">
        <v>132.899</v>
      </c>
      <c r="G800" s="8">
        <v>122.675</v>
      </c>
      <c r="H800" s="8">
        <v>89.42</v>
      </c>
      <c r="I800" s="8">
        <v>182.07</v>
      </c>
      <c r="J800" s="8">
        <v>70.05</v>
      </c>
      <c r="K800" s="268">
        <v>0.49170000000000003</v>
      </c>
      <c r="L800" s="268">
        <v>0.38350000000000001</v>
      </c>
      <c r="M800" s="268">
        <v>-4.65E-2</v>
      </c>
      <c r="N800" s="8">
        <v>884.04</v>
      </c>
      <c r="O800" s="8">
        <v>8487.74</v>
      </c>
      <c r="P800" s="268">
        <v>0.1042</v>
      </c>
      <c r="Q800" s="8">
        <v>496</v>
      </c>
      <c r="R800" s="8" t="s">
        <v>6339</v>
      </c>
      <c r="S800" s="8" t="s">
        <v>6340</v>
      </c>
      <c r="T800" s="8" t="s">
        <v>6341</v>
      </c>
      <c r="U800" s="8" t="s">
        <v>6342</v>
      </c>
      <c r="V800" s="8" t="s">
        <v>6343</v>
      </c>
      <c r="W800" s="8" t="s">
        <v>6344</v>
      </c>
    </row>
    <row r="801" spans="1:23" ht="28" customHeight="1" x14ac:dyDescent="0.3">
      <c r="A801" s="308">
        <v>45092</v>
      </c>
      <c r="B801" s="302">
        <v>2054.2919999999999</v>
      </c>
      <c r="C801" s="8">
        <v>9.5289999999999999</v>
      </c>
      <c r="D801" s="268">
        <v>4.7000000000000002E-3</v>
      </c>
      <c r="E801" s="8">
        <v>57.61</v>
      </c>
      <c r="F801" s="8">
        <v>132.608</v>
      </c>
      <c r="G801" s="8">
        <v>122.38500000000001</v>
      </c>
      <c r="H801" s="8">
        <v>89.28</v>
      </c>
      <c r="I801" s="8">
        <v>182.25</v>
      </c>
      <c r="J801" s="8">
        <v>70.53</v>
      </c>
      <c r="K801" s="268">
        <v>0.4965</v>
      </c>
      <c r="L801" s="268">
        <v>0.39019999999999999</v>
      </c>
      <c r="M801" s="268">
        <v>-4.5699999999999998E-2</v>
      </c>
      <c r="N801" s="8">
        <v>841.99</v>
      </c>
      <c r="O801" s="8">
        <v>8487.77</v>
      </c>
      <c r="P801" s="268">
        <v>9.9199999999999997E-2</v>
      </c>
      <c r="Q801" s="8">
        <v>496</v>
      </c>
      <c r="R801" s="8" t="s">
        <v>6345</v>
      </c>
      <c r="S801" s="8" t="s">
        <v>6346</v>
      </c>
      <c r="T801" s="8" t="s">
        <v>6347</v>
      </c>
      <c r="U801" s="8" t="s">
        <v>3707</v>
      </c>
      <c r="V801" s="8" t="s">
        <v>6348</v>
      </c>
      <c r="W801" s="8" t="s">
        <v>6349</v>
      </c>
    </row>
    <row r="802" spans="1:23" ht="28" customHeight="1" x14ac:dyDescent="0.3">
      <c r="A802" s="308">
        <v>45091</v>
      </c>
      <c r="B802" s="302">
        <v>2044.7629999999999</v>
      </c>
      <c r="C802" s="8">
        <v>4.57</v>
      </c>
      <c r="D802" s="268">
        <v>2.2000000000000001E-3</v>
      </c>
      <c r="E802" s="8">
        <v>54.64</v>
      </c>
      <c r="F802" s="8">
        <v>131.845</v>
      </c>
      <c r="G802" s="8">
        <v>121.849</v>
      </c>
      <c r="H802" s="8">
        <v>88.3</v>
      </c>
      <c r="I802" s="8">
        <v>181.95</v>
      </c>
      <c r="J802" s="8">
        <v>72.59</v>
      </c>
      <c r="K802" s="268">
        <v>0.50109999999999999</v>
      </c>
      <c r="L802" s="268">
        <v>0.3911</v>
      </c>
      <c r="M802" s="268">
        <v>-4.41E-2</v>
      </c>
      <c r="N802" s="8">
        <v>772.99</v>
      </c>
      <c r="O802" s="8">
        <v>8487.77</v>
      </c>
      <c r="P802" s="268">
        <v>9.11E-2</v>
      </c>
      <c r="Q802" s="8">
        <v>496</v>
      </c>
      <c r="R802" s="8" t="s">
        <v>6350</v>
      </c>
      <c r="S802" s="8" t="s">
        <v>6351</v>
      </c>
      <c r="T802" s="8" t="s">
        <v>6352</v>
      </c>
      <c r="U802" s="8" t="s">
        <v>6353</v>
      </c>
      <c r="V802" s="8" t="s">
        <v>6354</v>
      </c>
      <c r="W802" s="8" t="s">
        <v>6355</v>
      </c>
    </row>
    <row r="803" spans="1:23" ht="28" customHeight="1" x14ac:dyDescent="0.3">
      <c r="A803" s="308">
        <v>45090</v>
      </c>
      <c r="B803" s="302">
        <v>2040.193</v>
      </c>
      <c r="C803" s="8">
        <v>4.5599999999999996</v>
      </c>
      <c r="D803" s="268">
        <v>2.2000000000000001E-3</v>
      </c>
      <c r="E803" s="8">
        <v>54.97</v>
      </c>
      <c r="F803" s="8">
        <v>131.44800000000001</v>
      </c>
      <c r="G803" s="8">
        <v>121.492</v>
      </c>
      <c r="H803" s="8">
        <v>89.14</v>
      </c>
      <c r="I803" s="8">
        <v>181.13</v>
      </c>
      <c r="J803" s="8">
        <v>70.959999999999994</v>
      </c>
      <c r="K803" s="268">
        <v>0.49680000000000002</v>
      </c>
      <c r="L803" s="268">
        <v>0.3876</v>
      </c>
      <c r="M803" s="268">
        <v>-4.2799999999999998E-2</v>
      </c>
      <c r="N803" s="8">
        <v>723.04</v>
      </c>
      <c r="O803" s="8">
        <v>8487.7800000000007</v>
      </c>
      <c r="P803" s="268">
        <v>8.5199999999999998E-2</v>
      </c>
      <c r="Q803" s="8">
        <v>496</v>
      </c>
      <c r="R803" s="8" t="s">
        <v>6356</v>
      </c>
      <c r="S803" s="8" t="s">
        <v>6357</v>
      </c>
      <c r="T803" s="8" t="s">
        <v>6358</v>
      </c>
      <c r="U803" s="8" t="s">
        <v>6359</v>
      </c>
      <c r="V803" s="8" t="s">
        <v>6360</v>
      </c>
      <c r="W803" s="8" t="s">
        <v>6361</v>
      </c>
    </row>
    <row r="804" spans="1:23" ht="28" customHeight="1" x14ac:dyDescent="0.3">
      <c r="A804" s="308">
        <v>45089</v>
      </c>
      <c r="B804" s="302">
        <v>2035.633</v>
      </c>
      <c r="C804" s="8">
        <v>11.798999999999999</v>
      </c>
      <c r="D804" s="268">
        <v>5.7999999999999996E-3</v>
      </c>
      <c r="E804" s="8">
        <v>56.23</v>
      </c>
      <c r="F804" s="8">
        <v>131.01</v>
      </c>
      <c r="G804" s="8">
        <v>121.35599999999999</v>
      </c>
      <c r="H804" s="8">
        <v>89.27</v>
      </c>
      <c r="I804" s="8">
        <v>180.58</v>
      </c>
      <c r="J804" s="8">
        <v>71.22</v>
      </c>
      <c r="K804" s="268">
        <v>0.49569999999999997</v>
      </c>
      <c r="L804" s="268">
        <v>0.38679999999999998</v>
      </c>
      <c r="M804" s="268">
        <v>-3.85E-2</v>
      </c>
      <c r="N804" s="8">
        <v>610.41</v>
      </c>
      <c r="O804" s="8">
        <v>8489.02</v>
      </c>
      <c r="P804" s="268">
        <v>7.1900000000000006E-2</v>
      </c>
      <c r="Q804" s="8">
        <v>497</v>
      </c>
      <c r="R804" s="8" t="s">
        <v>6362</v>
      </c>
      <c r="S804" s="8" t="s">
        <v>6363</v>
      </c>
      <c r="T804" s="8" t="s">
        <v>6364</v>
      </c>
      <c r="U804" s="8" t="s">
        <v>6365</v>
      </c>
      <c r="V804" s="8" t="s">
        <v>4153</v>
      </c>
      <c r="W804" s="8" t="s">
        <v>6366</v>
      </c>
    </row>
    <row r="805" spans="1:23" ht="28" customHeight="1" x14ac:dyDescent="0.3">
      <c r="A805" s="308">
        <v>45086</v>
      </c>
      <c r="B805" s="302">
        <v>2023.8340000000001</v>
      </c>
      <c r="C805" s="8">
        <v>8.8460000000000001</v>
      </c>
      <c r="D805" s="268">
        <v>4.4000000000000003E-3</v>
      </c>
      <c r="E805" s="8">
        <v>51.03</v>
      </c>
      <c r="F805" s="8">
        <v>130.16399999999999</v>
      </c>
      <c r="G805" s="8">
        <v>120.526</v>
      </c>
      <c r="H805" s="8">
        <v>87.72</v>
      </c>
      <c r="I805" s="8">
        <v>180.19</v>
      </c>
      <c r="J805" s="8">
        <v>72.33</v>
      </c>
      <c r="K805" s="268">
        <v>0.50019999999999998</v>
      </c>
      <c r="L805" s="268">
        <v>0.39169999999999999</v>
      </c>
      <c r="M805" s="268">
        <v>-3.6299999999999999E-2</v>
      </c>
      <c r="N805" s="8">
        <v>617.79</v>
      </c>
      <c r="O805" s="8">
        <v>8490.1200000000008</v>
      </c>
      <c r="P805" s="268">
        <v>7.2800000000000004E-2</v>
      </c>
      <c r="Q805" s="8">
        <v>497</v>
      </c>
      <c r="R805" s="8" t="s">
        <v>3534</v>
      </c>
      <c r="S805" s="8" t="s">
        <v>6367</v>
      </c>
      <c r="T805" s="8" t="s">
        <v>4607</v>
      </c>
      <c r="U805" s="8" t="s">
        <v>6368</v>
      </c>
      <c r="V805" s="8" t="s">
        <v>6369</v>
      </c>
      <c r="W805" s="8" t="s">
        <v>6370</v>
      </c>
    </row>
    <row r="806" spans="1:23" ht="28" customHeight="1" x14ac:dyDescent="0.3">
      <c r="A806" s="308">
        <v>45085</v>
      </c>
      <c r="B806" s="302">
        <v>2014.9880000000001</v>
      </c>
      <c r="C806" s="8">
        <v>1.51</v>
      </c>
      <c r="D806" s="268">
        <v>6.9999999999999999E-4</v>
      </c>
      <c r="E806" s="8">
        <v>47.99</v>
      </c>
      <c r="F806" s="8">
        <v>129.51900000000001</v>
      </c>
      <c r="G806" s="8">
        <v>120.252</v>
      </c>
      <c r="H806" s="8">
        <v>86.9</v>
      </c>
      <c r="I806" s="8">
        <v>179.22</v>
      </c>
      <c r="J806" s="8">
        <v>69.09</v>
      </c>
      <c r="K806" s="268">
        <v>0.497</v>
      </c>
      <c r="L806" s="268">
        <v>0.38840000000000002</v>
      </c>
      <c r="M806" s="268">
        <v>-3.49E-2</v>
      </c>
      <c r="N806" s="8">
        <v>638.37</v>
      </c>
      <c r="O806" s="8">
        <v>8490.26</v>
      </c>
      <c r="P806" s="268">
        <v>7.5200000000000003E-2</v>
      </c>
      <c r="Q806" s="8">
        <v>497</v>
      </c>
      <c r="R806" s="8" t="s">
        <v>6371</v>
      </c>
      <c r="S806" s="8" t="s">
        <v>6372</v>
      </c>
      <c r="T806" s="8" t="s">
        <v>6373</v>
      </c>
      <c r="U806" s="8" t="s">
        <v>6374</v>
      </c>
      <c r="V806" s="8" t="s">
        <v>6375</v>
      </c>
      <c r="W806" s="8" t="s">
        <v>5202</v>
      </c>
    </row>
    <row r="807" spans="1:23" ht="28" customHeight="1" x14ac:dyDescent="0.3">
      <c r="A807" s="308">
        <v>45084</v>
      </c>
      <c r="B807" s="302">
        <v>2013.4780000000001</v>
      </c>
      <c r="C807" s="8">
        <v>-0.98699999999999999</v>
      </c>
      <c r="D807" s="268">
        <v>-5.0000000000000001E-4</v>
      </c>
      <c r="E807" s="8">
        <v>46.98</v>
      </c>
      <c r="F807" s="8">
        <v>129.46299999999999</v>
      </c>
      <c r="G807" s="8">
        <v>120.035</v>
      </c>
      <c r="H807" s="8">
        <v>87.52</v>
      </c>
      <c r="I807" s="8">
        <v>178.71</v>
      </c>
      <c r="J807" s="8">
        <v>68.900000000000006</v>
      </c>
      <c r="K807" s="268">
        <v>0.49249999999999999</v>
      </c>
      <c r="L807" s="268">
        <v>0.38679999999999998</v>
      </c>
      <c r="M807" s="268">
        <v>-3.4000000000000002E-2</v>
      </c>
      <c r="N807" s="8">
        <v>623.97</v>
      </c>
      <c r="O807" s="8">
        <v>8490.83</v>
      </c>
      <c r="P807" s="268">
        <v>7.3499999999999996E-2</v>
      </c>
      <c r="Q807" s="8">
        <v>497</v>
      </c>
      <c r="R807" s="8" t="s">
        <v>6376</v>
      </c>
      <c r="S807" s="8" t="s">
        <v>6377</v>
      </c>
      <c r="T807" s="8" t="s">
        <v>6378</v>
      </c>
      <c r="U807" s="8" t="s">
        <v>6379</v>
      </c>
      <c r="V807" s="8" t="s">
        <v>3359</v>
      </c>
      <c r="W807" s="8" t="s">
        <v>5640</v>
      </c>
    </row>
    <row r="808" spans="1:23" ht="28" customHeight="1" x14ac:dyDescent="0.3">
      <c r="A808" s="308">
        <v>45083</v>
      </c>
      <c r="B808" s="302">
        <v>2014.4649999999999</v>
      </c>
      <c r="C808" s="8">
        <v>-12.792</v>
      </c>
      <c r="D808" s="268">
        <v>-6.3E-3</v>
      </c>
      <c r="E808" s="8">
        <v>47.85</v>
      </c>
      <c r="F808" s="8">
        <v>129.56299999999999</v>
      </c>
      <c r="G808" s="8">
        <v>120.1</v>
      </c>
      <c r="H808" s="8">
        <v>87.02</v>
      </c>
      <c r="I808" s="8">
        <v>179.02</v>
      </c>
      <c r="J808" s="8">
        <v>71.150000000000006</v>
      </c>
      <c r="K808" s="268">
        <v>0.4945</v>
      </c>
      <c r="L808" s="268">
        <v>0.38650000000000001</v>
      </c>
      <c r="M808" s="268">
        <v>-3.39E-2</v>
      </c>
      <c r="N808" s="8">
        <v>651.11</v>
      </c>
      <c r="O808" s="8">
        <v>8490.93</v>
      </c>
      <c r="P808" s="268">
        <v>7.6700000000000004E-2</v>
      </c>
      <c r="Q808" s="8">
        <v>497</v>
      </c>
      <c r="R808" s="8" t="s">
        <v>6380</v>
      </c>
      <c r="S808" s="8" t="s">
        <v>6381</v>
      </c>
      <c r="T808" s="8" t="s">
        <v>6382</v>
      </c>
      <c r="U808" s="8" t="s">
        <v>6383</v>
      </c>
      <c r="V808" s="8" t="s">
        <v>6384</v>
      </c>
      <c r="W808" s="8" t="s">
        <v>4300</v>
      </c>
    </row>
    <row r="809" spans="1:23" ht="28" customHeight="1" x14ac:dyDescent="0.3">
      <c r="A809" s="308">
        <v>45082</v>
      </c>
      <c r="B809" s="302">
        <v>2027.2570000000001</v>
      </c>
      <c r="C809" s="8">
        <v>-0.36499999999999999</v>
      </c>
      <c r="D809" s="268">
        <v>-2.0000000000000001E-4</v>
      </c>
      <c r="E809" s="8">
        <v>51.52</v>
      </c>
      <c r="F809" s="8">
        <v>130.49100000000001</v>
      </c>
      <c r="G809" s="8">
        <v>120.643</v>
      </c>
      <c r="H809" s="8">
        <v>88.75</v>
      </c>
      <c r="I809" s="8">
        <v>178.39</v>
      </c>
      <c r="J809" s="8">
        <v>65.52</v>
      </c>
      <c r="K809" s="268">
        <v>0.47899999999999998</v>
      </c>
      <c r="L809" s="268">
        <v>0.36930000000000002</v>
      </c>
      <c r="M809" s="268">
        <v>-3.61E-2</v>
      </c>
      <c r="N809" s="8">
        <v>529.16</v>
      </c>
      <c r="O809" s="8">
        <v>8491.82</v>
      </c>
      <c r="P809" s="268">
        <v>6.2300000000000001E-2</v>
      </c>
      <c r="Q809" s="8">
        <v>497</v>
      </c>
      <c r="R809" s="8" t="s">
        <v>6385</v>
      </c>
      <c r="S809" s="8" t="s">
        <v>6386</v>
      </c>
      <c r="T809" s="8" t="s">
        <v>6387</v>
      </c>
      <c r="U809" s="8" t="s">
        <v>6388</v>
      </c>
      <c r="V809" s="8" t="s">
        <v>6389</v>
      </c>
      <c r="W809" s="8" t="s">
        <v>6390</v>
      </c>
    </row>
    <row r="810" spans="1:23" ht="28" customHeight="1" x14ac:dyDescent="0.3">
      <c r="A810" s="308">
        <v>45079</v>
      </c>
      <c r="B810" s="302">
        <v>2027.6220000000001</v>
      </c>
      <c r="C810" s="8">
        <v>19.201000000000001</v>
      </c>
      <c r="D810" s="268">
        <v>9.5999999999999992E-3</v>
      </c>
      <c r="E810" s="8">
        <v>52.88</v>
      </c>
      <c r="F810" s="8">
        <v>130.50200000000001</v>
      </c>
      <c r="G810" s="8">
        <v>120.93300000000001</v>
      </c>
      <c r="H810" s="8">
        <v>88.49</v>
      </c>
      <c r="I810" s="8">
        <v>178.54</v>
      </c>
      <c r="J810" s="8">
        <v>67.38</v>
      </c>
      <c r="K810" s="268">
        <v>0.48039999999999999</v>
      </c>
      <c r="L810" s="268">
        <v>0.37740000000000001</v>
      </c>
      <c r="M810" s="268">
        <v>-3.5799999999999998E-2</v>
      </c>
      <c r="N810" s="8">
        <v>622.38</v>
      </c>
      <c r="O810" s="8">
        <v>8491.89</v>
      </c>
      <c r="P810" s="268">
        <v>7.3300000000000004E-2</v>
      </c>
      <c r="Q810" s="8">
        <v>497</v>
      </c>
      <c r="R810" s="8" t="s">
        <v>4429</v>
      </c>
      <c r="S810" s="8" t="s">
        <v>6391</v>
      </c>
      <c r="T810" s="8" t="s">
        <v>6392</v>
      </c>
      <c r="U810" s="8" t="s">
        <v>6393</v>
      </c>
      <c r="V810" s="8" t="s">
        <v>6394</v>
      </c>
      <c r="W810" s="8" t="s">
        <v>6395</v>
      </c>
    </row>
    <row r="811" spans="1:23" ht="28" customHeight="1" x14ac:dyDescent="0.3">
      <c r="A811" s="308">
        <v>45078</v>
      </c>
      <c r="B811" s="302">
        <v>2008.421</v>
      </c>
      <c r="C811" s="8">
        <v>6.9850000000000003</v>
      </c>
      <c r="D811" s="268">
        <v>3.5000000000000001E-3</v>
      </c>
      <c r="E811" s="8">
        <v>44.56</v>
      </c>
      <c r="F811" s="8">
        <v>129.21899999999999</v>
      </c>
      <c r="G811" s="8">
        <v>119.501</v>
      </c>
      <c r="H811" s="8">
        <v>88.07</v>
      </c>
      <c r="I811" s="8">
        <v>177.59</v>
      </c>
      <c r="J811" s="8">
        <v>69.62</v>
      </c>
      <c r="K811" s="268">
        <v>0.48370000000000002</v>
      </c>
      <c r="L811" s="268">
        <v>0.37830000000000003</v>
      </c>
      <c r="M811" s="268">
        <v>-3.27E-2</v>
      </c>
      <c r="N811" s="8">
        <v>525.48</v>
      </c>
      <c r="O811" s="8">
        <v>8492.39</v>
      </c>
      <c r="P811" s="268">
        <v>6.1899999999999997E-2</v>
      </c>
      <c r="Q811" s="8">
        <v>497</v>
      </c>
      <c r="R811" s="8" t="s">
        <v>6396</v>
      </c>
      <c r="S811" s="8" t="s">
        <v>6110</v>
      </c>
      <c r="T811" s="8" t="s">
        <v>6397</v>
      </c>
      <c r="U811" s="8" t="s">
        <v>6398</v>
      </c>
      <c r="V811" s="8" t="s">
        <v>6399</v>
      </c>
      <c r="W811" s="8" t="s">
        <v>6400</v>
      </c>
    </row>
    <row r="812" spans="1:23" ht="28" customHeight="1" x14ac:dyDescent="0.3">
      <c r="A812" s="308">
        <v>45077</v>
      </c>
      <c r="B812" s="302">
        <v>2001.4359999999999</v>
      </c>
      <c r="C812" s="8">
        <v>0.5</v>
      </c>
      <c r="D812" s="268">
        <v>2.9999999999999997E-4</v>
      </c>
      <c r="E812" s="8">
        <v>42.84</v>
      </c>
      <c r="F812" s="8">
        <v>128.892</v>
      </c>
      <c r="G812" s="8">
        <v>119.295</v>
      </c>
      <c r="H812" s="8">
        <v>88.11</v>
      </c>
      <c r="I812" s="8">
        <v>177.14</v>
      </c>
      <c r="J812" s="8">
        <v>67.23</v>
      </c>
      <c r="K812" s="268">
        <v>0.48249999999999998</v>
      </c>
      <c r="L812" s="268">
        <v>0.37319999999999998</v>
      </c>
      <c r="M812" s="268">
        <v>-3.1600000000000003E-2</v>
      </c>
      <c r="N812" s="8">
        <v>465.15</v>
      </c>
      <c r="O812" s="8">
        <v>8493.25</v>
      </c>
      <c r="P812" s="268">
        <v>5.4800000000000001E-2</v>
      </c>
      <c r="Q812" s="8">
        <v>498</v>
      </c>
      <c r="R812" s="8" t="s">
        <v>6401</v>
      </c>
      <c r="S812" s="8" t="s">
        <v>3096</v>
      </c>
      <c r="T812" s="8" t="s">
        <v>6402</v>
      </c>
      <c r="U812" s="8" t="s">
        <v>5171</v>
      </c>
      <c r="V812" s="8" t="s">
        <v>6403</v>
      </c>
      <c r="W812" s="8" t="s">
        <v>6404</v>
      </c>
    </row>
    <row r="813" spans="1:23" ht="28" customHeight="1" x14ac:dyDescent="0.3">
      <c r="A813" s="308">
        <v>45076</v>
      </c>
      <c r="B813" s="302">
        <v>2000.9359999999999</v>
      </c>
      <c r="C813" s="8">
        <v>1.42</v>
      </c>
      <c r="D813" s="268">
        <v>6.9999999999999999E-4</v>
      </c>
      <c r="E813" s="8">
        <v>43.75</v>
      </c>
      <c r="F813" s="8">
        <v>128.79499999999999</v>
      </c>
      <c r="G813" s="8">
        <v>119.687</v>
      </c>
      <c r="H813" s="8">
        <v>88.71</v>
      </c>
      <c r="I813" s="8">
        <v>176.25</v>
      </c>
      <c r="J813" s="8">
        <v>64.13</v>
      </c>
      <c r="K813" s="268">
        <v>0.47449999999999998</v>
      </c>
      <c r="L813" s="268">
        <v>0.37180000000000002</v>
      </c>
      <c r="M813" s="268">
        <v>-3.1899999999999998E-2</v>
      </c>
      <c r="N813" s="8">
        <v>447.09</v>
      </c>
      <c r="O813" s="8">
        <v>8493.92</v>
      </c>
      <c r="P813" s="268">
        <v>5.2600000000000001E-2</v>
      </c>
      <c r="Q813" s="8">
        <v>498</v>
      </c>
      <c r="R813" s="8" t="s">
        <v>6405</v>
      </c>
      <c r="S813" s="8" t="s">
        <v>3768</v>
      </c>
      <c r="T813" s="8" t="s">
        <v>6406</v>
      </c>
      <c r="U813" s="8" t="s">
        <v>6407</v>
      </c>
      <c r="V813" s="8" t="s">
        <v>6408</v>
      </c>
      <c r="W813" s="8" t="s">
        <v>6409</v>
      </c>
    </row>
    <row r="814" spans="1:23" ht="28" customHeight="1" x14ac:dyDescent="0.3">
      <c r="A814" s="308">
        <v>45075</v>
      </c>
      <c r="B814" s="302">
        <v>1999.5160000000001</v>
      </c>
      <c r="C814" s="8">
        <v>-3.766</v>
      </c>
      <c r="D814" s="268">
        <v>-1.9E-3</v>
      </c>
      <c r="E814" s="8">
        <v>42.93</v>
      </c>
      <c r="F814" s="8">
        <v>128.60499999999999</v>
      </c>
      <c r="G814" s="8">
        <v>119.298</v>
      </c>
      <c r="H814" s="8">
        <v>87.74</v>
      </c>
      <c r="I814" s="8">
        <v>176.36</v>
      </c>
      <c r="J814" s="8">
        <v>66.23</v>
      </c>
      <c r="K814" s="268">
        <v>0.47760000000000002</v>
      </c>
      <c r="L814" s="268">
        <v>0.3805</v>
      </c>
      <c r="M814" s="268">
        <v>-3.15E-2</v>
      </c>
      <c r="N814" s="8">
        <v>437.22</v>
      </c>
      <c r="O814" s="8">
        <v>8492.51</v>
      </c>
      <c r="P814" s="268">
        <v>5.1499999999999997E-2</v>
      </c>
      <c r="Q814" s="8">
        <v>498</v>
      </c>
      <c r="R814" s="8" t="s">
        <v>6410</v>
      </c>
      <c r="S814" s="8" t="s">
        <v>6411</v>
      </c>
      <c r="T814" s="8" t="s">
        <v>6412</v>
      </c>
      <c r="U814" s="8" t="s">
        <v>6413</v>
      </c>
      <c r="V814" s="8" t="s">
        <v>6414</v>
      </c>
      <c r="W814" s="8" t="s">
        <v>6415</v>
      </c>
    </row>
    <row r="815" spans="1:23" ht="28" customHeight="1" x14ac:dyDescent="0.3">
      <c r="A815" s="308">
        <v>45072</v>
      </c>
      <c r="B815" s="302">
        <v>2003.2819999999999</v>
      </c>
      <c r="C815" s="8">
        <v>9.4510000000000005</v>
      </c>
      <c r="D815" s="268">
        <v>4.7000000000000002E-3</v>
      </c>
      <c r="E815" s="8">
        <v>45.72</v>
      </c>
      <c r="F815" s="8">
        <v>128.762</v>
      </c>
      <c r="G815" s="8">
        <v>119.874</v>
      </c>
      <c r="H815" s="8">
        <v>88.82</v>
      </c>
      <c r="I815" s="8">
        <v>175.71</v>
      </c>
      <c r="J815" s="8">
        <v>63.53</v>
      </c>
      <c r="K815" s="268">
        <v>0.46949999999999997</v>
      </c>
      <c r="L815" s="268">
        <v>0.37530000000000002</v>
      </c>
      <c r="M815" s="268">
        <v>-3.2000000000000001E-2</v>
      </c>
      <c r="N815" s="8">
        <v>507.94</v>
      </c>
      <c r="O815" s="8">
        <v>8493.3799999999992</v>
      </c>
      <c r="P815" s="268">
        <v>5.9799999999999999E-2</v>
      </c>
      <c r="Q815" s="8">
        <v>498</v>
      </c>
      <c r="R815" s="8" t="s">
        <v>6416</v>
      </c>
      <c r="S815" s="8" t="s">
        <v>3813</v>
      </c>
      <c r="T815" s="8" t="s">
        <v>6417</v>
      </c>
      <c r="U815" s="8" t="s">
        <v>6418</v>
      </c>
      <c r="V815" s="8" t="s">
        <v>6419</v>
      </c>
      <c r="W815" s="8" t="s">
        <v>6420</v>
      </c>
    </row>
    <row r="816" spans="1:23" ht="28" customHeight="1" x14ac:dyDescent="0.3">
      <c r="A816" s="308">
        <v>45071</v>
      </c>
      <c r="B816" s="302">
        <v>1993.8309999999999</v>
      </c>
      <c r="C816" s="8">
        <v>-1.077</v>
      </c>
      <c r="D816" s="268">
        <v>-5.0000000000000001E-4</v>
      </c>
      <c r="E816" s="8">
        <v>41.39</v>
      </c>
      <c r="F816" s="8">
        <v>128.155</v>
      </c>
      <c r="G816" s="8">
        <v>119.432</v>
      </c>
      <c r="H816" s="8">
        <v>88.3</v>
      </c>
      <c r="I816" s="8">
        <v>174.93</v>
      </c>
      <c r="J816" s="8">
        <v>61.88</v>
      </c>
      <c r="K816" s="268">
        <v>0.46779999999999999</v>
      </c>
      <c r="L816" s="268">
        <v>0.36130000000000001</v>
      </c>
      <c r="M816" s="268">
        <v>-3.0499999999999999E-2</v>
      </c>
      <c r="N816" s="8">
        <v>459.12</v>
      </c>
      <c r="O816" s="8">
        <v>8494.4699999999993</v>
      </c>
      <c r="P816" s="268">
        <v>5.3999999999999999E-2</v>
      </c>
      <c r="Q816" s="8">
        <v>498</v>
      </c>
      <c r="R816" s="8" t="s">
        <v>6421</v>
      </c>
      <c r="S816" s="8" t="s">
        <v>6422</v>
      </c>
      <c r="T816" s="8" t="s">
        <v>6423</v>
      </c>
      <c r="U816" s="8" t="s">
        <v>6424</v>
      </c>
      <c r="V816" s="8" t="s">
        <v>6425</v>
      </c>
      <c r="W816" s="8" t="s">
        <v>6426</v>
      </c>
    </row>
    <row r="817" spans="1:23" ht="28" customHeight="1" x14ac:dyDescent="0.3">
      <c r="A817" s="308">
        <v>45070</v>
      </c>
      <c r="B817" s="302">
        <v>1994.9079999999999</v>
      </c>
      <c r="C817" s="8">
        <v>-5.3609999999999998</v>
      </c>
      <c r="D817" s="268">
        <v>-2.7000000000000001E-3</v>
      </c>
      <c r="E817" s="8">
        <v>41.79</v>
      </c>
      <c r="F817" s="8">
        <v>128.273</v>
      </c>
      <c r="G817" s="8">
        <v>119.251</v>
      </c>
      <c r="H817" s="8">
        <v>88.24</v>
      </c>
      <c r="I817" s="8">
        <v>175.08</v>
      </c>
      <c r="J817" s="8">
        <v>62.5</v>
      </c>
      <c r="K817" s="268">
        <v>0.46810000000000002</v>
      </c>
      <c r="L817" s="268">
        <v>0.37219999999999998</v>
      </c>
      <c r="M817" s="268">
        <v>-3.0499999999999999E-2</v>
      </c>
      <c r="N817" s="8">
        <v>442.07</v>
      </c>
      <c r="O817" s="8">
        <v>8496.18</v>
      </c>
      <c r="P817" s="268">
        <v>5.1999999999999998E-2</v>
      </c>
      <c r="Q817" s="8">
        <v>499</v>
      </c>
      <c r="R817" s="8" t="s">
        <v>6427</v>
      </c>
      <c r="S817" s="8" t="s">
        <v>6428</v>
      </c>
      <c r="T817" s="8" t="s">
        <v>6429</v>
      </c>
      <c r="U817" s="8" t="s">
        <v>6430</v>
      </c>
      <c r="V817" s="8" t="s">
        <v>6431</v>
      </c>
      <c r="W817" s="8" t="s">
        <v>6432</v>
      </c>
    </row>
    <row r="818" spans="1:23" ht="28" customHeight="1" x14ac:dyDescent="0.3">
      <c r="A818" s="308">
        <v>45069</v>
      </c>
      <c r="B818" s="302">
        <v>2000.269</v>
      </c>
      <c r="C818" s="8">
        <v>-8.9009999999999998</v>
      </c>
      <c r="D818" s="268">
        <v>-4.4000000000000003E-3</v>
      </c>
      <c r="E818" s="8">
        <v>42.27</v>
      </c>
      <c r="F818" s="8">
        <v>128.636</v>
      </c>
      <c r="G818" s="8">
        <v>119.39</v>
      </c>
      <c r="H818" s="8">
        <v>87.94</v>
      </c>
      <c r="I818" s="8">
        <v>175.68</v>
      </c>
      <c r="J818" s="8">
        <v>64.22</v>
      </c>
      <c r="K818" s="268">
        <v>0.47039999999999998</v>
      </c>
      <c r="L818" s="268">
        <v>0.37159999999999999</v>
      </c>
      <c r="M818" s="268">
        <v>-2.9899999999999999E-2</v>
      </c>
      <c r="N818" s="8">
        <v>397.01</v>
      </c>
      <c r="O818" s="8">
        <v>8472.2000000000007</v>
      </c>
      <c r="P818" s="268">
        <v>4.6899999999999997E-2</v>
      </c>
      <c r="Q818" s="8">
        <v>498</v>
      </c>
      <c r="R818" s="8" t="s">
        <v>3642</v>
      </c>
      <c r="S818" s="8" t="s">
        <v>6433</v>
      </c>
      <c r="T818" s="8" t="s">
        <v>6434</v>
      </c>
      <c r="U818" s="8" t="s">
        <v>6435</v>
      </c>
      <c r="V818" s="8" t="s">
        <v>6436</v>
      </c>
      <c r="W818" s="8" t="s">
        <v>6437</v>
      </c>
    </row>
    <row r="819" spans="1:23" ht="28" customHeight="1" x14ac:dyDescent="0.3">
      <c r="A819" s="308">
        <v>45068</v>
      </c>
      <c r="B819" s="302">
        <v>2009.17</v>
      </c>
      <c r="C819" s="8">
        <v>2.1680000000000001</v>
      </c>
      <c r="D819" s="268">
        <v>1.1000000000000001E-3</v>
      </c>
      <c r="E819" s="8">
        <v>46.91</v>
      </c>
      <c r="F819" s="8">
        <v>129.065</v>
      </c>
      <c r="G819" s="8">
        <v>120</v>
      </c>
      <c r="H819" s="8">
        <v>88.94</v>
      </c>
      <c r="I819" s="8">
        <v>175.46</v>
      </c>
      <c r="J819" s="8">
        <v>62.76</v>
      </c>
      <c r="K819" s="268">
        <v>0.46389999999999998</v>
      </c>
      <c r="L819" s="268">
        <v>0.36599999999999999</v>
      </c>
      <c r="M819" s="268">
        <v>-3.1699999999999999E-2</v>
      </c>
      <c r="N819" s="8">
        <v>432.39</v>
      </c>
      <c r="O819" s="8">
        <v>8480.34</v>
      </c>
      <c r="P819" s="268">
        <v>5.0999999999999997E-2</v>
      </c>
      <c r="Q819" s="8">
        <v>499</v>
      </c>
      <c r="R819" s="8" t="s">
        <v>6438</v>
      </c>
      <c r="S819" s="8" t="s">
        <v>3100</v>
      </c>
      <c r="T819" s="8" t="s">
        <v>6439</v>
      </c>
      <c r="U819" s="8" t="s">
        <v>6440</v>
      </c>
      <c r="V819" s="8" t="s">
        <v>6441</v>
      </c>
      <c r="W819" s="8" t="s">
        <v>6442</v>
      </c>
    </row>
    <row r="820" spans="1:23" ht="28" customHeight="1" x14ac:dyDescent="0.3">
      <c r="A820" s="308">
        <v>45065</v>
      </c>
      <c r="B820" s="302">
        <v>2007.002</v>
      </c>
      <c r="C820" s="8">
        <v>2.6259999999999999</v>
      </c>
      <c r="D820" s="268">
        <v>1.2999999999999999E-3</v>
      </c>
      <c r="E820" s="8">
        <v>43.75</v>
      </c>
      <c r="F820" s="8">
        <v>128.91</v>
      </c>
      <c r="G820" s="8">
        <v>119.69799999999999</v>
      </c>
      <c r="H820" s="8">
        <v>88.39</v>
      </c>
      <c r="I820" s="8">
        <v>175.81</v>
      </c>
      <c r="J820" s="8">
        <v>65.03</v>
      </c>
      <c r="K820" s="268">
        <v>0.46899999999999997</v>
      </c>
      <c r="L820" s="268">
        <v>0.36709999999999998</v>
      </c>
      <c r="M820" s="268">
        <v>-3.1399999999999997E-2</v>
      </c>
      <c r="N820" s="8">
        <v>441.56</v>
      </c>
      <c r="O820" s="8">
        <v>8377.1299999999992</v>
      </c>
      <c r="P820" s="268">
        <v>5.2699999999999997E-2</v>
      </c>
      <c r="Q820" s="8">
        <v>497</v>
      </c>
      <c r="R820" s="8" t="s">
        <v>6443</v>
      </c>
      <c r="S820" s="8" t="s">
        <v>6444</v>
      </c>
      <c r="T820" s="8" t="s">
        <v>6143</v>
      </c>
      <c r="U820" s="8" t="s">
        <v>6445</v>
      </c>
      <c r="V820" s="8" t="s">
        <v>6446</v>
      </c>
      <c r="W820" s="8" t="s">
        <v>6447</v>
      </c>
    </row>
    <row r="821" spans="1:23" ht="28" customHeight="1" x14ac:dyDescent="0.3">
      <c r="A821" s="308">
        <v>45064</v>
      </c>
      <c r="B821" s="302">
        <v>2004.376</v>
      </c>
      <c r="C821" s="8">
        <v>3.7210000000000001</v>
      </c>
      <c r="D821" s="268">
        <v>1.9E-3</v>
      </c>
      <c r="E821" s="8">
        <v>42.31</v>
      </c>
      <c r="F821" s="8">
        <v>128.72800000000001</v>
      </c>
      <c r="G821" s="8">
        <v>119.205</v>
      </c>
      <c r="H821" s="8">
        <v>88.28</v>
      </c>
      <c r="I821" s="8">
        <v>175.87</v>
      </c>
      <c r="J821" s="8">
        <v>66.17</v>
      </c>
      <c r="K821" s="268">
        <v>0.47149999999999997</v>
      </c>
      <c r="L821" s="268">
        <v>0.3705</v>
      </c>
      <c r="M821" s="268">
        <v>-3.1300000000000001E-2</v>
      </c>
      <c r="N821" s="8">
        <v>488.8</v>
      </c>
      <c r="O821" s="8">
        <v>8377.2099999999991</v>
      </c>
      <c r="P821" s="268">
        <v>5.8299999999999998E-2</v>
      </c>
      <c r="Q821" s="8">
        <v>497</v>
      </c>
      <c r="R821" s="8" t="s">
        <v>6448</v>
      </c>
      <c r="S821" s="8" t="s">
        <v>6449</v>
      </c>
      <c r="T821" s="8" t="s">
        <v>6450</v>
      </c>
      <c r="U821" s="8" t="s">
        <v>6451</v>
      </c>
      <c r="V821" s="8" t="s">
        <v>6452</v>
      </c>
      <c r="W821" s="8" t="s">
        <v>6453</v>
      </c>
    </row>
    <row r="822" spans="1:23" ht="28" customHeight="1" x14ac:dyDescent="0.3">
      <c r="A822" s="308">
        <v>45063</v>
      </c>
      <c r="B822" s="302">
        <v>2000.655</v>
      </c>
      <c r="C822" s="8">
        <v>9.6959999999999997</v>
      </c>
      <c r="D822" s="268">
        <v>4.8999999999999998E-3</v>
      </c>
      <c r="E822" s="8">
        <v>40.67</v>
      </c>
      <c r="F822" s="8">
        <v>128.536</v>
      </c>
      <c r="G822" s="8">
        <v>119.191</v>
      </c>
      <c r="H822" s="8">
        <v>88.47</v>
      </c>
      <c r="I822" s="8">
        <v>175.36</v>
      </c>
      <c r="J822" s="8">
        <v>64.37</v>
      </c>
      <c r="K822" s="268">
        <v>0.46820000000000001</v>
      </c>
      <c r="L822" s="268">
        <v>0.37419999999999998</v>
      </c>
      <c r="M822" s="268">
        <v>-3.0599999999999999E-2</v>
      </c>
      <c r="N822" s="8">
        <v>460.37</v>
      </c>
      <c r="O822" s="8">
        <v>8371.76</v>
      </c>
      <c r="P822" s="268">
        <v>5.5E-2</v>
      </c>
      <c r="Q822" s="8">
        <v>496</v>
      </c>
      <c r="R822" s="8" t="s">
        <v>6454</v>
      </c>
      <c r="S822" s="8" t="s">
        <v>6455</v>
      </c>
      <c r="T822" s="8" t="s">
        <v>6456</v>
      </c>
      <c r="U822" s="8" t="s">
        <v>6457</v>
      </c>
      <c r="V822" s="8" t="s">
        <v>6458</v>
      </c>
      <c r="W822" s="8" t="s">
        <v>6459</v>
      </c>
    </row>
    <row r="823" spans="1:23" ht="28" customHeight="1" x14ac:dyDescent="0.3">
      <c r="A823" s="308">
        <v>45062</v>
      </c>
      <c r="B823" s="302">
        <v>1990.9590000000001</v>
      </c>
      <c r="C823" s="8">
        <v>4.9059999999999997</v>
      </c>
      <c r="D823" s="268">
        <v>2.5000000000000001E-3</v>
      </c>
      <c r="E823" s="8">
        <v>36.1</v>
      </c>
      <c r="F823" s="8">
        <v>127.94499999999999</v>
      </c>
      <c r="G823" s="8">
        <v>118.749</v>
      </c>
      <c r="H823" s="8">
        <v>87.76</v>
      </c>
      <c r="I823" s="8">
        <v>175.15</v>
      </c>
      <c r="J823" s="8">
        <v>66.67</v>
      </c>
      <c r="K823" s="268">
        <v>0.47199999999999998</v>
      </c>
      <c r="L823" s="268">
        <v>0.38250000000000001</v>
      </c>
      <c r="M823" s="268">
        <v>-2.92E-2</v>
      </c>
      <c r="N823" s="8">
        <v>540.41999999999996</v>
      </c>
      <c r="O823" s="8">
        <v>8364.9699999999993</v>
      </c>
      <c r="P823" s="268">
        <v>6.4600000000000005E-2</v>
      </c>
      <c r="Q823" s="8">
        <v>495</v>
      </c>
      <c r="R823" s="8" t="s">
        <v>6460</v>
      </c>
      <c r="S823" s="8" t="s">
        <v>6461</v>
      </c>
      <c r="T823" s="8" t="s">
        <v>6462</v>
      </c>
      <c r="U823" s="8" t="s">
        <v>6463</v>
      </c>
      <c r="V823" s="8" t="s">
        <v>6464</v>
      </c>
      <c r="W823" s="8" t="s">
        <v>6465</v>
      </c>
    </row>
    <row r="824" spans="1:23" ht="28" customHeight="1" x14ac:dyDescent="0.3">
      <c r="A824" s="308">
        <v>45061</v>
      </c>
      <c r="B824" s="302">
        <v>1986.0530000000001</v>
      </c>
      <c r="C824" s="8">
        <v>10.333</v>
      </c>
      <c r="D824" s="268">
        <v>5.1999999999999998E-3</v>
      </c>
      <c r="E824" s="8">
        <v>33.57</v>
      </c>
      <c r="F824" s="8">
        <v>127.657</v>
      </c>
      <c r="G824" s="8">
        <v>118.74299999999999</v>
      </c>
      <c r="H824" s="8">
        <v>88.79</v>
      </c>
      <c r="I824" s="8">
        <v>173.71</v>
      </c>
      <c r="J824" s="8">
        <v>62.27</v>
      </c>
      <c r="K824" s="268">
        <v>0.46060000000000001</v>
      </c>
      <c r="L824" s="268">
        <v>0.36820000000000003</v>
      </c>
      <c r="M824" s="268">
        <v>-2.8299999999999999E-2</v>
      </c>
      <c r="N824" s="8">
        <v>553.69000000000005</v>
      </c>
      <c r="O824" s="8">
        <v>8365.4500000000007</v>
      </c>
      <c r="P824" s="268">
        <v>6.6199999999999995E-2</v>
      </c>
      <c r="Q824" s="8">
        <v>495</v>
      </c>
      <c r="R824" s="8" t="s">
        <v>6466</v>
      </c>
      <c r="S824" s="8" t="s">
        <v>6467</v>
      </c>
      <c r="T824" s="8" t="s">
        <v>6468</v>
      </c>
      <c r="U824" s="8" t="s">
        <v>6469</v>
      </c>
      <c r="V824" s="8" t="s">
        <v>6470</v>
      </c>
      <c r="W824" s="8" t="s">
        <v>6471</v>
      </c>
    </row>
    <row r="825" spans="1:23" ht="28" customHeight="1" x14ac:dyDescent="0.3">
      <c r="A825" s="308">
        <v>45058</v>
      </c>
      <c r="B825" s="302">
        <v>1975.72</v>
      </c>
      <c r="C825" s="8">
        <v>-34.637999999999998</v>
      </c>
      <c r="D825" s="268">
        <v>-1.72E-2</v>
      </c>
      <c r="E825" s="8">
        <v>30.73</v>
      </c>
      <c r="F825" s="8">
        <v>127.072</v>
      </c>
      <c r="G825" s="8">
        <v>118.081</v>
      </c>
      <c r="H825" s="8">
        <v>87.72</v>
      </c>
      <c r="I825" s="8">
        <v>174.03</v>
      </c>
      <c r="J825" s="8">
        <v>65.349999999999994</v>
      </c>
      <c r="K825" s="268">
        <v>0.46960000000000002</v>
      </c>
      <c r="L825" s="268">
        <v>0.37290000000000001</v>
      </c>
      <c r="M825" s="268">
        <v>-2.7199999999999998E-2</v>
      </c>
      <c r="N825" s="8">
        <v>571.52</v>
      </c>
      <c r="O825" s="8">
        <v>8367.18</v>
      </c>
      <c r="P825" s="268">
        <v>6.83E-2</v>
      </c>
      <c r="Q825" s="8">
        <v>496</v>
      </c>
      <c r="R825" s="8" t="s">
        <v>6472</v>
      </c>
      <c r="S825" s="8" t="s">
        <v>6473</v>
      </c>
      <c r="T825" s="8" t="s">
        <v>6474</v>
      </c>
      <c r="U825" s="8" t="s">
        <v>6475</v>
      </c>
      <c r="V825" s="8" t="s">
        <v>6476</v>
      </c>
      <c r="W825" s="8" t="s">
        <v>6477</v>
      </c>
    </row>
    <row r="826" spans="1:23" ht="28" customHeight="1" x14ac:dyDescent="0.3">
      <c r="A826" s="308">
        <v>45057</v>
      </c>
      <c r="B826" s="302">
        <v>2010.3579999999999</v>
      </c>
      <c r="C826" s="8">
        <v>5.7930000000000001</v>
      </c>
      <c r="D826" s="268">
        <v>2.8999999999999998E-3</v>
      </c>
      <c r="E826" s="8">
        <v>44.46</v>
      </c>
      <c r="F826" s="8">
        <v>129.215</v>
      </c>
      <c r="G826" s="8">
        <v>119.959</v>
      </c>
      <c r="H826" s="8">
        <v>88.71</v>
      </c>
      <c r="I826" s="8">
        <v>177.2</v>
      </c>
      <c r="J826" s="8">
        <v>68.81</v>
      </c>
      <c r="K826" s="268">
        <v>0.47989999999999999</v>
      </c>
      <c r="L826" s="268">
        <v>0.38869999999999999</v>
      </c>
      <c r="M826" s="268">
        <v>-3.2800000000000003E-2</v>
      </c>
      <c r="N826" s="8">
        <v>582.5</v>
      </c>
      <c r="O826" s="8">
        <v>8360.7199999999993</v>
      </c>
      <c r="P826" s="268">
        <v>6.9699999999999998E-2</v>
      </c>
      <c r="Q826" s="8">
        <v>495</v>
      </c>
      <c r="R826" s="8" t="s">
        <v>6478</v>
      </c>
      <c r="S826" s="8" t="s">
        <v>6479</v>
      </c>
      <c r="T826" s="8" t="s">
        <v>6208</v>
      </c>
      <c r="U826" s="8" t="s">
        <v>6480</v>
      </c>
      <c r="V826" s="8" t="s">
        <v>6481</v>
      </c>
      <c r="W826" s="8" t="s">
        <v>6482</v>
      </c>
    </row>
    <row r="827" spans="1:23" ht="28" customHeight="1" x14ac:dyDescent="0.3">
      <c r="A827" s="308">
        <v>45056</v>
      </c>
      <c r="B827" s="302">
        <v>2004.5650000000001</v>
      </c>
      <c r="C827" s="8">
        <v>2.8820000000000001</v>
      </c>
      <c r="D827" s="268">
        <v>1.4E-3</v>
      </c>
      <c r="E827" s="8">
        <v>41.67</v>
      </c>
      <c r="F827" s="8">
        <v>128.80600000000001</v>
      </c>
      <c r="G827" s="8">
        <v>119.654</v>
      </c>
      <c r="H827" s="8">
        <v>88.1</v>
      </c>
      <c r="I827" s="8">
        <v>176.84</v>
      </c>
      <c r="J827" s="8">
        <v>67.42</v>
      </c>
      <c r="K827" s="268">
        <v>0.48039999999999999</v>
      </c>
      <c r="L827" s="268">
        <v>0.37680000000000002</v>
      </c>
      <c r="M827" s="268">
        <v>-3.1800000000000002E-2</v>
      </c>
      <c r="N827" s="8">
        <v>617.37</v>
      </c>
      <c r="O827" s="8">
        <v>8365.36</v>
      </c>
      <c r="P827" s="268">
        <v>7.3800000000000004E-2</v>
      </c>
      <c r="Q827" s="8">
        <v>495</v>
      </c>
      <c r="R827" s="8" t="s">
        <v>6483</v>
      </c>
      <c r="S827" s="8" t="s">
        <v>6484</v>
      </c>
      <c r="T827" s="8" t="s">
        <v>6485</v>
      </c>
      <c r="U827" s="8" t="s">
        <v>6486</v>
      </c>
      <c r="V827" s="8" t="s">
        <v>6487</v>
      </c>
      <c r="W827" s="8" t="s">
        <v>6488</v>
      </c>
    </row>
    <row r="828" spans="1:23" ht="28" customHeight="1" x14ac:dyDescent="0.3">
      <c r="A828" s="308">
        <v>45055</v>
      </c>
      <c r="B828" s="302">
        <v>2001.683</v>
      </c>
      <c r="C828" s="8">
        <v>-14.292999999999999</v>
      </c>
      <c r="D828" s="268">
        <v>-7.1000000000000004E-3</v>
      </c>
      <c r="E828" s="8">
        <v>39.979999999999997</v>
      </c>
      <c r="F828" s="8">
        <v>128.61699999999999</v>
      </c>
      <c r="G828" s="8">
        <v>119.521</v>
      </c>
      <c r="H828" s="8">
        <v>87.37</v>
      </c>
      <c r="I828" s="8">
        <v>177.4</v>
      </c>
      <c r="J828" s="8">
        <v>71.8</v>
      </c>
      <c r="K828" s="268">
        <v>0.48780000000000001</v>
      </c>
      <c r="L828" s="268">
        <v>0.38169999999999998</v>
      </c>
      <c r="M828" s="268">
        <v>-3.1800000000000002E-2</v>
      </c>
      <c r="N828" s="8">
        <v>764.88</v>
      </c>
      <c r="O828" s="8">
        <v>8370.77</v>
      </c>
      <c r="P828" s="268">
        <v>9.1399999999999995E-2</v>
      </c>
      <c r="Q828" s="8">
        <v>492</v>
      </c>
      <c r="R828" s="8" t="s">
        <v>6489</v>
      </c>
      <c r="S828" s="8" t="s">
        <v>6490</v>
      </c>
      <c r="T828" s="8" t="s">
        <v>6491</v>
      </c>
      <c r="U828" s="8" t="s">
        <v>6492</v>
      </c>
      <c r="V828" s="8" t="s">
        <v>6493</v>
      </c>
      <c r="W828" s="8" t="s">
        <v>6494</v>
      </c>
    </row>
    <row r="829" spans="1:23" ht="28" customHeight="1" x14ac:dyDescent="0.3">
      <c r="A829" s="308">
        <v>45054</v>
      </c>
      <c r="B829" s="302">
        <v>2015.9760000000001</v>
      </c>
      <c r="C829" s="8">
        <v>4.827</v>
      </c>
      <c r="D829" s="268">
        <v>2.3999999999999998E-3</v>
      </c>
      <c r="E829" s="8">
        <v>45.18</v>
      </c>
      <c r="F829" s="8">
        <v>129.60499999999999</v>
      </c>
      <c r="G829" s="8">
        <v>120.121</v>
      </c>
      <c r="H829" s="8">
        <v>88.7</v>
      </c>
      <c r="I829" s="8">
        <v>177.07</v>
      </c>
      <c r="J829" s="8">
        <v>66</v>
      </c>
      <c r="K829" s="268">
        <v>0.47460000000000002</v>
      </c>
      <c r="L829" s="268">
        <v>0.37330000000000002</v>
      </c>
      <c r="M829" s="268">
        <v>-3.4000000000000002E-2</v>
      </c>
      <c r="N829" s="8">
        <v>705.07</v>
      </c>
      <c r="O829" s="8">
        <v>8408.7000000000007</v>
      </c>
      <c r="P829" s="268">
        <v>8.3799999999999999E-2</v>
      </c>
      <c r="Q829" s="8">
        <v>491</v>
      </c>
      <c r="R829" s="8" t="s">
        <v>6495</v>
      </c>
      <c r="S829" s="8" t="s">
        <v>5973</v>
      </c>
      <c r="T829" s="8" t="s">
        <v>6496</v>
      </c>
      <c r="U829" s="8" t="s">
        <v>6497</v>
      </c>
      <c r="V829" s="8" t="s">
        <v>6498</v>
      </c>
      <c r="W829" s="8" t="s">
        <v>6499</v>
      </c>
    </row>
    <row r="830" spans="1:23" ht="28" customHeight="1" x14ac:dyDescent="0.3">
      <c r="A830" s="308">
        <v>45051</v>
      </c>
      <c r="B830" s="302">
        <v>2011.1489999999999</v>
      </c>
      <c r="C830" s="8">
        <v>-21.196999999999999</v>
      </c>
      <c r="D830" s="268">
        <v>-1.04E-2</v>
      </c>
      <c r="E830" s="8">
        <v>43.85</v>
      </c>
      <c r="F830" s="8">
        <v>129.26599999999999</v>
      </c>
      <c r="G830" s="8">
        <v>119.92100000000001</v>
      </c>
      <c r="H830" s="8">
        <v>88.31</v>
      </c>
      <c r="I830" s="8">
        <v>176.82</v>
      </c>
      <c r="J830" s="8">
        <v>67.61</v>
      </c>
      <c r="K830" s="268">
        <v>0.47560000000000002</v>
      </c>
      <c r="L830" s="268">
        <v>0.37730000000000002</v>
      </c>
      <c r="M830" s="268">
        <v>-3.27E-2</v>
      </c>
      <c r="N830" s="8">
        <v>665.58</v>
      </c>
      <c r="O830" s="8">
        <v>8404.2800000000007</v>
      </c>
      <c r="P830" s="268">
        <v>7.9200000000000007E-2</v>
      </c>
      <c r="Q830" s="8">
        <v>491</v>
      </c>
      <c r="R830" s="8" t="s">
        <v>6500</v>
      </c>
      <c r="S830" s="8" t="s">
        <v>6501</v>
      </c>
      <c r="T830" s="8" t="s">
        <v>6502</v>
      </c>
      <c r="U830" s="8" t="s">
        <v>6503</v>
      </c>
      <c r="V830" s="8" t="s">
        <v>6504</v>
      </c>
      <c r="W830" s="8" t="s">
        <v>6505</v>
      </c>
    </row>
    <row r="831" spans="1:23" ht="28" customHeight="1" x14ac:dyDescent="0.3">
      <c r="A831" s="308">
        <v>45050</v>
      </c>
      <c r="B831" s="302">
        <v>2032.346</v>
      </c>
      <c r="C831" s="8">
        <v>-6.0129999999999999</v>
      </c>
      <c r="D831" s="268">
        <v>-2.8999999999999998E-3</v>
      </c>
      <c r="E831" s="8">
        <v>50.55</v>
      </c>
      <c r="F831" s="8">
        <v>130.928</v>
      </c>
      <c r="G831" s="8">
        <v>121.31399999999999</v>
      </c>
      <c r="H831" s="8">
        <v>88.76</v>
      </c>
      <c r="I831" s="8">
        <v>178.29</v>
      </c>
      <c r="J831" s="8">
        <v>66.790000000000006</v>
      </c>
      <c r="K831" s="268">
        <v>0.47360000000000002</v>
      </c>
      <c r="L831" s="268">
        <v>0.37309999999999999</v>
      </c>
      <c r="M831" s="268">
        <v>-3.5900000000000001E-2</v>
      </c>
      <c r="N831" s="8">
        <v>623.20000000000005</v>
      </c>
      <c r="O831" s="8">
        <v>8389.9699999999993</v>
      </c>
      <c r="P831" s="268">
        <v>7.4300000000000005E-2</v>
      </c>
      <c r="Q831" s="8">
        <v>488</v>
      </c>
      <c r="R831" s="8" t="s">
        <v>3625</v>
      </c>
      <c r="S831" s="8" t="s">
        <v>6506</v>
      </c>
      <c r="T831" s="8" t="s">
        <v>6507</v>
      </c>
      <c r="U831" s="8" t="s">
        <v>6508</v>
      </c>
      <c r="V831" s="8" t="s">
        <v>6509</v>
      </c>
      <c r="W831" s="8" t="s">
        <v>6510</v>
      </c>
    </row>
    <row r="832" spans="1:23" ht="28" customHeight="1" x14ac:dyDescent="0.3">
      <c r="A832" s="308">
        <v>45044</v>
      </c>
      <c r="B832" s="302">
        <v>2038.3589999999999</v>
      </c>
      <c r="C832" s="8">
        <v>10.988</v>
      </c>
      <c r="D832" s="268">
        <v>5.4000000000000003E-3</v>
      </c>
      <c r="E832" s="8">
        <v>52.28</v>
      </c>
      <c r="F832" s="8">
        <v>131.04300000000001</v>
      </c>
      <c r="G832" s="8">
        <v>121.498</v>
      </c>
      <c r="H832" s="8">
        <v>89.09</v>
      </c>
      <c r="I832" s="8">
        <v>179.49</v>
      </c>
      <c r="J832" s="8">
        <v>71.430000000000007</v>
      </c>
      <c r="K832" s="268">
        <v>0.4844</v>
      </c>
      <c r="L832" s="268">
        <v>0.38619999999999999</v>
      </c>
      <c r="M832" s="268">
        <v>-3.5999999999999997E-2</v>
      </c>
      <c r="N832" s="8">
        <v>708.19</v>
      </c>
      <c r="O832" s="8">
        <v>8420.94</v>
      </c>
      <c r="P832" s="268">
        <v>8.4099999999999994E-2</v>
      </c>
      <c r="Q832" s="8">
        <v>491</v>
      </c>
      <c r="R832" s="8" t="s">
        <v>6511</v>
      </c>
      <c r="S832" s="8" t="s">
        <v>6386</v>
      </c>
      <c r="T832" s="8" t="s">
        <v>6512</v>
      </c>
      <c r="U832" s="8" t="s">
        <v>6513</v>
      </c>
      <c r="V832" s="8" t="s">
        <v>6514</v>
      </c>
      <c r="W832" s="8" t="s">
        <v>6515</v>
      </c>
    </row>
    <row r="833" spans="1:23" ht="28" customHeight="1" x14ac:dyDescent="0.3">
      <c r="A833" s="308">
        <v>45043</v>
      </c>
      <c r="B833" s="302">
        <v>2027.3710000000001</v>
      </c>
      <c r="C833" s="8">
        <v>8.8209999999999997</v>
      </c>
      <c r="D833" s="268">
        <v>4.4000000000000003E-3</v>
      </c>
      <c r="E833" s="8">
        <v>49.11</v>
      </c>
      <c r="F833" s="8">
        <v>130.43299999999999</v>
      </c>
      <c r="G833" s="8">
        <v>120.901</v>
      </c>
      <c r="H833" s="8">
        <v>88.2</v>
      </c>
      <c r="I833" s="8">
        <v>179.93</v>
      </c>
      <c r="J833" s="8">
        <v>73.400000000000006</v>
      </c>
      <c r="K833" s="268">
        <v>0.495</v>
      </c>
      <c r="L833" s="268">
        <v>0.39650000000000002</v>
      </c>
      <c r="M833" s="268">
        <v>-3.2899999999999999E-2</v>
      </c>
      <c r="N833" s="8">
        <v>627.98</v>
      </c>
      <c r="O833" s="8">
        <v>8405.19</v>
      </c>
      <c r="P833" s="268">
        <v>7.4700000000000003E-2</v>
      </c>
      <c r="Q833" s="8">
        <v>489</v>
      </c>
      <c r="R833" s="8" t="s">
        <v>6516</v>
      </c>
      <c r="S833" s="8" t="s">
        <v>6517</v>
      </c>
      <c r="T833" s="8" t="s">
        <v>6518</v>
      </c>
      <c r="U833" s="8" t="s">
        <v>6519</v>
      </c>
      <c r="V833" s="8" t="s">
        <v>6520</v>
      </c>
      <c r="W833" s="8" t="s">
        <v>6521</v>
      </c>
    </row>
    <row r="834" spans="1:23" ht="28" customHeight="1" x14ac:dyDescent="0.3">
      <c r="A834" s="308">
        <v>45042</v>
      </c>
      <c r="B834" s="302">
        <v>2018.55</v>
      </c>
      <c r="C834" s="8">
        <v>18.936</v>
      </c>
      <c r="D834" s="268">
        <v>9.4999999999999998E-3</v>
      </c>
      <c r="E834" s="8">
        <v>46.28</v>
      </c>
      <c r="F834" s="8">
        <v>129.941</v>
      </c>
      <c r="G834" s="8">
        <v>120.43600000000001</v>
      </c>
      <c r="H834" s="8">
        <v>87.62</v>
      </c>
      <c r="I834" s="8">
        <v>179.36</v>
      </c>
      <c r="J834" s="8">
        <v>72.180000000000007</v>
      </c>
      <c r="K834" s="268">
        <v>0.49419999999999997</v>
      </c>
      <c r="L834" s="268">
        <v>0.39439999999999997</v>
      </c>
      <c r="M834" s="268">
        <v>-3.5999999999999997E-2</v>
      </c>
      <c r="N834" s="8">
        <v>709.95</v>
      </c>
      <c r="O834" s="8">
        <v>8358.17</v>
      </c>
      <c r="P834" s="268">
        <v>8.4900000000000003E-2</v>
      </c>
      <c r="Q834" s="8">
        <v>488</v>
      </c>
      <c r="R834" s="8" t="s">
        <v>6522</v>
      </c>
      <c r="S834" s="8" t="s">
        <v>6022</v>
      </c>
      <c r="T834" s="8" t="s">
        <v>6523</v>
      </c>
      <c r="U834" s="8" t="s">
        <v>6524</v>
      </c>
      <c r="V834" s="8" t="s">
        <v>6525</v>
      </c>
      <c r="W834" s="8" t="s">
        <v>6526</v>
      </c>
    </row>
    <row r="835" spans="1:23" ht="28" customHeight="1" x14ac:dyDescent="0.3">
      <c r="A835" s="308">
        <v>45041</v>
      </c>
      <c r="B835" s="302">
        <v>1999.614</v>
      </c>
      <c r="C835" s="8">
        <v>-11.504</v>
      </c>
      <c r="D835" s="268">
        <v>-5.7000000000000002E-3</v>
      </c>
      <c r="E835" s="8">
        <v>37.64</v>
      </c>
      <c r="F835" s="8">
        <v>128.965</v>
      </c>
      <c r="G835" s="8">
        <v>119.044</v>
      </c>
      <c r="H835" s="8">
        <v>86.6</v>
      </c>
      <c r="I835" s="8">
        <v>179.22</v>
      </c>
      <c r="J835" s="8">
        <v>72.58</v>
      </c>
      <c r="K835" s="268">
        <v>0.50260000000000005</v>
      </c>
      <c r="L835" s="268">
        <v>0.3896</v>
      </c>
      <c r="M835" s="268">
        <v>-3.3399999999999999E-2</v>
      </c>
      <c r="N835" s="8">
        <v>698.85</v>
      </c>
      <c r="O835" s="8">
        <v>8313.84</v>
      </c>
      <c r="P835" s="268">
        <v>8.4099999999999994E-2</v>
      </c>
      <c r="Q835" s="8">
        <v>484</v>
      </c>
      <c r="R835" s="8" t="s">
        <v>6527</v>
      </c>
      <c r="S835" s="8" t="s">
        <v>6528</v>
      </c>
      <c r="T835" s="8" t="s">
        <v>6529</v>
      </c>
      <c r="U835" s="8" t="s">
        <v>6530</v>
      </c>
      <c r="V835" s="8" t="s">
        <v>6531</v>
      </c>
      <c r="W835" s="8" t="s">
        <v>6532</v>
      </c>
    </row>
    <row r="836" spans="1:23" ht="28" customHeight="1" x14ac:dyDescent="0.3">
      <c r="A836" s="308">
        <v>45040</v>
      </c>
      <c r="B836" s="302">
        <v>2011.1179999999999</v>
      </c>
      <c r="C836" s="8">
        <v>-16.587</v>
      </c>
      <c r="D836" s="268">
        <v>-8.2000000000000007E-3</v>
      </c>
      <c r="E836" s="8">
        <v>42.33</v>
      </c>
      <c r="F836" s="8">
        <v>129.66399999999999</v>
      </c>
      <c r="G836" s="8">
        <v>119.86799999999999</v>
      </c>
      <c r="H836" s="8">
        <v>89.56</v>
      </c>
      <c r="I836" s="8">
        <v>177.02</v>
      </c>
      <c r="J836" s="8">
        <v>66.37</v>
      </c>
      <c r="K836" s="268">
        <v>0.47349999999999998</v>
      </c>
      <c r="L836" s="268">
        <v>0.3624</v>
      </c>
      <c r="M836" s="268">
        <v>-3.5000000000000003E-2</v>
      </c>
      <c r="N836" s="8">
        <v>662.26</v>
      </c>
      <c r="O836" s="8">
        <v>8324.4</v>
      </c>
      <c r="P836" s="268">
        <v>7.9600000000000004E-2</v>
      </c>
      <c r="Q836" s="8">
        <v>486</v>
      </c>
      <c r="R836" s="8" t="s">
        <v>6533</v>
      </c>
      <c r="S836" s="8" t="s">
        <v>6534</v>
      </c>
      <c r="T836" s="8" t="s">
        <v>6535</v>
      </c>
      <c r="U836" s="8" t="s">
        <v>6536</v>
      </c>
      <c r="V836" s="8" t="s">
        <v>6537</v>
      </c>
      <c r="W836" s="8" t="s">
        <v>6538</v>
      </c>
    </row>
    <row r="837" spans="1:23" ht="28" customHeight="1" x14ac:dyDescent="0.3">
      <c r="A837" s="308">
        <v>45037</v>
      </c>
      <c r="B837" s="302">
        <v>2027.7049999999999</v>
      </c>
      <c r="C837" s="8">
        <v>-28.645</v>
      </c>
      <c r="D837" s="268">
        <v>-1.3899999999999999E-2</v>
      </c>
      <c r="E837" s="8">
        <v>46.84</v>
      </c>
      <c r="F837" s="8">
        <v>130.875</v>
      </c>
      <c r="G837" s="8">
        <v>120.959</v>
      </c>
      <c r="H837" s="8">
        <v>89.72</v>
      </c>
      <c r="I837" s="8">
        <v>178.8</v>
      </c>
      <c r="J837" s="8">
        <v>68.63</v>
      </c>
      <c r="K837" s="268">
        <v>0.47920000000000001</v>
      </c>
      <c r="L837" s="268">
        <v>0.37030000000000002</v>
      </c>
      <c r="M837" s="268">
        <v>-3.6700000000000003E-2</v>
      </c>
      <c r="N837" s="8">
        <v>662.89</v>
      </c>
      <c r="O837" s="8">
        <v>8312.6200000000008</v>
      </c>
      <c r="P837" s="268">
        <v>7.9699999999999993E-2</v>
      </c>
      <c r="Q837" s="8">
        <v>484</v>
      </c>
      <c r="R837" s="8" t="s">
        <v>6539</v>
      </c>
      <c r="S837" s="8" t="s">
        <v>6540</v>
      </c>
      <c r="T837" s="8" t="s">
        <v>6541</v>
      </c>
      <c r="U837" s="8" t="s">
        <v>6542</v>
      </c>
      <c r="V837" s="8" t="s">
        <v>6543</v>
      </c>
      <c r="W837" s="8" t="s">
        <v>6544</v>
      </c>
    </row>
    <row r="838" spans="1:23" ht="28" customHeight="1" x14ac:dyDescent="0.3">
      <c r="A838" s="308">
        <v>45036</v>
      </c>
      <c r="B838" s="302">
        <v>2056.35</v>
      </c>
      <c r="C838" s="8">
        <v>-13.85</v>
      </c>
      <c r="D838" s="268">
        <v>-6.7000000000000002E-3</v>
      </c>
      <c r="E838" s="8">
        <v>54.56</v>
      </c>
      <c r="F838" s="8">
        <v>132.964</v>
      </c>
      <c r="G838" s="8">
        <v>122.777</v>
      </c>
      <c r="H838" s="8">
        <v>92.5</v>
      </c>
      <c r="I838" s="8">
        <v>179</v>
      </c>
      <c r="J838" s="8">
        <v>64.88</v>
      </c>
      <c r="K838" s="268">
        <v>0.46029999999999999</v>
      </c>
      <c r="L838" s="268">
        <v>0.35899999999999999</v>
      </c>
      <c r="M838" s="268">
        <v>-4.2000000000000003E-2</v>
      </c>
      <c r="N838" s="8">
        <v>570.42999999999995</v>
      </c>
      <c r="O838" s="8">
        <v>8245.58</v>
      </c>
      <c r="P838" s="268">
        <v>6.9199999999999998E-2</v>
      </c>
      <c r="Q838" s="8">
        <v>480</v>
      </c>
      <c r="R838" s="8" t="s">
        <v>6545</v>
      </c>
      <c r="S838" s="8" t="s">
        <v>6546</v>
      </c>
      <c r="T838" s="8" t="s">
        <v>6547</v>
      </c>
      <c r="U838" s="8" t="s">
        <v>6548</v>
      </c>
      <c r="V838" s="8" t="s">
        <v>6549</v>
      </c>
      <c r="W838" s="8" t="s">
        <v>6550</v>
      </c>
    </row>
    <row r="839" spans="1:23" ht="28" customHeight="1" x14ac:dyDescent="0.3">
      <c r="A839" s="308">
        <v>45035</v>
      </c>
      <c r="B839" s="302">
        <v>2070.1999999999998</v>
      </c>
      <c r="C839" s="8">
        <v>-8.7110000000000003</v>
      </c>
      <c r="D839" s="268">
        <v>-4.1999999999999997E-3</v>
      </c>
      <c r="E839" s="8">
        <v>58.93</v>
      </c>
      <c r="F839" s="8">
        <v>133.857</v>
      </c>
      <c r="G839" s="8">
        <v>123.91500000000001</v>
      </c>
      <c r="H839" s="8">
        <v>92.34</v>
      </c>
      <c r="I839" s="8">
        <v>179.82</v>
      </c>
      <c r="J839" s="8">
        <v>65.849999999999994</v>
      </c>
      <c r="K839" s="268">
        <v>0.45960000000000001</v>
      </c>
      <c r="L839" s="268">
        <v>0.36109999999999998</v>
      </c>
      <c r="M839" s="268">
        <v>-4.4499999999999998E-2</v>
      </c>
      <c r="N839" s="8">
        <v>532.34</v>
      </c>
      <c r="O839" s="8">
        <v>8247.6200000000008</v>
      </c>
      <c r="P839" s="268">
        <v>6.4500000000000002E-2</v>
      </c>
      <c r="Q839" s="8">
        <v>480</v>
      </c>
      <c r="R839" s="8" t="s">
        <v>6551</v>
      </c>
      <c r="S839" s="8" t="s">
        <v>6552</v>
      </c>
      <c r="T839" s="8" t="s">
        <v>6553</v>
      </c>
      <c r="U839" s="8" t="s">
        <v>6554</v>
      </c>
      <c r="V839" s="8" t="s">
        <v>6555</v>
      </c>
      <c r="W839" s="8" t="s">
        <v>6556</v>
      </c>
    </row>
    <row r="840" spans="1:23" ht="28" customHeight="1" x14ac:dyDescent="0.3">
      <c r="A840" s="308">
        <v>45034</v>
      </c>
      <c r="B840" s="302">
        <v>2078.9110000000001</v>
      </c>
      <c r="C840" s="8">
        <v>-1.6850000000000001</v>
      </c>
      <c r="D840" s="268">
        <v>-8.0000000000000004E-4</v>
      </c>
      <c r="E840" s="8">
        <v>63.75</v>
      </c>
      <c r="F840" s="8">
        <v>134.47900000000001</v>
      </c>
      <c r="G840" s="8">
        <v>124.55</v>
      </c>
      <c r="H840" s="8">
        <v>93.06</v>
      </c>
      <c r="I840" s="8">
        <v>180.33</v>
      </c>
      <c r="J840" s="8">
        <v>65.33</v>
      </c>
      <c r="K840" s="268">
        <v>0.45850000000000002</v>
      </c>
      <c r="L840" s="268">
        <v>0.36570000000000003</v>
      </c>
      <c r="M840" s="268">
        <v>-4.5999999999999999E-2</v>
      </c>
      <c r="N840" s="8">
        <v>542.29999999999995</v>
      </c>
      <c r="O840" s="8">
        <v>8239.1200000000008</v>
      </c>
      <c r="P840" s="268">
        <v>6.5799999999999997E-2</v>
      </c>
      <c r="Q840" s="8">
        <v>479</v>
      </c>
      <c r="R840" s="8" t="s">
        <v>6557</v>
      </c>
      <c r="S840" s="8" t="s">
        <v>2665</v>
      </c>
      <c r="T840" s="8" t="s">
        <v>6558</v>
      </c>
      <c r="U840" s="8" t="s">
        <v>6559</v>
      </c>
      <c r="V840" s="8" t="s">
        <v>6560</v>
      </c>
      <c r="W840" s="8" t="s">
        <v>6561</v>
      </c>
    </row>
    <row r="841" spans="1:23" ht="28" customHeight="1" x14ac:dyDescent="0.3">
      <c r="A841" s="308">
        <v>45033</v>
      </c>
      <c r="B841" s="302">
        <v>2080.596</v>
      </c>
      <c r="C841" s="8">
        <v>3.137</v>
      </c>
      <c r="D841" s="268">
        <v>1.5E-3</v>
      </c>
      <c r="E841" s="8">
        <v>64.06</v>
      </c>
      <c r="F841" s="8">
        <v>134.828</v>
      </c>
      <c r="G841" s="8">
        <v>124.271</v>
      </c>
      <c r="H841" s="8">
        <v>93.4</v>
      </c>
      <c r="I841" s="8">
        <v>179.99</v>
      </c>
      <c r="J841" s="8">
        <v>61.16</v>
      </c>
      <c r="K841" s="268">
        <v>0.4516</v>
      </c>
      <c r="L841" s="268">
        <v>0.36099999999999999</v>
      </c>
      <c r="M841" s="268">
        <v>-4.6899999999999997E-2</v>
      </c>
      <c r="N841" s="8">
        <v>578.69000000000005</v>
      </c>
      <c r="O841" s="8">
        <v>8237.02</v>
      </c>
      <c r="P841" s="268">
        <v>7.0300000000000001E-2</v>
      </c>
      <c r="Q841" s="8">
        <v>480</v>
      </c>
      <c r="R841" s="8" t="s">
        <v>6562</v>
      </c>
      <c r="S841" s="8" t="s">
        <v>6563</v>
      </c>
      <c r="T841" s="8" t="s">
        <v>6564</v>
      </c>
      <c r="U841" s="8" t="s">
        <v>6565</v>
      </c>
      <c r="V841" s="8" t="s">
        <v>6566</v>
      </c>
      <c r="W841" s="8" t="s">
        <v>6567</v>
      </c>
    </row>
    <row r="842" spans="1:23" ht="28" customHeight="1" x14ac:dyDescent="0.3">
      <c r="A842" s="308">
        <v>45030</v>
      </c>
      <c r="B842" s="302">
        <v>2077.4589999999998</v>
      </c>
      <c r="C842" s="8">
        <v>10.377000000000001</v>
      </c>
      <c r="D842" s="268">
        <v>5.0000000000000001E-3</v>
      </c>
      <c r="E842" s="8">
        <v>63.71</v>
      </c>
      <c r="F842" s="8">
        <v>134.58699999999999</v>
      </c>
      <c r="G842" s="8">
        <v>124.001</v>
      </c>
      <c r="H842" s="8">
        <v>93.2</v>
      </c>
      <c r="I842" s="8">
        <v>179.89</v>
      </c>
      <c r="J842" s="8">
        <v>63.39</v>
      </c>
      <c r="K842" s="268">
        <v>0.45300000000000001</v>
      </c>
      <c r="L842" s="268">
        <v>0.35360000000000003</v>
      </c>
      <c r="M842" s="268">
        <v>-4.5900000000000003E-2</v>
      </c>
      <c r="N842" s="8">
        <v>607.54</v>
      </c>
      <c r="O842" s="8">
        <v>8231.33</v>
      </c>
      <c r="P842" s="268">
        <v>7.3800000000000004E-2</v>
      </c>
      <c r="Q842" s="8">
        <v>479</v>
      </c>
      <c r="R842" s="8" t="s">
        <v>6568</v>
      </c>
      <c r="S842" s="8" t="s">
        <v>2774</v>
      </c>
      <c r="T842" s="8" t="s">
        <v>6569</v>
      </c>
      <c r="U842" s="8" t="s">
        <v>6283</v>
      </c>
      <c r="V842" s="8" t="s">
        <v>6570</v>
      </c>
      <c r="W842" s="8" t="s">
        <v>6571</v>
      </c>
    </row>
    <row r="843" spans="1:23" ht="28" customHeight="1" x14ac:dyDescent="0.3">
      <c r="A843" s="308">
        <v>45029</v>
      </c>
      <c r="B843" s="302">
        <v>2067.0819999999999</v>
      </c>
      <c r="C843" s="8">
        <v>-7.593</v>
      </c>
      <c r="D843" s="268">
        <v>-3.7000000000000002E-3</v>
      </c>
      <c r="E843" s="8">
        <v>60.77</v>
      </c>
      <c r="F843" s="8">
        <v>133.78800000000001</v>
      </c>
      <c r="G843" s="8">
        <v>123.773</v>
      </c>
      <c r="H843" s="8">
        <v>93.16</v>
      </c>
      <c r="I843" s="8">
        <v>179.22</v>
      </c>
      <c r="J843" s="8">
        <v>63.79</v>
      </c>
      <c r="K843" s="268">
        <v>0.45429999999999998</v>
      </c>
      <c r="L843" s="268">
        <v>0.35360000000000003</v>
      </c>
      <c r="M843" s="268">
        <v>-4.4999999999999998E-2</v>
      </c>
      <c r="N843" s="8">
        <v>496.95</v>
      </c>
      <c r="O843" s="8">
        <v>8233.09</v>
      </c>
      <c r="P843" s="268">
        <v>6.0400000000000002E-2</v>
      </c>
      <c r="Q843" s="8">
        <v>479</v>
      </c>
      <c r="R843" s="8" t="s">
        <v>6572</v>
      </c>
      <c r="S843" s="8" t="s">
        <v>3797</v>
      </c>
      <c r="T843" s="8" t="s">
        <v>6573</v>
      </c>
      <c r="U843" s="8" t="s">
        <v>6574</v>
      </c>
      <c r="V843" s="8" t="s">
        <v>6575</v>
      </c>
      <c r="W843" s="8" t="s">
        <v>6576</v>
      </c>
    </row>
    <row r="844" spans="1:23" ht="28" customHeight="1" x14ac:dyDescent="0.3">
      <c r="A844" s="308">
        <v>45028</v>
      </c>
      <c r="B844" s="302">
        <v>2074.6750000000002</v>
      </c>
      <c r="C844" s="8">
        <v>5.1120000000000001</v>
      </c>
      <c r="D844" s="268">
        <v>2.5000000000000001E-3</v>
      </c>
      <c r="E844" s="8">
        <v>63.39</v>
      </c>
      <c r="F844" s="8">
        <v>134.38499999999999</v>
      </c>
      <c r="G844" s="8">
        <v>123.9</v>
      </c>
      <c r="H844" s="8">
        <v>93.13</v>
      </c>
      <c r="I844" s="8">
        <v>179.52</v>
      </c>
      <c r="J844" s="8">
        <v>62.42</v>
      </c>
      <c r="K844" s="268">
        <v>0.45129999999999998</v>
      </c>
      <c r="L844" s="268">
        <v>0.35099999999999998</v>
      </c>
      <c r="M844" s="268">
        <v>-4.6199999999999998E-2</v>
      </c>
      <c r="N844" s="8">
        <v>467.02</v>
      </c>
      <c r="O844" s="8">
        <v>8235.94</v>
      </c>
      <c r="P844" s="268">
        <v>5.67E-2</v>
      </c>
      <c r="Q844" s="8">
        <v>479</v>
      </c>
      <c r="R844" s="8" t="s">
        <v>6577</v>
      </c>
      <c r="S844" s="8" t="s">
        <v>5874</v>
      </c>
      <c r="T844" s="8" t="s">
        <v>6578</v>
      </c>
      <c r="U844" s="8" t="s">
        <v>6579</v>
      </c>
      <c r="V844" s="8" t="s">
        <v>6580</v>
      </c>
      <c r="W844" s="8" t="s">
        <v>6581</v>
      </c>
    </row>
    <row r="845" spans="1:23" ht="28" customHeight="1" x14ac:dyDescent="0.3">
      <c r="A845" s="308">
        <v>45027</v>
      </c>
      <c r="B845" s="302">
        <v>2069.5630000000001</v>
      </c>
      <c r="C845" s="8">
        <v>-7.8109999999999999</v>
      </c>
      <c r="D845" s="268">
        <v>-3.8E-3</v>
      </c>
      <c r="E845" s="8">
        <v>63.23</v>
      </c>
      <c r="F845" s="8">
        <v>134.15</v>
      </c>
      <c r="G845" s="8">
        <v>123.78100000000001</v>
      </c>
      <c r="H845" s="8">
        <v>92.43</v>
      </c>
      <c r="I845" s="8">
        <v>179.78</v>
      </c>
      <c r="J845" s="8">
        <v>64.2</v>
      </c>
      <c r="K845" s="268">
        <v>0.45629999999999998</v>
      </c>
      <c r="L845" s="268">
        <v>0.36009999999999998</v>
      </c>
      <c r="M845" s="268">
        <v>-4.5699999999999998E-2</v>
      </c>
      <c r="N845" s="8">
        <v>421.09</v>
      </c>
      <c r="O845" s="8">
        <v>8232.43</v>
      </c>
      <c r="P845" s="268">
        <v>5.1200000000000002E-2</v>
      </c>
      <c r="Q845" s="8">
        <v>478</v>
      </c>
      <c r="R845" s="8" t="s">
        <v>6582</v>
      </c>
      <c r="S845" s="8" t="s">
        <v>5889</v>
      </c>
      <c r="T845" s="8" t="s">
        <v>6583</v>
      </c>
      <c r="U845" s="8" t="s">
        <v>4119</v>
      </c>
      <c r="V845" s="8" t="s">
        <v>6584</v>
      </c>
      <c r="W845" s="8" t="s">
        <v>6585</v>
      </c>
    </row>
    <row r="846" spans="1:23" ht="28" customHeight="1" x14ac:dyDescent="0.3">
      <c r="A846" s="308">
        <v>45026</v>
      </c>
      <c r="B846" s="302">
        <v>2077.3739999999998</v>
      </c>
      <c r="C846" s="8">
        <v>-9.6630000000000003</v>
      </c>
      <c r="D846" s="268">
        <v>-4.5999999999999999E-3</v>
      </c>
      <c r="E846" s="8">
        <v>64.849999999999994</v>
      </c>
      <c r="F846" s="8">
        <v>134.72300000000001</v>
      </c>
      <c r="G846" s="8">
        <v>124.128</v>
      </c>
      <c r="H846" s="8">
        <v>92.1</v>
      </c>
      <c r="I846" s="8">
        <v>180.83</v>
      </c>
      <c r="J846" s="8">
        <v>65.61</v>
      </c>
      <c r="K846" s="268">
        <v>0.46110000000000001</v>
      </c>
      <c r="L846" s="268">
        <v>0.36530000000000001</v>
      </c>
      <c r="M846" s="268">
        <v>-4.6899999999999997E-2</v>
      </c>
      <c r="N846" s="8">
        <v>438.81</v>
      </c>
      <c r="O846" s="8">
        <v>8204</v>
      </c>
      <c r="P846" s="268">
        <v>5.3499999999999999E-2</v>
      </c>
      <c r="Q846" s="8">
        <v>477</v>
      </c>
      <c r="R846" s="8" t="s">
        <v>2872</v>
      </c>
      <c r="S846" s="8" t="s">
        <v>6586</v>
      </c>
      <c r="T846" s="8" t="s">
        <v>6587</v>
      </c>
      <c r="U846" s="8" t="s">
        <v>6588</v>
      </c>
      <c r="V846" s="8" t="s">
        <v>6589</v>
      </c>
      <c r="W846" s="8" t="s">
        <v>6590</v>
      </c>
    </row>
    <row r="847" spans="1:23" ht="28" customHeight="1" x14ac:dyDescent="0.3">
      <c r="A847" s="308">
        <v>45023</v>
      </c>
      <c r="B847" s="302">
        <v>2087.0369999999998</v>
      </c>
      <c r="C847" s="8">
        <v>11.148</v>
      </c>
      <c r="D847" s="268">
        <v>5.4000000000000003E-3</v>
      </c>
      <c r="E847" s="8">
        <v>69.739999999999995</v>
      </c>
      <c r="F847" s="8">
        <v>135.59100000000001</v>
      </c>
      <c r="G847" s="8">
        <v>124.482</v>
      </c>
      <c r="H847" s="8">
        <v>92.53</v>
      </c>
      <c r="I847" s="8">
        <v>180.88</v>
      </c>
      <c r="J847" s="8">
        <v>64.069999999999993</v>
      </c>
      <c r="K847" s="268">
        <v>0.45290000000000002</v>
      </c>
      <c r="L847" s="268">
        <v>0.3543</v>
      </c>
      <c r="M847" s="268">
        <v>-4.8000000000000001E-2</v>
      </c>
      <c r="N847" s="8">
        <v>434.64</v>
      </c>
      <c r="O847" s="8">
        <v>8207.0400000000009</v>
      </c>
      <c r="P847" s="268">
        <v>5.2999999999999999E-2</v>
      </c>
      <c r="Q847" s="8">
        <v>478</v>
      </c>
      <c r="R847" s="8" t="s">
        <v>6591</v>
      </c>
      <c r="S847" s="8" t="s">
        <v>5889</v>
      </c>
      <c r="T847" s="8" t="s">
        <v>2642</v>
      </c>
      <c r="U847" s="8" t="s">
        <v>6592</v>
      </c>
      <c r="V847" s="8" t="s">
        <v>6593</v>
      </c>
      <c r="W847" s="8" t="s">
        <v>6594</v>
      </c>
    </row>
    <row r="848" spans="1:23" ht="28" customHeight="1" x14ac:dyDescent="0.3">
      <c r="A848" s="308">
        <v>45022</v>
      </c>
      <c r="B848" s="302">
        <v>2075.8890000000001</v>
      </c>
      <c r="C848" s="8">
        <v>3.4609999999999999</v>
      </c>
      <c r="D848" s="268">
        <v>1.6999999999999999E-3</v>
      </c>
      <c r="E848" s="8">
        <v>65.45</v>
      </c>
      <c r="F848" s="8">
        <v>134.898</v>
      </c>
      <c r="G848" s="8">
        <v>123.739</v>
      </c>
      <c r="H848" s="8">
        <v>92.17</v>
      </c>
      <c r="I848" s="8">
        <v>180.83</v>
      </c>
      <c r="J848" s="8">
        <v>65.62</v>
      </c>
      <c r="K848" s="268">
        <v>0.45929999999999999</v>
      </c>
      <c r="L848" s="268">
        <v>0.36330000000000001</v>
      </c>
      <c r="M848" s="268">
        <v>-4.5900000000000003E-2</v>
      </c>
      <c r="N848" s="8">
        <v>531.58000000000004</v>
      </c>
      <c r="O848" s="8">
        <v>8207.73</v>
      </c>
      <c r="P848" s="268">
        <v>6.4799999999999996E-2</v>
      </c>
      <c r="Q848" s="8">
        <v>478</v>
      </c>
      <c r="R848" s="8" t="s">
        <v>6109</v>
      </c>
      <c r="S848" s="8" t="s">
        <v>2810</v>
      </c>
      <c r="T848" s="8" t="s">
        <v>3683</v>
      </c>
      <c r="U848" s="8" t="s">
        <v>6595</v>
      </c>
      <c r="V848" s="8" t="s">
        <v>5682</v>
      </c>
      <c r="W848" s="8" t="s">
        <v>6596</v>
      </c>
    </row>
    <row r="849" spans="1:23" ht="28" customHeight="1" x14ac:dyDescent="0.3">
      <c r="A849" s="308">
        <v>45020</v>
      </c>
      <c r="B849" s="302">
        <v>2072.4279999999999</v>
      </c>
      <c r="C849" s="8">
        <v>-4.2779999999999996</v>
      </c>
      <c r="D849" s="268">
        <v>-2.0999999999999999E-3</v>
      </c>
      <c r="E849" s="8">
        <v>63.43</v>
      </c>
      <c r="F849" s="8">
        <v>134.66800000000001</v>
      </c>
      <c r="G849" s="8">
        <v>123.57599999999999</v>
      </c>
      <c r="H849" s="8">
        <v>92.04</v>
      </c>
      <c r="I849" s="8">
        <v>180.36</v>
      </c>
      <c r="J849" s="8">
        <v>63.34</v>
      </c>
      <c r="K849" s="268">
        <v>0.45689999999999997</v>
      </c>
      <c r="L849" s="268">
        <v>0.35549999999999998</v>
      </c>
      <c r="M849" s="268">
        <v>-4.5400000000000003E-2</v>
      </c>
      <c r="N849" s="8">
        <v>538.80999999999995</v>
      </c>
      <c r="O849" s="8">
        <v>8210.08</v>
      </c>
      <c r="P849" s="268">
        <v>6.5600000000000006E-2</v>
      </c>
      <c r="Q849" s="8">
        <v>478</v>
      </c>
      <c r="R849" s="8" t="s">
        <v>6597</v>
      </c>
      <c r="S849" s="8" t="s">
        <v>6598</v>
      </c>
      <c r="T849" s="8" t="s">
        <v>6599</v>
      </c>
      <c r="U849" s="8" t="s">
        <v>6600</v>
      </c>
      <c r="V849" s="8" t="s">
        <v>6601</v>
      </c>
      <c r="W849" s="8" t="s">
        <v>6602</v>
      </c>
    </row>
    <row r="850" spans="1:23" ht="28" customHeight="1" x14ac:dyDescent="0.3">
      <c r="A850" s="308">
        <v>45019</v>
      </c>
      <c r="B850" s="302">
        <v>2076.7060000000001</v>
      </c>
      <c r="C850" s="8">
        <v>12.632</v>
      </c>
      <c r="D850" s="268">
        <v>6.1000000000000004E-3</v>
      </c>
      <c r="E850" s="8">
        <v>64.959999999999994</v>
      </c>
      <c r="F850" s="8">
        <v>135.15100000000001</v>
      </c>
      <c r="G850" s="8">
        <v>124</v>
      </c>
      <c r="H850" s="8">
        <v>93.08</v>
      </c>
      <c r="I850" s="8">
        <v>179.59</v>
      </c>
      <c r="J850" s="8">
        <v>60.66</v>
      </c>
      <c r="K850" s="268">
        <v>0.44440000000000002</v>
      </c>
      <c r="L850" s="268">
        <v>0.3478</v>
      </c>
      <c r="M850" s="268">
        <v>-4.58E-2</v>
      </c>
      <c r="N850" s="8">
        <v>494.81</v>
      </c>
      <c r="O850" s="8">
        <v>8203.93</v>
      </c>
      <c r="P850" s="268">
        <v>6.0299999999999999E-2</v>
      </c>
      <c r="Q850" s="8">
        <v>477</v>
      </c>
      <c r="R850" s="8" t="s">
        <v>6603</v>
      </c>
      <c r="S850" s="8" t="s">
        <v>5752</v>
      </c>
      <c r="T850" s="8" t="s">
        <v>6604</v>
      </c>
      <c r="U850" s="8" t="s">
        <v>6605</v>
      </c>
      <c r="V850" s="8" t="s">
        <v>6606</v>
      </c>
      <c r="W850" s="8" t="s">
        <v>6607</v>
      </c>
    </row>
    <row r="851" spans="1:23" ht="28" customHeight="1" x14ac:dyDescent="0.3">
      <c r="A851" s="308">
        <v>45016</v>
      </c>
      <c r="B851" s="302">
        <v>2064.0740000000001</v>
      </c>
      <c r="C851" s="8">
        <v>9.86</v>
      </c>
      <c r="D851" s="268">
        <v>4.7999999999999996E-3</v>
      </c>
      <c r="E851" s="8">
        <v>61.16</v>
      </c>
      <c r="F851" s="8">
        <v>134.23400000000001</v>
      </c>
      <c r="G851" s="8">
        <v>122.696</v>
      </c>
      <c r="H851" s="8">
        <v>92.06</v>
      </c>
      <c r="I851" s="8">
        <v>178.9</v>
      </c>
      <c r="J851" s="8">
        <v>60.53</v>
      </c>
      <c r="K851" s="268">
        <v>0.44669999999999999</v>
      </c>
      <c r="L851" s="268">
        <v>0.34739999999999999</v>
      </c>
      <c r="M851" s="268">
        <v>-4.3700000000000003E-2</v>
      </c>
      <c r="N851" s="8">
        <v>456.85</v>
      </c>
      <c r="O851" s="8">
        <v>8212.39</v>
      </c>
      <c r="P851" s="268">
        <v>5.5599999999999997E-2</v>
      </c>
      <c r="Q851" s="8">
        <v>478</v>
      </c>
      <c r="R851" s="8" t="s">
        <v>6608</v>
      </c>
      <c r="S851" s="8" t="s">
        <v>2408</v>
      </c>
      <c r="T851" s="8" t="s">
        <v>6609</v>
      </c>
      <c r="U851" s="8" t="s">
        <v>6610</v>
      </c>
      <c r="V851" s="8" t="s">
        <v>6611</v>
      </c>
      <c r="W851" s="8" t="s">
        <v>6612</v>
      </c>
    </row>
    <row r="852" spans="1:23" ht="28" customHeight="1" x14ac:dyDescent="0.3">
      <c r="A852" s="308">
        <v>45015</v>
      </c>
      <c r="B852" s="302">
        <v>2054.2139999999999</v>
      </c>
      <c r="C852" s="8">
        <v>-3.766</v>
      </c>
      <c r="D852" s="268">
        <v>-1.8E-3</v>
      </c>
      <c r="E852" s="8">
        <v>57.29</v>
      </c>
      <c r="F852" s="8">
        <v>133.61500000000001</v>
      </c>
      <c r="G852" s="8">
        <v>122.417</v>
      </c>
      <c r="H852" s="8">
        <v>91.68</v>
      </c>
      <c r="I852" s="8">
        <v>178.65</v>
      </c>
      <c r="J852" s="8">
        <v>59.98</v>
      </c>
      <c r="K852" s="268">
        <v>0.45029999999999998</v>
      </c>
      <c r="L852" s="268">
        <v>0.35170000000000001</v>
      </c>
      <c r="M852" s="268">
        <v>-4.1500000000000002E-2</v>
      </c>
      <c r="N852" s="8">
        <v>429.08</v>
      </c>
      <c r="O852" s="8">
        <v>8213.41</v>
      </c>
      <c r="P852" s="268">
        <v>5.2200000000000003E-2</v>
      </c>
      <c r="Q852" s="8">
        <v>478</v>
      </c>
      <c r="R852" s="8" t="s">
        <v>6613</v>
      </c>
      <c r="S852" s="8" t="s">
        <v>6614</v>
      </c>
      <c r="T852" s="8" t="s">
        <v>6615</v>
      </c>
      <c r="U852" s="8" t="s">
        <v>6616</v>
      </c>
      <c r="V852" s="8" t="s">
        <v>6617</v>
      </c>
      <c r="W852" s="8" t="s">
        <v>6618</v>
      </c>
    </row>
    <row r="853" spans="1:23" ht="28" customHeight="1" x14ac:dyDescent="0.3">
      <c r="A853" s="308">
        <v>45014</v>
      </c>
      <c r="B853" s="302">
        <v>2057.98</v>
      </c>
      <c r="C853" s="8">
        <v>-6.0060000000000002</v>
      </c>
      <c r="D853" s="268">
        <v>-2.8999999999999998E-3</v>
      </c>
      <c r="E853" s="8">
        <v>58.22</v>
      </c>
      <c r="F853" s="8">
        <v>133.97900000000001</v>
      </c>
      <c r="G853" s="8">
        <v>122.07899999999999</v>
      </c>
      <c r="H853" s="8">
        <v>92.13</v>
      </c>
      <c r="I853" s="8">
        <v>178.9</v>
      </c>
      <c r="J853" s="8">
        <v>60.8</v>
      </c>
      <c r="K853" s="268">
        <v>0.44919999999999999</v>
      </c>
      <c r="L853" s="268">
        <v>0.35310000000000002</v>
      </c>
      <c r="M853" s="268">
        <v>-4.1200000000000001E-2</v>
      </c>
      <c r="N853" s="8">
        <v>477.72</v>
      </c>
      <c r="O853" s="8">
        <v>8214.8700000000008</v>
      </c>
      <c r="P853" s="268">
        <v>5.8200000000000002E-2</v>
      </c>
      <c r="Q853" s="8">
        <v>478</v>
      </c>
      <c r="R853" s="8" t="s">
        <v>6619</v>
      </c>
      <c r="S853" s="8" t="s">
        <v>6620</v>
      </c>
      <c r="T853" s="8" t="s">
        <v>6621</v>
      </c>
      <c r="U853" s="8" t="s">
        <v>6622</v>
      </c>
      <c r="V853" s="8" t="s">
        <v>6623</v>
      </c>
      <c r="W853" s="8" t="s">
        <v>6624</v>
      </c>
    </row>
    <row r="854" spans="1:23" ht="28" customHeight="1" x14ac:dyDescent="0.3">
      <c r="A854" s="308">
        <v>45013</v>
      </c>
      <c r="B854" s="302">
        <v>2063.9859999999999</v>
      </c>
      <c r="C854" s="8">
        <v>-8.1639999999999997</v>
      </c>
      <c r="D854" s="268">
        <v>-3.8999999999999998E-3</v>
      </c>
      <c r="E854" s="8">
        <v>61.18</v>
      </c>
      <c r="F854" s="8">
        <v>134.34</v>
      </c>
      <c r="G854" s="8">
        <v>122.545</v>
      </c>
      <c r="H854" s="8">
        <v>92.78</v>
      </c>
      <c r="I854" s="8">
        <v>178.77</v>
      </c>
      <c r="J854" s="8">
        <v>58.74</v>
      </c>
      <c r="K854" s="268">
        <v>0.44429999999999997</v>
      </c>
      <c r="L854" s="268">
        <v>0.3453</v>
      </c>
      <c r="M854" s="268">
        <v>-4.19E-2</v>
      </c>
      <c r="N854" s="8">
        <v>545.14</v>
      </c>
      <c r="O854" s="8">
        <v>8213.75</v>
      </c>
      <c r="P854" s="268">
        <v>6.6400000000000001E-2</v>
      </c>
      <c r="Q854" s="8">
        <v>477</v>
      </c>
      <c r="R854" s="8">
        <v>0</v>
      </c>
      <c r="S854" s="8" t="s">
        <v>6625</v>
      </c>
      <c r="T854" s="8" t="s">
        <v>6626</v>
      </c>
      <c r="U854" s="8" t="s">
        <v>6627</v>
      </c>
      <c r="V854" s="8" t="s">
        <v>6628</v>
      </c>
      <c r="W854" s="8" t="s">
        <v>6629</v>
      </c>
    </row>
    <row r="855" spans="1:23" ht="28" customHeight="1" x14ac:dyDescent="0.3">
      <c r="A855" s="308">
        <v>45012</v>
      </c>
      <c r="B855" s="302">
        <v>2072.15</v>
      </c>
      <c r="C855" s="8">
        <v>-1.099</v>
      </c>
      <c r="D855" s="268">
        <v>-5.0000000000000001E-4</v>
      </c>
      <c r="E855" s="8">
        <v>64.44</v>
      </c>
      <c r="F855" s="8">
        <v>134.91900000000001</v>
      </c>
      <c r="G855" s="8">
        <v>123.093</v>
      </c>
      <c r="H855" s="8">
        <v>93.49</v>
      </c>
      <c r="I855" s="8">
        <v>178.75</v>
      </c>
      <c r="J855" s="8">
        <v>58.25</v>
      </c>
      <c r="K855" s="268">
        <v>0.43830000000000002</v>
      </c>
      <c r="L855" s="268">
        <v>0.33910000000000001</v>
      </c>
      <c r="M855" s="268">
        <v>-4.2999999999999997E-2</v>
      </c>
      <c r="N855" s="8">
        <v>613.82000000000005</v>
      </c>
      <c r="O855" s="8">
        <v>8206.0499999999993</v>
      </c>
      <c r="P855" s="268">
        <v>7.4800000000000005E-2</v>
      </c>
      <c r="Q855" s="8">
        <v>476</v>
      </c>
      <c r="R855" s="8">
        <v>0</v>
      </c>
      <c r="S855" s="8" t="s">
        <v>2943</v>
      </c>
      <c r="T855" s="8" t="s">
        <v>2349</v>
      </c>
      <c r="U855" s="8" t="s">
        <v>6630</v>
      </c>
      <c r="V855" s="8" t="s">
        <v>6631</v>
      </c>
      <c r="W855" s="8" t="s">
        <v>6632</v>
      </c>
    </row>
    <row r="856" spans="1:23" ht="28" customHeight="1" x14ac:dyDescent="0.3">
      <c r="A856" s="308">
        <v>45009</v>
      </c>
      <c r="B856" s="302">
        <v>2073.2489999999998</v>
      </c>
      <c r="C856" s="8">
        <v>0.60099999999999998</v>
      </c>
      <c r="D856" s="268">
        <v>2.9999999999999997E-4</v>
      </c>
      <c r="E856" s="8">
        <v>64.739999999999995</v>
      </c>
      <c r="F856" s="8">
        <v>134.834</v>
      </c>
      <c r="G856" s="8">
        <v>123.045</v>
      </c>
      <c r="H856" s="8">
        <v>94.06</v>
      </c>
      <c r="I856" s="8">
        <v>178.69</v>
      </c>
      <c r="J856" s="8">
        <v>57.07</v>
      </c>
      <c r="K856" s="268">
        <v>0.43859999999999999</v>
      </c>
      <c r="L856" s="268">
        <v>0.34689999999999999</v>
      </c>
      <c r="M856" s="268">
        <v>-4.3700000000000003E-2</v>
      </c>
      <c r="N856" s="8">
        <v>606.19000000000005</v>
      </c>
      <c r="O856" s="8">
        <v>8203.76</v>
      </c>
      <c r="P856" s="268">
        <v>7.3899999999999993E-2</v>
      </c>
      <c r="Q856" s="8">
        <v>476</v>
      </c>
      <c r="R856" s="8">
        <v>0</v>
      </c>
      <c r="S856" s="8" t="s">
        <v>6633</v>
      </c>
      <c r="T856" s="8" t="s">
        <v>6634</v>
      </c>
      <c r="U856" s="8" t="s">
        <v>6635</v>
      </c>
      <c r="V856" s="8" t="s">
        <v>3503</v>
      </c>
      <c r="W856" s="8" t="s">
        <v>6636</v>
      </c>
    </row>
    <row r="857" spans="1:23" ht="28" customHeight="1" x14ac:dyDescent="0.3">
      <c r="A857" s="308">
        <v>45008</v>
      </c>
      <c r="B857" s="302">
        <v>2072.6480000000001</v>
      </c>
      <c r="C857" s="8">
        <v>0.55900000000000005</v>
      </c>
      <c r="D857" s="268">
        <v>2.9999999999999997E-4</v>
      </c>
      <c r="E857" s="8">
        <v>63.52</v>
      </c>
      <c r="F857" s="8">
        <v>134.90100000000001</v>
      </c>
      <c r="G857" s="8">
        <v>123.29900000000001</v>
      </c>
      <c r="H857" s="8">
        <v>94.37</v>
      </c>
      <c r="I857" s="8">
        <v>178.73</v>
      </c>
      <c r="J857" s="8">
        <v>57.37</v>
      </c>
      <c r="K857" s="268">
        <v>0.43830000000000002</v>
      </c>
      <c r="L857" s="268">
        <v>0.33689999999999998</v>
      </c>
      <c r="M857" s="268">
        <v>-4.36E-2</v>
      </c>
      <c r="N857" s="8">
        <v>661.75</v>
      </c>
      <c r="O857" s="8">
        <v>8192.82</v>
      </c>
      <c r="P857" s="268">
        <v>8.0799999999999997E-2</v>
      </c>
      <c r="Q857" s="8">
        <v>475</v>
      </c>
      <c r="R857" s="8">
        <v>0</v>
      </c>
      <c r="S857" s="8" t="s">
        <v>6637</v>
      </c>
      <c r="T857" s="8" t="s">
        <v>6638</v>
      </c>
      <c r="U857" s="8" t="s">
        <v>6639</v>
      </c>
      <c r="V857" s="8" t="s">
        <v>6640</v>
      </c>
      <c r="W857" s="8" t="s">
        <v>6641</v>
      </c>
    </row>
    <row r="858" spans="1:23" ht="28" customHeight="1" x14ac:dyDescent="0.3">
      <c r="A858" s="308">
        <v>45007</v>
      </c>
      <c r="B858" s="302">
        <v>2072.0889999999999</v>
      </c>
      <c r="C858" s="8">
        <v>7.6589999999999998</v>
      </c>
      <c r="D858" s="268">
        <v>3.7000000000000002E-3</v>
      </c>
      <c r="E858" s="8">
        <v>63.33</v>
      </c>
      <c r="F858" s="8">
        <v>134.94300000000001</v>
      </c>
      <c r="G858" s="8">
        <v>123.194</v>
      </c>
      <c r="H858" s="8">
        <v>94.27</v>
      </c>
      <c r="I858" s="8">
        <v>178.85</v>
      </c>
      <c r="J858" s="8">
        <v>56.37</v>
      </c>
      <c r="K858" s="268">
        <v>0.43909999999999999</v>
      </c>
      <c r="L858" s="268">
        <v>0.33529999999999999</v>
      </c>
      <c r="M858" s="268">
        <v>-4.3400000000000001E-2</v>
      </c>
      <c r="N858" s="8">
        <v>695.75</v>
      </c>
      <c r="O858" s="8">
        <v>8180.55</v>
      </c>
      <c r="P858" s="268">
        <v>8.5000000000000006E-2</v>
      </c>
      <c r="Q858" s="8">
        <v>474</v>
      </c>
      <c r="R858" s="8">
        <v>0</v>
      </c>
      <c r="S858" s="8" t="s">
        <v>3903</v>
      </c>
      <c r="T858" s="8" t="s">
        <v>6642</v>
      </c>
      <c r="U858" s="8" t="s">
        <v>6643</v>
      </c>
      <c r="V858" s="8" t="s">
        <v>6644</v>
      </c>
      <c r="W858" s="8" t="s">
        <v>6645</v>
      </c>
    </row>
    <row r="859" spans="1:23" ht="28" customHeight="1" x14ac:dyDescent="0.3">
      <c r="A859" s="308">
        <v>45006</v>
      </c>
      <c r="B859" s="302">
        <v>2064.4299999999998</v>
      </c>
      <c r="C859" s="8">
        <v>14.961</v>
      </c>
      <c r="D859" s="268">
        <v>7.3000000000000001E-3</v>
      </c>
      <c r="E859" s="8">
        <v>60.1</v>
      </c>
      <c r="F859" s="8">
        <v>134.56100000000001</v>
      </c>
      <c r="G859" s="8">
        <v>122.58199999999999</v>
      </c>
      <c r="H859" s="8">
        <v>93.18</v>
      </c>
      <c r="I859" s="8">
        <v>178.78</v>
      </c>
      <c r="J859" s="8">
        <v>54.9</v>
      </c>
      <c r="K859" s="268">
        <v>0.44219999999999998</v>
      </c>
      <c r="L859" s="268">
        <v>0.3422</v>
      </c>
      <c r="M859" s="268">
        <v>-4.2099999999999999E-2</v>
      </c>
      <c r="N859" s="8">
        <v>712.94</v>
      </c>
      <c r="O859" s="8">
        <v>8180.6</v>
      </c>
      <c r="P859" s="268">
        <v>8.7099999999999997E-2</v>
      </c>
      <c r="Q859" s="8">
        <v>474</v>
      </c>
      <c r="R859" s="8">
        <v>0</v>
      </c>
      <c r="S859" s="8" t="s">
        <v>6646</v>
      </c>
      <c r="T859" s="8" t="s">
        <v>6647</v>
      </c>
      <c r="U859" s="8" t="s">
        <v>6648</v>
      </c>
      <c r="V859" s="8" t="s">
        <v>6649</v>
      </c>
      <c r="W859" s="8" t="s">
        <v>6650</v>
      </c>
    </row>
    <row r="860" spans="1:23" ht="28" customHeight="1" x14ac:dyDescent="0.3">
      <c r="A860" s="308">
        <v>45005</v>
      </c>
      <c r="B860" s="302">
        <v>2049.4690000000001</v>
      </c>
      <c r="C860" s="8">
        <v>1.2290000000000001</v>
      </c>
      <c r="D860" s="268">
        <v>5.9999999999999995E-4</v>
      </c>
      <c r="E860" s="8">
        <v>54.01</v>
      </c>
      <c r="F860" s="8">
        <v>133.41999999999999</v>
      </c>
      <c r="G860" s="8">
        <v>121.879</v>
      </c>
      <c r="H860" s="8">
        <v>92.24</v>
      </c>
      <c r="I860" s="8">
        <v>178.63</v>
      </c>
      <c r="J860" s="8">
        <v>60.72</v>
      </c>
      <c r="K860" s="268">
        <v>0.4521</v>
      </c>
      <c r="L860" s="268">
        <v>0.35060000000000002</v>
      </c>
      <c r="M860" s="268">
        <v>-4.0099999999999997E-2</v>
      </c>
      <c r="N860" s="8">
        <v>754.09</v>
      </c>
      <c r="O860" s="8">
        <v>8162.18</v>
      </c>
      <c r="P860" s="268">
        <v>9.2399999999999996E-2</v>
      </c>
      <c r="Q860" s="8">
        <v>475</v>
      </c>
      <c r="R860" s="8">
        <v>0</v>
      </c>
      <c r="S860" s="8" t="s">
        <v>2501</v>
      </c>
      <c r="T860" s="8" t="s">
        <v>6651</v>
      </c>
      <c r="U860" s="8" t="s">
        <v>6652</v>
      </c>
      <c r="V860" s="8" t="s">
        <v>5110</v>
      </c>
      <c r="W860" s="8" t="s">
        <v>6653</v>
      </c>
    </row>
    <row r="861" spans="1:23" ht="28" customHeight="1" x14ac:dyDescent="0.3">
      <c r="A861" s="308">
        <v>45002</v>
      </c>
      <c r="B861" s="302">
        <v>2048.2399999999998</v>
      </c>
      <c r="C861" s="8">
        <v>7.7130000000000001</v>
      </c>
      <c r="D861" s="268">
        <v>3.8E-3</v>
      </c>
      <c r="E861" s="8">
        <v>52.26</v>
      </c>
      <c r="F861" s="8">
        <v>133.42699999999999</v>
      </c>
      <c r="G861" s="8">
        <v>121.45699999999999</v>
      </c>
      <c r="H861" s="8">
        <v>92.26</v>
      </c>
      <c r="I861" s="8">
        <v>178.14</v>
      </c>
      <c r="J861" s="8">
        <v>59.54</v>
      </c>
      <c r="K861" s="268">
        <v>0.44719999999999999</v>
      </c>
      <c r="L861" s="268">
        <v>0.34320000000000001</v>
      </c>
      <c r="M861" s="268">
        <v>-3.9800000000000002E-2</v>
      </c>
      <c r="N861" s="8">
        <v>766.48</v>
      </c>
      <c r="O861" s="8">
        <v>8158.97</v>
      </c>
      <c r="P861" s="268">
        <v>9.3899999999999997E-2</v>
      </c>
      <c r="Q861" s="8">
        <v>474</v>
      </c>
      <c r="R861" s="8">
        <v>0</v>
      </c>
      <c r="S861" s="8" t="s">
        <v>6614</v>
      </c>
      <c r="T861" s="8" t="s">
        <v>6654</v>
      </c>
      <c r="U861" s="8" t="s">
        <v>6655</v>
      </c>
      <c r="V861" s="8" t="s">
        <v>6656</v>
      </c>
      <c r="W861" s="8" t="s">
        <v>6657</v>
      </c>
    </row>
    <row r="862" spans="1:23" ht="28" customHeight="1" x14ac:dyDescent="0.3">
      <c r="A862" s="308">
        <v>45001</v>
      </c>
      <c r="B862" s="302">
        <v>2040.527</v>
      </c>
      <c r="C862" s="8">
        <v>-15.356999999999999</v>
      </c>
      <c r="D862" s="268">
        <v>-7.4999999999999997E-3</v>
      </c>
      <c r="E862" s="8">
        <v>48.24</v>
      </c>
      <c r="F862" s="8">
        <v>132.88300000000001</v>
      </c>
      <c r="G862" s="8">
        <v>120.999</v>
      </c>
      <c r="H862" s="8">
        <v>92.29</v>
      </c>
      <c r="I862" s="8">
        <v>177.9</v>
      </c>
      <c r="J862" s="8">
        <v>57.95</v>
      </c>
      <c r="K862" s="268">
        <v>0.45019999999999999</v>
      </c>
      <c r="L862" s="268">
        <v>0.34360000000000002</v>
      </c>
      <c r="M862" s="268">
        <v>-3.8100000000000002E-2</v>
      </c>
      <c r="N862" s="8">
        <v>781.31</v>
      </c>
      <c r="O862" s="8">
        <v>8159.52</v>
      </c>
      <c r="P862" s="268">
        <v>9.5799999999999996E-2</v>
      </c>
      <c r="Q862" s="8">
        <v>474</v>
      </c>
      <c r="R862" s="8">
        <v>0</v>
      </c>
      <c r="S862" s="8" t="s">
        <v>6658</v>
      </c>
      <c r="T862" s="8" t="s">
        <v>6659</v>
      </c>
      <c r="U862" s="8" t="s">
        <v>6660</v>
      </c>
      <c r="V862" s="8" t="s">
        <v>6661</v>
      </c>
      <c r="W862" s="8" t="s">
        <v>6662</v>
      </c>
    </row>
    <row r="863" spans="1:23" ht="28" customHeight="1" x14ac:dyDescent="0.3">
      <c r="A863" s="308">
        <v>45000</v>
      </c>
      <c r="B863" s="302">
        <v>2055.884</v>
      </c>
      <c r="C863" s="8">
        <v>7.8849999999999998</v>
      </c>
      <c r="D863" s="268">
        <v>3.8999999999999998E-3</v>
      </c>
      <c r="E863" s="8">
        <v>54.45</v>
      </c>
      <c r="F863" s="8">
        <v>134.00899999999999</v>
      </c>
      <c r="G863" s="8">
        <v>122.09</v>
      </c>
      <c r="H863" s="8">
        <v>93.94</v>
      </c>
      <c r="I863" s="8">
        <v>177.64</v>
      </c>
      <c r="J863" s="8">
        <v>52.48</v>
      </c>
      <c r="K863" s="268">
        <v>0.43630000000000002</v>
      </c>
      <c r="L863" s="268">
        <v>0.33090000000000003</v>
      </c>
      <c r="M863" s="268">
        <v>-3.95E-2</v>
      </c>
      <c r="N863" s="8">
        <v>716.39</v>
      </c>
      <c r="O863" s="8">
        <v>8072.35</v>
      </c>
      <c r="P863" s="268">
        <v>8.8700000000000001E-2</v>
      </c>
      <c r="Q863" s="8">
        <v>473</v>
      </c>
      <c r="R863" s="8">
        <v>0</v>
      </c>
      <c r="S863" s="8" t="s">
        <v>6663</v>
      </c>
      <c r="T863" s="8" t="s">
        <v>6664</v>
      </c>
      <c r="U863" s="8" t="s">
        <v>6665</v>
      </c>
      <c r="V863" s="8" t="s">
        <v>6666</v>
      </c>
      <c r="W863" s="8" t="s">
        <v>6667</v>
      </c>
    </row>
    <row r="864" spans="1:23" ht="28" customHeight="1" x14ac:dyDescent="0.3">
      <c r="A864" s="308">
        <v>44999</v>
      </c>
      <c r="B864" s="302">
        <v>2047.999</v>
      </c>
      <c r="C864" s="8">
        <v>-5.8949999999999996</v>
      </c>
      <c r="D864" s="268">
        <v>-2.8999999999999998E-3</v>
      </c>
      <c r="E864" s="8">
        <v>52.9</v>
      </c>
      <c r="F864" s="8">
        <v>133.518</v>
      </c>
      <c r="G864" s="8">
        <v>121.699</v>
      </c>
      <c r="H864" s="8">
        <v>93.42</v>
      </c>
      <c r="I864" s="8">
        <v>178.07</v>
      </c>
      <c r="J864" s="8">
        <v>57.86</v>
      </c>
      <c r="K864" s="268">
        <v>0.4456</v>
      </c>
      <c r="L864" s="268">
        <v>0.33560000000000001</v>
      </c>
      <c r="M864" s="268">
        <v>-3.8100000000000002E-2</v>
      </c>
      <c r="N864" s="8">
        <v>747.62</v>
      </c>
      <c r="O864" s="8">
        <v>8073.59</v>
      </c>
      <c r="P864" s="268">
        <v>9.2600000000000002E-2</v>
      </c>
      <c r="Q864" s="8">
        <v>473</v>
      </c>
      <c r="R864" s="8">
        <v>0</v>
      </c>
      <c r="S864" s="8" t="s">
        <v>3126</v>
      </c>
      <c r="T864" s="8" t="s">
        <v>6668</v>
      </c>
      <c r="U864" s="8" t="s">
        <v>6669</v>
      </c>
      <c r="V864" s="8" t="s">
        <v>6670</v>
      </c>
      <c r="W864" s="8" t="s">
        <v>6671</v>
      </c>
    </row>
    <row r="865" spans="1:23" ht="28" customHeight="1" x14ac:dyDescent="0.3">
      <c r="A865" s="308">
        <v>44998</v>
      </c>
      <c r="B865" s="302">
        <v>2053.8939999999998</v>
      </c>
      <c r="C865" s="8">
        <v>5.5309999999999997</v>
      </c>
      <c r="D865" s="268">
        <v>2.7000000000000001E-3</v>
      </c>
      <c r="E865" s="8">
        <v>54.64</v>
      </c>
      <c r="F865" s="8">
        <v>133.768</v>
      </c>
      <c r="G865" s="8">
        <v>122.121</v>
      </c>
      <c r="H865" s="8">
        <v>94.06</v>
      </c>
      <c r="I865" s="8">
        <v>177.09</v>
      </c>
      <c r="J865" s="8">
        <v>51.94</v>
      </c>
      <c r="K865" s="268">
        <v>0.43330000000000002</v>
      </c>
      <c r="L865" s="268">
        <v>0.31859999999999999</v>
      </c>
      <c r="M865" s="268">
        <v>-3.9E-2</v>
      </c>
      <c r="N865" s="8">
        <v>686.81</v>
      </c>
      <c r="O865" s="8">
        <v>8317.33</v>
      </c>
      <c r="P865" s="268">
        <v>8.2600000000000007E-2</v>
      </c>
      <c r="Q865" s="8">
        <v>474</v>
      </c>
      <c r="R865" s="8">
        <v>0</v>
      </c>
      <c r="S865" s="8" t="s">
        <v>5809</v>
      </c>
      <c r="T865" s="8" t="s">
        <v>6672</v>
      </c>
      <c r="U865" s="8" t="s">
        <v>6673</v>
      </c>
      <c r="V865" s="8" t="s">
        <v>6674</v>
      </c>
      <c r="W865" s="8" t="s">
        <v>6675</v>
      </c>
    </row>
    <row r="866" spans="1:23" ht="28" customHeight="1" x14ac:dyDescent="0.3">
      <c r="A866" s="308">
        <v>44995</v>
      </c>
      <c r="B866" s="302">
        <v>2048.3629999999998</v>
      </c>
      <c r="C866" s="8">
        <v>-13.587999999999999</v>
      </c>
      <c r="D866" s="268">
        <v>-6.6E-3</v>
      </c>
      <c r="E866" s="8">
        <v>53.28</v>
      </c>
      <c r="F866" s="8">
        <v>133.381</v>
      </c>
      <c r="G866" s="8">
        <v>121.943</v>
      </c>
      <c r="H866" s="8">
        <v>93.95</v>
      </c>
      <c r="I866" s="8">
        <v>176.57</v>
      </c>
      <c r="J866" s="8">
        <v>51.85</v>
      </c>
      <c r="K866" s="268">
        <v>0.43190000000000001</v>
      </c>
      <c r="L866" s="268">
        <v>0.32619999999999999</v>
      </c>
      <c r="M866" s="268">
        <v>-3.8100000000000002E-2</v>
      </c>
      <c r="N866" s="8">
        <v>763.62</v>
      </c>
      <c r="O866" s="8">
        <v>8318.4</v>
      </c>
      <c r="P866" s="268">
        <v>9.1800000000000007E-2</v>
      </c>
      <c r="Q866" s="8">
        <v>474</v>
      </c>
      <c r="R866" s="8">
        <v>0</v>
      </c>
      <c r="S866" s="8" t="s">
        <v>2529</v>
      </c>
      <c r="T866" s="8" t="s">
        <v>6676</v>
      </c>
      <c r="U866" s="8" t="s">
        <v>6677</v>
      </c>
      <c r="V866" s="8" t="s">
        <v>6678</v>
      </c>
      <c r="W866" s="8" t="s">
        <v>6679</v>
      </c>
    </row>
    <row r="867" spans="1:23" ht="28" customHeight="1" x14ac:dyDescent="0.3">
      <c r="A867" s="308">
        <v>44994</v>
      </c>
      <c r="B867" s="302">
        <v>2061.951</v>
      </c>
      <c r="C867" s="8">
        <v>2.9649999999999999</v>
      </c>
      <c r="D867" s="268">
        <v>1.4E-3</v>
      </c>
      <c r="E867" s="8">
        <v>59.77</v>
      </c>
      <c r="F867" s="8">
        <v>134.27699999999999</v>
      </c>
      <c r="G867" s="8">
        <v>123.003</v>
      </c>
      <c r="H867" s="8">
        <v>94.95</v>
      </c>
      <c r="I867" s="8">
        <v>176.1</v>
      </c>
      <c r="J867" s="8">
        <v>47.9</v>
      </c>
      <c r="K867" s="268">
        <v>0.41820000000000002</v>
      </c>
      <c r="L867" s="268">
        <v>0.30969999999999998</v>
      </c>
      <c r="M867" s="268">
        <v>-4.0099999999999997E-2</v>
      </c>
      <c r="N867" s="8">
        <v>752.01</v>
      </c>
      <c r="O867" s="8">
        <v>8320.64</v>
      </c>
      <c r="P867" s="268">
        <v>9.0399999999999994E-2</v>
      </c>
      <c r="Q867" s="8">
        <v>476</v>
      </c>
      <c r="R867" s="8">
        <v>0</v>
      </c>
      <c r="S867" s="8" t="s">
        <v>6680</v>
      </c>
      <c r="T867" s="8" t="s">
        <v>6251</v>
      </c>
      <c r="U867" s="8" t="s">
        <v>6681</v>
      </c>
      <c r="V867" s="8" t="s">
        <v>6682</v>
      </c>
      <c r="W867" s="8" t="s">
        <v>6302</v>
      </c>
    </row>
    <row r="868" spans="1:23" ht="28" customHeight="1" x14ac:dyDescent="0.3">
      <c r="A868" s="308">
        <v>44993</v>
      </c>
      <c r="B868" s="302">
        <v>2058.9859999999999</v>
      </c>
      <c r="C868" s="8">
        <v>1.111</v>
      </c>
      <c r="D868" s="268">
        <v>5.0000000000000001E-4</v>
      </c>
      <c r="E868" s="8">
        <v>58.19</v>
      </c>
      <c r="F868" s="8">
        <v>134.14699999999999</v>
      </c>
      <c r="G868" s="8">
        <v>122.883</v>
      </c>
      <c r="H868" s="8">
        <v>95.05</v>
      </c>
      <c r="I868" s="8">
        <v>176.2</v>
      </c>
      <c r="J868" s="8">
        <v>50.17</v>
      </c>
      <c r="K868" s="268">
        <v>0.42049999999999998</v>
      </c>
      <c r="L868" s="268">
        <v>0.3125</v>
      </c>
      <c r="M868" s="268">
        <v>-3.95E-2</v>
      </c>
      <c r="N868" s="8">
        <v>694.82</v>
      </c>
      <c r="O868" s="8">
        <v>8321.6299999999992</v>
      </c>
      <c r="P868" s="268">
        <v>8.3500000000000005E-2</v>
      </c>
      <c r="Q868" s="8">
        <v>476</v>
      </c>
      <c r="R868" s="8">
        <v>0</v>
      </c>
      <c r="S868" s="8" t="s">
        <v>2413</v>
      </c>
      <c r="T868" s="8" t="s">
        <v>6683</v>
      </c>
      <c r="U868" s="8" t="s">
        <v>5999</v>
      </c>
      <c r="V868" s="8" t="s">
        <v>6684</v>
      </c>
      <c r="W868" s="8" t="s">
        <v>3659</v>
      </c>
    </row>
    <row r="869" spans="1:23" ht="28" customHeight="1" x14ac:dyDescent="0.3">
      <c r="A869" s="308">
        <v>44992</v>
      </c>
      <c r="B869" s="302">
        <v>2057.875</v>
      </c>
      <c r="C869" s="8">
        <v>-17.433</v>
      </c>
      <c r="D869" s="268">
        <v>-8.3999999999999995E-3</v>
      </c>
      <c r="E869" s="8">
        <v>56.63</v>
      </c>
      <c r="F869" s="8">
        <v>134.11500000000001</v>
      </c>
      <c r="G869" s="8">
        <v>123.08</v>
      </c>
      <c r="H869" s="8">
        <v>94.06</v>
      </c>
      <c r="I869" s="8">
        <v>176.98</v>
      </c>
      <c r="J869" s="8">
        <v>52.09</v>
      </c>
      <c r="K869" s="268">
        <v>0.42859999999999998</v>
      </c>
      <c r="L869" s="268">
        <v>0.32240000000000002</v>
      </c>
      <c r="M869" s="268">
        <v>-3.95E-2</v>
      </c>
      <c r="N869" s="8">
        <v>656.48</v>
      </c>
      <c r="O869" s="8">
        <v>8312.5</v>
      </c>
      <c r="P869" s="268">
        <v>7.9000000000000001E-2</v>
      </c>
      <c r="Q869" s="8">
        <v>475</v>
      </c>
      <c r="R869" s="8">
        <v>0</v>
      </c>
      <c r="S869" s="8" t="s">
        <v>6685</v>
      </c>
      <c r="T869" s="8" t="s">
        <v>6686</v>
      </c>
      <c r="U869" s="8" t="s">
        <v>6687</v>
      </c>
      <c r="V869" s="8" t="s">
        <v>6688</v>
      </c>
      <c r="W869" s="8" t="s">
        <v>6689</v>
      </c>
    </row>
    <row r="870" spans="1:23" ht="28" customHeight="1" x14ac:dyDescent="0.3">
      <c r="A870" s="308">
        <v>44991</v>
      </c>
      <c r="B870" s="302">
        <v>2075.308</v>
      </c>
      <c r="C870" s="8">
        <v>3.6869999999999998</v>
      </c>
      <c r="D870" s="268">
        <v>1.8E-3</v>
      </c>
      <c r="E870" s="8">
        <v>64.569999999999993</v>
      </c>
      <c r="F870" s="8">
        <v>135.30099999999999</v>
      </c>
      <c r="G870" s="8">
        <v>124.42400000000001</v>
      </c>
      <c r="H870" s="8">
        <v>96.13</v>
      </c>
      <c r="I870" s="8">
        <v>176.29</v>
      </c>
      <c r="J870" s="8">
        <v>46.43</v>
      </c>
      <c r="K870" s="268">
        <v>0.40989999999999999</v>
      </c>
      <c r="L870" s="268">
        <v>0.30609999999999998</v>
      </c>
      <c r="M870" s="268">
        <v>-4.2599999999999999E-2</v>
      </c>
      <c r="N870" s="8">
        <v>555.24</v>
      </c>
      <c r="O870" s="8">
        <v>8313.9599999999991</v>
      </c>
      <c r="P870" s="268">
        <v>6.6799999999999998E-2</v>
      </c>
      <c r="Q870" s="8">
        <v>475</v>
      </c>
      <c r="R870" s="8">
        <v>0</v>
      </c>
      <c r="S870" s="8" t="s">
        <v>4326</v>
      </c>
      <c r="T870" s="8" t="s">
        <v>6690</v>
      </c>
      <c r="U870" s="8" t="s">
        <v>6691</v>
      </c>
      <c r="V870" s="8" t="s">
        <v>6692</v>
      </c>
      <c r="W870" s="8" t="s">
        <v>6693</v>
      </c>
    </row>
    <row r="871" spans="1:23" ht="28" customHeight="1" x14ac:dyDescent="0.3">
      <c r="A871" s="308">
        <v>44988</v>
      </c>
      <c r="B871" s="302">
        <v>2071.6210000000001</v>
      </c>
      <c r="C871" s="8">
        <v>1.573</v>
      </c>
      <c r="D871" s="268">
        <v>8.0000000000000004E-4</v>
      </c>
      <c r="E871" s="8">
        <v>64.39</v>
      </c>
      <c r="F871" s="8">
        <v>134.91399999999999</v>
      </c>
      <c r="G871" s="8">
        <v>124.006</v>
      </c>
      <c r="H871" s="8">
        <v>96.37</v>
      </c>
      <c r="I871" s="8">
        <v>175.56</v>
      </c>
      <c r="J871" s="8">
        <v>46.66</v>
      </c>
      <c r="K871" s="268">
        <v>0.40649999999999997</v>
      </c>
      <c r="L871" s="268">
        <v>0.30330000000000001</v>
      </c>
      <c r="M871" s="268">
        <v>-4.2000000000000003E-2</v>
      </c>
      <c r="N871" s="8">
        <v>601.74</v>
      </c>
      <c r="O871" s="8">
        <v>8315.4</v>
      </c>
      <c r="P871" s="268">
        <v>7.2400000000000006E-2</v>
      </c>
      <c r="Q871" s="8">
        <v>475</v>
      </c>
      <c r="R871" s="8">
        <v>0</v>
      </c>
      <c r="S871" s="8" t="s">
        <v>6694</v>
      </c>
      <c r="T871" s="8" t="s">
        <v>6695</v>
      </c>
      <c r="U871" s="8" t="s">
        <v>6696</v>
      </c>
      <c r="V871" s="8" t="s">
        <v>6697</v>
      </c>
      <c r="W871" s="8" t="s">
        <v>6698</v>
      </c>
    </row>
    <row r="872" spans="1:23" ht="28" customHeight="1" x14ac:dyDescent="0.3">
      <c r="A872" s="308">
        <v>44987</v>
      </c>
      <c r="B872" s="302">
        <v>2070.0479999999998</v>
      </c>
      <c r="C872" s="8">
        <v>-1.6990000000000001</v>
      </c>
      <c r="D872" s="268">
        <v>-8.0000000000000004E-4</v>
      </c>
      <c r="E872" s="8">
        <v>63.7</v>
      </c>
      <c r="F872" s="8">
        <v>135.09</v>
      </c>
      <c r="G872" s="8">
        <v>123.568</v>
      </c>
      <c r="H872" s="8">
        <v>96.01</v>
      </c>
      <c r="I872" s="8">
        <v>175.17</v>
      </c>
      <c r="J872" s="8">
        <v>43.64</v>
      </c>
      <c r="K872" s="268">
        <v>0.40079999999999999</v>
      </c>
      <c r="L872" s="268">
        <v>0.29260000000000003</v>
      </c>
      <c r="M872" s="268">
        <v>-4.1799999999999997E-2</v>
      </c>
      <c r="N872" s="8">
        <v>661.68</v>
      </c>
      <c r="O872" s="8">
        <v>8319.23</v>
      </c>
      <c r="P872" s="268">
        <v>7.9500000000000001E-2</v>
      </c>
      <c r="Q872" s="8">
        <v>476</v>
      </c>
      <c r="R872" s="8">
        <v>0</v>
      </c>
      <c r="S872" s="8" t="s">
        <v>5778</v>
      </c>
      <c r="T872" s="8" t="s">
        <v>6699</v>
      </c>
      <c r="U872" s="8" t="s">
        <v>6700</v>
      </c>
      <c r="V872" s="8" t="s">
        <v>6701</v>
      </c>
      <c r="W872" s="8" t="s">
        <v>6702</v>
      </c>
    </row>
    <row r="873" spans="1:23" ht="28" customHeight="1" x14ac:dyDescent="0.3">
      <c r="A873" s="308">
        <v>44986</v>
      </c>
      <c r="B873" s="302">
        <v>2071.7469999999998</v>
      </c>
      <c r="C873" s="8">
        <v>16.768999999999998</v>
      </c>
      <c r="D873" s="268">
        <v>8.2000000000000007E-3</v>
      </c>
      <c r="E873" s="8">
        <v>63.64</v>
      </c>
      <c r="F873" s="8">
        <v>135.327</v>
      </c>
      <c r="G873" s="8">
        <v>124.02200000000001</v>
      </c>
      <c r="H873" s="8">
        <v>96.47</v>
      </c>
      <c r="I873" s="8">
        <v>174.86</v>
      </c>
      <c r="J873" s="8">
        <v>41.74</v>
      </c>
      <c r="K873" s="268">
        <v>0.39529999999999998</v>
      </c>
      <c r="L873" s="268">
        <v>0.2878</v>
      </c>
      <c r="M873" s="268">
        <v>-4.1300000000000003E-2</v>
      </c>
      <c r="N873" s="8">
        <v>746.88</v>
      </c>
      <c r="O873" s="8">
        <v>8319.94</v>
      </c>
      <c r="P873" s="268">
        <v>8.9800000000000005E-2</v>
      </c>
      <c r="Q873" s="8">
        <v>476</v>
      </c>
      <c r="R873" s="8">
        <v>0</v>
      </c>
      <c r="S873" s="8" t="s">
        <v>6703</v>
      </c>
      <c r="T873" s="8" t="s">
        <v>6704</v>
      </c>
      <c r="U873" s="8" t="s">
        <v>6705</v>
      </c>
      <c r="V873" s="8" t="s">
        <v>6706</v>
      </c>
      <c r="W873" s="8" t="s">
        <v>6707</v>
      </c>
    </row>
    <row r="874" spans="1:23" ht="28" customHeight="1" x14ac:dyDescent="0.3">
      <c r="A874" s="308">
        <v>44985</v>
      </c>
      <c r="B874" s="302">
        <v>2054.9780000000001</v>
      </c>
      <c r="C874" s="8">
        <v>4.9409999999999998</v>
      </c>
      <c r="D874" s="268">
        <v>2.3999999999999998E-3</v>
      </c>
      <c r="E874" s="8">
        <v>57.99</v>
      </c>
      <c r="F874" s="8">
        <v>134.21199999999999</v>
      </c>
      <c r="G874" s="8">
        <v>122.85</v>
      </c>
      <c r="H874" s="8">
        <v>95.5</v>
      </c>
      <c r="I874" s="8">
        <v>173.78</v>
      </c>
      <c r="J874" s="8">
        <v>40.21</v>
      </c>
      <c r="K874" s="268">
        <v>0.3957</v>
      </c>
      <c r="L874" s="268">
        <v>0.29630000000000001</v>
      </c>
      <c r="M874" s="268">
        <v>-3.85E-2</v>
      </c>
      <c r="N874" s="8">
        <v>690.92</v>
      </c>
      <c r="O874" s="8">
        <v>8321.26</v>
      </c>
      <c r="P874" s="268">
        <v>8.3000000000000004E-2</v>
      </c>
      <c r="Q874" s="8">
        <v>476</v>
      </c>
      <c r="R874" s="8">
        <v>0</v>
      </c>
      <c r="S874" s="8" t="s">
        <v>6708</v>
      </c>
      <c r="T874" s="8" t="s">
        <v>6709</v>
      </c>
      <c r="U874" s="8" t="s">
        <v>6710</v>
      </c>
      <c r="V874" s="8" t="s">
        <v>6711</v>
      </c>
      <c r="W874" s="8" t="s">
        <v>6712</v>
      </c>
    </row>
    <row r="875" spans="1:23" ht="28" customHeight="1" x14ac:dyDescent="0.3">
      <c r="A875" s="308">
        <v>44984</v>
      </c>
      <c r="B875" s="302">
        <v>2050.0369999999998</v>
      </c>
      <c r="C875" s="8">
        <v>-7.8609999999999998</v>
      </c>
      <c r="D875" s="268">
        <v>-3.8E-3</v>
      </c>
      <c r="E875" s="8">
        <v>56.23</v>
      </c>
      <c r="F875" s="8">
        <v>133.941</v>
      </c>
      <c r="G875" s="8">
        <v>122.699</v>
      </c>
      <c r="H875" s="8">
        <v>95.37</v>
      </c>
      <c r="I875" s="8">
        <v>174.37</v>
      </c>
      <c r="J875" s="8">
        <v>43.46</v>
      </c>
      <c r="K875" s="268">
        <v>0.40429999999999999</v>
      </c>
      <c r="L875" s="268">
        <v>0.29330000000000001</v>
      </c>
      <c r="M875" s="268">
        <v>-3.7600000000000001E-2</v>
      </c>
      <c r="N875" s="8">
        <v>596.41</v>
      </c>
      <c r="O875" s="8">
        <v>8322.67</v>
      </c>
      <c r="P875" s="268">
        <v>7.17E-2</v>
      </c>
      <c r="Q875" s="8">
        <v>476</v>
      </c>
      <c r="R875" s="8">
        <v>0</v>
      </c>
      <c r="S875" s="8" t="s">
        <v>6713</v>
      </c>
      <c r="T875" s="8" t="s">
        <v>6714</v>
      </c>
      <c r="U875" s="8" t="s">
        <v>6234</v>
      </c>
      <c r="V875" s="8" t="s">
        <v>6715</v>
      </c>
      <c r="W875" s="8" t="s">
        <v>6716</v>
      </c>
    </row>
    <row r="876" spans="1:23" ht="28" customHeight="1" x14ac:dyDescent="0.3">
      <c r="A876" s="308">
        <v>44981</v>
      </c>
      <c r="B876" s="302">
        <v>2057.8980000000001</v>
      </c>
      <c r="C876" s="8">
        <v>-4.8890000000000002</v>
      </c>
      <c r="D876" s="268">
        <v>-2.3999999999999998E-3</v>
      </c>
      <c r="E876" s="8">
        <v>58.26</v>
      </c>
      <c r="F876" s="8">
        <v>134.477</v>
      </c>
      <c r="G876" s="8">
        <v>122.819</v>
      </c>
      <c r="H876" s="8">
        <v>96.5</v>
      </c>
      <c r="I876" s="8">
        <v>174.1</v>
      </c>
      <c r="J876" s="8">
        <v>42.48</v>
      </c>
      <c r="K876" s="268">
        <v>0.3962</v>
      </c>
      <c r="L876" s="268">
        <v>0.2833</v>
      </c>
      <c r="M876" s="268">
        <v>-3.8600000000000002E-2</v>
      </c>
      <c r="N876" s="8">
        <v>645.95000000000005</v>
      </c>
      <c r="O876" s="8">
        <v>8324.02</v>
      </c>
      <c r="P876" s="268">
        <v>7.7600000000000002E-2</v>
      </c>
      <c r="Q876" s="8">
        <v>477</v>
      </c>
      <c r="R876" s="8">
        <v>0</v>
      </c>
      <c r="S876" s="8" t="s">
        <v>6563</v>
      </c>
      <c r="T876" s="8" t="s">
        <v>6717</v>
      </c>
      <c r="U876" s="8" t="s">
        <v>6718</v>
      </c>
      <c r="V876" s="8" t="s">
        <v>6719</v>
      </c>
      <c r="W876" s="8" t="s">
        <v>6720</v>
      </c>
    </row>
    <row r="877" spans="1:23" ht="28" customHeight="1" x14ac:dyDescent="0.3">
      <c r="A877" s="308">
        <v>44980</v>
      </c>
      <c r="B877" s="302">
        <v>2062.7869999999998</v>
      </c>
      <c r="C877" s="8">
        <v>-4.2169999999999996</v>
      </c>
      <c r="D877" s="268">
        <v>-2E-3</v>
      </c>
      <c r="E877" s="8">
        <v>60.32</v>
      </c>
      <c r="F877" s="8">
        <v>134.82599999999999</v>
      </c>
      <c r="G877" s="8">
        <v>123.184</v>
      </c>
      <c r="H877" s="8">
        <v>96.91</v>
      </c>
      <c r="I877" s="8">
        <v>174.16</v>
      </c>
      <c r="J877" s="8">
        <v>41.28</v>
      </c>
      <c r="K877" s="268">
        <v>0.39329999999999998</v>
      </c>
      <c r="L877" s="268">
        <v>0.28649999999999998</v>
      </c>
      <c r="M877" s="268">
        <v>-3.9899999999999998E-2</v>
      </c>
      <c r="N877" s="8">
        <v>603.61</v>
      </c>
      <c r="O877" s="8">
        <v>8325.06</v>
      </c>
      <c r="P877" s="268">
        <v>7.2499999999999995E-2</v>
      </c>
      <c r="Q877" s="8">
        <v>478</v>
      </c>
      <c r="R877" s="8">
        <v>0</v>
      </c>
      <c r="S877" s="8" t="s">
        <v>2769</v>
      </c>
      <c r="T877" s="8" t="s">
        <v>6721</v>
      </c>
      <c r="U877" s="8" t="s">
        <v>6722</v>
      </c>
      <c r="V877" s="8" t="s">
        <v>6723</v>
      </c>
      <c r="W877" s="8" t="s">
        <v>6724</v>
      </c>
    </row>
    <row r="878" spans="1:23" ht="28" customHeight="1" x14ac:dyDescent="0.3">
      <c r="A878" s="308">
        <v>44979</v>
      </c>
      <c r="B878" s="302">
        <v>2067.0039999999999</v>
      </c>
      <c r="C878" s="8">
        <v>-1.407</v>
      </c>
      <c r="D878" s="268">
        <v>-6.9999999999999999E-4</v>
      </c>
      <c r="E878" s="8">
        <v>61.8</v>
      </c>
      <c r="F878" s="8">
        <v>135.05099999999999</v>
      </c>
      <c r="G878" s="8">
        <v>123.872</v>
      </c>
      <c r="H878" s="8">
        <v>97.14</v>
      </c>
      <c r="I878" s="8">
        <v>174.36</v>
      </c>
      <c r="J878" s="8">
        <v>41.18</v>
      </c>
      <c r="K878" s="268">
        <v>0.3931</v>
      </c>
      <c r="L878" s="268">
        <v>0.29010000000000002</v>
      </c>
      <c r="M878" s="268">
        <v>-4.1300000000000003E-2</v>
      </c>
      <c r="N878" s="8">
        <v>700.96</v>
      </c>
      <c r="O878" s="8">
        <v>8326.31</v>
      </c>
      <c r="P878" s="268">
        <v>8.4199999999999997E-2</v>
      </c>
      <c r="Q878" s="8">
        <v>478</v>
      </c>
      <c r="R878" s="8">
        <v>0</v>
      </c>
      <c r="S878" s="8" t="s">
        <v>6725</v>
      </c>
      <c r="T878" s="8" t="s">
        <v>6726</v>
      </c>
      <c r="U878" s="8" t="s">
        <v>6727</v>
      </c>
      <c r="V878" s="8" t="s">
        <v>6728</v>
      </c>
      <c r="W878" s="8" t="s">
        <v>5715</v>
      </c>
    </row>
    <row r="879" spans="1:23" ht="28" customHeight="1" x14ac:dyDescent="0.3">
      <c r="A879" s="308">
        <v>44978</v>
      </c>
      <c r="B879" s="302">
        <v>2068.4110000000001</v>
      </c>
      <c r="C879" s="8">
        <v>5.1790000000000003</v>
      </c>
      <c r="D879" s="268">
        <v>2.5000000000000001E-3</v>
      </c>
      <c r="E879" s="8">
        <v>63.08</v>
      </c>
      <c r="F879" s="8">
        <v>135.191</v>
      </c>
      <c r="G879" s="8">
        <v>123.73099999999999</v>
      </c>
      <c r="H879" s="8">
        <v>97.21</v>
      </c>
      <c r="I879" s="8">
        <v>174.71</v>
      </c>
      <c r="J879" s="8">
        <v>42.53</v>
      </c>
      <c r="K879" s="268">
        <v>0.3952</v>
      </c>
      <c r="L879" s="268">
        <v>0.2868</v>
      </c>
      <c r="M879" s="268">
        <v>-4.1500000000000002E-2</v>
      </c>
      <c r="N879" s="8">
        <v>715.69</v>
      </c>
      <c r="O879" s="8">
        <v>8326.7099999999991</v>
      </c>
      <c r="P879" s="268">
        <v>8.5999999999999993E-2</v>
      </c>
      <c r="Q879" s="8">
        <v>478</v>
      </c>
      <c r="R879" s="8">
        <v>0</v>
      </c>
      <c r="S879" s="8" t="s">
        <v>2577</v>
      </c>
      <c r="T879" s="8" t="s">
        <v>6729</v>
      </c>
      <c r="U879" s="8" t="s">
        <v>6730</v>
      </c>
      <c r="V879" s="8" t="s">
        <v>6731</v>
      </c>
      <c r="W879" s="8" t="s">
        <v>6732</v>
      </c>
    </row>
    <row r="880" spans="1:23" ht="28" customHeight="1" x14ac:dyDescent="0.3">
      <c r="A880" s="308">
        <v>44977</v>
      </c>
      <c r="B880" s="302">
        <v>2063.232</v>
      </c>
      <c r="C880" s="8">
        <v>19.254000000000001</v>
      </c>
      <c r="D880" s="268">
        <v>9.4000000000000004E-3</v>
      </c>
      <c r="E880" s="8">
        <v>61.1</v>
      </c>
      <c r="F880" s="8">
        <v>134.767</v>
      </c>
      <c r="G880" s="8">
        <v>123.181</v>
      </c>
      <c r="H880" s="8">
        <v>96.7</v>
      </c>
      <c r="I880" s="8">
        <v>174.54</v>
      </c>
      <c r="J880" s="8">
        <v>41.71</v>
      </c>
      <c r="K880" s="268">
        <v>0.3977</v>
      </c>
      <c r="L880" s="268">
        <v>0.2883</v>
      </c>
      <c r="M880" s="268">
        <v>-4.0899999999999999E-2</v>
      </c>
      <c r="N880" s="8">
        <v>805.51</v>
      </c>
      <c r="O880" s="8">
        <v>8327.32</v>
      </c>
      <c r="P880" s="268">
        <v>9.6699999999999994E-2</v>
      </c>
      <c r="Q880" s="8">
        <v>478</v>
      </c>
      <c r="R880" s="8">
        <v>0</v>
      </c>
      <c r="S880" s="8" t="s">
        <v>6733</v>
      </c>
      <c r="T880" s="8" t="s">
        <v>6734</v>
      </c>
      <c r="U880" s="8" t="s">
        <v>6735</v>
      </c>
      <c r="V880" s="8" t="s">
        <v>6736</v>
      </c>
      <c r="W880" s="8" t="s">
        <v>6737</v>
      </c>
    </row>
    <row r="881" spans="1:23" ht="28" customHeight="1" x14ac:dyDescent="0.3">
      <c r="A881" s="308">
        <v>44974</v>
      </c>
      <c r="B881" s="302">
        <v>2043.9780000000001</v>
      </c>
      <c r="C881" s="8">
        <v>-17.896999999999998</v>
      </c>
      <c r="D881" s="268">
        <v>-8.6999999999999994E-3</v>
      </c>
      <c r="E881" s="8">
        <v>53.44</v>
      </c>
      <c r="F881" s="8">
        <v>133.56</v>
      </c>
      <c r="G881" s="8">
        <v>122.08799999999999</v>
      </c>
      <c r="H881" s="8">
        <v>95.36</v>
      </c>
      <c r="I881" s="8">
        <v>173.89</v>
      </c>
      <c r="J881" s="8">
        <v>43.14</v>
      </c>
      <c r="K881" s="268">
        <v>0.40329999999999999</v>
      </c>
      <c r="L881" s="268">
        <v>0.29720000000000002</v>
      </c>
      <c r="M881" s="268">
        <v>-3.7900000000000003E-2</v>
      </c>
      <c r="N881" s="8">
        <v>813.48</v>
      </c>
      <c r="O881" s="8">
        <v>8327.9500000000007</v>
      </c>
      <c r="P881" s="268">
        <v>9.7699999999999995E-2</v>
      </c>
      <c r="Q881" s="8">
        <v>478</v>
      </c>
      <c r="R881" s="8">
        <v>0</v>
      </c>
      <c r="S881" s="8" t="s">
        <v>6738</v>
      </c>
      <c r="T881" s="8" t="s">
        <v>6739</v>
      </c>
      <c r="U881" s="8" t="s">
        <v>6740</v>
      </c>
      <c r="V881" s="8" t="s">
        <v>6741</v>
      </c>
      <c r="W881" s="8" t="s">
        <v>6742</v>
      </c>
    </row>
    <row r="882" spans="1:23" ht="28" customHeight="1" x14ac:dyDescent="0.3">
      <c r="A882" s="308">
        <v>44973</v>
      </c>
      <c r="B882" s="302">
        <v>2061.875</v>
      </c>
      <c r="C882" s="8">
        <v>-22.785</v>
      </c>
      <c r="D882" s="268">
        <v>-1.09E-2</v>
      </c>
      <c r="E882" s="8">
        <v>61.33</v>
      </c>
      <c r="F882" s="8">
        <v>134.887</v>
      </c>
      <c r="G882" s="8">
        <v>123.20099999999999</v>
      </c>
      <c r="H882" s="8">
        <v>95.76</v>
      </c>
      <c r="I882" s="8">
        <v>175.76</v>
      </c>
      <c r="J882" s="8">
        <v>47.65</v>
      </c>
      <c r="K882" s="268">
        <v>0.40870000000000001</v>
      </c>
      <c r="L882" s="268">
        <v>0.29899999999999999</v>
      </c>
      <c r="M882" s="268">
        <v>-3.85E-2</v>
      </c>
      <c r="N882" s="8">
        <v>803.76</v>
      </c>
      <c r="O882" s="8">
        <v>8328.2999999999993</v>
      </c>
      <c r="P882" s="268">
        <v>9.6500000000000002E-2</v>
      </c>
      <c r="Q882" s="8">
        <v>478</v>
      </c>
      <c r="R882" s="8">
        <v>0</v>
      </c>
      <c r="S882" s="8" t="s">
        <v>3026</v>
      </c>
      <c r="T882" s="8" t="s">
        <v>6743</v>
      </c>
      <c r="U882" s="8" t="s">
        <v>6744</v>
      </c>
      <c r="V882" s="8" t="s">
        <v>6745</v>
      </c>
      <c r="W882" s="8" t="s">
        <v>6746</v>
      </c>
    </row>
    <row r="883" spans="1:23" ht="28" customHeight="1" x14ac:dyDescent="0.3">
      <c r="A883" s="308">
        <v>44972</v>
      </c>
      <c r="B883" s="302">
        <v>2084.66</v>
      </c>
      <c r="C883" s="8">
        <v>-5.3710000000000004</v>
      </c>
      <c r="D883" s="268">
        <v>-2.5999999999999999E-3</v>
      </c>
      <c r="E883" s="8">
        <v>69.180000000000007</v>
      </c>
      <c r="F883" s="8">
        <v>136.45599999999999</v>
      </c>
      <c r="G883" s="8">
        <v>124.554</v>
      </c>
      <c r="H883" s="8">
        <v>97.72</v>
      </c>
      <c r="I883" s="8">
        <v>175.66</v>
      </c>
      <c r="J883" s="8">
        <v>41.8</v>
      </c>
      <c r="K883" s="268">
        <v>0.39200000000000002</v>
      </c>
      <c r="L883" s="268">
        <v>0.28920000000000001</v>
      </c>
      <c r="M883" s="268">
        <v>-4.1799999999999997E-2</v>
      </c>
      <c r="N883" s="8">
        <v>679.26</v>
      </c>
      <c r="O883" s="8">
        <v>8328.66</v>
      </c>
      <c r="P883" s="268">
        <v>8.1600000000000006E-2</v>
      </c>
      <c r="Q883" s="8">
        <v>478</v>
      </c>
      <c r="R883" s="8">
        <v>0</v>
      </c>
      <c r="S883" s="8" t="s">
        <v>6422</v>
      </c>
      <c r="T883" s="8" t="s">
        <v>6747</v>
      </c>
      <c r="U883" s="8" t="s">
        <v>6748</v>
      </c>
      <c r="V883" s="8" t="s">
        <v>6749</v>
      </c>
      <c r="W883" s="8" t="s">
        <v>6750</v>
      </c>
    </row>
    <row r="884" spans="1:23" ht="28" customHeight="1" x14ac:dyDescent="0.3">
      <c r="A884" s="308">
        <v>44971</v>
      </c>
      <c r="B884" s="302">
        <v>2090.0309999999999</v>
      </c>
      <c r="C884" s="8">
        <v>-0.314</v>
      </c>
      <c r="D884" s="268">
        <v>-1E-4</v>
      </c>
      <c r="E884" s="8">
        <v>71.959999999999994</v>
      </c>
      <c r="F884" s="8">
        <v>136.78200000000001</v>
      </c>
      <c r="G884" s="8">
        <v>125.167</v>
      </c>
      <c r="H884" s="8">
        <v>97.81</v>
      </c>
      <c r="I884" s="8">
        <v>176.41</v>
      </c>
      <c r="J884" s="8">
        <v>41.88</v>
      </c>
      <c r="K884" s="268">
        <v>0.39629999999999999</v>
      </c>
      <c r="L884" s="268">
        <v>0.29980000000000001</v>
      </c>
      <c r="M884" s="268">
        <v>-4.2500000000000003E-2</v>
      </c>
      <c r="N884" s="8">
        <v>647.12</v>
      </c>
      <c r="O884" s="8">
        <v>8329.0300000000007</v>
      </c>
      <c r="P884" s="268">
        <v>7.7700000000000005E-2</v>
      </c>
      <c r="Q884" s="8">
        <v>478</v>
      </c>
      <c r="R884" s="8">
        <v>0</v>
      </c>
      <c r="S884" s="8" t="s">
        <v>2403</v>
      </c>
      <c r="T884" s="8" t="s">
        <v>6751</v>
      </c>
      <c r="U884" s="8" t="s">
        <v>6752</v>
      </c>
      <c r="V884" s="8" t="s">
        <v>6753</v>
      </c>
      <c r="W884" s="8" t="s">
        <v>6754</v>
      </c>
    </row>
    <row r="885" spans="1:23" ht="28" customHeight="1" x14ac:dyDescent="0.3">
      <c r="A885" s="308">
        <v>44970</v>
      </c>
      <c r="B885" s="302">
        <v>2090.3449999999998</v>
      </c>
      <c r="C885" s="8">
        <v>11.723000000000001</v>
      </c>
      <c r="D885" s="268">
        <v>5.5999999999999999E-3</v>
      </c>
      <c r="E885" s="8">
        <v>72.930000000000007</v>
      </c>
      <c r="F885" s="8">
        <v>136.785</v>
      </c>
      <c r="G885" s="8">
        <v>125.21599999999999</v>
      </c>
      <c r="H885" s="8">
        <v>97.48</v>
      </c>
      <c r="I885" s="8">
        <v>176.87</v>
      </c>
      <c r="J885" s="8">
        <v>43.61</v>
      </c>
      <c r="K885" s="268">
        <v>0.40089999999999998</v>
      </c>
      <c r="L885" s="268">
        <v>0.3034</v>
      </c>
      <c r="M885" s="268">
        <v>-4.2599999999999999E-2</v>
      </c>
      <c r="N885" s="8">
        <v>634.79999999999995</v>
      </c>
      <c r="O885" s="8">
        <v>8330.2000000000007</v>
      </c>
      <c r="P885" s="268">
        <v>7.6200000000000004E-2</v>
      </c>
      <c r="Q885" s="8">
        <v>478</v>
      </c>
      <c r="R885" s="8">
        <v>0</v>
      </c>
      <c r="S885" s="8" t="s">
        <v>2738</v>
      </c>
      <c r="T885" s="8" t="s">
        <v>6755</v>
      </c>
      <c r="U885" s="8" t="s">
        <v>6756</v>
      </c>
      <c r="V885" s="8" t="s">
        <v>6757</v>
      </c>
      <c r="W885" s="8" t="s">
        <v>6758</v>
      </c>
    </row>
    <row r="886" spans="1:23" ht="28" customHeight="1" x14ac:dyDescent="0.3">
      <c r="A886" s="308">
        <v>44967</v>
      </c>
      <c r="B886" s="302">
        <v>2078.6219999999998</v>
      </c>
      <c r="C886" s="8">
        <v>-1.9139999999999999</v>
      </c>
      <c r="D886" s="268">
        <v>-8.9999999999999998E-4</v>
      </c>
      <c r="E886" s="8">
        <v>70.290000000000006</v>
      </c>
      <c r="F886" s="8">
        <v>135.946</v>
      </c>
      <c r="G886" s="8">
        <v>124.276</v>
      </c>
      <c r="H886" s="8">
        <v>96.92</v>
      </c>
      <c r="I886" s="8">
        <v>176.57</v>
      </c>
      <c r="J886" s="8">
        <v>44.74</v>
      </c>
      <c r="K886" s="268">
        <v>0.40620000000000001</v>
      </c>
      <c r="L886" s="268">
        <v>0.30869999999999997</v>
      </c>
      <c r="M886" s="268">
        <v>-4.0899999999999999E-2</v>
      </c>
      <c r="N886" s="8">
        <v>622.65</v>
      </c>
      <c r="O886" s="8">
        <v>8312.2900000000009</v>
      </c>
      <c r="P886" s="268">
        <v>7.4899999999999994E-2</v>
      </c>
      <c r="Q886" s="8">
        <v>476</v>
      </c>
      <c r="R886" s="8">
        <v>0</v>
      </c>
      <c r="S886" s="8" t="s">
        <v>6759</v>
      </c>
      <c r="T886" s="8" t="s">
        <v>6760</v>
      </c>
      <c r="U886" s="8" t="s">
        <v>6761</v>
      </c>
      <c r="V886" s="8" t="s">
        <v>6762</v>
      </c>
      <c r="W886" s="8" t="s">
        <v>6177</v>
      </c>
    </row>
    <row r="887" spans="1:23" ht="28" customHeight="1" x14ac:dyDescent="0.3">
      <c r="A887" s="308">
        <v>44966</v>
      </c>
      <c r="B887" s="302">
        <v>2080.5360000000001</v>
      </c>
      <c r="C887" s="8">
        <v>16</v>
      </c>
      <c r="D887" s="268">
        <v>7.7999999999999996E-3</v>
      </c>
      <c r="E887" s="8">
        <v>71.650000000000006</v>
      </c>
      <c r="F887" s="8">
        <v>136.17599999999999</v>
      </c>
      <c r="G887" s="8">
        <v>124.15300000000001</v>
      </c>
      <c r="H887" s="8">
        <v>96.95</v>
      </c>
      <c r="I887" s="8">
        <v>176.76</v>
      </c>
      <c r="J887" s="8">
        <v>44.23</v>
      </c>
      <c r="K887" s="268">
        <v>0.40589999999999998</v>
      </c>
      <c r="L887" s="268">
        <v>0.30520000000000003</v>
      </c>
      <c r="M887" s="268">
        <v>-4.1000000000000002E-2</v>
      </c>
      <c r="N887" s="8">
        <v>612.13</v>
      </c>
      <c r="O887" s="8">
        <v>8313.07</v>
      </c>
      <c r="P887" s="268">
        <v>7.3599999999999999E-2</v>
      </c>
      <c r="Q887" s="8">
        <v>476</v>
      </c>
      <c r="R887" s="8">
        <v>0</v>
      </c>
      <c r="S887" s="8" t="s">
        <v>2743</v>
      </c>
      <c r="T887" s="8" t="s">
        <v>4161</v>
      </c>
      <c r="U887" s="8" t="s">
        <v>6763</v>
      </c>
      <c r="V887" s="8" t="s">
        <v>6764</v>
      </c>
      <c r="W887" s="8" t="s">
        <v>6765</v>
      </c>
    </row>
    <row r="888" spans="1:23" ht="28" customHeight="1" x14ac:dyDescent="0.3">
      <c r="A888" s="308">
        <v>44965</v>
      </c>
      <c r="B888" s="302">
        <v>2064.5360000000001</v>
      </c>
      <c r="C888" s="8">
        <v>-5.3609999999999998</v>
      </c>
      <c r="D888" s="268">
        <v>-2.5999999999999999E-3</v>
      </c>
      <c r="E888" s="8">
        <v>63.21</v>
      </c>
      <c r="F888" s="8">
        <v>135.12200000000001</v>
      </c>
      <c r="G888" s="8">
        <v>123.26</v>
      </c>
      <c r="H888" s="8">
        <v>96.13</v>
      </c>
      <c r="I888" s="8">
        <v>176.4</v>
      </c>
      <c r="J888" s="8">
        <v>44.49</v>
      </c>
      <c r="K888" s="268">
        <v>0.41270000000000001</v>
      </c>
      <c r="L888" s="268">
        <v>0.3201</v>
      </c>
      <c r="M888" s="268">
        <v>-3.8699999999999998E-2</v>
      </c>
      <c r="N888" s="8">
        <v>630.87</v>
      </c>
      <c r="O888" s="8">
        <v>8311.77</v>
      </c>
      <c r="P888" s="268">
        <v>7.5899999999999995E-2</v>
      </c>
      <c r="Q888" s="8">
        <v>475</v>
      </c>
      <c r="R888" s="8">
        <v>0</v>
      </c>
      <c r="S888" s="8" t="s">
        <v>5259</v>
      </c>
      <c r="T888" s="8" t="s">
        <v>6766</v>
      </c>
      <c r="U888" s="8" t="s">
        <v>6767</v>
      </c>
      <c r="V888" s="8" t="s">
        <v>6768</v>
      </c>
      <c r="W888" s="8" t="s">
        <v>6769</v>
      </c>
    </row>
    <row r="889" spans="1:23" ht="28" customHeight="1" x14ac:dyDescent="0.3">
      <c r="A889" s="308">
        <v>44964</v>
      </c>
      <c r="B889" s="302">
        <v>2069.8969999999999</v>
      </c>
      <c r="C889" s="8">
        <v>8.5340000000000007</v>
      </c>
      <c r="D889" s="268">
        <v>4.1000000000000003E-3</v>
      </c>
      <c r="E889" s="8">
        <v>65.819999999999993</v>
      </c>
      <c r="F889" s="8">
        <v>135.53299999999999</v>
      </c>
      <c r="G889" s="8">
        <v>123.88800000000001</v>
      </c>
      <c r="H889" s="8">
        <v>95.76</v>
      </c>
      <c r="I889" s="8">
        <v>176.73</v>
      </c>
      <c r="J889" s="8">
        <v>44.29</v>
      </c>
      <c r="K889" s="268">
        <v>0.41199999999999998</v>
      </c>
      <c r="L889" s="268">
        <v>0.3211</v>
      </c>
      <c r="M889" s="268">
        <v>-3.9399999999999998E-2</v>
      </c>
      <c r="N889" s="8">
        <v>646.45000000000005</v>
      </c>
      <c r="O889" s="8">
        <v>8282.99</v>
      </c>
      <c r="P889" s="268">
        <v>7.8E-2</v>
      </c>
      <c r="Q889" s="8">
        <v>473</v>
      </c>
      <c r="R889" s="8">
        <v>0</v>
      </c>
      <c r="S889" s="8" t="s">
        <v>6770</v>
      </c>
      <c r="T889" s="8" t="s">
        <v>6771</v>
      </c>
      <c r="U889" s="8" t="s">
        <v>3649</v>
      </c>
      <c r="V889" s="8" t="s">
        <v>6772</v>
      </c>
      <c r="W889" s="8" t="s">
        <v>6773</v>
      </c>
    </row>
    <row r="890" spans="1:23" ht="28" customHeight="1" x14ac:dyDescent="0.3">
      <c r="A890" s="308">
        <v>44963</v>
      </c>
      <c r="B890" s="302">
        <v>2061.3629999999998</v>
      </c>
      <c r="C890" s="8">
        <v>-18.489999999999998</v>
      </c>
      <c r="D890" s="268">
        <v>-8.8999999999999999E-3</v>
      </c>
      <c r="E890" s="8">
        <v>64.040000000000006</v>
      </c>
      <c r="F890" s="8">
        <v>134.90799999999999</v>
      </c>
      <c r="G890" s="8">
        <v>123.20699999999999</v>
      </c>
      <c r="H890" s="8">
        <v>94.41</v>
      </c>
      <c r="I890" s="8">
        <v>176.68</v>
      </c>
      <c r="J890" s="8">
        <v>46.63</v>
      </c>
      <c r="K890" s="268">
        <v>0.41770000000000002</v>
      </c>
      <c r="L890" s="268">
        <v>0.32450000000000001</v>
      </c>
      <c r="M890" s="268">
        <v>-3.8199999999999998E-2</v>
      </c>
      <c r="N890" s="8">
        <v>654.12</v>
      </c>
      <c r="O890" s="8">
        <v>8277.5499999999993</v>
      </c>
      <c r="P890" s="268">
        <v>7.9000000000000001E-2</v>
      </c>
      <c r="Q890" s="8">
        <v>472</v>
      </c>
      <c r="R890" s="8">
        <v>0</v>
      </c>
      <c r="S890" s="8" t="s">
        <v>3813</v>
      </c>
      <c r="T890" s="8" t="s">
        <v>6774</v>
      </c>
      <c r="U890" s="8" t="s">
        <v>6775</v>
      </c>
      <c r="V890" s="8" t="s">
        <v>6776</v>
      </c>
      <c r="W890" s="8" t="s">
        <v>6777</v>
      </c>
    </row>
    <row r="891" spans="1:23" ht="28" customHeight="1" x14ac:dyDescent="0.3">
      <c r="A891" s="308">
        <v>44960</v>
      </c>
      <c r="B891" s="302">
        <v>2079.8530000000001</v>
      </c>
      <c r="C891" s="8">
        <v>-6.2160000000000002</v>
      </c>
      <c r="D891" s="268">
        <v>-3.0000000000000001E-3</v>
      </c>
      <c r="E891" s="8">
        <v>70.33</v>
      </c>
      <c r="F891" s="8">
        <v>136.17599999999999</v>
      </c>
      <c r="G891" s="8">
        <v>124.123</v>
      </c>
      <c r="H891" s="8">
        <v>94.48</v>
      </c>
      <c r="I891" s="8">
        <v>178.91</v>
      </c>
      <c r="J891" s="8">
        <v>51.81</v>
      </c>
      <c r="K891" s="268">
        <v>0.42730000000000001</v>
      </c>
      <c r="L891" s="268">
        <v>0.33339999999999997</v>
      </c>
      <c r="M891" s="268">
        <v>-4.1099999999999998E-2</v>
      </c>
      <c r="N891" s="8">
        <v>651.75</v>
      </c>
      <c r="O891" s="8">
        <v>8278.27</v>
      </c>
      <c r="P891" s="268">
        <v>7.8700000000000006E-2</v>
      </c>
      <c r="Q891" s="8">
        <v>472</v>
      </c>
      <c r="R891" s="8">
        <v>0</v>
      </c>
      <c r="S891" s="8" t="s">
        <v>2437</v>
      </c>
      <c r="T891" s="8" t="s">
        <v>6778</v>
      </c>
      <c r="U891" s="8" t="s">
        <v>6779</v>
      </c>
      <c r="V891" s="8" t="s">
        <v>6780</v>
      </c>
      <c r="W891" s="8" t="s">
        <v>6781</v>
      </c>
    </row>
    <row r="892" spans="1:23" ht="28" customHeight="1" x14ac:dyDescent="0.3">
      <c r="A892" s="308">
        <v>44959</v>
      </c>
      <c r="B892" s="302">
        <v>2086.069</v>
      </c>
      <c r="C892" s="8">
        <v>8.1869999999999994</v>
      </c>
      <c r="D892" s="268">
        <v>3.8999999999999998E-3</v>
      </c>
      <c r="E892" s="8">
        <v>73.41</v>
      </c>
      <c r="F892" s="8">
        <v>136.68899999999999</v>
      </c>
      <c r="G892" s="8">
        <v>124.801</v>
      </c>
      <c r="H892" s="8">
        <v>94.81</v>
      </c>
      <c r="I892" s="8">
        <v>179.7</v>
      </c>
      <c r="J892" s="8">
        <v>51.34</v>
      </c>
      <c r="K892" s="268">
        <v>0.43020000000000003</v>
      </c>
      <c r="L892" s="268">
        <v>0.33479999999999999</v>
      </c>
      <c r="M892" s="268">
        <v>-4.1599999999999998E-2</v>
      </c>
      <c r="N892" s="8">
        <v>644.19000000000005</v>
      </c>
      <c r="O892" s="8">
        <v>8279.27</v>
      </c>
      <c r="P892" s="268">
        <v>7.7799999999999994E-2</v>
      </c>
      <c r="Q892" s="8">
        <v>472</v>
      </c>
      <c r="R892" s="8">
        <v>0</v>
      </c>
      <c r="S892" s="8" t="s">
        <v>2665</v>
      </c>
      <c r="T892" s="8" t="s">
        <v>6782</v>
      </c>
      <c r="U892" s="8" t="s">
        <v>6783</v>
      </c>
      <c r="V892" s="8" t="s">
        <v>6784</v>
      </c>
      <c r="W892" s="8" t="s">
        <v>6785</v>
      </c>
    </row>
    <row r="893" spans="1:23" ht="28" customHeight="1" x14ac:dyDescent="0.3">
      <c r="A893" s="308">
        <v>44958</v>
      </c>
      <c r="B893" s="302">
        <v>2077.8820000000001</v>
      </c>
      <c r="C893" s="8">
        <v>20.369</v>
      </c>
      <c r="D893" s="268">
        <v>9.9000000000000008E-3</v>
      </c>
      <c r="E893" s="8">
        <v>71.72</v>
      </c>
      <c r="F893" s="8">
        <v>136.08699999999999</v>
      </c>
      <c r="G893" s="8">
        <v>124.172</v>
      </c>
      <c r="H893" s="8">
        <v>94.56</v>
      </c>
      <c r="I893" s="8">
        <v>179.21</v>
      </c>
      <c r="J893" s="8">
        <v>48.79</v>
      </c>
      <c r="K893" s="268">
        <v>0.43120000000000003</v>
      </c>
      <c r="L893" s="268">
        <v>0.3301</v>
      </c>
      <c r="M893" s="268">
        <v>-4.1399999999999999E-2</v>
      </c>
      <c r="N893" s="8">
        <v>588.99</v>
      </c>
      <c r="O893" s="8">
        <v>8279.92</v>
      </c>
      <c r="P893" s="268">
        <v>7.1099999999999997E-2</v>
      </c>
      <c r="Q893" s="8">
        <v>472</v>
      </c>
      <c r="R893" s="8">
        <v>0</v>
      </c>
      <c r="S893" s="8" t="s">
        <v>6786</v>
      </c>
      <c r="T893" s="8" t="s">
        <v>6787</v>
      </c>
      <c r="U893" s="8" t="s">
        <v>6788</v>
      </c>
      <c r="V893" s="8" t="s">
        <v>6789</v>
      </c>
      <c r="W893" s="8" t="s">
        <v>6790</v>
      </c>
    </row>
    <row r="894" spans="1:23" ht="28" customHeight="1" x14ac:dyDescent="0.3">
      <c r="A894" s="308">
        <v>44957</v>
      </c>
      <c r="B894" s="302">
        <v>2057.5129999999999</v>
      </c>
      <c r="C894" s="8">
        <v>-3.5659999999999998</v>
      </c>
      <c r="D894" s="268">
        <v>-1.6999999999999999E-3</v>
      </c>
      <c r="E894" s="8">
        <v>65.56</v>
      </c>
      <c r="F894" s="8">
        <v>134.71</v>
      </c>
      <c r="G894" s="8">
        <v>123.378</v>
      </c>
      <c r="H894" s="8">
        <v>93.42</v>
      </c>
      <c r="I894" s="8">
        <v>178.91</v>
      </c>
      <c r="J894" s="8">
        <v>52.46</v>
      </c>
      <c r="K894" s="268">
        <v>0.442</v>
      </c>
      <c r="L894" s="268">
        <v>0.33900000000000002</v>
      </c>
      <c r="M894" s="268">
        <v>-3.7499999999999999E-2</v>
      </c>
      <c r="N894" s="8">
        <v>465.11</v>
      </c>
      <c r="O894" s="8">
        <v>8275.24</v>
      </c>
      <c r="P894" s="268">
        <v>5.62E-2</v>
      </c>
      <c r="Q894" s="8">
        <v>471</v>
      </c>
      <c r="R894" s="8">
        <v>0</v>
      </c>
      <c r="S894" s="8" t="s">
        <v>2671</v>
      </c>
      <c r="T894" s="8" t="s">
        <v>6791</v>
      </c>
      <c r="U894" s="8" t="s">
        <v>6792</v>
      </c>
      <c r="V894" s="8" t="s">
        <v>6584</v>
      </c>
      <c r="W894" s="8" t="s">
        <v>6793</v>
      </c>
    </row>
    <row r="895" spans="1:23" ht="28" customHeight="1" x14ac:dyDescent="0.3">
      <c r="A895" s="308">
        <v>44956</v>
      </c>
      <c r="B895" s="302">
        <v>2061.0790000000002</v>
      </c>
      <c r="C895" s="8">
        <v>15.667999999999999</v>
      </c>
      <c r="D895" s="268">
        <v>7.7000000000000002E-3</v>
      </c>
      <c r="E895" s="8">
        <v>68.14</v>
      </c>
      <c r="F895" s="8">
        <v>134.83500000000001</v>
      </c>
      <c r="G895" s="8">
        <v>123.599</v>
      </c>
      <c r="H895" s="8">
        <v>91.89</v>
      </c>
      <c r="I895" s="8">
        <v>179.92</v>
      </c>
      <c r="J895" s="8">
        <v>56.56</v>
      </c>
      <c r="K895" s="268">
        <v>0.45090000000000002</v>
      </c>
      <c r="L895" s="268">
        <v>0.3468</v>
      </c>
      <c r="M895" s="268">
        <v>-3.8100000000000002E-2</v>
      </c>
      <c r="N895" s="8">
        <v>430.05</v>
      </c>
      <c r="O895" s="8">
        <v>8281.77</v>
      </c>
      <c r="P895" s="268">
        <v>5.1900000000000002E-2</v>
      </c>
      <c r="Q895" s="8">
        <v>472</v>
      </c>
      <c r="R895" s="8">
        <v>0</v>
      </c>
      <c r="S895" s="8" t="s">
        <v>6794</v>
      </c>
      <c r="T895" s="8" t="s">
        <v>6795</v>
      </c>
      <c r="U895" s="8" t="s">
        <v>6796</v>
      </c>
      <c r="V895" s="8" t="s">
        <v>6797</v>
      </c>
      <c r="W895" s="8" t="s">
        <v>6798</v>
      </c>
    </row>
    <row r="896" spans="1:23" ht="28" customHeight="1" x14ac:dyDescent="0.3">
      <c r="A896" s="308">
        <v>44946</v>
      </c>
      <c r="B896" s="302">
        <v>2045.4110000000001</v>
      </c>
      <c r="C896" s="8">
        <v>11.977</v>
      </c>
      <c r="D896" s="268">
        <v>5.8999999999999999E-3</v>
      </c>
      <c r="E896" s="8">
        <v>66.87</v>
      </c>
      <c r="F896" s="8">
        <v>133.61099999999999</v>
      </c>
      <c r="G896" s="8">
        <v>122.789</v>
      </c>
      <c r="H896" s="8">
        <v>90.93</v>
      </c>
      <c r="I896" s="8">
        <v>179.72</v>
      </c>
      <c r="J896" s="8">
        <v>60.17</v>
      </c>
      <c r="K896" s="268">
        <v>0.46110000000000001</v>
      </c>
      <c r="L896" s="268">
        <v>0.35859999999999997</v>
      </c>
      <c r="M896" s="268">
        <v>-3.6700000000000003E-2</v>
      </c>
      <c r="N896" s="8">
        <v>342.38</v>
      </c>
      <c r="O896" s="8">
        <v>8281.7999999999993</v>
      </c>
      <c r="P896" s="268">
        <v>4.1300000000000003E-2</v>
      </c>
      <c r="Q896" s="8">
        <v>472</v>
      </c>
      <c r="R896" s="8">
        <v>0</v>
      </c>
      <c r="S896" s="8" t="s">
        <v>6759</v>
      </c>
      <c r="T896" s="8" t="s">
        <v>6799</v>
      </c>
      <c r="U896" s="8" t="s">
        <v>6611</v>
      </c>
      <c r="V896" s="8" t="s">
        <v>6800</v>
      </c>
      <c r="W896" s="8" t="s">
        <v>6801</v>
      </c>
    </row>
    <row r="897" spans="1:23" ht="28" customHeight="1" x14ac:dyDescent="0.3">
      <c r="A897" s="308">
        <v>44945</v>
      </c>
      <c r="B897" s="302">
        <v>2033.434</v>
      </c>
      <c r="C897" s="8">
        <v>4.6459999999999999</v>
      </c>
      <c r="D897" s="268">
        <v>2.3E-3</v>
      </c>
      <c r="E897" s="8">
        <v>61.77</v>
      </c>
      <c r="F897" s="8">
        <v>132.791</v>
      </c>
      <c r="G897" s="8">
        <v>122.33199999999999</v>
      </c>
      <c r="H897" s="8">
        <v>90.13</v>
      </c>
      <c r="I897" s="8">
        <v>179.1</v>
      </c>
      <c r="J897" s="8">
        <v>60.24</v>
      </c>
      <c r="K897" s="268">
        <v>0.46310000000000001</v>
      </c>
      <c r="L897" s="268">
        <v>0.35770000000000002</v>
      </c>
      <c r="M897" s="268">
        <v>-3.5000000000000003E-2</v>
      </c>
      <c r="N897" s="8">
        <v>361.61</v>
      </c>
      <c r="O897" s="8">
        <v>8282.31</v>
      </c>
      <c r="P897" s="268">
        <v>4.3700000000000003E-2</v>
      </c>
      <c r="Q897" s="8">
        <v>472</v>
      </c>
      <c r="R897" s="8">
        <v>0</v>
      </c>
      <c r="S897" s="8" t="s">
        <v>2665</v>
      </c>
      <c r="T897" s="8" t="s">
        <v>6802</v>
      </c>
      <c r="U897" s="8" t="s">
        <v>6803</v>
      </c>
      <c r="V897" s="8" t="s">
        <v>6804</v>
      </c>
      <c r="W897" s="8" t="s">
        <v>6805</v>
      </c>
    </row>
    <row r="898" spans="1:23" ht="28" customHeight="1" x14ac:dyDescent="0.3">
      <c r="A898" s="308">
        <v>44944</v>
      </c>
      <c r="B898" s="302">
        <v>2028.788</v>
      </c>
      <c r="C898" s="8">
        <v>7.3979999999999997</v>
      </c>
      <c r="D898" s="268">
        <v>3.7000000000000002E-3</v>
      </c>
      <c r="E898" s="8">
        <v>60.74</v>
      </c>
      <c r="F898" s="8">
        <v>132.57499999999999</v>
      </c>
      <c r="G898" s="8">
        <v>121.83199999999999</v>
      </c>
      <c r="H898" s="8">
        <v>89.84</v>
      </c>
      <c r="I898" s="8">
        <v>179.32</v>
      </c>
      <c r="J898" s="8">
        <v>62.12</v>
      </c>
      <c r="K898" s="268">
        <v>0.46750000000000003</v>
      </c>
      <c r="L898" s="268">
        <v>0.3614</v>
      </c>
      <c r="M898" s="268">
        <v>-3.3599999999999998E-2</v>
      </c>
      <c r="N898" s="8">
        <v>353.3</v>
      </c>
      <c r="O898" s="8">
        <v>8282.35</v>
      </c>
      <c r="P898" s="268">
        <v>4.2700000000000002E-2</v>
      </c>
      <c r="Q898" s="8">
        <v>472</v>
      </c>
      <c r="R898" s="8">
        <v>0</v>
      </c>
      <c r="S898" s="8" t="s">
        <v>2895</v>
      </c>
      <c r="T898" s="8" t="s">
        <v>6806</v>
      </c>
      <c r="U898" s="8" t="s">
        <v>6807</v>
      </c>
      <c r="V898" s="8" t="s">
        <v>6808</v>
      </c>
      <c r="W898" s="8" t="s">
        <v>6809</v>
      </c>
    </row>
    <row r="899" spans="1:23" ht="28" customHeight="1" x14ac:dyDescent="0.3">
      <c r="A899" s="308">
        <v>44943</v>
      </c>
      <c r="B899" s="302">
        <v>2021.39</v>
      </c>
      <c r="C899" s="8">
        <v>7.9130000000000003</v>
      </c>
      <c r="D899" s="268">
        <v>3.8999999999999998E-3</v>
      </c>
      <c r="E899" s="8">
        <v>58.33</v>
      </c>
      <c r="F899" s="8">
        <v>132.00399999999999</v>
      </c>
      <c r="G899" s="8">
        <v>121.31699999999999</v>
      </c>
      <c r="H899" s="8">
        <v>89.96</v>
      </c>
      <c r="I899" s="8">
        <v>178.75</v>
      </c>
      <c r="J899" s="8">
        <v>63.46</v>
      </c>
      <c r="K899" s="268">
        <v>0.46750000000000003</v>
      </c>
      <c r="L899" s="268">
        <v>0.36180000000000001</v>
      </c>
      <c r="M899" s="268">
        <v>-3.2399999999999998E-2</v>
      </c>
      <c r="N899" s="8">
        <v>352.07</v>
      </c>
      <c r="O899" s="8">
        <v>8282.4500000000007</v>
      </c>
      <c r="P899" s="268">
        <v>4.2500000000000003E-2</v>
      </c>
      <c r="Q899" s="8">
        <v>472</v>
      </c>
      <c r="R899" s="8">
        <v>0</v>
      </c>
      <c r="S899" s="8" t="s">
        <v>6810</v>
      </c>
      <c r="T899" s="8" t="s">
        <v>6811</v>
      </c>
      <c r="U899" s="8" t="s">
        <v>6812</v>
      </c>
      <c r="V899" s="8" t="s">
        <v>6813</v>
      </c>
      <c r="W899" s="8" t="s">
        <v>6814</v>
      </c>
    </row>
    <row r="900" spans="1:23" ht="28" customHeight="1" x14ac:dyDescent="0.3">
      <c r="A900" s="308">
        <v>44942</v>
      </c>
      <c r="B900" s="302">
        <v>2013.4770000000001</v>
      </c>
      <c r="C900" s="8">
        <v>16.515000000000001</v>
      </c>
      <c r="D900" s="268">
        <v>8.3000000000000001E-3</v>
      </c>
      <c r="E900" s="8">
        <v>55.68</v>
      </c>
      <c r="F900" s="8">
        <v>131.48599999999999</v>
      </c>
      <c r="G900" s="8">
        <v>121.107</v>
      </c>
      <c r="H900" s="8">
        <v>89.9</v>
      </c>
      <c r="I900" s="8">
        <v>177.82</v>
      </c>
      <c r="J900" s="8">
        <v>62.44</v>
      </c>
      <c r="K900" s="268">
        <v>0.46329999999999999</v>
      </c>
      <c r="L900" s="268">
        <v>0.36270000000000002</v>
      </c>
      <c r="M900" s="268">
        <v>-3.1399999999999997E-2</v>
      </c>
      <c r="N900" s="8">
        <v>430.83</v>
      </c>
      <c r="O900" s="8">
        <v>8279.48</v>
      </c>
      <c r="P900" s="268">
        <v>5.1999999999999998E-2</v>
      </c>
      <c r="Q900" s="8">
        <v>471</v>
      </c>
      <c r="R900" s="8">
        <v>0</v>
      </c>
      <c r="S900" s="8" t="s">
        <v>6815</v>
      </c>
      <c r="T900" s="8" t="s">
        <v>6816</v>
      </c>
      <c r="U900" s="8" t="s">
        <v>6817</v>
      </c>
      <c r="V900" s="8" t="s">
        <v>6818</v>
      </c>
      <c r="W900" s="8" t="s">
        <v>6819</v>
      </c>
    </row>
    <row r="901" spans="1:23" ht="28" customHeight="1" x14ac:dyDescent="0.3">
      <c r="A901" s="308">
        <v>44939</v>
      </c>
      <c r="B901" s="302">
        <v>1996.962</v>
      </c>
      <c r="C901" s="8">
        <v>2.633</v>
      </c>
      <c r="D901" s="268">
        <v>1.2999999999999999E-3</v>
      </c>
      <c r="E901" s="8">
        <v>48.57</v>
      </c>
      <c r="F901" s="8">
        <v>130.42400000000001</v>
      </c>
      <c r="G901" s="8">
        <v>120.164</v>
      </c>
      <c r="H901" s="8">
        <v>89.19</v>
      </c>
      <c r="I901" s="8">
        <v>177.45</v>
      </c>
      <c r="J901" s="8">
        <v>63.21</v>
      </c>
      <c r="K901" s="268">
        <v>0.4703</v>
      </c>
      <c r="L901" s="268">
        <v>0.36230000000000001</v>
      </c>
      <c r="M901" s="268">
        <v>-2.8899999999999999E-2</v>
      </c>
      <c r="N901" s="8">
        <v>435.31</v>
      </c>
      <c r="O901" s="8">
        <v>8280.09</v>
      </c>
      <c r="P901" s="268">
        <v>5.2600000000000001E-2</v>
      </c>
      <c r="Q901" s="8">
        <v>471</v>
      </c>
      <c r="R901" s="8">
        <v>0</v>
      </c>
      <c r="S901" s="8" t="s">
        <v>6703</v>
      </c>
      <c r="T901" s="8" t="s">
        <v>3487</v>
      </c>
      <c r="U901" s="8" t="s">
        <v>6820</v>
      </c>
      <c r="V901" s="8" t="s">
        <v>6821</v>
      </c>
      <c r="W901" s="8" t="s">
        <v>6822</v>
      </c>
    </row>
    <row r="902" spans="1:23" ht="28" customHeight="1" x14ac:dyDescent="0.3">
      <c r="A902" s="308">
        <v>44938</v>
      </c>
      <c r="B902" s="302">
        <v>1994.329</v>
      </c>
      <c r="C902" s="8">
        <v>2.0720000000000001</v>
      </c>
      <c r="D902" s="268">
        <v>1E-3</v>
      </c>
      <c r="E902" s="8">
        <v>47.7</v>
      </c>
      <c r="F902" s="8">
        <v>130.30000000000001</v>
      </c>
      <c r="G902" s="8">
        <v>119.694</v>
      </c>
      <c r="H902" s="8">
        <v>88.01</v>
      </c>
      <c r="I902" s="8">
        <v>177.81</v>
      </c>
      <c r="J902" s="8">
        <v>65.83</v>
      </c>
      <c r="K902" s="268">
        <v>0.47510000000000002</v>
      </c>
      <c r="L902" s="268">
        <v>0.36709999999999998</v>
      </c>
      <c r="M902" s="268">
        <v>-2.8199999999999999E-2</v>
      </c>
      <c r="N902" s="8">
        <v>437.66</v>
      </c>
      <c r="O902" s="8">
        <v>8280.1</v>
      </c>
      <c r="P902" s="268">
        <v>5.2900000000000003E-2</v>
      </c>
      <c r="Q902" s="8">
        <v>471</v>
      </c>
      <c r="R902" s="8">
        <v>0</v>
      </c>
      <c r="S902" s="8" t="s">
        <v>2529</v>
      </c>
      <c r="T902" s="8" t="s">
        <v>6823</v>
      </c>
      <c r="U902" s="8" t="s">
        <v>6063</v>
      </c>
      <c r="V902" s="8" t="s">
        <v>6824</v>
      </c>
      <c r="W902" s="8" t="s">
        <v>3117</v>
      </c>
    </row>
    <row r="903" spans="1:23" ht="28" customHeight="1" x14ac:dyDescent="0.3">
      <c r="A903" s="308">
        <v>44937</v>
      </c>
      <c r="B903" s="302">
        <v>1992.2570000000001</v>
      </c>
      <c r="C903" s="8">
        <v>-5.133</v>
      </c>
      <c r="D903" s="268">
        <v>-2.5999999999999999E-3</v>
      </c>
      <c r="E903" s="8">
        <v>46.41</v>
      </c>
      <c r="F903" s="8">
        <v>130.21100000000001</v>
      </c>
      <c r="G903" s="8">
        <v>119.45099999999999</v>
      </c>
      <c r="H903" s="8">
        <v>88.29</v>
      </c>
      <c r="I903" s="8">
        <v>177.61</v>
      </c>
      <c r="J903" s="8">
        <v>63.77</v>
      </c>
      <c r="K903" s="268">
        <v>0.47399999999999998</v>
      </c>
      <c r="L903" s="268">
        <v>0.35849999999999999</v>
      </c>
      <c r="M903" s="268">
        <v>-2.81E-2</v>
      </c>
      <c r="N903" s="8">
        <v>437.5</v>
      </c>
      <c r="O903" s="8">
        <v>8276.68</v>
      </c>
      <c r="P903" s="268">
        <v>5.2900000000000003E-2</v>
      </c>
      <c r="Q903" s="8">
        <v>470</v>
      </c>
      <c r="R903" s="8">
        <v>0</v>
      </c>
      <c r="S903" s="8" t="s">
        <v>2501</v>
      </c>
      <c r="T903" s="8" t="s">
        <v>6825</v>
      </c>
      <c r="U903" s="8" t="s">
        <v>6826</v>
      </c>
      <c r="V903" s="8" t="s">
        <v>6827</v>
      </c>
      <c r="W903" s="8" t="s">
        <v>6828</v>
      </c>
    </row>
    <row r="904" spans="1:23" ht="28" customHeight="1" x14ac:dyDescent="0.3">
      <c r="A904" s="308">
        <v>44936</v>
      </c>
      <c r="B904" s="302">
        <v>1997.39</v>
      </c>
      <c r="C904" s="8">
        <v>-4.7649999999999997</v>
      </c>
      <c r="D904" s="268">
        <v>-2.3999999999999998E-3</v>
      </c>
      <c r="E904" s="8">
        <v>47.3</v>
      </c>
      <c r="F904" s="8">
        <v>130.583</v>
      </c>
      <c r="G904" s="8">
        <v>119.5</v>
      </c>
      <c r="H904" s="8">
        <v>88.45</v>
      </c>
      <c r="I904" s="8">
        <v>177.33</v>
      </c>
      <c r="J904" s="8">
        <v>60.87</v>
      </c>
      <c r="K904" s="268">
        <v>0.46739999999999998</v>
      </c>
      <c r="L904" s="268">
        <v>0.36009999999999998</v>
      </c>
      <c r="M904" s="268">
        <v>-2.8899999999999999E-2</v>
      </c>
      <c r="N904" s="8">
        <v>538.48</v>
      </c>
      <c r="O904" s="8">
        <v>8272.7800000000007</v>
      </c>
      <c r="P904" s="268">
        <v>6.5100000000000005E-2</v>
      </c>
      <c r="Q904" s="8">
        <v>469</v>
      </c>
      <c r="R904" s="8">
        <v>0</v>
      </c>
      <c r="S904" s="8" t="s">
        <v>6663</v>
      </c>
      <c r="T904" s="8" t="s">
        <v>6829</v>
      </c>
      <c r="U904" s="8" t="s">
        <v>6830</v>
      </c>
      <c r="V904" s="8" t="s">
        <v>6831</v>
      </c>
      <c r="W904" s="8" t="s">
        <v>6832</v>
      </c>
    </row>
    <row r="905" spans="1:23" ht="28" customHeight="1" x14ac:dyDescent="0.3">
      <c r="A905" s="308">
        <v>44935</v>
      </c>
      <c r="B905" s="302">
        <v>2002.155</v>
      </c>
      <c r="C905" s="8">
        <v>7.3010000000000002</v>
      </c>
      <c r="D905" s="268">
        <v>3.7000000000000002E-3</v>
      </c>
      <c r="E905" s="8">
        <v>50.87</v>
      </c>
      <c r="F905" s="8">
        <v>131.14099999999999</v>
      </c>
      <c r="G905" s="8">
        <v>120.01</v>
      </c>
      <c r="H905" s="8">
        <v>89.14</v>
      </c>
      <c r="I905" s="8">
        <v>178.11</v>
      </c>
      <c r="J905" s="8">
        <v>61.54</v>
      </c>
      <c r="K905" s="268">
        <v>0.46970000000000001</v>
      </c>
      <c r="L905" s="268">
        <v>0.36020000000000002</v>
      </c>
      <c r="M905" s="268">
        <v>-2.93E-2</v>
      </c>
      <c r="N905" s="8">
        <v>511.34</v>
      </c>
      <c r="O905" s="8">
        <v>8251.32</v>
      </c>
      <c r="P905" s="268">
        <v>6.2E-2</v>
      </c>
      <c r="Q905" s="8">
        <v>467</v>
      </c>
      <c r="R905" s="8">
        <v>0</v>
      </c>
      <c r="S905" s="8" t="s">
        <v>5746</v>
      </c>
      <c r="T905" s="8" t="s">
        <v>6833</v>
      </c>
      <c r="U905" s="8" t="s">
        <v>6834</v>
      </c>
      <c r="V905" s="8" t="s">
        <v>6835</v>
      </c>
      <c r="W905" s="8" t="s">
        <v>6836</v>
      </c>
    </row>
    <row r="906" spans="1:23" ht="28" customHeight="1" x14ac:dyDescent="0.3">
      <c r="A906" s="308">
        <v>44932</v>
      </c>
      <c r="B906" s="302">
        <v>1994.854</v>
      </c>
      <c r="C906" s="8">
        <v>10.654999999999999</v>
      </c>
      <c r="D906" s="268">
        <v>5.4000000000000003E-3</v>
      </c>
      <c r="E906" s="8">
        <v>49.64</v>
      </c>
      <c r="F906" s="8">
        <v>130.61699999999999</v>
      </c>
      <c r="G906" s="8">
        <v>119.688</v>
      </c>
      <c r="H906" s="8">
        <v>88.65</v>
      </c>
      <c r="I906" s="8">
        <v>177.87</v>
      </c>
      <c r="J906" s="8">
        <v>62.41</v>
      </c>
      <c r="K906" s="268">
        <v>0.47249999999999998</v>
      </c>
      <c r="L906" s="268">
        <v>0.35930000000000001</v>
      </c>
      <c r="M906" s="268">
        <v>-2.8299999999999999E-2</v>
      </c>
      <c r="N906" s="8">
        <v>565.38</v>
      </c>
      <c r="O906" s="8">
        <v>8223.1200000000008</v>
      </c>
      <c r="P906" s="268">
        <v>6.88E-2</v>
      </c>
      <c r="Q906" s="8">
        <v>465</v>
      </c>
      <c r="R906" s="8">
        <v>0</v>
      </c>
      <c r="S906" s="8" t="s">
        <v>2403</v>
      </c>
      <c r="T906" s="8" t="s">
        <v>6837</v>
      </c>
      <c r="U906" s="8" t="s">
        <v>6838</v>
      </c>
      <c r="V906" s="8" t="s">
        <v>6839</v>
      </c>
      <c r="W906" s="8" t="s">
        <v>6840</v>
      </c>
    </row>
    <row r="907" spans="1:23" ht="28" customHeight="1" x14ac:dyDescent="0.3">
      <c r="A907" s="308">
        <v>44931</v>
      </c>
      <c r="B907" s="302">
        <v>1984.1990000000001</v>
      </c>
      <c r="C907" s="8">
        <v>19.081</v>
      </c>
      <c r="D907" s="268">
        <v>9.7000000000000003E-3</v>
      </c>
      <c r="E907" s="8">
        <v>47.5</v>
      </c>
      <c r="F907" s="8">
        <v>129.774</v>
      </c>
      <c r="G907" s="8">
        <v>119.133</v>
      </c>
      <c r="H907" s="8">
        <v>89.07</v>
      </c>
      <c r="I907" s="8">
        <v>176.4</v>
      </c>
      <c r="J907" s="8">
        <v>61.54</v>
      </c>
      <c r="K907" s="268">
        <v>0.4662</v>
      </c>
      <c r="L907" s="268">
        <v>0.35699999999999998</v>
      </c>
      <c r="M907" s="268">
        <v>-2.8199999999999999E-2</v>
      </c>
      <c r="N907" s="8">
        <v>543.76</v>
      </c>
      <c r="O907" s="8">
        <v>8224.44</v>
      </c>
      <c r="P907" s="268">
        <v>6.6100000000000006E-2</v>
      </c>
      <c r="Q907" s="8">
        <v>465</v>
      </c>
      <c r="R907" s="8">
        <v>0</v>
      </c>
      <c r="S907" s="8" t="s">
        <v>6841</v>
      </c>
      <c r="T907" s="8" t="s">
        <v>6842</v>
      </c>
      <c r="U907" s="8" t="s">
        <v>6843</v>
      </c>
      <c r="V907" s="8" t="s">
        <v>6844</v>
      </c>
      <c r="W907" s="8" t="s">
        <v>6845</v>
      </c>
    </row>
    <row r="908" spans="1:23" ht="28" customHeight="1" x14ac:dyDescent="0.3">
      <c r="A908" s="308">
        <v>44930</v>
      </c>
      <c r="B908" s="302">
        <v>1965.1179999999999</v>
      </c>
      <c r="C908" s="8">
        <v>6.9710000000000001</v>
      </c>
      <c r="D908" s="268">
        <v>3.5999999999999999E-3</v>
      </c>
      <c r="E908" s="8">
        <v>38.520000000000003</v>
      </c>
      <c r="F908" s="8">
        <v>128.42400000000001</v>
      </c>
      <c r="G908" s="8">
        <v>118.05</v>
      </c>
      <c r="H908" s="8">
        <v>88.09</v>
      </c>
      <c r="I908" s="8">
        <v>175.04</v>
      </c>
      <c r="J908" s="8">
        <v>61.44</v>
      </c>
      <c r="K908" s="268">
        <v>0.4662</v>
      </c>
      <c r="L908" s="268">
        <v>0.3463</v>
      </c>
      <c r="M908" s="268">
        <v>-2.6599999999999999E-2</v>
      </c>
      <c r="N908" s="8">
        <v>491.52</v>
      </c>
      <c r="O908" s="8">
        <v>8212.73</v>
      </c>
      <c r="P908" s="268">
        <v>5.9799999999999999E-2</v>
      </c>
      <c r="Q908" s="8">
        <v>463</v>
      </c>
      <c r="R908" s="8">
        <v>0</v>
      </c>
      <c r="S908" s="8" t="s">
        <v>2559</v>
      </c>
      <c r="T908" s="8" t="s">
        <v>6846</v>
      </c>
      <c r="U908" s="8" t="s">
        <v>6847</v>
      </c>
      <c r="V908" s="8" t="s">
        <v>6848</v>
      </c>
      <c r="W908" s="8" t="s">
        <v>6849</v>
      </c>
    </row>
    <row r="909" spans="1:23" ht="28" customHeight="1" x14ac:dyDescent="0.3">
      <c r="A909" s="308">
        <v>44929</v>
      </c>
      <c r="B909" s="302">
        <v>1958.1469999999999</v>
      </c>
      <c r="C909" s="8">
        <v>19.847999999999999</v>
      </c>
      <c r="D909" s="268">
        <v>1.0200000000000001E-2</v>
      </c>
      <c r="E909" s="8">
        <v>35.340000000000003</v>
      </c>
      <c r="F909" s="8">
        <v>128.036</v>
      </c>
      <c r="G909" s="8">
        <v>117.474</v>
      </c>
      <c r="H909" s="8">
        <v>87.4</v>
      </c>
      <c r="I909" s="8">
        <v>174.55</v>
      </c>
      <c r="J909" s="8">
        <v>60.07</v>
      </c>
      <c r="K909" s="268">
        <v>0.46510000000000001</v>
      </c>
      <c r="L909" s="268">
        <v>0.35189999999999999</v>
      </c>
      <c r="M909" s="268">
        <v>-2.5399999999999999E-2</v>
      </c>
      <c r="N909" s="8">
        <v>488.88</v>
      </c>
      <c r="O909" s="8">
        <v>8214.5499999999993</v>
      </c>
      <c r="P909" s="268">
        <v>5.9499999999999997E-2</v>
      </c>
      <c r="Q909" s="8">
        <v>464</v>
      </c>
      <c r="R909" s="8">
        <v>0</v>
      </c>
      <c r="S909" s="8" t="s">
        <v>3100</v>
      </c>
      <c r="T909" s="8" t="s">
        <v>6850</v>
      </c>
      <c r="U909" s="8" t="s">
        <v>6851</v>
      </c>
      <c r="V909" s="8" t="s">
        <v>6852</v>
      </c>
      <c r="W909" s="8" t="s">
        <v>6853</v>
      </c>
    </row>
    <row r="910" spans="1:23" ht="28" customHeight="1" x14ac:dyDescent="0.3">
      <c r="A910" s="308">
        <v>44925</v>
      </c>
      <c r="B910" s="302">
        <v>1938.299</v>
      </c>
      <c r="C910" s="8">
        <v>-1.2609999999999999</v>
      </c>
      <c r="D910" s="268">
        <v>-6.9999999999999999E-4</v>
      </c>
      <c r="E910" s="8">
        <v>30.66</v>
      </c>
      <c r="F910" s="8">
        <v>126.53100000000001</v>
      </c>
      <c r="G910" s="8">
        <v>116.48</v>
      </c>
      <c r="H910" s="8">
        <v>86.21</v>
      </c>
      <c r="I910" s="8">
        <v>174.36</v>
      </c>
      <c r="J910" s="8">
        <v>66.67</v>
      </c>
      <c r="K910" s="268">
        <v>0.4783</v>
      </c>
      <c r="L910" s="268">
        <v>0.36620000000000003</v>
      </c>
      <c r="M910" s="268">
        <v>-2.24E-2</v>
      </c>
      <c r="N910" s="8">
        <v>463.78</v>
      </c>
      <c r="O910" s="8">
        <v>8215.51</v>
      </c>
      <c r="P910" s="268">
        <v>5.6500000000000002E-2</v>
      </c>
      <c r="Q910" s="8">
        <v>465</v>
      </c>
      <c r="R910" s="8">
        <v>0</v>
      </c>
      <c r="S910" s="8" t="s">
        <v>6854</v>
      </c>
      <c r="T910" s="8" t="s">
        <v>6855</v>
      </c>
      <c r="U910" s="8" t="s">
        <v>6856</v>
      </c>
      <c r="V910" s="8" t="s">
        <v>5867</v>
      </c>
      <c r="W910" s="8" t="s">
        <v>6857</v>
      </c>
    </row>
    <row r="911" spans="1:23" ht="28" customHeight="1" x14ac:dyDescent="0.3">
      <c r="A911" s="308">
        <v>44924</v>
      </c>
      <c r="B911" s="302">
        <v>1939.56</v>
      </c>
      <c r="C911" s="8">
        <v>-8.298</v>
      </c>
      <c r="D911" s="268">
        <v>-4.3E-3</v>
      </c>
      <c r="E911" s="8">
        <v>30.4</v>
      </c>
      <c r="F911" s="8">
        <v>126.667</v>
      </c>
      <c r="G911" s="8">
        <v>116.45399999999999</v>
      </c>
      <c r="H911" s="8">
        <v>85.32</v>
      </c>
      <c r="I911" s="8">
        <v>175.24</v>
      </c>
      <c r="J911" s="8">
        <v>68.14</v>
      </c>
      <c r="K911" s="268">
        <v>0.48570000000000002</v>
      </c>
      <c r="L911" s="268">
        <v>0.3765</v>
      </c>
      <c r="M911" s="268">
        <v>-2.2499999999999999E-2</v>
      </c>
      <c r="N911" s="8">
        <v>492.4</v>
      </c>
      <c r="O911" s="8">
        <v>8228.64</v>
      </c>
      <c r="P911" s="268">
        <v>5.9799999999999999E-2</v>
      </c>
      <c r="Q911" s="8">
        <v>466</v>
      </c>
      <c r="R911" s="8">
        <v>0</v>
      </c>
      <c r="S911" s="8" t="s">
        <v>6858</v>
      </c>
      <c r="T911" s="8" t="s">
        <v>6859</v>
      </c>
      <c r="U911" s="8" t="s">
        <v>6860</v>
      </c>
      <c r="V911" s="8" t="s">
        <v>6861</v>
      </c>
      <c r="W911" s="8" t="s">
        <v>6862</v>
      </c>
    </row>
    <row r="912" spans="1:23" ht="28" customHeight="1" x14ac:dyDescent="0.3">
      <c r="A912" s="308">
        <v>44923</v>
      </c>
      <c r="B912" s="302">
        <v>1947.8579999999999</v>
      </c>
      <c r="C912" s="8">
        <v>-8.3529999999999998</v>
      </c>
      <c r="D912" s="268">
        <v>-4.3E-3</v>
      </c>
      <c r="E912" s="8">
        <v>31.82</v>
      </c>
      <c r="F912" s="8">
        <v>127.236</v>
      </c>
      <c r="G912" s="8">
        <v>117.033</v>
      </c>
      <c r="H912" s="8">
        <v>85.76</v>
      </c>
      <c r="I912" s="8">
        <v>175.86</v>
      </c>
      <c r="J912" s="8">
        <v>68.89</v>
      </c>
      <c r="K912" s="268">
        <v>0.48630000000000001</v>
      </c>
      <c r="L912" s="268">
        <v>0.37559999999999999</v>
      </c>
      <c r="M912" s="268">
        <v>-2.3800000000000002E-2</v>
      </c>
      <c r="N912" s="8">
        <v>460.17</v>
      </c>
      <c r="O912" s="8">
        <v>8229.65</v>
      </c>
      <c r="P912" s="268">
        <v>5.5899999999999998E-2</v>
      </c>
      <c r="Q912" s="8">
        <v>466</v>
      </c>
      <c r="R912" s="8">
        <v>0</v>
      </c>
      <c r="S912" s="8" t="s">
        <v>2607</v>
      </c>
      <c r="T912" s="8" t="s">
        <v>6863</v>
      </c>
      <c r="U912" s="8" t="s">
        <v>6864</v>
      </c>
      <c r="V912" s="8" t="s">
        <v>6865</v>
      </c>
      <c r="W912" s="8" t="s">
        <v>6866</v>
      </c>
    </row>
    <row r="913" spans="1:23" ht="28" customHeight="1" x14ac:dyDescent="0.3">
      <c r="A913" s="308">
        <v>44922</v>
      </c>
      <c r="B913" s="302">
        <v>1956.211</v>
      </c>
      <c r="C913" s="8">
        <v>15.41</v>
      </c>
      <c r="D913" s="268">
        <v>7.9000000000000008E-3</v>
      </c>
      <c r="E913" s="8">
        <v>35.81</v>
      </c>
      <c r="F913" s="8">
        <v>127.872</v>
      </c>
      <c r="G913" s="8">
        <v>117.789</v>
      </c>
      <c r="H913" s="8">
        <v>86.89</v>
      </c>
      <c r="I913" s="8">
        <v>175.41</v>
      </c>
      <c r="J913" s="8">
        <v>66.47</v>
      </c>
      <c r="K913" s="268">
        <v>0.47539999999999999</v>
      </c>
      <c r="L913" s="268">
        <v>0.3674</v>
      </c>
      <c r="M913" s="268">
        <v>-2.5000000000000001E-2</v>
      </c>
      <c r="N913" s="8">
        <v>490.99</v>
      </c>
      <c r="O913" s="8">
        <v>8230.5300000000007</v>
      </c>
      <c r="P913" s="268">
        <v>5.9700000000000003E-2</v>
      </c>
      <c r="Q913" s="8">
        <v>466</v>
      </c>
      <c r="R913" s="8">
        <v>0</v>
      </c>
      <c r="S913" s="8" t="s">
        <v>3874</v>
      </c>
      <c r="T913" s="8" t="s">
        <v>6867</v>
      </c>
      <c r="U913" s="8" t="s">
        <v>6868</v>
      </c>
      <c r="V913" s="8" t="s">
        <v>6869</v>
      </c>
      <c r="W913" s="8" t="s">
        <v>6870</v>
      </c>
    </row>
    <row r="914" spans="1:23" ht="28" customHeight="1" x14ac:dyDescent="0.3">
      <c r="A914" s="308">
        <v>44921</v>
      </c>
      <c r="B914" s="302">
        <v>1940.8009999999999</v>
      </c>
      <c r="C914" s="8">
        <v>21.952000000000002</v>
      </c>
      <c r="D914" s="268">
        <v>1.14E-2</v>
      </c>
      <c r="E914" s="8">
        <v>30.53</v>
      </c>
      <c r="F914" s="8">
        <v>126.913</v>
      </c>
      <c r="G914" s="8">
        <v>116.486</v>
      </c>
      <c r="H914" s="8">
        <v>86.03</v>
      </c>
      <c r="I914" s="8">
        <v>174.48</v>
      </c>
      <c r="J914" s="8">
        <v>65.94</v>
      </c>
      <c r="K914" s="268">
        <v>0.47570000000000001</v>
      </c>
      <c r="L914" s="268">
        <v>0.37769999999999998</v>
      </c>
      <c r="M914" s="268">
        <v>-2.29E-2</v>
      </c>
      <c r="N914" s="8">
        <v>510.06</v>
      </c>
      <c r="O914" s="8">
        <v>8232.69</v>
      </c>
      <c r="P914" s="268">
        <v>6.2E-2</v>
      </c>
      <c r="Q914" s="8">
        <v>466</v>
      </c>
      <c r="R914" s="8">
        <v>0</v>
      </c>
      <c r="S914" s="8" t="s">
        <v>6871</v>
      </c>
      <c r="T914" s="8" t="s">
        <v>6872</v>
      </c>
      <c r="U914" s="8" t="s">
        <v>6873</v>
      </c>
      <c r="V914" s="8" t="s">
        <v>6874</v>
      </c>
      <c r="W914" s="8" t="s">
        <v>6875</v>
      </c>
    </row>
    <row r="915" spans="1:23" ht="28" customHeight="1" x14ac:dyDescent="0.3">
      <c r="A915" s="308">
        <v>44918</v>
      </c>
      <c r="B915" s="302">
        <v>1918.8489999999999</v>
      </c>
      <c r="C915" s="8">
        <v>-10.69</v>
      </c>
      <c r="D915" s="268">
        <v>-5.4999999999999997E-3</v>
      </c>
      <c r="E915" s="8">
        <v>22.06</v>
      </c>
      <c r="F915" s="8">
        <v>125.371</v>
      </c>
      <c r="G915" s="8">
        <v>115.501</v>
      </c>
      <c r="H915" s="8">
        <v>84.82</v>
      </c>
      <c r="I915" s="8">
        <v>173.94</v>
      </c>
      <c r="J915" s="8">
        <v>70.02</v>
      </c>
      <c r="K915" s="268">
        <v>0.48570000000000002</v>
      </c>
      <c r="L915" s="268">
        <v>0.3846</v>
      </c>
      <c r="M915" s="268">
        <v>-1.9800000000000002E-2</v>
      </c>
      <c r="N915" s="8">
        <v>559.80999999999995</v>
      </c>
      <c r="O915" s="8">
        <v>8228.56</v>
      </c>
      <c r="P915" s="268">
        <v>6.8000000000000005E-2</v>
      </c>
      <c r="Q915" s="8">
        <v>465</v>
      </c>
      <c r="R915" s="8">
        <v>0</v>
      </c>
      <c r="S915" s="8" t="s">
        <v>3042</v>
      </c>
      <c r="T915" s="8" t="s">
        <v>6876</v>
      </c>
      <c r="U915" s="8" t="s">
        <v>6877</v>
      </c>
      <c r="V915" s="8" t="s">
        <v>6878</v>
      </c>
      <c r="W915" s="8" t="s">
        <v>6879</v>
      </c>
    </row>
    <row r="916" spans="1:23" ht="28" customHeight="1" x14ac:dyDescent="0.3">
      <c r="A916" s="308">
        <v>44917</v>
      </c>
      <c r="B916" s="302">
        <v>1929.539</v>
      </c>
      <c r="C916" s="8">
        <v>-10.145</v>
      </c>
      <c r="D916" s="268">
        <v>-5.1999999999999998E-3</v>
      </c>
      <c r="E916" s="8">
        <v>26.25</v>
      </c>
      <c r="F916" s="8">
        <v>126.258</v>
      </c>
      <c r="G916" s="8">
        <v>115.988</v>
      </c>
      <c r="H916" s="8">
        <v>84.32</v>
      </c>
      <c r="I916" s="8">
        <v>175.3</v>
      </c>
      <c r="J916" s="8">
        <v>69.86</v>
      </c>
      <c r="K916" s="268">
        <v>0.4904</v>
      </c>
      <c r="L916" s="268">
        <v>0.3901</v>
      </c>
      <c r="M916" s="268">
        <v>-2.07E-2</v>
      </c>
      <c r="N916" s="8">
        <v>524.34</v>
      </c>
      <c r="O916" s="8">
        <v>8189.18</v>
      </c>
      <c r="P916" s="268">
        <v>6.4000000000000001E-2</v>
      </c>
      <c r="Q916" s="8">
        <v>463</v>
      </c>
      <c r="R916" s="8">
        <v>0</v>
      </c>
      <c r="S916" s="8" t="s">
        <v>2659</v>
      </c>
      <c r="T916" s="8" t="s">
        <v>6880</v>
      </c>
      <c r="U916" s="8" t="s">
        <v>6881</v>
      </c>
      <c r="V916" s="8" t="s">
        <v>6882</v>
      </c>
      <c r="W916" s="8" t="s">
        <v>6883</v>
      </c>
    </row>
    <row r="917" spans="1:23" ht="28" customHeight="1" x14ac:dyDescent="0.3">
      <c r="A917" s="308">
        <v>44916</v>
      </c>
      <c r="B917" s="302">
        <v>1939.684</v>
      </c>
      <c r="C917" s="8">
        <v>-2.0779999999999998</v>
      </c>
      <c r="D917" s="268">
        <v>-1.1000000000000001E-3</v>
      </c>
      <c r="E917" s="8">
        <v>28.95</v>
      </c>
      <c r="F917" s="8">
        <v>127.149</v>
      </c>
      <c r="G917" s="8">
        <v>116.636</v>
      </c>
      <c r="H917" s="8">
        <v>85.2</v>
      </c>
      <c r="I917" s="8">
        <v>174.83</v>
      </c>
      <c r="J917" s="8">
        <v>66.67</v>
      </c>
      <c r="K917" s="268">
        <v>0.4768</v>
      </c>
      <c r="L917" s="268">
        <v>0.37090000000000001</v>
      </c>
      <c r="M917" s="268">
        <v>-2.1700000000000001E-2</v>
      </c>
      <c r="N917" s="8">
        <v>392.72</v>
      </c>
      <c r="O917" s="8">
        <v>8170.38</v>
      </c>
      <c r="P917" s="268">
        <v>4.8099999999999997E-2</v>
      </c>
      <c r="Q917" s="8">
        <v>462</v>
      </c>
      <c r="R917" s="8">
        <v>0</v>
      </c>
      <c r="S917" s="8" t="s">
        <v>5772</v>
      </c>
      <c r="T917" s="8" t="s">
        <v>6884</v>
      </c>
      <c r="U917" s="8" t="s">
        <v>6885</v>
      </c>
      <c r="V917" s="8" t="s">
        <v>6886</v>
      </c>
      <c r="W917" s="8" t="s">
        <v>6887</v>
      </c>
    </row>
    <row r="918" spans="1:23" ht="28" customHeight="1" x14ac:dyDescent="0.3">
      <c r="A918" s="308">
        <v>44915</v>
      </c>
      <c r="B918" s="302">
        <v>1941.7619999999999</v>
      </c>
      <c r="C918" s="8">
        <v>-5.3550000000000004</v>
      </c>
      <c r="D918" s="268">
        <v>-2.8E-3</v>
      </c>
      <c r="E918" s="8">
        <v>28.89</v>
      </c>
      <c r="F918" s="8">
        <v>127.27</v>
      </c>
      <c r="G918" s="8">
        <v>116.789</v>
      </c>
      <c r="H918" s="8">
        <v>86.16</v>
      </c>
      <c r="I918" s="8">
        <v>173.91</v>
      </c>
      <c r="J918" s="8">
        <v>62</v>
      </c>
      <c r="K918" s="268">
        <v>0.46639999999999998</v>
      </c>
      <c r="L918" s="268">
        <v>0.36430000000000001</v>
      </c>
      <c r="M918" s="268">
        <v>-2.1899999999999999E-2</v>
      </c>
      <c r="N918" s="8">
        <v>428.06</v>
      </c>
      <c r="O918" s="8">
        <v>8192.02</v>
      </c>
      <c r="P918" s="268">
        <v>5.2299999999999999E-2</v>
      </c>
      <c r="Q918" s="8">
        <v>463</v>
      </c>
      <c r="R918" s="8">
        <v>0</v>
      </c>
      <c r="S918" s="8" t="s">
        <v>2889</v>
      </c>
      <c r="T918" s="8" t="s">
        <v>3314</v>
      </c>
      <c r="U918" s="8" t="s">
        <v>6888</v>
      </c>
      <c r="V918" s="8" t="s">
        <v>6889</v>
      </c>
      <c r="W918" s="8" t="s">
        <v>6890</v>
      </c>
    </row>
    <row r="919" spans="1:23" ht="28" customHeight="1" x14ac:dyDescent="0.3">
      <c r="A919" s="308">
        <v>44914</v>
      </c>
      <c r="B919" s="302">
        <v>1947.117</v>
      </c>
      <c r="C919" s="8">
        <v>-21.297999999999998</v>
      </c>
      <c r="D919" s="268">
        <v>-1.0800000000000001E-2</v>
      </c>
      <c r="E919" s="8">
        <v>31.56</v>
      </c>
      <c r="F919" s="8">
        <v>127.699</v>
      </c>
      <c r="G919" s="8">
        <v>117.294</v>
      </c>
      <c r="H919" s="8">
        <v>86.97</v>
      </c>
      <c r="I919" s="8">
        <v>173.77</v>
      </c>
      <c r="J919" s="8">
        <v>60.54</v>
      </c>
      <c r="K919" s="268">
        <v>0.4607</v>
      </c>
      <c r="L919" s="268">
        <v>0.3664</v>
      </c>
      <c r="M919" s="268">
        <v>-2.2599999999999999E-2</v>
      </c>
      <c r="N919" s="8">
        <v>436.57</v>
      </c>
      <c r="O919" s="8">
        <v>8115.54</v>
      </c>
      <c r="P919" s="268">
        <v>5.3800000000000001E-2</v>
      </c>
      <c r="Q919" s="8">
        <v>463</v>
      </c>
      <c r="R919" s="8">
        <v>0</v>
      </c>
      <c r="S919" s="8" t="s">
        <v>6891</v>
      </c>
      <c r="T919" s="8" t="s">
        <v>6892</v>
      </c>
      <c r="U919" s="8" t="s">
        <v>6893</v>
      </c>
      <c r="V919" s="8" t="s">
        <v>6894</v>
      </c>
      <c r="W919" s="8" t="s">
        <v>6895</v>
      </c>
    </row>
    <row r="920" spans="1:23" ht="28" customHeight="1" x14ac:dyDescent="0.3">
      <c r="A920" s="308">
        <v>44911</v>
      </c>
      <c r="B920" s="302">
        <v>1968.415</v>
      </c>
      <c r="C920" s="8">
        <v>-20.565999999999999</v>
      </c>
      <c r="D920" s="268">
        <v>-1.03E-2</v>
      </c>
      <c r="E920" s="8">
        <v>35.69</v>
      </c>
      <c r="F920" s="8">
        <v>128.94</v>
      </c>
      <c r="G920" s="8">
        <v>118.655</v>
      </c>
      <c r="H920" s="8">
        <v>88.58</v>
      </c>
      <c r="I920" s="8">
        <v>173.07</v>
      </c>
      <c r="J920" s="8">
        <v>55.42</v>
      </c>
      <c r="K920" s="268">
        <v>0.44130000000000003</v>
      </c>
      <c r="L920" s="268">
        <v>0.34350000000000003</v>
      </c>
      <c r="M920" s="268">
        <v>-2.58E-2</v>
      </c>
      <c r="N920" s="8">
        <v>490.76</v>
      </c>
      <c r="O920" s="8">
        <v>8110.11</v>
      </c>
      <c r="P920" s="268">
        <v>6.0499999999999998E-2</v>
      </c>
      <c r="Q920" s="8">
        <v>462</v>
      </c>
      <c r="R920" s="8">
        <v>0</v>
      </c>
      <c r="S920" s="8" t="s">
        <v>6896</v>
      </c>
      <c r="T920" s="8" t="s">
        <v>6897</v>
      </c>
      <c r="U920" s="8" t="s">
        <v>6898</v>
      </c>
      <c r="V920" s="8" t="s">
        <v>6899</v>
      </c>
      <c r="W920" s="8" t="s">
        <v>6900</v>
      </c>
    </row>
    <row r="921" spans="1:23" ht="28" customHeight="1" x14ac:dyDescent="0.3">
      <c r="A921" s="308">
        <v>44910</v>
      </c>
      <c r="B921" s="302">
        <v>1988.981</v>
      </c>
      <c r="C921" s="8">
        <v>2.6619999999999999</v>
      </c>
      <c r="D921" s="268">
        <v>1.2999999999999999E-3</v>
      </c>
      <c r="E921" s="8">
        <v>41.05</v>
      </c>
      <c r="F921" s="8">
        <v>130.696</v>
      </c>
      <c r="G921" s="8">
        <v>119.776</v>
      </c>
      <c r="H921" s="8">
        <v>89.3</v>
      </c>
      <c r="I921" s="8">
        <v>174.5</v>
      </c>
      <c r="J921" s="8">
        <v>55.4</v>
      </c>
      <c r="K921" s="268">
        <v>0.438</v>
      </c>
      <c r="L921" s="268">
        <v>0.34589999999999999</v>
      </c>
      <c r="M921" s="268">
        <v>-2.8799999999999999E-2</v>
      </c>
      <c r="N921" s="8">
        <v>496.12</v>
      </c>
      <c r="O921" s="8">
        <v>8107.5</v>
      </c>
      <c r="P921" s="268">
        <v>6.1199999999999997E-2</v>
      </c>
      <c r="Q921" s="8">
        <v>462</v>
      </c>
      <c r="R921" s="8">
        <v>0</v>
      </c>
      <c r="S921" s="8" t="s">
        <v>2442</v>
      </c>
      <c r="T921" s="8" t="s">
        <v>6901</v>
      </c>
      <c r="U921" s="8" t="s">
        <v>5350</v>
      </c>
      <c r="V921" s="8" t="s">
        <v>6902</v>
      </c>
      <c r="W921" s="8" t="s">
        <v>6903</v>
      </c>
    </row>
    <row r="922" spans="1:23" ht="28" customHeight="1" x14ac:dyDescent="0.3">
      <c r="A922" s="308">
        <v>44909</v>
      </c>
      <c r="B922" s="302">
        <v>1986.319</v>
      </c>
      <c r="C922" s="8">
        <v>-14.708</v>
      </c>
      <c r="D922" s="268">
        <v>-7.3000000000000001E-3</v>
      </c>
      <c r="E922" s="8">
        <v>39.770000000000003</v>
      </c>
      <c r="F922" s="8">
        <v>130.571</v>
      </c>
      <c r="G922" s="8">
        <v>119.578</v>
      </c>
      <c r="H922" s="8">
        <v>89.5</v>
      </c>
      <c r="I922" s="8">
        <v>174.78</v>
      </c>
      <c r="J922" s="8">
        <v>56.97</v>
      </c>
      <c r="K922" s="268">
        <v>0.44209999999999999</v>
      </c>
      <c r="L922" s="268">
        <v>0.35010000000000002</v>
      </c>
      <c r="M922" s="268">
        <v>-2.8500000000000001E-2</v>
      </c>
      <c r="N922" s="8">
        <v>549.88</v>
      </c>
      <c r="O922" s="8">
        <v>8104.05</v>
      </c>
      <c r="P922" s="268">
        <v>6.7900000000000002E-2</v>
      </c>
      <c r="Q922" s="8">
        <v>461</v>
      </c>
      <c r="R922" s="8">
        <v>0</v>
      </c>
      <c r="S922" s="8" t="s">
        <v>6363</v>
      </c>
      <c r="T922" s="8" t="s">
        <v>6904</v>
      </c>
      <c r="U922" s="8" t="s">
        <v>6905</v>
      </c>
      <c r="V922" s="8" t="s">
        <v>6906</v>
      </c>
      <c r="W922" s="8" t="s">
        <v>6907</v>
      </c>
    </row>
    <row r="923" spans="1:23" ht="28" customHeight="1" x14ac:dyDescent="0.3">
      <c r="A923" s="308">
        <v>44908</v>
      </c>
      <c r="B923" s="302">
        <v>2001.027</v>
      </c>
      <c r="C923" s="8">
        <v>-17.012</v>
      </c>
      <c r="D923" s="268">
        <v>-8.3999999999999995E-3</v>
      </c>
      <c r="E923" s="8">
        <v>44.04</v>
      </c>
      <c r="F923" s="8">
        <v>131.64599999999999</v>
      </c>
      <c r="G923" s="8">
        <v>120.26</v>
      </c>
      <c r="H923" s="8">
        <v>90.08</v>
      </c>
      <c r="I923" s="8">
        <v>176.34</v>
      </c>
      <c r="J923" s="8">
        <v>57.39</v>
      </c>
      <c r="K923" s="268">
        <v>0.44690000000000002</v>
      </c>
      <c r="L923" s="268">
        <v>0.35439999999999999</v>
      </c>
      <c r="M923" s="268">
        <v>-3.0599999999999999E-2</v>
      </c>
      <c r="N923" s="8">
        <v>653.32000000000005</v>
      </c>
      <c r="O923" s="8">
        <v>8105.4</v>
      </c>
      <c r="P923" s="268">
        <v>8.0600000000000005E-2</v>
      </c>
      <c r="Q923" s="8">
        <v>461</v>
      </c>
      <c r="R923" s="8">
        <v>0</v>
      </c>
      <c r="S923" s="8" t="s">
        <v>6110</v>
      </c>
      <c r="T923" s="8" t="s">
        <v>6908</v>
      </c>
      <c r="U923" s="8" t="s">
        <v>6909</v>
      </c>
      <c r="V923" s="8" t="s">
        <v>6910</v>
      </c>
      <c r="W923" s="8" t="s">
        <v>6911</v>
      </c>
    </row>
    <row r="924" spans="1:23" ht="28" customHeight="1" x14ac:dyDescent="0.3">
      <c r="A924" s="308">
        <v>44907</v>
      </c>
      <c r="B924" s="302">
        <v>2018.039</v>
      </c>
      <c r="C924" s="8">
        <v>-4.3280000000000003</v>
      </c>
      <c r="D924" s="268">
        <v>-2.0999999999999999E-3</v>
      </c>
      <c r="E924" s="8">
        <v>50</v>
      </c>
      <c r="F924" s="8">
        <v>132.89599999999999</v>
      </c>
      <c r="G924" s="8">
        <v>121.18</v>
      </c>
      <c r="H924" s="8">
        <v>89.64</v>
      </c>
      <c r="I924" s="8">
        <v>178.29</v>
      </c>
      <c r="J924" s="8">
        <v>59.84</v>
      </c>
      <c r="K924" s="268">
        <v>0.45400000000000001</v>
      </c>
      <c r="L924" s="268">
        <v>0.36930000000000002</v>
      </c>
      <c r="M924" s="268">
        <v>-3.2500000000000001E-2</v>
      </c>
      <c r="N924" s="8">
        <v>548.38</v>
      </c>
      <c r="O924" s="8">
        <v>8074.86</v>
      </c>
      <c r="P924" s="268">
        <v>6.7900000000000002E-2</v>
      </c>
      <c r="Q924" s="8">
        <v>459</v>
      </c>
      <c r="R924" s="8">
        <v>0</v>
      </c>
      <c r="S924" s="8" t="s">
        <v>6026</v>
      </c>
      <c r="T924" s="8" t="s">
        <v>6912</v>
      </c>
      <c r="U924" s="8" t="s">
        <v>6913</v>
      </c>
      <c r="V924" s="8" t="s">
        <v>6914</v>
      </c>
      <c r="W924" s="8" t="s">
        <v>3264</v>
      </c>
    </row>
    <row r="925" spans="1:23" ht="28" customHeight="1" x14ac:dyDescent="0.3">
      <c r="A925" s="308">
        <v>44904</v>
      </c>
      <c r="B925" s="302">
        <v>2022.367</v>
      </c>
      <c r="C925" s="8">
        <v>0.34399999999999997</v>
      </c>
      <c r="D925" s="268">
        <v>2.0000000000000001E-4</v>
      </c>
      <c r="E925" s="8">
        <v>51.96</v>
      </c>
      <c r="F925" s="8">
        <v>133.214</v>
      </c>
      <c r="G925" s="8">
        <v>121.697</v>
      </c>
      <c r="H925" s="8">
        <v>89.86</v>
      </c>
      <c r="I925" s="8">
        <v>178.53</v>
      </c>
      <c r="J925" s="8">
        <v>58.6</v>
      </c>
      <c r="K925" s="268">
        <v>0.4531</v>
      </c>
      <c r="L925" s="268">
        <v>0.3664</v>
      </c>
      <c r="M925" s="268">
        <v>-3.27E-2</v>
      </c>
      <c r="N925" s="8">
        <v>635.35</v>
      </c>
      <c r="O925" s="8">
        <v>8072.03</v>
      </c>
      <c r="P925" s="268">
        <v>7.8700000000000006E-2</v>
      </c>
      <c r="Q925" s="8">
        <v>458</v>
      </c>
      <c r="R925" s="8">
        <v>0</v>
      </c>
      <c r="S925" s="8" t="s">
        <v>6915</v>
      </c>
      <c r="T925" s="8" t="s">
        <v>6916</v>
      </c>
      <c r="U925" s="8" t="s">
        <v>6698</v>
      </c>
      <c r="V925" s="8" t="s">
        <v>3435</v>
      </c>
      <c r="W925" s="8" t="s">
        <v>6917</v>
      </c>
    </row>
    <row r="926" spans="1:23" ht="28" customHeight="1" x14ac:dyDescent="0.3">
      <c r="A926" s="308">
        <v>44903</v>
      </c>
      <c r="B926" s="302">
        <v>2022.0229999999999</v>
      </c>
      <c r="C926" s="8">
        <v>-9.9770000000000003</v>
      </c>
      <c r="D926" s="268">
        <v>-4.8999999999999998E-3</v>
      </c>
      <c r="E926" s="8">
        <v>51.04</v>
      </c>
      <c r="F926" s="8">
        <v>133.19300000000001</v>
      </c>
      <c r="G926" s="8">
        <v>121.8</v>
      </c>
      <c r="H926" s="8">
        <v>88.93</v>
      </c>
      <c r="I926" s="8">
        <v>178.49</v>
      </c>
      <c r="J926" s="8">
        <v>61.13</v>
      </c>
      <c r="K926" s="268">
        <v>0.45300000000000001</v>
      </c>
      <c r="L926" s="268">
        <v>0.36849999999999999</v>
      </c>
      <c r="M926" s="268">
        <v>-3.27E-2</v>
      </c>
      <c r="N926" s="8">
        <v>682.35</v>
      </c>
      <c r="O926" s="8">
        <v>8073.26</v>
      </c>
      <c r="P926" s="268">
        <v>8.4500000000000006E-2</v>
      </c>
      <c r="Q926" s="8">
        <v>458</v>
      </c>
      <c r="R926" s="8">
        <v>0</v>
      </c>
      <c r="S926" s="8" t="s">
        <v>6918</v>
      </c>
      <c r="T926" s="8" t="s">
        <v>6919</v>
      </c>
      <c r="U926" s="8" t="s">
        <v>6920</v>
      </c>
      <c r="V926" s="8" t="s">
        <v>6509</v>
      </c>
      <c r="W926" s="8" t="s">
        <v>6921</v>
      </c>
    </row>
    <row r="927" spans="1:23" ht="28" customHeight="1" x14ac:dyDescent="0.3">
      <c r="A927" s="308">
        <v>44902</v>
      </c>
      <c r="B927" s="302">
        <v>2032</v>
      </c>
      <c r="C927" s="8">
        <v>-7.6280000000000001</v>
      </c>
      <c r="D927" s="268">
        <v>-3.7000000000000002E-3</v>
      </c>
      <c r="E927" s="8">
        <v>54.44</v>
      </c>
      <c r="F927" s="8">
        <v>133.90799999999999</v>
      </c>
      <c r="G927" s="8">
        <v>122.42</v>
      </c>
      <c r="H927" s="8">
        <v>90.22</v>
      </c>
      <c r="I927" s="8">
        <v>179.42</v>
      </c>
      <c r="J927" s="8">
        <v>58.98</v>
      </c>
      <c r="K927" s="268">
        <v>0.45519999999999999</v>
      </c>
      <c r="L927" s="268">
        <v>0.36530000000000001</v>
      </c>
      <c r="M927" s="268">
        <v>-3.4099999999999998E-2</v>
      </c>
      <c r="N927" s="8">
        <v>784.95</v>
      </c>
      <c r="O927" s="8">
        <v>8039.69</v>
      </c>
      <c r="P927" s="268">
        <v>9.7600000000000006E-2</v>
      </c>
      <c r="Q927" s="8">
        <v>457</v>
      </c>
      <c r="R927" s="8">
        <v>0</v>
      </c>
      <c r="S927" s="8" t="s">
        <v>6922</v>
      </c>
      <c r="T927" s="8" t="s">
        <v>6923</v>
      </c>
      <c r="U927" s="8" t="s">
        <v>6924</v>
      </c>
      <c r="V927" s="8" t="s">
        <v>6925</v>
      </c>
      <c r="W927" s="8" t="s">
        <v>5941</v>
      </c>
    </row>
    <row r="928" spans="1:23" ht="28" customHeight="1" x14ac:dyDescent="0.3">
      <c r="A928" s="308">
        <v>44901</v>
      </c>
      <c r="B928" s="302">
        <v>2039.6279999999999</v>
      </c>
      <c r="C928" s="8">
        <v>-4.3540000000000001</v>
      </c>
      <c r="D928" s="268">
        <v>-2.0999999999999999E-3</v>
      </c>
      <c r="E928" s="8">
        <v>60.6</v>
      </c>
      <c r="F928" s="8">
        <v>134.29</v>
      </c>
      <c r="G928" s="8">
        <v>122.952</v>
      </c>
      <c r="H928" s="8">
        <v>90.24</v>
      </c>
      <c r="I928" s="8">
        <v>180.21</v>
      </c>
      <c r="J928" s="8">
        <v>61.33</v>
      </c>
      <c r="K928" s="268">
        <v>0.4592</v>
      </c>
      <c r="L928" s="268">
        <v>0.36919999999999997</v>
      </c>
      <c r="M928" s="268">
        <v>-3.56E-2</v>
      </c>
      <c r="N928" s="8">
        <v>695.09</v>
      </c>
      <c r="O928" s="8">
        <v>8042.26</v>
      </c>
      <c r="P928" s="268">
        <v>8.6400000000000005E-2</v>
      </c>
      <c r="Q928" s="8">
        <v>458</v>
      </c>
      <c r="R928" s="8">
        <v>0</v>
      </c>
      <c r="S928" s="8" t="s">
        <v>2348</v>
      </c>
      <c r="T928" s="8" t="s">
        <v>6621</v>
      </c>
      <c r="U928" s="8" t="s">
        <v>6926</v>
      </c>
      <c r="V928" s="8" t="s">
        <v>6927</v>
      </c>
      <c r="W928" s="8" t="s">
        <v>6928</v>
      </c>
    </row>
    <row r="929" spans="1:23" ht="28" customHeight="1" x14ac:dyDescent="0.3">
      <c r="A929" s="308">
        <v>44900</v>
      </c>
      <c r="B929" s="302">
        <v>2043.982</v>
      </c>
      <c r="C929" s="8">
        <v>8.2040000000000006</v>
      </c>
      <c r="D929" s="268">
        <v>4.0000000000000001E-3</v>
      </c>
      <c r="E929" s="8">
        <v>62.81</v>
      </c>
      <c r="F929" s="8">
        <v>134.56800000000001</v>
      </c>
      <c r="G929" s="8">
        <v>123.053</v>
      </c>
      <c r="H929" s="8">
        <v>90.47</v>
      </c>
      <c r="I929" s="8">
        <v>180.3</v>
      </c>
      <c r="J929" s="8">
        <v>60.72</v>
      </c>
      <c r="K929" s="268">
        <v>0.45729999999999998</v>
      </c>
      <c r="L929" s="268">
        <v>0.36630000000000001</v>
      </c>
      <c r="M929" s="268">
        <v>-3.5799999999999998E-2</v>
      </c>
      <c r="N929" s="8">
        <v>766.14</v>
      </c>
      <c r="O929" s="8">
        <v>8043.43</v>
      </c>
      <c r="P929" s="268">
        <v>9.5299999999999996E-2</v>
      </c>
      <c r="Q929" s="8">
        <v>458</v>
      </c>
      <c r="R929" s="8">
        <v>0</v>
      </c>
      <c r="S929" s="8" t="s">
        <v>3254</v>
      </c>
      <c r="T929" s="8" t="s">
        <v>6929</v>
      </c>
      <c r="U929" s="8" t="s">
        <v>6930</v>
      </c>
      <c r="V929" s="8" t="s">
        <v>5877</v>
      </c>
      <c r="W929" s="8" t="s">
        <v>6931</v>
      </c>
    </row>
    <row r="930" spans="1:23" ht="28" customHeight="1" x14ac:dyDescent="0.3">
      <c r="A930" s="308">
        <v>44897</v>
      </c>
      <c r="B930" s="302">
        <v>2035.778</v>
      </c>
      <c r="C930" s="8">
        <v>6.5140000000000002</v>
      </c>
      <c r="D930" s="268">
        <v>3.2000000000000002E-3</v>
      </c>
      <c r="E930" s="8">
        <v>60.98</v>
      </c>
      <c r="F930" s="8">
        <v>134.13399999999999</v>
      </c>
      <c r="G930" s="8">
        <v>122.663</v>
      </c>
      <c r="H930" s="8">
        <v>89.59</v>
      </c>
      <c r="I930" s="8">
        <v>180.38</v>
      </c>
      <c r="J930" s="8">
        <v>62.42</v>
      </c>
      <c r="K930" s="268">
        <v>0.46239999999999998</v>
      </c>
      <c r="L930" s="268">
        <v>0.37169999999999997</v>
      </c>
      <c r="M930" s="268">
        <v>-3.3599999999999998E-2</v>
      </c>
      <c r="N930" s="8">
        <v>814.23</v>
      </c>
      <c r="O930" s="8">
        <v>8044.1</v>
      </c>
      <c r="P930" s="268">
        <v>0.1012</v>
      </c>
      <c r="Q930" s="8">
        <v>458</v>
      </c>
      <c r="R930" s="8">
        <v>0</v>
      </c>
      <c r="S930" s="8" t="s">
        <v>6932</v>
      </c>
      <c r="T930" s="8" t="s">
        <v>6933</v>
      </c>
      <c r="U930" s="8" t="s">
        <v>6710</v>
      </c>
      <c r="V930" s="8" t="s">
        <v>6934</v>
      </c>
      <c r="W930" s="8" t="s">
        <v>6935</v>
      </c>
    </row>
    <row r="931" spans="1:23" ht="28" customHeight="1" x14ac:dyDescent="0.3">
      <c r="A931" s="308">
        <v>44896</v>
      </c>
      <c r="B931" s="302">
        <v>2029.2639999999999</v>
      </c>
      <c r="C931" s="8">
        <v>15.885999999999999</v>
      </c>
      <c r="D931" s="268">
        <v>7.9000000000000008E-3</v>
      </c>
      <c r="E931" s="8">
        <v>58.81</v>
      </c>
      <c r="F931" s="8">
        <v>133.71899999999999</v>
      </c>
      <c r="G931" s="8">
        <v>122.226</v>
      </c>
      <c r="H931" s="8">
        <v>89.37</v>
      </c>
      <c r="I931" s="8">
        <v>180.51</v>
      </c>
      <c r="J931" s="8">
        <v>65.45</v>
      </c>
      <c r="K931" s="268">
        <v>0.46800000000000003</v>
      </c>
      <c r="L931" s="268">
        <v>0.37830000000000003</v>
      </c>
      <c r="M931" s="268">
        <v>-3.2800000000000003E-2</v>
      </c>
      <c r="N931" s="8">
        <v>875.58</v>
      </c>
      <c r="O931" s="8">
        <v>8038.58</v>
      </c>
      <c r="P931" s="268">
        <v>0.1089</v>
      </c>
      <c r="Q931" s="8">
        <v>457</v>
      </c>
      <c r="R931" s="8">
        <v>0</v>
      </c>
      <c r="S931" s="8" t="s">
        <v>6026</v>
      </c>
      <c r="T931" s="8" t="s">
        <v>3284</v>
      </c>
      <c r="U931" s="8" t="s">
        <v>6936</v>
      </c>
      <c r="V931" s="8" t="s">
        <v>6937</v>
      </c>
      <c r="W931" s="8" t="s">
        <v>6938</v>
      </c>
    </row>
    <row r="932" spans="1:23" ht="28" customHeight="1" x14ac:dyDescent="0.3">
      <c r="A932" s="308">
        <v>44895</v>
      </c>
      <c r="B932" s="302">
        <v>2013.3779999999999</v>
      </c>
      <c r="C932" s="8">
        <v>5.3209999999999997</v>
      </c>
      <c r="D932" s="268">
        <v>2.7000000000000001E-3</v>
      </c>
      <c r="E932" s="8">
        <v>52.07</v>
      </c>
      <c r="F932" s="8">
        <v>132.53299999999999</v>
      </c>
      <c r="G932" s="8">
        <v>120.95099999999999</v>
      </c>
      <c r="H932" s="8">
        <v>89.04</v>
      </c>
      <c r="I932" s="8">
        <v>179.53</v>
      </c>
      <c r="J932" s="8">
        <v>64.5</v>
      </c>
      <c r="K932" s="268">
        <v>0.46989999999999998</v>
      </c>
      <c r="L932" s="268">
        <v>0.377</v>
      </c>
      <c r="M932" s="268">
        <v>-3.0499999999999999E-2</v>
      </c>
      <c r="N932" s="8">
        <v>899.7</v>
      </c>
      <c r="O932" s="8">
        <v>8042.54</v>
      </c>
      <c r="P932" s="268">
        <v>0.1119</v>
      </c>
      <c r="Q932" s="8">
        <v>458</v>
      </c>
      <c r="R932" s="8">
        <v>0</v>
      </c>
      <c r="S932" s="8" t="s">
        <v>6939</v>
      </c>
      <c r="T932" s="8" t="s">
        <v>6940</v>
      </c>
      <c r="U932" s="8" t="s">
        <v>6941</v>
      </c>
      <c r="V932" s="8" t="s">
        <v>6942</v>
      </c>
      <c r="W932" s="8" t="s">
        <v>6943</v>
      </c>
    </row>
    <row r="933" spans="1:23" ht="28" customHeight="1" x14ac:dyDescent="0.3">
      <c r="A933" s="308">
        <v>44894</v>
      </c>
      <c r="B933" s="302">
        <v>2008.057</v>
      </c>
      <c r="C933" s="8">
        <v>22.045000000000002</v>
      </c>
      <c r="D933" s="268">
        <v>1.11E-2</v>
      </c>
      <c r="E933" s="8">
        <v>52.91</v>
      </c>
      <c r="F933" s="8">
        <v>132.04599999999999</v>
      </c>
      <c r="G933" s="8">
        <v>120.995</v>
      </c>
      <c r="H933" s="8">
        <v>89.36</v>
      </c>
      <c r="I933" s="8">
        <v>178.48</v>
      </c>
      <c r="J933" s="8">
        <v>62.98</v>
      </c>
      <c r="K933" s="268">
        <v>0.46429999999999999</v>
      </c>
      <c r="L933" s="268">
        <v>0.3674</v>
      </c>
      <c r="M933" s="268">
        <v>-3.1099999999999999E-2</v>
      </c>
      <c r="N933" s="8">
        <v>893.87</v>
      </c>
      <c r="O933" s="8">
        <v>8045.01</v>
      </c>
      <c r="P933" s="268">
        <v>0.1111</v>
      </c>
      <c r="Q933" s="8">
        <v>458</v>
      </c>
      <c r="R933" s="8">
        <v>0</v>
      </c>
      <c r="S933" s="8" t="s">
        <v>6944</v>
      </c>
      <c r="T933" s="8" t="s">
        <v>6945</v>
      </c>
      <c r="U933" s="8" t="s">
        <v>6946</v>
      </c>
      <c r="V933" s="8" t="s">
        <v>6947</v>
      </c>
      <c r="W933" s="8" t="s">
        <v>6948</v>
      </c>
    </row>
    <row r="934" spans="1:23" ht="28" customHeight="1" x14ac:dyDescent="0.3">
      <c r="A934" s="308">
        <v>44893</v>
      </c>
      <c r="B934" s="302">
        <v>1986.0119999999999</v>
      </c>
      <c r="C934" s="8">
        <v>-4.9770000000000003</v>
      </c>
      <c r="D934" s="268">
        <v>-2.5000000000000001E-3</v>
      </c>
      <c r="E934" s="8">
        <v>42.17</v>
      </c>
      <c r="F934" s="8">
        <v>130.64400000000001</v>
      </c>
      <c r="G934" s="8">
        <v>119.31</v>
      </c>
      <c r="H934" s="8">
        <v>88.04</v>
      </c>
      <c r="I934" s="8">
        <v>178.36</v>
      </c>
      <c r="J934" s="8">
        <v>65.22</v>
      </c>
      <c r="K934" s="268">
        <v>0.47710000000000002</v>
      </c>
      <c r="L934" s="268">
        <v>0.37419999999999998</v>
      </c>
      <c r="M934" s="268">
        <v>-2.64E-2</v>
      </c>
      <c r="N934" s="8">
        <v>640.25</v>
      </c>
      <c r="O934" s="8">
        <v>8045.44</v>
      </c>
      <c r="P934" s="268">
        <v>7.9600000000000004E-2</v>
      </c>
      <c r="Q934" s="8">
        <v>457</v>
      </c>
      <c r="R934" s="8">
        <v>0</v>
      </c>
      <c r="S934" s="8" t="s">
        <v>3006</v>
      </c>
      <c r="T934" s="8" t="s">
        <v>6949</v>
      </c>
      <c r="U934" s="8" t="s">
        <v>6950</v>
      </c>
      <c r="V934" s="8" t="s">
        <v>6951</v>
      </c>
      <c r="W934" s="8" t="s">
        <v>6952</v>
      </c>
    </row>
    <row r="935" spans="1:23" ht="28" customHeight="1" x14ac:dyDescent="0.3">
      <c r="A935" s="308">
        <v>44890</v>
      </c>
      <c r="B935" s="302">
        <v>1990.989</v>
      </c>
      <c r="C935" s="8">
        <v>-6.8929999999999998</v>
      </c>
      <c r="D935" s="268">
        <v>-3.3999999999999998E-3</v>
      </c>
      <c r="E935" s="8">
        <v>46.22</v>
      </c>
      <c r="F935" s="8">
        <v>130.89099999999999</v>
      </c>
      <c r="G935" s="8">
        <v>119.72799999999999</v>
      </c>
      <c r="H935" s="8">
        <v>88.39</v>
      </c>
      <c r="I935" s="8">
        <v>178.08</v>
      </c>
      <c r="J935" s="8">
        <v>63.87</v>
      </c>
      <c r="K935" s="268">
        <v>0.47189999999999999</v>
      </c>
      <c r="L935" s="268">
        <v>0.377</v>
      </c>
      <c r="M935" s="268">
        <v>-2.7699999999999999E-2</v>
      </c>
      <c r="N935" s="8">
        <v>692.69</v>
      </c>
      <c r="O935" s="8">
        <v>8015.63</v>
      </c>
      <c r="P935" s="268">
        <v>8.6400000000000005E-2</v>
      </c>
      <c r="Q935" s="8">
        <v>456</v>
      </c>
      <c r="R935" s="8">
        <v>0</v>
      </c>
      <c r="S935" s="8" t="s">
        <v>6953</v>
      </c>
      <c r="T935" s="8" t="s">
        <v>6954</v>
      </c>
      <c r="U935" s="8" t="s">
        <v>6955</v>
      </c>
      <c r="V935" s="8" t="s">
        <v>6956</v>
      </c>
      <c r="W935" s="8" t="s">
        <v>3712</v>
      </c>
    </row>
    <row r="936" spans="1:23" ht="28" customHeight="1" x14ac:dyDescent="0.3">
      <c r="A936" s="308">
        <v>44889</v>
      </c>
      <c r="B936" s="302">
        <v>1997.8820000000001</v>
      </c>
      <c r="C936" s="8">
        <v>12.587</v>
      </c>
      <c r="D936" s="268">
        <v>6.3E-3</v>
      </c>
      <c r="E936" s="8">
        <v>46.7</v>
      </c>
      <c r="F936" s="8">
        <v>131.59</v>
      </c>
      <c r="G936" s="8">
        <v>119.84</v>
      </c>
      <c r="H936" s="8">
        <v>89.51</v>
      </c>
      <c r="I936" s="8">
        <v>177.87</v>
      </c>
      <c r="J936" s="8">
        <v>59.86</v>
      </c>
      <c r="K936" s="268">
        <v>0.46279999999999999</v>
      </c>
      <c r="L936" s="268">
        <v>0.36159999999999998</v>
      </c>
      <c r="M936" s="268">
        <v>-2.8299999999999999E-2</v>
      </c>
      <c r="N936" s="8">
        <v>816.2</v>
      </c>
      <c r="O936" s="8">
        <v>7995.97</v>
      </c>
      <c r="P936" s="268">
        <v>0.1021</v>
      </c>
      <c r="Q936" s="8">
        <v>455</v>
      </c>
      <c r="R936" s="8">
        <v>0</v>
      </c>
      <c r="S936" s="8" t="s">
        <v>6534</v>
      </c>
      <c r="T936" s="8" t="s">
        <v>3899</v>
      </c>
      <c r="U936" s="8" t="s">
        <v>6957</v>
      </c>
      <c r="V936" s="8" t="s">
        <v>6958</v>
      </c>
      <c r="W936" s="8" t="s">
        <v>6959</v>
      </c>
    </row>
    <row r="937" spans="1:23" ht="28" customHeight="1" x14ac:dyDescent="0.3">
      <c r="A937" s="308">
        <v>44888</v>
      </c>
      <c r="B937" s="302">
        <v>1985.2950000000001</v>
      </c>
      <c r="C937" s="8">
        <v>-1.45</v>
      </c>
      <c r="D937" s="268">
        <v>-6.9999999999999999E-4</v>
      </c>
      <c r="E937" s="8">
        <v>43.32</v>
      </c>
      <c r="F937" s="8">
        <v>130.66800000000001</v>
      </c>
      <c r="G937" s="8">
        <v>119.396</v>
      </c>
      <c r="H937" s="8">
        <v>88.87</v>
      </c>
      <c r="I937" s="8">
        <v>176.93</v>
      </c>
      <c r="J937" s="8">
        <v>60.05</v>
      </c>
      <c r="K937" s="268">
        <v>0.46260000000000001</v>
      </c>
      <c r="L937" s="268">
        <v>0.3629</v>
      </c>
      <c r="M937" s="268">
        <v>-2.6700000000000002E-2</v>
      </c>
      <c r="N937" s="8">
        <v>668.7</v>
      </c>
      <c r="O937" s="8">
        <v>7997.01</v>
      </c>
      <c r="P937" s="268">
        <v>8.3599999999999994E-2</v>
      </c>
      <c r="Q937" s="8">
        <v>455</v>
      </c>
      <c r="R937" s="8">
        <v>0</v>
      </c>
      <c r="S937" s="8" t="s">
        <v>6100</v>
      </c>
      <c r="T937" s="8" t="s">
        <v>6960</v>
      </c>
      <c r="U937" s="8" t="s">
        <v>6961</v>
      </c>
      <c r="V937" s="8" t="s">
        <v>6962</v>
      </c>
      <c r="W937" s="8" t="s">
        <v>6963</v>
      </c>
    </row>
    <row r="938" spans="1:23" ht="28" customHeight="1" x14ac:dyDescent="0.3">
      <c r="A938" s="308">
        <v>44887</v>
      </c>
      <c r="B938" s="302">
        <v>1986.7449999999999</v>
      </c>
      <c r="C938" s="8">
        <v>-7.3579999999999997</v>
      </c>
      <c r="D938" s="268">
        <v>-3.7000000000000002E-3</v>
      </c>
      <c r="E938" s="8">
        <v>42.62</v>
      </c>
      <c r="F938" s="8">
        <v>130.762</v>
      </c>
      <c r="G938" s="8">
        <v>119.738</v>
      </c>
      <c r="H938" s="8">
        <v>88.72</v>
      </c>
      <c r="I938" s="8">
        <v>176.01</v>
      </c>
      <c r="J938" s="8">
        <v>58.83</v>
      </c>
      <c r="K938" s="268">
        <v>0.45250000000000001</v>
      </c>
      <c r="L938" s="268">
        <v>0.35439999999999999</v>
      </c>
      <c r="M938" s="268">
        <v>-2.69E-2</v>
      </c>
      <c r="N938" s="8">
        <v>698.65</v>
      </c>
      <c r="O938" s="8">
        <v>7998.31</v>
      </c>
      <c r="P938" s="268">
        <v>8.7400000000000005E-2</v>
      </c>
      <c r="Q938" s="8">
        <v>456</v>
      </c>
      <c r="R938" s="8">
        <v>0</v>
      </c>
      <c r="S938" s="8" t="s">
        <v>6896</v>
      </c>
      <c r="T938" s="8" t="s">
        <v>6964</v>
      </c>
      <c r="U938" s="8" t="s">
        <v>6965</v>
      </c>
      <c r="V938" s="8" t="s">
        <v>6966</v>
      </c>
      <c r="W938" s="8" t="s">
        <v>6967</v>
      </c>
    </row>
    <row r="939" spans="1:23" ht="28" customHeight="1" x14ac:dyDescent="0.3">
      <c r="A939" s="308">
        <v>44886</v>
      </c>
      <c r="B939" s="302">
        <v>1994.1030000000001</v>
      </c>
      <c r="C939" s="8">
        <v>7.49</v>
      </c>
      <c r="D939" s="268">
        <v>3.8E-3</v>
      </c>
      <c r="E939" s="8">
        <v>44.15</v>
      </c>
      <c r="F939" s="8">
        <v>131.51400000000001</v>
      </c>
      <c r="G939" s="8">
        <v>120.21</v>
      </c>
      <c r="H939" s="8">
        <v>90.01</v>
      </c>
      <c r="I939" s="8">
        <v>175.59</v>
      </c>
      <c r="J939" s="8">
        <v>55.09</v>
      </c>
      <c r="K939" s="268">
        <v>0.44080000000000003</v>
      </c>
      <c r="L939" s="268">
        <v>0.34470000000000001</v>
      </c>
      <c r="M939" s="268">
        <v>-2.81E-2</v>
      </c>
      <c r="N939" s="8">
        <v>707.79</v>
      </c>
      <c r="O939" s="8">
        <v>7992.29</v>
      </c>
      <c r="P939" s="268">
        <v>8.8599999999999998E-2</v>
      </c>
      <c r="Q939" s="8">
        <v>455</v>
      </c>
      <c r="R939" s="8">
        <v>0</v>
      </c>
      <c r="S939" s="8" t="s">
        <v>6968</v>
      </c>
      <c r="T939" s="8" t="s">
        <v>6969</v>
      </c>
      <c r="U939" s="8" t="s">
        <v>6970</v>
      </c>
      <c r="V939" s="8" t="s">
        <v>6971</v>
      </c>
      <c r="W939" s="8" t="s">
        <v>6972</v>
      </c>
    </row>
    <row r="940" spans="1:23" ht="28" customHeight="1" x14ac:dyDescent="0.3">
      <c r="A940" s="308">
        <v>44883</v>
      </c>
      <c r="B940" s="302">
        <v>1986.6130000000001</v>
      </c>
      <c r="C940" s="8">
        <v>-6.4180000000000001</v>
      </c>
      <c r="D940" s="268">
        <v>-3.2000000000000002E-3</v>
      </c>
      <c r="E940" s="8">
        <v>43.46</v>
      </c>
      <c r="F940" s="8">
        <v>130.91</v>
      </c>
      <c r="G940" s="8">
        <v>119.63200000000001</v>
      </c>
      <c r="H940" s="8">
        <v>89.07</v>
      </c>
      <c r="I940" s="8">
        <v>175.17</v>
      </c>
      <c r="J940" s="8">
        <v>55.83</v>
      </c>
      <c r="K940" s="268">
        <v>0.44259999999999999</v>
      </c>
      <c r="L940" s="268">
        <v>0.35</v>
      </c>
      <c r="M940" s="268">
        <v>-2.7699999999999999E-2</v>
      </c>
      <c r="N940" s="8">
        <v>693.55</v>
      </c>
      <c r="O940" s="8">
        <v>7970.23</v>
      </c>
      <c r="P940" s="268">
        <v>8.6999999999999994E-2</v>
      </c>
      <c r="Q940" s="8">
        <v>453</v>
      </c>
      <c r="R940" s="8">
        <v>0</v>
      </c>
      <c r="S940" s="8" t="s">
        <v>6552</v>
      </c>
      <c r="T940" s="8" t="s">
        <v>6973</v>
      </c>
      <c r="U940" s="8" t="s">
        <v>6974</v>
      </c>
      <c r="V940" s="8" t="s">
        <v>6975</v>
      </c>
      <c r="W940" s="8" t="s">
        <v>6976</v>
      </c>
    </row>
    <row r="941" spans="1:23" ht="28" customHeight="1" x14ac:dyDescent="0.3">
      <c r="A941" s="308">
        <v>44882</v>
      </c>
      <c r="B941" s="302">
        <v>1993.0309999999999</v>
      </c>
      <c r="C941" s="8">
        <v>-24.513000000000002</v>
      </c>
      <c r="D941" s="268">
        <v>-1.2200000000000001E-2</v>
      </c>
      <c r="E941" s="8">
        <v>44.87</v>
      </c>
      <c r="F941" s="8">
        <v>131.41300000000001</v>
      </c>
      <c r="G941" s="8">
        <v>120.167</v>
      </c>
      <c r="H941" s="8">
        <v>90.28</v>
      </c>
      <c r="I941" s="8">
        <v>175.06</v>
      </c>
      <c r="J941" s="8">
        <v>55.77</v>
      </c>
      <c r="K941" s="268">
        <v>0.4365</v>
      </c>
      <c r="L941" s="268">
        <v>0.33389999999999997</v>
      </c>
      <c r="M941" s="268">
        <v>-2.9100000000000001E-2</v>
      </c>
      <c r="N941" s="8">
        <v>850.93</v>
      </c>
      <c r="O941" s="8">
        <v>7970.79</v>
      </c>
      <c r="P941" s="268">
        <v>0.10680000000000001</v>
      </c>
      <c r="Q941" s="8">
        <v>453</v>
      </c>
      <c r="R941" s="8">
        <v>0</v>
      </c>
      <c r="S941" s="8" t="s">
        <v>6977</v>
      </c>
      <c r="T941" s="8" t="s">
        <v>6978</v>
      </c>
      <c r="U941" s="8" t="s">
        <v>6979</v>
      </c>
      <c r="V941" s="8" t="s">
        <v>6980</v>
      </c>
      <c r="W941" s="8" t="s">
        <v>6981</v>
      </c>
    </row>
    <row r="942" spans="1:23" ht="28" customHeight="1" x14ac:dyDescent="0.3">
      <c r="A942" s="308">
        <v>44881</v>
      </c>
      <c r="B942" s="302">
        <v>2017.5440000000001</v>
      </c>
      <c r="C942" s="8">
        <v>-18.98</v>
      </c>
      <c r="D942" s="268">
        <v>-9.2999999999999992E-3</v>
      </c>
      <c r="E942" s="8">
        <v>54.33</v>
      </c>
      <c r="F942" s="8">
        <v>133.21199999999999</v>
      </c>
      <c r="G942" s="8">
        <v>121.27200000000001</v>
      </c>
      <c r="H942" s="8">
        <v>89.69</v>
      </c>
      <c r="I942" s="8">
        <v>179.06</v>
      </c>
      <c r="J942" s="8">
        <v>60.52</v>
      </c>
      <c r="K942" s="268">
        <v>0.45839999999999997</v>
      </c>
      <c r="L942" s="268">
        <v>0.35549999999999998</v>
      </c>
      <c r="M942" s="268">
        <v>-3.2599999999999997E-2</v>
      </c>
      <c r="N942" s="8">
        <v>690.64</v>
      </c>
      <c r="O942" s="8">
        <v>7962.04</v>
      </c>
      <c r="P942" s="268">
        <v>8.6699999999999999E-2</v>
      </c>
      <c r="Q942" s="8">
        <v>452</v>
      </c>
      <c r="R942" s="8">
        <v>0</v>
      </c>
      <c r="S942" s="8" t="s">
        <v>6982</v>
      </c>
      <c r="T942" s="8" t="s">
        <v>6983</v>
      </c>
      <c r="U942" s="8" t="s">
        <v>6984</v>
      </c>
      <c r="V942" s="8" t="s">
        <v>6985</v>
      </c>
      <c r="W942" s="8" t="s">
        <v>6986</v>
      </c>
    </row>
    <row r="943" spans="1:23" ht="28" customHeight="1" x14ac:dyDescent="0.3">
      <c r="A943" s="308">
        <v>44880</v>
      </c>
      <c r="B943" s="302">
        <v>2036.5239999999999</v>
      </c>
      <c r="C943" s="8">
        <v>10.112</v>
      </c>
      <c r="D943" s="268">
        <v>5.0000000000000001E-3</v>
      </c>
      <c r="E943" s="8">
        <v>61.3</v>
      </c>
      <c r="F943" s="8">
        <v>134.67500000000001</v>
      </c>
      <c r="G943" s="8">
        <v>123.017</v>
      </c>
      <c r="H943" s="8">
        <v>90.44</v>
      </c>
      <c r="I943" s="8">
        <v>181.3</v>
      </c>
      <c r="J943" s="8">
        <v>61.66</v>
      </c>
      <c r="K943" s="268">
        <v>0.4662</v>
      </c>
      <c r="L943" s="268">
        <v>0.3584</v>
      </c>
      <c r="M943" s="268">
        <v>-3.9300000000000002E-2</v>
      </c>
      <c r="N943" s="8">
        <v>765.49</v>
      </c>
      <c r="O943" s="8">
        <v>7943.2</v>
      </c>
      <c r="P943" s="268">
        <v>9.64E-2</v>
      </c>
      <c r="Q943" s="8">
        <v>450</v>
      </c>
      <c r="R943" s="8">
        <v>0</v>
      </c>
      <c r="S943" s="8" t="s">
        <v>2749</v>
      </c>
      <c r="T943" s="8" t="s">
        <v>6987</v>
      </c>
      <c r="U943" s="8" t="s">
        <v>6988</v>
      </c>
      <c r="V943" s="8" t="s">
        <v>6989</v>
      </c>
      <c r="W943" s="8" t="s">
        <v>6990</v>
      </c>
    </row>
    <row r="944" spans="1:23" ht="28" customHeight="1" x14ac:dyDescent="0.3">
      <c r="A944" s="308">
        <v>44879</v>
      </c>
      <c r="B944" s="302">
        <v>2026.412</v>
      </c>
      <c r="C944" s="8">
        <v>-12.581</v>
      </c>
      <c r="D944" s="268">
        <v>-6.1999999999999998E-3</v>
      </c>
      <c r="E944" s="8">
        <v>59.66</v>
      </c>
      <c r="F944" s="8">
        <v>133.83000000000001</v>
      </c>
      <c r="G944" s="8">
        <v>122.259</v>
      </c>
      <c r="H944" s="8">
        <v>88.63</v>
      </c>
      <c r="I944" s="8">
        <v>182.95</v>
      </c>
      <c r="J944" s="8">
        <v>69.12</v>
      </c>
      <c r="K944" s="268">
        <v>0.49120000000000003</v>
      </c>
      <c r="L944" s="268">
        <v>0.38929999999999998</v>
      </c>
      <c r="M944" s="268">
        <v>-3.78E-2</v>
      </c>
      <c r="N944" s="8">
        <v>667</v>
      </c>
      <c r="O944" s="8">
        <v>7938.47</v>
      </c>
      <c r="P944" s="268">
        <v>8.4000000000000005E-2</v>
      </c>
      <c r="Q944" s="8">
        <v>449</v>
      </c>
      <c r="R944" s="8">
        <v>0</v>
      </c>
      <c r="S944" s="8" t="s">
        <v>6991</v>
      </c>
      <c r="T944" s="8" t="s">
        <v>6992</v>
      </c>
      <c r="U944" s="8" t="s">
        <v>6993</v>
      </c>
      <c r="V944" s="8" t="s">
        <v>6994</v>
      </c>
      <c r="W944" s="8" t="s">
        <v>6995</v>
      </c>
    </row>
    <row r="945" spans="1:23" ht="28" customHeight="1" x14ac:dyDescent="0.3">
      <c r="A945" s="308">
        <v>44876</v>
      </c>
      <c r="B945" s="302">
        <v>2038.9929999999999</v>
      </c>
      <c r="C945" s="8">
        <v>13.57</v>
      </c>
      <c r="D945" s="268">
        <v>6.7000000000000002E-3</v>
      </c>
      <c r="E945" s="8">
        <v>63.48</v>
      </c>
      <c r="F945" s="8">
        <v>135.03399999999999</v>
      </c>
      <c r="G945" s="8">
        <v>123.20099999999999</v>
      </c>
      <c r="H945" s="8">
        <v>88.74</v>
      </c>
      <c r="I945" s="8">
        <v>184.89</v>
      </c>
      <c r="J945" s="8">
        <v>70.069999999999993</v>
      </c>
      <c r="K945" s="268">
        <v>0.4985</v>
      </c>
      <c r="L945" s="268">
        <v>0.3947</v>
      </c>
      <c r="M945" s="268">
        <v>-3.8300000000000001E-2</v>
      </c>
      <c r="N945" s="8">
        <v>822.53</v>
      </c>
      <c r="O945" s="8">
        <v>7939.79</v>
      </c>
      <c r="P945" s="268">
        <v>0.1036</v>
      </c>
      <c r="Q945" s="8">
        <v>449</v>
      </c>
      <c r="R945" s="8">
        <v>0</v>
      </c>
      <c r="S945" s="8" t="s">
        <v>6996</v>
      </c>
      <c r="T945" s="8" t="s">
        <v>6997</v>
      </c>
      <c r="U945" s="8" t="s">
        <v>6998</v>
      </c>
      <c r="V945" s="8" t="s">
        <v>6999</v>
      </c>
      <c r="W945" s="8" t="s">
        <v>4084</v>
      </c>
    </row>
    <row r="946" spans="1:23" ht="28" customHeight="1" x14ac:dyDescent="0.3">
      <c r="A946" s="308">
        <v>44875</v>
      </c>
      <c r="B946" s="302">
        <v>2025.423</v>
      </c>
      <c r="C946" s="8">
        <v>-8.8490000000000002</v>
      </c>
      <c r="D946" s="268">
        <v>-4.3E-3</v>
      </c>
      <c r="E946" s="8">
        <v>58.23</v>
      </c>
      <c r="F946" s="8">
        <v>134.15600000000001</v>
      </c>
      <c r="G946" s="8">
        <v>122.071</v>
      </c>
      <c r="H946" s="8">
        <v>88.33</v>
      </c>
      <c r="I946" s="8">
        <v>183.75</v>
      </c>
      <c r="J946" s="8">
        <v>70.31</v>
      </c>
      <c r="K946" s="268">
        <v>0.496</v>
      </c>
      <c r="L946" s="268">
        <v>0.38669999999999999</v>
      </c>
      <c r="M946" s="268">
        <v>-3.6200000000000003E-2</v>
      </c>
      <c r="N946" s="8">
        <v>602.14</v>
      </c>
      <c r="O946" s="8">
        <v>7943.31</v>
      </c>
      <c r="P946" s="268">
        <v>7.5800000000000006E-2</v>
      </c>
      <c r="Q946" s="8">
        <v>450</v>
      </c>
      <c r="R946" s="8">
        <v>0</v>
      </c>
      <c r="S946" s="8" t="s">
        <v>7000</v>
      </c>
      <c r="T946" s="8" t="s">
        <v>7001</v>
      </c>
      <c r="U946" s="8" t="s">
        <v>7002</v>
      </c>
      <c r="V946" s="8" t="s">
        <v>3288</v>
      </c>
      <c r="W946" s="8" t="s">
        <v>7003</v>
      </c>
    </row>
    <row r="947" spans="1:23" ht="28" customHeight="1" x14ac:dyDescent="0.3">
      <c r="A947" s="308">
        <v>44874</v>
      </c>
      <c r="B947" s="302">
        <v>2034.2719999999999</v>
      </c>
      <c r="C947" s="8">
        <v>-2.1379999999999999</v>
      </c>
      <c r="D947" s="268">
        <v>-1E-3</v>
      </c>
      <c r="E947" s="8">
        <v>60.1</v>
      </c>
      <c r="F947" s="8">
        <v>135.06899999999999</v>
      </c>
      <c r="G947" s="8">
        <v>122.244</v>
      </c>
      <c r="H947" s="8">
        <v>88.77</v>
      </c>
      <c r="I947" s="8">
        <v>184.79</v>
      </c>
      <c r="J947" s="8">
        <v>69.05</v>
      </c>
      <c r="K947" s="268">
        <v>0.49719999999999998</v>
      </c>
      <c r="L947" s="268">
        <v>0.38069999999999998</v>
      </c>
      <c r="M947" s="268">
        <v>-3.73E-2</v>
      </c>
      <c r="N947" s="8">
        <v>568.47</v>
      </c>
      <c r="O947" s="8">
        <v>7917.77</v>
      </c>
      <c r="P947" s="268">
        <v>7.1800000000000003E-2</v>
      </c>
      <c r="Q947" s="8">
        <v>448</v>
      </c>
      <c r="R947" s="8">
        <v>0</v>
      </c>
      <c r="S947" s="8" t="s">
        <v>7004</v>
      </c>
      <c r="T947" s="8" t="s">
        <v>6626</v>
      </c>
      <c r="U947" s="8" t="s">
        <v>7005</v>
      </c>
      <c r="V947" s="8" t="s">
        <v>7006</v>
      </c>
      <c r="W947" s="8" t="s">
        <v>7007</v>
      </c>
    </row>
    <row r="948" spans="1:23" ht="28" customHeight="1" x14ac:dyDescent="0.3">
      <c r="A948" s="308">
        <v>44873</v>
      </c>
      <c r="B948" s="302">
        <v>2036.41</v>
      </c>
      <c r="C948" s="8">
        <v>-7.4189999999999996</v>
      </c>
      <c r="D948" s="268">
        <v>-3.5999999999999999E-3</v>
      </c>
      <c r="E948" s="8">
        <v>62.41</v>
      </c>
      <c r="F948" s="8">
        <v>135.22200000000001</v>
      </c>
      <c r="G948" s="8">
        <v>122.005</v>
      </c>
      <c r="H948" s="8">
        <v>88.77</v>
      </c>
      <c r="I948" s="8">
        <v>184.88</v>
      </c>
      <c r="J948" s="8">
        <v>69.64</v>
      </c>
      <c r="K948" s="268">
        <v>0.49659999999999999</v>
      </c>
      <c r="L948" s="268">
        <v>0.38829999999999998</v>
      </c>
      <c r="M948" s="268">
        <v>-3.7499999999999999E-2</v>
      </c>
      <c r="N948" s="8">
        <v>635.41999999999996</v>
      </c>
      <c r="O948" s="8">
        <v>7922.2</v>
      </c>
      <c r="P948" s="268">
        <v>8.0199999999999994E-2</v>
      </c>
      <c r="Q948" s="8">
        <v>449</v>
      </c>
      <c r="R948" s="8">
        <v>0</v>
      </c>
      <c r="S948" s="8" t="s">
        <v>7008</v>
      </c>
      <c r="T948" s="8" t="s">
        <v>2344</v>
      </c>
      <c r="U948" s="8" t="s">
        <v>7009</v>
      </c>
      <c r="V948" s="8" t="s">
        <v>7010</v>
      </c>
      <c r="W948" s="8" t="s">
        <v>7011</v>
      </c>
    </row>
    <row r="949" spans="1:23" ht="28" customHeight="1" x14ac:dyDescent="0.3">
      <c r="A949" s="308">
        <v>44872</v>
      </c>
      <c r="B949" s="302">
        <v>2043.829</v>
      </c>
      <c r="C949" s="8">
        <v>1.2050000000000001</v>
      </c>
      <c r="D949" s="268">
        <v>5.9999999999999995E-4</v>
      </c>
      <c r="E949" s="8">
        <v>64.39</v>
      </c>
      <c r="F949" s="8">
        <v>135.79</v>
      </c>
      <c r="G949" s="8">
        <v>122.846</v>
      </c>
      <c r="H949" s="8">
        <v>88.67</v>
      </c>
      <c r="I949" s="8">
        <v>185.88</v>
      </c>
      <c r="J949" s="8">
        <v>69.400000000000006</v>
      </c>
      <c r="K949" s="268">
        <v>0.50090000000000001</v>
      </c>
      <c r="L949" s="268">
        <v>0.38400000000000001</v>
      </c>
      <c r="M949" s="268">
        <v>-3.8800000000000001E-2</v>
      </c>
      <c r="N949" s="8">
        <v>616.09</v>
      </c>
      <c r="O949" s="8">
        <v>7883.33</v>
      </c>
      <c r="P949" s="268">
        <v>7.8200000000000006E-2</v>
      </c>
      <c r="Q949" s="8">
        <v>446</v>
      </c>
      <c r="R949" s="8">
        <v>0</v>
      </c>
      <c r="S949" s="8" t="s">
        <v>2442</v>
      </c>
      <c r="T949" s="8" t="s">
        <v>7012</v>
      </c>
      <c r="U949" s="8" t="s">
        <v>7013</v>
      </c>
      <c r="V949" s="8" t="s">
        <v>7014</v>
      </c>
      <c r="W949" s="8" t="s">
        <v>7015</v>
      </c>
    </row>
    <row r="950" spans="1:23" ht="28" customHeight="1" x14ac:dyDescent="0.3">
      <c r="A950" s="308">
        <v>44869</v>
      </c>
      <c r="B950" s="302">
        <v>2042.624</v>
      </c>
      <c r="C950" s="8">
        <v>28.103000000000002</v>
      </c>
      <c r="D950" s="268">
        <v>1.4E-2</v>
      </c>
      <c r="E950" s="8">
        <v>65.42</v>
      </c>
      <c r="F950" s="8">
        <v>135.751</v>
      </c>
      <c r="G950" s="8">
        <v>122.795</v>
      </c>
      <c r="H950" s="8">
        <v>88.55</v>
      </c>
      <c r="I950" s="8">
        <v>186.83</v>
      </c>
      <c r="J950" s="8">
        <v>71.56</v>
      </c>
      <c r="K950" s="268">
        <v>0.51080000000000003</v>
      </c>
      <c r="L950" s="268">
        <v>0.39329999999999998</v>
      </c>
      <c r="M950" s="268">
        <v>-3.6499999999999998E-2</v>
      </c>
      <c r="N950" s="8">
        <v>773.84</v>
      </c>
      <c r="O950" s="8">
        <v>7885.81</v>
      </c>
      <c r="P950" s="268">
        <v>9.8100000000000007E-2</v>
      </c>
      <c r="Q950" s="8">
        <v>445</v>
      </c>
      <c r="R950" s="8">
        <v>0</v>
      </c>
      <c r="S950" s="8" t="s">
        <v>7016</v>
      </c>
      <c r="T950" s="8" t="s">
        <v>7017</v>
      </c>
      <c r="U950" s="8" t="s">
        <v>7018</v>
      </c>
      <c r="V950" s="8" t="s">
        <v>7019</v>
      </c>
      <c r="W950" s="8" t="s">
        <v>7020</v>
      </c>
    </row>
    <row r="951" spans="1:23" ht="28" customHeight="1" x14ac:dyDescent="0.3">
      <c r="A951" s="308">
        <v>44868</v>
      </c>
      <c r="B951" s="302">
        <v>2014.521</v>
      </c>
      <c r="C951" s="8">
        <v>2.6560000000000001</v>
      </c>
      <c r="D951" s="268">
        <v>1.2999999999999999E-3</v>
      </c>
      <c r="E951" s="8">
        <v>59.25</v>
      </c>
      <c r="F951" s="8">
        <v>133.69800000000001</v>
      </c>
      <c r="G951" s="8">
        <v>120.95</v>
      </c>
      <c r="H951" s="8">
        <v>87.26</v>
      </c>
      <c r="I951" s="8">
        <v>186.07</v>
      </c>
      <c r="J951" s="8">
        <v>74.239999999999995</v>
      </c>
      <c r="K951" s="268">
        <v>0.52370000000000005</v>
      </c>
      <c r="L951" s="268">
        <v>0.39929999999999999</v>
      </c>
      <c r="M951" s="268">
        <v>-3.2500000000000001E-2</v>
      </c>
      <c r="N951" s="8">
        <v>589.33000000000004</v>
      </c>
      <c r="O951" s="8">
        <v>7882.67</v>
      </c>
      <c r="P951" s="268">
        <v>7.4800000000000005E-2</v>
      </c>
      <c r="Q951" s="8">
        <v>444</v>
      </c>
      <c r="R951" s="8">
        <v>0</v>
      </c>
      <c r="S951" s="8" t="s">
        <v>6100</v>
      </c>
      <c r="T951" s="8" t="s">
        <v>7021</v>
      </c>
      <c r="U951" s="8" t="s">
        <v>5876</v>
      </c>
      <c r="V951" s="8" t="s">
        <v>7022</v>
      </c>
      <c r="W951" s="8" t="s">
        <v>7023</v>
      </c>
    </row>
    <row r="952" spans="1:23" ht="28" customHeight="1" x14ac:dyDescent="0.3">
      <c r="A952" s="308">
        <v>44867</v>
      </c>
      <c r="B952" s="302">
        <v>2011.865</v>
      </c>
      <c r="C952" s="8">
        <v>21.988</v>
      </c>
      <c r="D952" s="268">
        <v>1.0999999999999999E-2</v>
      </c>
      <c r="E952" s="8">
        <v>56.63</v>
      </c>
      <c r="F952" s="8">
        <v>133.66800000000001</v>
      </c>
      <c r="G952" s="8">
        <v>120.571</v>
      </c>
      <c r="H952" s="8">
        <v>87.34</v>
      </c>
      <c r="I952" s="8">
        <v>186.23</v>
      </c>
      <c r="J952" s="8">
        <v>74.59</v>
      </c>
      <c r="K952" s="268">
        <v>0.52559999999999996</v>
      </c>
      <c r="L952" s="268">
        <v>0.40539999999999998</v>
      </c>
      <c r="M952" s="268">
        <v>-3.2500000000000001E-2</v>
      </c>
      <c r="N952" s="8">
        <v>688.22</v>
      </c>
      <c r="O952" s="8">
        <v>7879.37</v>
      </c>
      <c r="P952" s="268">
        <v>8.7300000000000003E-2</v>
      </c>
      <c r="Q952" s="8">
        <v>443</v>
      </c>
      <c r="R952" s="8">
        <v>0</v>
      </c>
      <c r="S952" s="8" t="s">
        <v>3009</v>
      </c>
      <c r="T952" s="8" t="s">
        <v>7024</v>
      </c>
      <c r="U952" s="8" t="s">
        <v>7025</v>
      </c>
      <c r="V952" s="8" t="s">
        <v>7026</v>
      </c>
      <c r="W952" s="8" t="s">
        <v>7027</v>
      </c>
    </row>
    <row r="953" spans="1:23" ht="28" customHeight="1" x14ac:dyDescent="0.3">
      <c r="A953" s="308">
        <v>44866</v>
      </c>
      <c r="B953" s="302">
        <v>1989.877</v>
      </c>
      <c r="C953" s="8">
        <v>20.344999999999999</v>
      </c>
      <c r="D953" s="268">
        <v>1.03E-2</v>
      </c>
      <c r="E953" s="8">
        <v>50</v>
      </c>
      <c r="F953" s="8">
        <v>132.089</v>
      </c>
      <c r="G953" s="8">
        <v>119.121</v>
      </c>
      <c r="H953" s="8">
        <v>85.56</v>
      </c>
      <c r="I953" s="8">
        <v>185.22</v>
      </c>
      <c r="J953" s="8">
        <v>75</v>
      </c>
      <c r="K953" s="268">
        <v>0.53129999999999999</v>
      </c>
      <c r="L953" s="268">
        <v>0.40439999999999998</v>
      </c>
      <c r="M953" s="268">
        <v>-2.92E-2</v>
      </c>
      <c r="N953" s="8">
        <v>638.69000000000005</v>
      </c>
      <c r="O953" s="8">
        <v>7873.1</v>
      </c>
      <c r="P953" s="268">
        <v>8.1100000000000005E-2</v>
      </c>
      <c r="Q953" s="8">
        <v>442</v>
      </c>
      <c r="R953" s="8">
        <v>0</v>
      </c>
      <c r="S953" s="8" t="s">
        <v>7028</v>
      </c>
      <c r="T953" s="8" t="s">
        <v>7029</v>
      </c>
      <c r="U953" s="8" t="s">
        <v>7030</v>
      </c>
      <c r="V953" s="8" t="s">
        <v>4538</v>
      </c>
      <c r="W953" s="8" t="s">
        <v>7031</v>
      </c>
    </row>
    <row r="954" spans="1:23" ht="28" customHeight="1" x14ac:dyDescent="0.3">
      <c r="A954" s="308">
        <v>44865</v>
      </c>
      <c r="B954" s="302">
        <v>1969.5319999999999</v>
      </c>
      <c r="C954" s="8">
        <v>-4.2439999999999998</v>
      </c>
      <c r="D954" s="268">
        <v>-2.0999999999999999E-3</v>
      </c>
      <c r="E954" s="8">
        <v>43.22</v>
      </c>
      <c r="F954" s="8">
        <v>130.762</v>
      </c>
      <c r="G954" s="8">
        <v>118.35</v>
      </c>
      <c r="H954" s="8">
        <v>83.65</v>
      </c>
      <c r="I954" s="8">
        <v>186.35</v>
      </c>
      <c r="J954" s="8">
        <v>79.010000000000005</v>
      </c>
      <c r="K954" s="268">
        <v>0.55589999999999995</v>
      </c>
      <c r="L954" s="268">
        <v>0.42570000000000002</v>
      </c>
      <c r="M954" s="268">
        <v>-2.69E-2</v>
      </c>
      <c r="N954" s="8">
        <v>555.82000000000005</v>
      </c>
      <c r="O954" s="8">
        <v>7849.82</v>
      </c>
      <c r="P954" s="268">
        <v>7.0800000000000002E-2</v>
      </c>
      <c r="Q954" s="8">
        <v>442</v>
      </c>
      <c r="R954" s="8">
        <v>0</v>
      </c>
      <c r="S954" s="8" t="s">
        <v>7032</v>
      </c>
      <c r="T954" s="8" t="s">
        <v>7033</v>
      </c>
      <c r="U954" s="8" t="s">
        <v>5959</v>
      </c>
      <c r="V954" s="8" t="s">
        <v>7034</v>
      </c>
      <c r="W954" s="8" t="s">
        <v>7035</v>
      </c>
    </row>
    <row r="955" spans="1:23" ht="28" customHeight="1" x14ac:dyDescent="0.3">
      <c r="A955" s="308">
        <v>44862</v>
      </c>
      <c r="B955" s="302">
        <v>1973.7760000000001</v>
      </c>
      <c r="C955" s="8">
        <v>-30.994</v>
      </c>
      <c r="D955" s="268">
        <v>-1.55E-2</v>
      </c>
      <c r="E955" s="8">
        <v>45</v>
      </c>
      <c r="F955" s="8">
        <v>131.19200000000001</v>
      </c>
      <c r="G955" s="8">
        <v>118.44799999999999</v>
      </c>
      <c r="H955" s="8">
        <v>82.73</v>
      </c>
      <c r="I955" s="8">
        <v>188.43</v>
      </c>
      <c r="J955" s="8">
        <v>84.48</v>
      </c>
      <c r="K955" s="268">
        <v>0.57240000000000002</v>
      </c>
      <c r="L955" s="268">
        <v>0.44690000000000002</v>
      </c>
      <c r="M955" s="268">
        <v>-2.8199999999999999E-2</v>
      </c>
      <c r="N955" s="8">
        <v>535.09</v>
      </c>
      <c r="O955" s="8">
        <v>7837.15</v>
      </c>
      <c r="P955" s="268">
        <v>6.83E-2</v>
      </c>
      <c r="Q955" s="8">
        <v>441</v>
      </c>
      <c r="R955" s="8">
        <v>0</v>
      </c>
      <c r="S955" s="8" t="s">
        <v>6891</v>
      </c>
      <c r="T955" s="8" t="s">
        <v>5331</v>
      </c>
      <c r="U955" s="8" t="s">
        <v>7036</v>
      </c>
      <c r="V955" s="8" t="s">
        <v>7037</v>
      </c>
      <c r="W955" s="8" t="s">
        <v>7038</v>
      </c>
    </row>
    <row r="956" spans="1:23" ht="28" customHeight="1" x14ac:dyDescent="0.3">
      <c r="A956" s="308">
        <v>44861</v>
      </c>
      <c r="B956" s="302">
        <v>2004.77</v>
      </c>
      <c r="C956" s="8">
        <v>-1.5249999999999999</v>
      </c>
      <c r="D956" s="268">
        <v>-8.0000000000000004E-4</v>
      </c>
      <c r="E956" s="8">
        <v>52.24</v>
      </c>
      <c r="F956" s="8">
        <v>133.48599999999999</v>
      </c>
      <c r="G956" s="8">
        <v>119.999</v>
      </c>
      <c r="H956" s="8">
        <v>86.01</v>
      </c>
      <c r="I956" s="8">
        <v>186.91</v>
      </c>
      <c r="J956" s="8">
        <v>76.400000000000006</v>
      </c>
      <c r="K956" s="268">
        <v>0.53420000000000001</v>
      </c>
      <c r="L956" s="268">
        <v>0.40889999999999999</v>
      </c>
      <c r="M956" s="268">
        <v>-3.2599999999999997E-2</v>
      </c>
      <c r="N956" s="8">
        <v>547.15</v>
      </c>
      <c r="O956" s="8">
        <v>7788.53</v>
      </c>
      <c r="P956" s="268">
        <v>7.0300000000000001E-2</v>
      </c>
      <c r="Q956" s="8">
        <v>439</v>
      </c>
      <c r="R956" s="8">
        <v>0</v>
      </c>
      <c r="S956" s="8" t="s">
        <v>6116</v>
      </c>
      <c r="T956" s="8" t="s">
        <v>7039</v>
      </c>
      <c r="U956" s="8" t="s">
        <v>7040</v>
      </c>
      <c r="V956" s="8" t="s">
        <v>7041</v>
      </c>
      <c r="W956" s="8" t="s">
        <v>7042</v>
      </c>
    </row>
    <row r="957" spans="1:23" ht="28" customHeight="1" x14ac:dyDescent="0.3">
      <c r="A957" s="308">
        <v>44860</v>
      </c>
      <c r="B957" s="302">
        <v>2006.2950000000001</v>
      </c>
      <c r="C957" s="8">
        <v>21.318999999999999</v>
      </c>
      <c r="D957" s="268">
        <v>1.0699999999999999E-2</v>
      </c>
      <c r="E957" s="8">
        <v>55.15</v>
      </c>
      <c r="F957" s="8">
        <v>133.614</v>
      </c>
      <c r="G957" s="8">
        <v>120.09099999999999</v>
      </c>
      <c r="H957" s="8">
        <v>86.46</v>
      </c>
      <c r="I957" s="8">
        <v>186.75</v>
      </c>
      <c r="J957" s="8">
        <v>73.540000000000006</v>
      </c>
      <c r="K957" s="268">
        <v>0.53139999999999998</v>
      </c>
      <c r="L957" s="268">
        <v>0.40039999999999998</v>
      </c>
      <c r="M957" s="268">
        <v>-3.2500000000000001E-2</v>
      </c>
      <c r="N957" s="8">
        <v>523.41</v>
      </c>
      <c r="O957" s="8">
        <v>7792.57</v>
      </c>
      <c r="P957" s="268">
        <v>6.7199999999999996E-2</v>
      </c>
      <c r="Q957" s="8">
        <v>439</v>
      </c>
      <c r="R957" s="8">
        <v>0</v>
      </c>
      <c r="S957" s="8" t="s">
        <v>6148</v>
      </c>
      <c r="T957" s="8" t="s">
        <v>7043</v>
      </c>
      <c r="U957" s="8" t="s">
        <v>7044</v>
      </c>
      <c r="V957" s="8" t="s">
        <v>7045</v>
      </c>
      <c r="W957" s="8" t="s">
        <v>7046</v>
      </c>
    </row>
    <row r="958" spans="1:23" ht="28" customHeight="1" x14ac:dyDescent="0.3">
      <c r="A958" s="308">
        <v>44859</v>
      </c>
      <c r="B958" s="302">
        <v>1984.9760000000001</v>
      </c>
      <c r="C958" s="8">
        <v>-11.962</v>
      </c>
      <c r="D958" s="268">
        <v>-6.0000000000000001E-3</v>
      </c>
      <c r="E958" s="8">
        <v>46.3</v>
      </c>
      <c r="F958" s="8">
        <v>132.23599999999999</v>
      </c>
      <c r="G958" s="8">
        <v>118.85299999999999</v>
      </c>
      <c r="H958" s="8">
        <v>84.85</v>
      </c>
      <c r="I958" s="8">
        <v>186.9</v>
      </c>
      <c r="J958" s="8">
        <v>77.17</v>
      </c>
      <c r="K958" s="268">
        <v>0.54659999999999997</v>
      </c>
      <c r="L958" s="268">
        <v>0.42430000000000001</v>
      </c>
      <c r="M958" s="268">
        <v>-2.92E-2</v>
      </c>
      <c r="N958" s="8">
        <v>501.29</v>
      </c>
      <c r="O958" s="8">
        <v>7782.08</v>
      </c>
      <c r="P958" s="268">
        <v>6.4399999999999999E-2</v>
      </c>
      <c r="Q958" s="8">
        <v>437</v>
      </c>
      <c r="R958" s="8">
        <v>0</v>
      </c>
      <c r="S958" s="8" t="s">
        <v>3279</v>
      </c>
      <c r="T958" s="8" t="s">
        <v>7047</v>
      </c>
      <c r="U958" s="8" t="s">
        <v>7048</v>
      </c>
      <c r="V958" s="8" t="s">
        <v>7049</v>
      </c>
      <c r="W958" s="8" t="s">
        <v>7050</v>
      </c>
    </row>
    <row r="959" spans="1:23" ht="28" customHeight="1" x14ac:dyDescent="0.3">
      <c r="A959" s="308">
        <v>44858</v>
      </c>
      <c r="B959" s="302">
        <v>1996.9380000000001</v>
      </c>
      <c r="C959" s="8">
        <v>-19.030999999999999</v>
      </c>
      <c r="D959" s="268">
        <v>-9.4000000000000004E-3</v>
      </c>
      <c r="E959" s="8">
        <v>51.19</v>
      </c>
      <c r="F959" s="8">
        <v>133.047</v>
      </c>
      <c r="G959" s="8">
        <v>119.479</v>
      </c>
      <c r="H959" s="8">
        <v>84.55</v>
      </c>
      <c r="I959" s="8">
        <v>188.04</v>
      </c>
      <c r="J959" s="8">
        <v>77.900000000000006</v>
      </c>
      <c r="K959" s="268">
        <v>0.54990000000000006</v>
      </c>
      <c r="L959" s="268">
        <v>0.42709999999999998</v>
      </c>
      <c r="M959" s="268">
        <v>-3.1199999999999999E-2</v>
      </c>
      <c r="N959" s="8">
        <v>503.51</v>
      </c>
      <c r="O959" s="8">
        <v>7780.31</v>
      </c>
      <c r="P959" s="268">
        <v>6.4699999999999994E-2</v>
      </c>
      <c r="Q959" s="8">
        <v>436</v>
      </c>
      <c r="R959" s="8">
        <v>0</v>
      </c>
      <c r="S959" s="8" t="s">
        <v>7051</v>
      </c>
      <c r="T959" s="8" t="s">
        <v>7052</v>
      </c>
      <c r="U959" s="8" t="s">
        <v>7053</v>
      </c>
      <c r="V959" s="8" t="s">
        <v>7054</v>
      </c>
      <c r="W959" s="8" t="s">
        <v>7055</v>
      </c>
    </row>
    <row r="960" spans="1:23" ht="28" customHeight="1" x14ac:dyDescent="0.3">
      <c r="A960" s="308">
        <v>44855</v>
      </c>
      <c r="B960" s="302">
        <v>2015.9690000000001</v>
      </c>
      <c r="C960" s="8">
        <v>-4.2220000000000004</v>
      </c>
      <c r="D960" s="268">
        <v>-2.0999999999999999E-3</v>
      </c>
      <c r="E960" s="8">
        <v>56.68</v>
      </c>
      <c r="F960" s="8">
        <v>134.27000000000001</v>
      </c>
      <c r="G960" s="8">
        <v>121.066</v>
      </c>
      <c r="H960" s="8">
        <v>85.93</v>
      </c>
      <c r="I960" s="8">
        <v>188.5</v>
      </c>
      <c r="J960" s="8">
        <v>77.05</v>
      </c>
      <c r="K960" s="268">
        <v>0.5423</v>
      </c>
      <c r="L960" s="268">
        <v>0.4168</v>
      </c>
      <c r="M960" s="268">
        <v>-3.2000000000000001E-2</v>
      </c>
      <c r="N960" s="8">
        <v>520.76</v>
      </c>
      <c r="O960" s="8">
        <v>7762.02</v>
      </c>
      <c r="P960" s="268">
        <v>6.7100000000000007E-2</v>
      </c>
      <c r="Q960" s="8">
        <v>435</v>
      </c>
      <c r="R960" s="8">
        <v>0</v>
      </c>
      <c r="S960" s="8" t="s">
        <v>7056</v>
      </c>
      <c r="T960" s="8" t="s">
        <v>7057</v>
      </c>
      <c r="U960" s="8" t="s">
        <v>7058</v>
      </c>
      <c r="V960" s="8" t="s">
        <v>7059</v>
      </c>
      <c r="W960" s="8" t="s">
        <v>7060</v>
      </c>
    </row>
    <row r="961" spans="1:23" ht="28" customHeight="1" x14ac:dyDescent="0.3">
      <c r="A961" s="308">
        <v>44854</v>
      </c>
      <c r="B961" s="302">
        <v>2020.191</v>
      </c>
      <c r="C961" s="8">
        <v>-13.462999999999999</v>
      </c>
      <c r="D961" s="268">
        <v>-6.6E-3</v>
      </c>
      <c r="E961" s="8">
        <v>57.53</v>
      </c>
      <c r="F961" s="8">
        <v>134.673</v>
      </c>
      <c r="G961" s="8">
        <v>120.935</v>
      </c>
      <c r="H961" s="8">
        <v>85.68</v>
      </c>
      <c r="I961" s="8">
        <v>189.29</v>
      </c>
      <c r="J961" s="8">
        <v>79.260000000000005</v>
      </c>
      <c r="K961" s="268">
        <v>0.54620000000000002</v>
      </c>
      <c r="L961" s="268">
        <v>0.42159999999999997</v>
      </c>
      <c r="M961" s="268">
        <v>-3.2599999999999997E-2</v>
      </c>
      <c r="N961" s="8">
        <v>610.20000000000005</v>
      </c>
      <c r="O961" s="8">
        <v>7732.97</v>
      </c>
      <c r="P961" s="268">
        <v>7.8899999999999998E-2</v>
      </c>
      <c r="Q961" s="8">
        <v>434</v>
      </c>
      <c r="R961" s="8">
        <v>0</v>
      </c>
      <c r="S961" s="8" t="s">
        <v>4110</v>
      </c>
      <c r="T961" s="8" t="s">
        <v>7061</v>
      </c>
      <c r="U961" s="8" t="s">
        <v>7062</v>
      </c>
      <c r="V961" s="8" t="s">
        <v>7063</v>
      </c>
      <c r="W961" s="8" t="s">
        <v>7064</v>
      </c>
    </row>
    <row r="962" spans="1:23" ht="28" customHeight="1" x14ac:dyDescent="0.3">
      <c r="A962" s="308">
        <v>44853</v>
      </c>
      <c r="B962" s="302">
        <v>2033.654</v>
      </c>
      <c r="C962" s="8">
        <v>-6.59</v>
      </c>
      <c r="D962" s="268">
        <v>-3.2000000000000002E-3</v>
      </c>
      <c r="E962" s="8">
        <v>59.21</v>
      </c>
      <c r="F962" s="8">
        <v>135.905</v>
      </c>
      <c r="G962" s="8">
        <v>121.328</v>
      </c>
      <c r="H962" s="8">
        <v>85.76</v>
      </c>
      <c r="I962" s="8">
        <v>190.77</v>
      </c>
      <c r="J962" s="8">
        <v>80.97</v>
      </c>
      <c r="K962" s="268">
        <v>0.54859999999999998</v>
      </c>
      <c r="L962" s="268">
        <v>0.42530000000000001</v>
      </c>
      <c r="M962" s="268">
        <v>-3.44E-2</v>
      </c>
      <c r="N962" s="8">
        <v>572.71</v>
      </c>
      <c r="O962" s="8">
        <v>7737.12</v>
      </c>
      <c r="P962" s="268">
        <v>7.3999999999999996E-2</v>
      </c>
      <c r="Q962" s="8">
        <v>434</v>
      </c>
      <c r="R962" s="8">
        <v>0</v>
      </c>
      <c r="S962" s="8" t="s">
        <v>3246</v>
      </c>
      <c r="T962" s="8" t="s">
        <v>7065</v>
      </c>
      <c r="U962" s="8" t="s">
        <v>7066</v>
      </c>
      <c r="V962" s="8" t="s">
        <v>7067</v>
      </c>
      <c r="W962" s="8" t="s">
        <v>7068</v>
      </c>
    </row>
    <row r="963" spans="1:23" ht="28" customHeight="1" x14ac:dyDescent="0.3">
      <c r="A963" s="308">
        <v>44852</v>
      </c>
      <c r="B963" s="302">
        <v>2040.2439999999999</v>
      </c>
      <c r="C963" s="8">
        <v>3.4630000000000001</v>
      </c>
      <c r="D963" s="268">
        <v>1.6999999999999999E-3</v>
      </c>
      <c r="E963" s="8">
        <v>61.13</v>
      </c>
      <c r="F963" s="8">
        <v>136.88499999999999</v>
      </c>
      <c r="G963" s="8">
        <v>121.629</v>
      </c>
      <c r="H963" s="8">
        <v>86.35</v>
      </c>
      <c r="I963" s="8">
        <v>190.7</v>
      </c>
      <c r="J963" s="8">
        <v>78.03</v>
      </c>
      <c r="K963" s="268">
        <v>0.53810000000000002</v>
      </c>
      <c r="L963" s="268">
        <v>0.41959999999999997</v>
      </c>
      <c r="M963" s="268">
        <v>-3.56E-2</v>
      </c>
      <c r="N963" s="8">
        <v>593.14</v>
      </c>
      <c r="O963" s="8">
        <v>7735.6</v>
      </c>
      <c r="P963" s="268">
        <v>7.6700000000000004E-2</v>
      </c>
      <c r="Q963" s="8">
        <v>434</v>
      </c>
      <c r="R963" s="8">
        <v>0</v>
      </c>
      <c r="S963" s="8" t="s">
        <v>3323</v>
      </c>
      <c r="T963" s="8" t="s">
        <v>7069</v>
      </c>
      <c r="U963" s="8" t="s">
        <v>5864</v>
      </c>
      <c r="V963" s="8" t="s">
        <v>5828</v>
      </c>
      <c r="W963" s="8" t="s">
        <v>7070</v>
      </c>
    </row>
    <row r="964" spans="1:23" ht="28" customHeight="1" x14ac:dyDescent="0.3">
      <c r="A964" s="308">
        <v>44851</v>
      </c>
      <c r="B964" s="302">
        <v>2036.7809999999999</v>
      </c>
      <c r="C964" s="8">
        <v>6.173</v>
      </c>
      <c r="D964" s="268">
        <v>3.0000000000000001E-3</v>
      </c>
      <c r="E964" s="8">
        <v>61.32</v>
      </c>
      <c r="F964" s="8">
        <v>136.56399999999999</v>
      </c>
      <c r="G964" s="8">
        <v>121.898</v>
      </c>
      <c r="H964" s="8">
        <v>86.18</v>
      </c>
      <c r="I964" s="8">
        <v>190.73</v>
      </c>
      <c r="J964" s="8">
        <v>77.849999999999994</v>
      </c>
      <c r="K964" s="268">
        <v>0.54169999999999996</v>
      </c>
      <c r="L964" s="268">
        <v>0.42159999999999997</v>
      </c>
      <c r="M964" s="268">
        <v>-3.5400000000000001E-2</v>
      </c>
      <c r="N964" s="8">
        <v>512.25</v>
      </c>
      <c r="O964" s="8">
        <v>7677.18</v>
      </c>
      <c r="P964" s="268">
        <v>6.6699999999999995E-2</v>
      </c>
      <c r="Q964" s="8">
        <v>433</v>
      </c>
      <c r="R964" s="8">
        <v>0</v>
      </c>
      <c r="S964" s="8" t="s">
        <v>7071</v>
      </c>
      <c r="T964" s="8" t="s">
        <v>7072</v>
      </c>
      <c r="U964" s="8" t="s">
        <v>7073</v>
      </c>
      <c r="V964" s="8" t="s">
        <v>7074</v>
      </c>
      <c r="W964" s="8" t="s">
        <v>7075</v>
      </c>
    </row>
    <row r="965" spans="1:23" ht="28" customHeight="1" x14ac:dyDescent="0.3">
      <c r="A965" s="308">
        <v>44848</v>
      </c>
      <c r="B965" s="302">
        <v>2030.6079999999999</v>
      </c>
      <c r="C965" s="8">
        <v>25.465</v>
      </c>
      <c r="D965" s="268">
        <v>1.2699999999999999E-2</v>
      </c>
      <c r="E965" s="8">
        <v>59.94</v>
      </c>
      <c r="F965" s="8">
        <v>136.24199999999999</v>
      </c>
      <c r="G965" s="8">
        <v>121.354</v>
      </c>
      <c r="H965" s="8">
        <v>84.22</v>
      </c>
      <c r="I965" s="8">
        <v>191.76</v>
      </c>
      <c r="J965" s="8">
        <v>83.15</v>
      </c>
      <c r="K965" s="268">
        <v>0.55520000000000003</v>
      </c>
      <c r="L965" s="268">
        <v>0.438</v>
      </c>
      <c r="M965" s="268">
        <v>-3.5900000000000001E-2</v>
      </c>
      <c r="N965" s="8">
        <v>651.34</v>
      </c>
      <c r="O965" s="8">
        <v>7681.97</v>
      </c>
      <c r="P965" s="268">
        <v>8.48E-2</v>
      </c>
      <c r="Q965" s="8">
        <v>433</v>
      </c>
      <c r="R965" s="8">
        <v>0</v>
      </c>
      <c r="S965" s="8" t="s">
        <v>7076</v>
      </c>
      <c r="T965" s="8" t="s">
        <v>7077</v>
      </c>
      <c r="U965" s="8" t="s">
        <v>7078</v>
      </c>
      <c r="V965" s="8" t="s">
        <v>7079</v>
      </c>
      <c r="W965" s="8" t="s">
        <v>7080</v>
      </c>
    </row>
    <row r="966" spans="1:23" ht="28" customHeight="1" x14ac:dyDescent="0.3">
      <c r="A966" s="308">
        <v>44847</v>
      </c>
      <c r="B966" s="302">
        <v>2005.143</v>
      </c>
      <c r="C966" s="8">
        <v>20.225999999999999</v>
      </c>
      <c r="D966" s="268">
        <v>1.0200000000000001E-2</v>
      </c>
      <c r="E966" s="8">
        <v>51.27</v>
      </c>
      <c r="F966" s="8">
        <v>134.47999999999999</v>
      </c>
      <c r="G966" s="8">
        <v>120.057</v>
      </c>
      <c r="H966" s="8">
        <v>82.06</v>
      </c>
      <c r="I966" s="8">
        <v>191.64</v>
      </c>
      <c r="J966" s="8">
        <v>86.5</v>
      </c>
      <c r="K966" s="268">
        <v>0.5716</v>
      </c>
      <c r="L966" s="268">
        <v>0.4491</v>
      </c>
      <c r="M966" s="268">
        <v>-3.2500000000000001E-2</v>
      </c>
      <c r="N966" s="8">
        <v>549.79</v>
      </c>
      <c r="O966" s="8">
        <v>7672.94</v>
      </c>
      <c r="P966" s="268">
        <v>7.17E-2</v>
      </c>
      <c r="Q966" s="8">
        <v>432</v>
      </c>
      <c r="R966" s="8">
        <v>0</v>
      </c>
      <c r="S966" s="8" t="s">
        <v>7081</v>
      </c>
      <c r="T966" s="8" t="s">
        <v>6799</v>
      </c>
      <c r="U966" s="8" t="s">
        <v>7082</v>
      </c>
      <c r="V966" s="8" t="s">
        <v>7083</v>
      </c>
      <c r="W966" s="8" t="s">
        <v>7084</v>
      </c>
    </row>
    <row r="967" spans="1:23" ht="28" customHeight="1" x14ac:dyDescent="0.3">
      <c r="A967" s="308">
        <v>44846</v>
      </c>
      <c r="B967" s="302">
        <v>1984.9169999999999</v>
      </c>
      <c r="C967" s="8">
        <v>30.527999999999999</v>
      </c>
      <c r="D967" s="268">
        <v>1.5599999999999999E-2</v>
      </c>
      <c r="E967" s="8">
        <v>46.7</v>
      </c>
      <c r="F967" s="8">
        <v>133.11500000000001</v>
      </c>
      <c r="G967" s="8">
        <v>119.16200000000001</v>
      </c>
      <c r="H967" s="8">
        <v>81.680000000000007</v>
      </c>
      <c r="I967" s="8">
        <v>190.3</v>
      </c>
      <c r="J967" s="8">
        <v>87.76</v>
      </c>
      <c r="K967" s="268">
        <v>0.57179999999999997</v>
      </c>
      <c r="L967" s="268">
        <v>0.46310000000000001</v>
      </c>
      <c r="M967" s="268">
        <v>-2.9700000000000001E-2</v>
      </c>
      <c r="N967" s="8">
        <v>523.95000000000005</v>
      </c>
      <c r="O967" s="8">
        <v>7665.43</v>
      </c>
      <c r="P967" s="268">
        <v>6.8400000000000002E-2</v>
      </c>
      <c r="Q967" s="8">
        <v>431</v>
      </c>
      <c r="R967" s="8">
        <v>0</v>
      </c>
      <c r="S967" s="8" t="s">
        <v>4063</v>
      </c>
      <c r="T967" s="8" t="s">
        <v>7085</v>
      </c>
      <c r="U967" s="8" t="s">
        <v>7086</v>
      </c>
      <c r="V967" s="8" t="s">
        <v>7087</v>
      </c>
      <c r="W967" s="8" t="s">
        <v>7088</v>
      </c>
    </row>
    <row r="968" spans="1:23" ht="28" customHeight="1" x14ac:dyDescent="0.3">
      <c r="A968" s="308">
        <v>44845</v>
      </c>
      <c r="B968" s="302">
        <v>1954.3889999999999</v>
      </c>
      <c r="C968" s="8">
        <v>11.984999999999999</v>
      </c>
      <c r="D968" s="268">
        <v>6.1999999999999998E-3</v>
      </c>
      <c r="E968" s="8">
        <v>39.67</v>
      </c>
      <c r="F968" s="8">
        <v>130.88300000000001</v>
      </c>
      <c r="G968" s="8">
        <v>117.432</v>
      </c>
      <c r="H968" s="8">
        <v>78.98</v>
      </c>
      <c r="I968" s="8">
        <v>189.94</v>
      </c>
      <c r="J968" s="8">
        <v>89.66</v>
      </c>
      <c r="K968" s="268">
        <v>0.59060000000000001</v>
      </c>
      <c r="L968" s="268">
        <v>0.47049999999999997</v>
      </c>
      <c r="M968" s="268">
        <v>-2.53E-2</v>
      </c>
      <c r="N968" s="8">
        <v>455.41</v>
      </c>
      <c r="O968" s="8">
        <v>7651.11</v>
      </c>
      <c r="P968" s="268">
        <v>5.9499999999999997E-2</v>
      </c>
      <c r="Q968" s="8">
        <v>430</v>
      </c>
      <c r="R968" s="8">
        <v>0</v>
      </c>
      <c r="S968" s="8" t="s">
        <v>5741</v>
      </c>
      <c r="T968" s="8" t="s">
        <v>7089</v>
      </c>
      <c r="U968" s="8" t="s">
        <v>7090</v>
      </c>
      <c r="V968" s="8" t="s">
        <v>7091</v>
      </c>
      <c r="W968" s="8" t="s">
        <v>7092</v>
      </c>
    </row>
    <row r="969" spans="1:23" ht="28" customHeight="1" x14ac:dyDescent="0.3">
      <c r="A969" s="308">
        <v>44844</v>
      </c>
      <c r="B969" s="302">
        <v>1942.404</v>
      </c>
      <c r="C969" s="8">
        <v>-13.653</v>
      </c>
      <c r="D969" s="268">
        <v>-7.0000000000000001E-3</v>
      </c>
      <c r="E969" s="8">
        <v>37.44</v>
      </c>
      <c r="F969" s="8">
        <v>129.876</v>
      </c>
      <c r="G969" s="8">
        <v>117</v>
      </c>
      <c r="H969" s="8">
        <v>79.36</v>
      </c>
      <c r="I969" s="8">
        <v>189.09</v>
      </c>
      <c r="J969" s="8">
        <v>89.4</v>
      </c>
      <c r="K969" s="268">
        <v>0.59209999999999996</v>
      </c>
      <c r="L969" s="268">
        <v>0.4708</v>
      </c>
      <c r="M969" s="268">
        <v>-2.3400000000000001E-2</v>
      </c>
      <c r="N969" s="8">
        <v>359.01</v>
      </c>
      <c r="O969" s="8">
        <v>7655.11</v>
      </c>
      <c r="P969" s="268">
        <v>4.6899999999999997E-2</v>
      </c>
      <c r="Q969" s="8">
        <v>431</v>
      </c>
      <c r="R969" s="8">
        <v>0</v>
      </c>
      <c r="S969" s="8" t="s">
        <v>6122</v>
      </c>
      <c r="T969" s="8" t="s">
        <v>7093</v>
      </c>
      <c r="U969" s="8" t="s">
        <v>7094</v>
      </c>
      <c r="V969" s="8" t="s">
        <v>7095</v>
      </c>
      <c r="W969" s="8" t="s">
        <v>7096</v>
      </c>
    </row>
    <row r="970" spans="1:23" ht="28" customHeight="1" x14ac:dyDescent="0.3">
      <c r="A970" s="308">
        <v>44834</v>
      </c>
      <c r="B970" s="302">
        <v>1956.057</v>
      </c>
      <c r="C970" s="8">
        <v>-10.442</v>
      </c>
      <c r="D970" s="268">
        <v>-5.3E-3</v>
      </c>
      <c r="E970" s="8">
        <v>41.04</v>
      </c>
      <c r="F970" s="8">
        <v>130.75700000000001</v>
      </c>
      <c r="G970" s="8">
        <v>117.776</v>
      </c>
      <c r="H970" s="8">
        <v>80.650000000000006</v>
      </c>
      <c r="I970" s="8">
        <v>188.26</v>
      </c>
      <c r="J970" s="8">
        <v>88.43</v>
      </c>
      <c r="K970" s="268">
        <v>0.57499999999999996</v>
      </c>
      <c r="L970" s="268">
        <v>0.46289999999999998</v>
      </c>
      <c r="M970" s="268">
        <v>-2.5700000000000001E-2</v>
      </c>
      <c r="N970" s="8">
        <v>362.59</v>
      </c>
      <c r="O970" s="8">
        <v>7658.58</v>
      </c>
      <c r="P970" s="268">
        <v>4.7300000000000002E-2</v>
      </c>
      <c r="Q970" s="8">
        <v>431</v>
      </c>
      <c r="R970" s="8">
        <v>0</v>
      </c>
      <c r="S970" s="8" t="s">
        <v>6552</v>
      </c>
      <c r="T970" s="8" t="s">
        <v>5503</v>
      </c>
      <c r="U970" s="8" t="s">
        <v>7097</v>
      </c>
      <c r="V970" s="8" t="s">
        <v>7098</v>
      </c>
      <c r="W970" s="8" t="s">
        <v>7099</v>
      </c>
    </row>
    <row r="971" spans="1:23" ht="28" customHeight="1" x14ac:dyDescent="0.3">
      <c r="A971" s="308">
        <v>44833</v>
      </c>
      <c r="B971" s="302">
        <v>1966.499</v>
      </c>
      <c r="C971" s="8">
        <v>-9.1669999999999998</v>
      </c>
      <c r="D971" s="268">
        <v>-4.5999999999999999E-3</v>
      </c>
      <c r="E971" s="8">
        <v>41.37</v>
      </c>
      <c r="F971" s="8">
        <v>131.88300000000001</v>
      </c>
      <c r="G971" s="8">
        <v>118</v>
      </c>
      <c r="H971" s="8">
        <v>81.44</v>
      </c>
      <c r="I971" s="8">
        <v>188.53</v>
      </c>
      <c r="J971" s="8">
        <v>86.46</v>
      </c>
      <c r="K971" s="268">
        <v>0.5665</v>
      </c>
      <c r="L971" s="268">
        <v>0.4501</v>
      </c>
      <c r="M971" s="268">
        <v>-2.63E-2</v>
      </c>
      <c r="N971" s="8">
        <v>421.9</v>
      </c>
      <c r="O971" s="8">
        <v>7665.04</v>
      </c>
      <c r="P971" s="268">
        <v>5.5E-2</v>
      </c>
      <c r="Q971" s="8">
        <v>431</v>
      </c>
      <c r="R971" s="8">
        <v>0</v>
      </c>
      <c r="S971" s="8" t="s">
        <v>7100</v>
      </c>
      <c r="T971" s="8" t="s">
        <v>7101</v>
      </c>
      <c r="U971" s="8" t="s">
        <v>7102</v>
      </c>
      <c r="V971" s="8" t="s">
        <v>7103</v>
      </c>
      <c r="W971" s="8" t="s">
        <v>2907</v>
      </c>
    </row>
    <row r="972" spans="1:23" ht="28" customHeight="1" x14ac:dyDescent="0.3">
      <c r="A972" s="308">
        <v>44832</v>
      </c>
      <c r="B972" s="302">
        <v>1975.6659999999999</v>
      </c>
      <c r="C972" s="8">
        <v>-23.591000000000001</v>
      </c>
      <c r="D972" s="268">
        <v>-1.18E-2</v>
      </c>
      <c r="E972" s="8">
        <v>44.06</v>
      </c>
      <c r="F972" s="8">
        <v>132.572</v>
      </c>
      <c r="G972" s="8">
        <v>118.52500000000001</v>
      </c>
      <c r="H972" s="8">
        <v>82.27</v>
      </c>
      <c r="I972" s="8">
        <v>189.49</v>
      </c>
      <c r="J972" s="8">
        <v>87.28</v>
      </c>
      <c r="K972" s="268">
        <v>0.56920000000000004</v>
      </c>
      <c r="L972" s="268">
        <v>0.45129999999999998</v>
      </c>
      <c r="M972" s="268">
        <v>-2.76E-2</v>
      </c>
      <c r="N972" s="8">
        <v>370.89</v>
      </c>
      <c r="O972" s="8">
        <v>7657.7</v>
      </c>
      <c r="P972" s="268">
        <v>4.8399999999999999E-2</v>
      </c>
      <c r="Q972" s="8">
        <v>430</v>
      </c>
      <c r="R972" s="8">
        <v>0</v>
      </c>
      <c r="S972" s="8" t="s">
        <v>6484</v>
      </c>
      <c r="T972" s="8" t="s">
        <v>7104</v>
      </c>
      <c r="U972" s="8" t="s">
        <v>7105</v>
      </c>
      <c r="V972" s="8" t="s">
        <v>7106</v>
      </c>
      <c r="W972" s="8" t="s">
        <v>7107</v>
      </c>
    </row>
    <row r="973" spans="1:23" ht="28" customHeight="1" x14ac:dyDescent="0.3">
      <c r="A973" s="308">
        <v>44831</v>
      </c>
      <c r="B973" s="302">
        <v>1999.2570000000001</v>
      </c>
      <c r="C973" s="8">
        <v>12.555999999999999</v>
      </c>
      <c r="D973" s="268">
        <v>6.3E-3</v>
      </c>
      <c r="E973" s="8">
        <v>49</v>
      </c>
      <c r="F973" s="8">
        <v>134.489</v>
      </c>
      <c r="G973" s="8">
        <v>119.67</v>
      </c>
      <c r="H973" s="8">
        <v>84.41</v>
      </c>
      <c r="I973" s="8">
        <v>189.13</v>
      </c>
      <c r="J973" s="8">
        <v>83.06</v>
      </c>
      <c r="K973" s="268">
        <v>0.5464</v>
      </c>
      <c r="L973" s="268">
        <v>0.42809999999999998</v>
      </c>
      <c r="M973" s="268">
        <v>-3.1099999999999999E-2</v>
      </c>
      <c r="N973" s="8">
        <v>443.51</v>
      </c>
      <c r="O973" s="8">
        <v>7657.8</v>
      </c>
      <c r="P973" s="268">
        <v>5.79E-2</v>
      </c>
      <c r="Q973" s="8">
        <v>430</v>
      </c>
      <c r="R973" s="8">
        <v>0</v>
      </c>
      <c r="S973" s="8" t="s">
        <v>3520</v>
      </c>
      <c r="T973" s="8" t="s">
        <v>7108</v>
      </c>
      <c r="U973" s="8" t="s">
        <v>7109</v>
      </c>
      <c r="V973" s="8" t="s">
        <v>7110</v>
      </c>
      <c r="W973" s="8" t="s">
        <v>7111</v>
      </c>
    </row>
    <row r="974" spans="1:23" ht="28" customHeight="1" x14ac:dyDescent="0.3">
      <c r="A974" s="308">
        <v>44830</v>
      </c>
      <c r="B974" s="302">
        <v>1986.701</v>
      </c>
      <c r="C974" s="8">
        <v>-11.952</v>
      </c>
      <c r="D974" s="268">
        <v>-6.0000000000000001E-3</v>
      </c>
      <c r="E974" s="8">
        <v>45.48</v>
      </c>
      <c r="F974" s="8">
        <v>133.70599999999999</v>
      </c>
      <c r="G974" s="8">
        <v>119.078</v>
      </c>
      <c r="H974" s="8">
        <v>82.84</v>
      </c>
      <c r="I974" s="8">
        <v>190.99</v>
      </c>
      <c r="J974" s="8">
        <v>87.76</v>
      </c>
      <c r="K974" s="268">
        <v>0.57279999999999998</v>
      </c>
      <c r="L974" s="268">
        <v>0.44969999999999999</v>
      </c>
      <c r="M974" s="268">
        <v>-2.8799999999999999E-2</v>
      </c>
      <c r="N974" s="8">
        <v>431.69</v>
      </c>
      <c r="O974" s="8">
        <v>7662.5</v>
      </c>
      <c r="P974" s="268">
        <v>5.6300000000000003E-2</v>
      </c>
      <c r="Q974" s="8">
        <v>430</v>
      </c>
      <c r="R974" s="8">
        <v>0</v>
      </c>
      <c r="S974" s="8" t="s">
        <v>7112</v>
      </c>
      <c r="T974" s="8" t="s">
        <v>7113</v>
      </c>
      <c r="U974" s="8" t="s">
        <v>7114</v>
      </c>
      <c r="V974" s="8" t="s">
        <v>7115</v>
      </c>
      <c r="W974" s="8" t="s">
        <v>7116</v>
      </c>
    </row>
    <row r="975" spans="1:23" ht="28" customHeight="1" x14ac:dyDescent="0.3">
      <c r="A975" s="308">
        <v>44827</v>
      </c>
      <c r="B975" s="302">
        <v>1998.653</v>
      </c>
      <c r="C975" s="8">
        <v>-18.66</v>
      </c>
      <c r="D975" s="268">
        <v>-9.2999999999999992E-3</v>
      </c>
      <c r="E975" s="8">
        <v>48.87</v>
      </c>
      <c r="F975" s="8">
        <v>134.30099999999999</v>
      </c>
      <c r="G975" s="8">
        <v>120.265</v>
      </c>
      <c r="H975" s="8">
        <v>85.14</v>
      </c>
      <c r="I975" s="8">
        <v>189.63</v>
      </c>
      <c r="J975" s="8">
        <v>85.99</v>
      </c>
      <c r="K975" s="268">
        <v>0.55330000000000001</v>
      </c>
      <c r="L975" s="268">
        <v>0.43430000000000002</v>
      </c>
      <c r="M975" s="268">
        <v>-3.04E-2</v>
      </c>
      <c r="N975" s="8">
        <v>483.05</v>
      </c>
      <c r="O975" s="8">
        <v>7663.2</v>
      </c>
      <c r="P975" s="268">
        <v>6.3E-2</v>
      </c>
      <c r="Q975" s="8">
        <v>431</v>
      </c>
      <c r="R975" s="8">
        <v>0</v>
      </c>
      <c r="S975" s="8" t="s">
        <v>3491</v>
      </c>
      <c r="T975" s="8" t="s">
        <v>6434</v>
      </c>
      <c r="U975" s="8" t="s">
        <v>7117</v>
      </c>
      <c r="V975" s="8" t="s">
        <v>7118</v>
      </c>
      <c r="W975" s="8" t="s">
        <v>7119</v>
      </c>
    </row>
    <row r="976" spans="1:23" ht="28" customHeight="1" x14ac:dyDescent="0.3">
      <c r="A976" s="308">
        <v>44826</v>
      </c>
      <c r="B976" s="302">
        <v>2017.3130000000001</v>
      </c>
      <c r="C976" s="8">
        <v>-2.06</v>
      </c>
      <c r="D976" s="268">
        <v>-1E-3</v>
      </c>
      <c r="E976" s="8">
        <v>53.26</v>
      </c>
      <c r="F976" s="8">
        <v>135.76499999999999</v>
      </c>
      <c r="G976" s="8">
        <v>121.3</v>
      </c>
      <c r="H976" s="8">
        <v>86.52</v>
      </c>
      <c r="I976" s="8">
        <v>189.86</v>
      </c>
      <c r="J976" s="8">
        <v>83.73</v>
      </c>
      <c r="K976" s="268">
        <v>0.54090000000000005</v>
      </c>
      <c r="L976" s="268">
        <v>0.42020000000000002</v>
      </c>
      <c r="M976" s="268">
        <v>-3.3099999999999997E-2</v>
      </c>
      <c r="N976" s="8">
        <v>435.21</v>
      </c>
      <c r="O976" s="8">
        <v>7663.76</v>
      </c>
      <c r="P976" s="268">
        <v>5.6800000000000003E-2</v>
      </c>
      <c r="Q976" s="8">
        <v>431</v>
      </c>
      <c r="R976" s="8">
        <v>0</v>
      </c>
      <c r="S976" s="8" t="s">
        <v>7120</v>
      </c>
      <c r="T976" s="8" t="s">
        <v>7121</v>
      </c>
      <c r="U976" s="8" t="s">
        <v>7122</v>
      </c>
      <c r="V976" s="8" t="s">
        <v>7123</v>
      </c>
      <c r="W976" s="8" t="s">
        <v>7124</v>
      </c>
    </row>
    <row r="977" spans="1:23" ht="28" customHeight="1" x14ac:dyDescent="0.3">
      <c r="A977" s="308">
        <v>44825</v>
      </c>
      <c r="B977" s="302">
        <v>2019.373</v>
      </c>
      <c r="C977" s="8">
        <v>7.0629999999999997</v>
      </c>
      <c r="D977" s="268">
        <v>3.5000000000000001E-3</v>
      </c>
      <c r="E977" s="8">
        <v>54.09</v>
      </c>
      <c r="F977" s="8">
        <v>135.84700000000001</v>
      </c>
      <c r="G977" s="8">
        <v>121.164</v>
      </c>
      <c r="H977" s="8">
        <v>86.93</v>
      </c>
      <c r="I977" s="8">
        <v>189.07</v>
      </c>
      <c r="J977" s="8">
        <v>81.23</v>
      </c>
      <c r="K977" s="268">
        <v>0.53220000000000001</v>
      </c>
      <c r="L977" s="268">
        <v>0.40679999999999999</v>
      </c>
      <c r="M977" s="268">
        <v>-3.3700000000000001E-2</v>
      </c>
      <c r="N977" s="8">
        <v>469.12</v>
      </c>
      <c r="O977" s="8">
        <v>7666.67</v>
      </c>
      <c r="P977" s="268">
        <v>6.1199999999999997E-2</v>
      </c>
      <c r="Q977" s="8">
        <v>432</v>
      </c>
      <c r="R977" s="8">
        <v>0</v>
      </c>
      <c r="S977" s="8" t="s">
        <v>7125</v>
      </c>
      <c r="T977" s="8" t="s">
        <v>7126</v>
      </c>
      <c r="U977" s="8" t="s">
        <v>7127</v>
      </c>
      <c r="V977" s="8" t="s">
        <v>7074</v>
      </c>
      <c r="W977" s="8" t="s">
        <v>7128</v>
      </c>
    </row>
    <row r="978" spans="1:23" ht="28" customHeight="1" x14ac:dyDescent="0.3">
      <c r="A978" s="308">
        <v>44824</v>
      </c>
      <c r="B978" s="302">
        <v>2012.31</v>
      </c>
      <c r="C978" s="8">
        <v>15.079000000000001</v>
      </c>
      <c r="D978" s="268">
        <v>7.6E-3</v>
      </c>
      <c r="E978" s="8">
        <v>52.5</v>
      </c>
      <c r="F978" s="8">
        <v>135.352</v>
      </c>
      <c r="G978" s="8">
        <v>120.983</v>
      </c>
      <c r="H978" s="8">
        <v>85.52</v>
      </c>
      <c r="I978" s="8">
        <v>188.52</v>
      </c>
      <c r="J978" s="8">
        <v>80.319999999999993</v>
      </c>
      <c r="K978" s="268">
        <v>0.53169999999999995</v>
      </c>
      <c r="L978" s="268">
        <v>0.41310000000000002</v>
      </c>
      <c r="M978" s="268">
        <v>-3.2800000000000003E-2</v>
      </c>
      <c r="N978" s="8">
        <v>488.15</v>
      </c>
      <c r="O978" s="8">
        <v>7658.03</v>
      </c>
      <c r="P978" s="268">
        <v>6.3700000000000007E-2</v>
      </c>
      <c r="Q978" s="8">
        <v>431</v>
      </c>
      <c r="R978" s="8">
        <v>0</v>
      </c>
      <c r="S978" s="8" t="s">
        <v>3549</v>
      </c>
      <c r="T978" s="8" t="s">
        <v>3847</v>
      </c>
      <c r="U978" s="8" t="s">
        <v>5654</v>
      </c>
      <c r="V978" s="8" t="s">
        <v>7129</v>
      </c>
      <c r="W978" s="8" t="s">
        <v>7130</v>
      </c>
    </row>
    <row r="979" spans="1:23" ht="28" customHeight="1" x14ac:dyDescent="0.3">
      <c r="A979" s="308">
        <v>44823</v>
      </c>
      <c r="B979" s="302">
        <v>1997.231</v>
      </c>
      <c r="C979" s="8">
        <v>-8.9480000000000004</v>
      </c>
      <c r="D979" s="268">
        <v>-4.4999999999999997E-3</v>
      </c>
      <c r="E979" s="8">
        <v>50.82</v>
      </c>
      <c r="F979" s="8">
        <v>133.852</v>
      </c>
      <c r="G979" s="8">
        <v>120.001</v>
      </c>
      <c r="H979" s="8">
        <v>85.2</v>
      </c>
      <c r="I979" s="8">
        <v>187.86</v>
      </c>
      <c r="J979" s="8">
        <v>83.82</v>
      </c>
      <c r="K979" s="268">
        <v>0.54010000000000002</v>
      </c>
      <c r="L979" s="268">
        <v>0.41889999999999999</v>
      </c>
      <c r="M979" s="268">
        <v>-3.1E-2</v>
      </c>
      <c r="N979" s="8">
        <v>430.52</v>
      </c>
      <c r="O979" s="8">
        <v>7657.35</v>
      </c>
      <c r="P979" s="268">
        <v>5.62E-2</v>
      </c>
      <c r="Q979" s="8">
        <v>432</v>
      </c>
      <c r="R979" s="8">
        <v>0</v>
      </c>
      <c r="S979" s="8" t="s">
        <v>2742</v>
      </c>
      <c r="T979" s="8" t="s">
        <v>7131</v>
      </c>
      <c r="U979" s="8" t="s">
        <v>7132</v>
      </c>
      <c r="V979" s="8" t="s">
        <v>7133</v>
      </c>
      <c r="W979" s="8" t="s">
        <v>5824</v>
      </c>
    </row>
    <row r="980" spans="1:23" ht="28" customHeight="1" x14ac:dyDescent="0.3">
      <c r="A980" s="308">
        <v>44820</v>
      </c>
      <c r="B980" s="302">
        <v>2006.1790000000001</v>
      </c>
      <c r="C980" s="8">
        <v>-23.709</v>
      </c>
      <c r="D980" s="268">
        <v>-1.17E-2</v>
      </c>
      <c r="E980" s="8">
        <v>52.44</v>
      </c>
      <c r="F980" s="8">
        <v>134.51400000000001</v>
      </c>
      <c r="G980" s="8">
        <v>120.81100000000001</v>
      </c>
      <c r="H980" s="8">
        <v>86.15</v>
      </c>
      <c r="I980" s="8">
        <v>187.54</v>
      </c>
      <c r="J980" s="8">
        <v>82.37</v>
      </c>
      <c r="K980" s="268">
        <v>0.53029999999999999</v>
      </c>
      <c r="L980" s="268">
        <v>0.41370000000000001</v>
      </c>
      <c r="M980" s="268">
        <v>-3.1899999999999998E-2</v>
      </c>
      <c r="N980" s="8">
        <v>448.21</v>
      </c>
      <c r="O980" s="8">
        <v>7660.3</v>
      </c>
      <c r="P980" s="268">
        <v>5.8500000000000003E-2</v>
      </c>
      <c r="Q980" s="8">
        <v>432</v>
      </c>
      <c r="R980" s="8">
        <v>0</v>
      </c>
      <c r="S980" s="8" t="s">
        <v>7134</v>
      </c>
      <c r="T980" s="8" t="s">
        <v>7135</v>
      </c>
      <c r="U980" s="8" t="s">
        <v>7136</v>
      </c>
      <c r="V980" s="8" t="s">
        <v>7137</v>
      </c>
      <c r="W980" s="8" t="s">
        <v>7138</v>
      </c>
    </row>
    <row r="981" spans="1:23" ht="28" customHeight="1" x14ac:dyDescent="0.3">
      <c r="A981" s="308">
        <v>44819</v>
      </c>
      <c r="B981" s="302">
        <v>2029.8879999999999</v>
      </c>
      <c r="C981" s="8">
        <v>-29.030999999999999</v>
      </c>
      <c r="D981" s="268">
        <v>-1.41E-2</v>
      </c>
      <c r="E981" s="8">
        <v>59.17</v>
      </c>
      <c r="F981" s="8">
        <v>136.161</v>
      </c>
      <c r="G981" s="8">
        <v>123.087</v>
      </c>
      <c r="H981" s="8">
        <v>88.52</v>
      </c>
      <c r="I981" s="8">
        <v>186.95</v>
      </c>
      <c r="J981" s="8">
        <v>76.489999999999995</v>
      </c>
      <c r="K981" s="268">
        <v>0.50790000000000002</v>
      </c>
      <c r="L981" s="268">
        <v>0.38869999999999999</v>
      </c>
      <c r="M981" s="268">
        <v>-3.5499999999999997E-2</v>
      </c>
      <c r="N981" s="8">
        <v>506.16</v>
      </c>
      <c r="O981" s="8">
        <v>7668.87</v>
      </c>
      <c r="P981" s="268">
        <v>6.6000000000000003E-2</v>
      </c>
      <c r="Q981" s="8">
        <v>433</v>
      </c>
      <c r="R981" s="8">
        <v>0</v>
      </c>
      <c r="S981" s="8" t="s">
        <v>3559</v>
      </c>
      <c r="T981" s="8" t="s">
        <v>7139</v>
      </c>
      <c r="U981" s="8" t="s">
        <v>7140</v>
      </c>
      <c r="V981" s="8" t="s">
        <v>7141</v>
      </c>
      <c r="W981" s="8" t="s">
        <v>7142</v>
      </c>
    </row>
    <row r="982" spans="1:23" ht="28" customHeight="1" x14ac:dyDescent="0.3">
      <c r="A982" s="308">
        <v>44818</v>
      </c>
      <c r="B982" s="302">
        <v>2058.9189999999999</v>
      </c>
      <c r="C982" s="8">
        <v>-10.222</v>
      </c>
      <c r="D982" s="268">
        <v>-4.8999999999999998E-3</v>
      </c>
      <c r="E982" s="8">
        <v>63.09</v>
      </c>
      <c r="F982" s="8">
        <v>138.67400000000001</v>
      </c>
      <c r="G982" s="8">
        <v>124.035</v>
      </c>
      <c r="H982" s="8">
        <v>90.24</v>
      </c>
      <c r="I982" s="8">
        <v>188.05</v>
      </c>
      <c r="J982" s="8">
        <v>70.8</v>
      </c>
      <c r="K982" s="268">
        <v>0.49380000000000002</v>
      </c>
      <c r="L982" s="268">
        <v>0.3775</v>
      </c>
      <c r="M982" s="268">
        <v>-3.9100000000000003E-2</v>
      </c>
      <c r="N982" s="8">
        <v>459.07</v>
      </c>
      <c r="O982" s="8">
        <v>7666.96</v>
      </c>
      <c r="P982" s="268">
        <v>5.9900000000000002E-2</v>
      </c>
      <c r="Q982" s="8">
        <v>432</v>
      </c>
      <c r="R982" s="8">
        <v>0</v>
      </c>
      <c r="S982" s="8" t="s">
        <v>4302</v>
      </c>
      <c r="T982" s="8" t="s">
        <v>7143</v>
      </c>
      <c r="U982" s="8" t="s">
        <v>7144</v>
      </c>
      <c r="V982" s="8" t="s">
        <v>7145</v>
      </c>
      <c r="W982" s="8" t="s">
        <v>7146</v>
      </c>
    </row>
    <row r="983" spans="1:23" ht="28" customHeight="1" x14ac:dyDescent="0.3">
      <c r="A983" s="308">
        <v>44817</v>
      </c>
      <c r="B983" s="302">
        <v>2069.1410000000001</v>
      </c>
      <c r="C983" s="8">
        <v>3.9860000000000002</v>
      </c>
      <c r="D983" s="268">
        <v>1.9E-3</v>
      </c>
      <c r="E983" s="8">
        <v>64.66</v>
      </c>
      <c r="F983" s="8">
        <v>139.423</v>
      </c>
      <c r="G983" s="8">
        <v>124.73</v>
      </c>
      <c r="H983" s="8">
        <v>91.01</v>
      </c>
      <c r="I983" s="8">
        <v>187.95</v>
      </c>
      <c r="J983" s="8">
        <v>67.92</v>
      </c>
      <c r="K983" s="268">
        <v>0.48520000000000002</v>
      </c>
      <c r="L983" s="268">
        <v>0.37080000000000002</v>
      </c>
      <c r="M983" s="268">
        <v>-4.1099999999999998E-2</v>
      </c>
      <c r="N983" s="8">
        <v>483.92</v>
      </c>
      <c r="O983" s="8">
        <v>7670.54</v>
      </c>
      <c r="P983" s="268">
        <v>6.3100000000000003E-2</v>
      </c>
      <c r="Q983" s="8">
        <v>432</v>
      </c>
      <c r="R983" s="8">
        <v>0</v>
      </c>
      <c r="S983" s="8" t="s">
        <v>4080</v>
      </c>
      <c r="T983" s="8" t="s">
        <v>7147</v>
      </c>
      <c r="U983" s="8" t="s">
        <v>6017</v>
      </c>
      <c r="V983" s="8" t="s">
        <v>7148</v>
      </c>
      <c r="W983" s="8" t="s">
        <v>7149</v>
      </c>
    </row>
    <row r="984" spans="1:23" ht="28" customHeight="1" x14ac:dyDescent="0.3">
      <c r="A984" s="308">
        <v>44813</v>
      </c>
      <c r="B984" s="302">
        <v>2065.1550000000002</v>
      </c>
      <c r="C984" s="8">
        <v>-4.367</v>
      </c>
      <c r="D984" s="268">
        <v>-2.0999999999999999E-3</v>
      </c>
      <c r="E984" s="8">
        <v>64.34</v>
      </c>
      <c r="F984" s="8">
        <v>139.006</v>
      </c>
      <c r="G984" s="8">
        <v>124.63800000000001</v>
      </c>
      <c r="H984" s="8">
        <v>91.35</v>
      </c>
      <c r="I984" s="8">
        <v>187.93</v>
      </c>
      <c r="J984" s="8">
        <v>69.150000000000006</v>
      </c>
      <c r="K984" s="268">
        <v>0.48920000000000002</v>
      </c>
      <c r="L984" s="268">
        <v>0.3755</v>
      </c>
      <c r="M984" s="268">
        <v>-4.0500000000000001E-2</v>
      </c>
      <c r="N984" s="8">
        <v>456.31</v>
      </c>
      <c r="O984" s="8">
        <v>7671.97</v>
      </c>
      <c r="P984" s="268">
        <v>5.9499999999999997E-2</v>
      </c>
      <c r="Q984" s="8">
        <v>432</v>
      </c>
      <c r="R984" s="8">
        <v>0</v>
      </c>
      <c r="S984" s="8" t="s">
        <v>4194</v>
      </c>
      <c r="T984" s="8" t="s">
        <v>4023</v>
      </c>
      <c r="U984" s="8" t="s">
        <v>7150</v>
      </c>
      <c r="V984" s="8" t="s">
        <v>7151</v>
      </c>
      <c r="W984" s="8" t="s">
        <v>7152</v>
      </c>
    </row>
    <row r="985" spans="1:23" ht="28" customHeight="1" x14ac:dyDescent="0.3">
      <c r="A985" s="308">
        <v>44812</v>
      </c>
      <c r="B985" s="302">
        <v>2069.5219999999999</v>
      </c>
      <c r="C985" s="8">
        <v>-15.198</v>
      </c>
      <c r="D985" s="268">
        <v>-7.3000000000000001E-3</v>
      </c>
      <c r="E985" s="8">
        <v>65.5</v>
      </c>
      <c r="F985" s="8">
        <v>139.328</v>
      </c>
      <c r="G985" s="8">
        <v>124.453</v>
      </c>
      <c r="H985" s="8">
        <v>91.94</v>
      </c>
      <c r="I985" s="8">
        <v>188.96</v>
      </c>
      <c r="J985" s="8">
        <v>70.66</v>
      </c>
      <c r="K985" s="268">
        <v>0.49630000000000002</v>
      </c>
      <c r="L985" s="268">
        <v>0.37019999999999997</v>
      </c>
      <c r="M985" s="268">
        <v>-4.1200000000000001E-2</v>
      </c>
      <c r="N985" s="8">
        <v>531.70000000000005</v>
      </c>
      <c r="O985" s="8">
        <v>7674.82</v>
      </c>
      <c r="P985" s="268">
        <v>6.93E-2</v>
      </c>
      <c r="Q985" s="8">
        <v>433</v>
      </c>
      <c r="R985" s="8">
        <v>0</v>
      </c>
      <c r="S985" s="8" t="s">
        <v>7153</v>
      </c>
      <c r="T985" s="8" t="s">
        <v>7154</v>
      </c>
      <c r="U985" s="8" t="s">
        <v>7155</v>
      </c>
      <c r="V985" s="8" t="s">
        <v>7156</v>
      </c>
      <c r="W985" s="8" t="s">
        <v>7157</v>
      </c>
    </row>
    <row r="986" spans="1:23" ht="28" customHeight="1" x14ac:dyDescent="0.3">
      <c r="A986" s="308">
        <v>44811</v>
      </c>
      <c r="B986" s="302">
        <v>2084.7199999999998</v>
      </c>
      <c r="C986" s="8">
        <v>11.877000000000001</v>
      </c>
      <c r="D986" s="268">
        <v>5.7000000000000002E-3</v>
      </c>
      <c r="E986" s="8">
        <v>69.3</v>
      </c>
      <c r="F986" s="8">
        <v>140.495</v>
      </c>
      <c r="G986" s="8">
        <v>125.283</v>
      </c>
      <c r="H986" s="8">
        <v>92.72</v>
      </c>
      <c r="I986" s="8">
        <v>189.48</v>
      </c>
      <c r="J986" s="8">
        <v>70.03</v>
      </c>
      <c r="K986" s="268">
        <v>0.48980000000000001</v>
      </c>
      <c r="L986" s="268">
        <v>0.36990000000000001</v>
      </c>
      <c r="M986" s="268">
        <v>-4.3400000000000001E-2</v>
      </c>
      <c r="N986" s="8">
        <v>552.69000000000005</v>
      </c>
      <c r="O986" s="8">
        <v>7664.13</v>
      </c>
      <c r="P986" s="268">
        <v>7.2099999999999997E-2</v>
      </c>
      <c r="Q986" s="8">
        <v>431</v>
      </c>
      <c r="R986" s="8">
        <v>0</v>
      </c>
      <c r="S986" s="8" t="s">
        <v>7158</v>
      </c>
      <c r="T986" s="8" t="s">
        <v>7159</v>
      </c>
      <c r="U986" s="8" t="s">
        <v>7160</v>
      </c>
      <c r="V986" s="8" t="s">
        <v>6296</v>
      </c>
      <c r="W986" s="8" t="s">
        <v>7161</v>
      </c>
    </row>
    <row r="987" spans="1:23" ht="28" customHeight="1" x14ac:dyDescent="0.3">
      <c r="A987" s="308">
        <v>44810</v>
      </c>
      <c r="B987" s="302">
        <v>2072.8429999999998</v>
      </c>
      <c r="C987" s="8">
        <v>24.234999999999999</v>
      </c>
      <c r="D987" s="268">
        <v>1.18E-2</v>
      </c>
      <c r="E987" s="8">
        <v>68.31</v>
      </c>
      <c r="F987" s="8">
        <v>139.429</v>
      </c>
      <c r="G987" s="8">
        <v>125.45</v>
      </c>
      <c r="H987" s="8">
        <v>92.13</v>
      </c>
      <c r="I987" s="8">
        <v>188.03</v>
      </c>
      <c r="J987" s="8">
        <v>70.12</v>
      </c>
      <c r="K987" s="268">
        <v>0.48599999999999999</v>
      </c>
      <c r="L987" s="268">
        <v>0.36799999999999999</v>
      </c>
      <c r="M987" s="268">
        <v>-4.19E-2</v>
      </c>
      <c r="N987" s="8">
        <v>548.11</v>
      </c>
      <c r="O987" s="8">
        <v>7666.62</v>
      </c>
      <c r="P987" s="268">
        <v>7.1499999999999994E-2</v>
      </c>
      <c r="Q987" s="8">
        <v>431</v>
      </c>
      <c r="R987" s="8">
        <v>0</v>
      </c>
      <c r="S987" s="8" t="s">
        <v>5204</v>
      </c>
      <c r="T987" s="8" t="s">
        <v>4780</v>
      </c>
      <c r="U987" s="8" t="s">
        <v>7162</v>
      </c>
      <c r="V987" s="8" t="s">
        <v>7163</v>
      </c>
      <c r="W987" s="8" t="s">
        <v>7164</v>
      </c>
    </row>
    <row r="988" spans="1:23" ht="28" customHeight="1" x14ac:dyDescent="0.3">
      <c r="A988" s="308">
        <v>44809</v>
      </c>
      <c r="B988" s="302">
        <v>2048.6080000000002</v>
      </c>
      <c r="C988" s="8">
        <v>13.917</v>
      </c>
      <c r="D988" s="268">
        <v>6.7999999999999996E-3</v>
      </c>
      <c r="E988" s="8">
        <v>64.099999999999994</v>
      </c>
      <c r="F988" s="8">
        <v>137.447</v>
      </c>
      <c r="G988" s="8">
        <v>124.328</v>
      </c>
      <c r="H988" s="8">
        <v>90.64</v>
      </c>
      <c r="I988" s="8">
        <v>186.31</v>
      </c>
      <c r="J988" s="8">
        <v>71.430000000000007</v>
      </c>
      <c r="K988" s="268">
        <v>0.48870000000000002</v>
      </c>
      <c r="L988" s="268">
        <v>0.37669999999999998</v>
      </c>
      <c r="M988" s="268">
        <v>-3.8600000000000002E-2</v>
      </c>
      <c r="N988" s="8">
        <v>446.23</v>
      </c>
      <c r="O988" s="8">
        <v>7667.64</v>
      </c>
      <c r="P988" s="268">
        <v>5.8200000000000002E-2</v>
      </c>
      <c r="Q988" s="8">
        <v>431</v>
      </c>
      <c r="R988" s="8">
        <v>0</v>
      </c>
      <c r="S988" s="8" t="s">
        <v>7165</v>
      </c>
      <c r="T988" s="8" t="s">
        <v>7166</v>
      </c>
      <c r="U988" s="8" t="s">
        <v>7167</v>
      </c>
      <c r="V988" s="8" t="s">
        <v>6649</v>
      </c>
      <c r="W988" s="8" t="s">
        <v>7168</v>
      </c>
    </row>
    <row r="989" spans="1:23" ht="28" customHeight="1" x14ac:dyDescent="0.3">
      <c r="A989" s="308">
        <v>44806</v>
      </c>
      <c r="B989" s="302">
        <v>2034.691</v>
      </c>
      <c r="C989" s="8">
        <v>17.609000000000002</v>
      </c>
      <c r="D989" s="268">
        <v>8.6999999999999994E-3</v>
      </c>
      <c r="E989" s="8">
        <v>61.36</v>
      </c>
      <c r="F989" s="8">
        <v>136.494</v>
      </c>
      <c r="G989" s="8">
        <v>123.495</v>
      </c>
      <c r="H989" s="8">
        <v>89.86</v>
      </c>
      <c r="I989" s="8">
        <v>184.84</v>
      </c>
      <c r="J989" s="8">
        <v>69.39</v>
      </c>
      <c r="K989" s="268">
        <v>0.4834</v>
      </c>
      <c r="L989" s="268">
        <v>0.37359999999999999</v>
      </c>
      <c r="M989" s="268">
        <v>-3.6400000000000002E-2</v>
      </c>
      <c r="N989" s="8">
        <v>506.63</v>
      </c>
      <c r="O989" s="8">
        <v>7668.12</v>
      </c>
      <c r="P989" s="268">
        <v>6.6100000000000006E-2</v>
      </c>
      <c r="Q989" s="8">
        <v>431</v>
      </c>
      <c r="R989" s="8">
        <v>0</v>
      </c>
      <c r="S989" s="8" t="s">
        <v>7169</v>
      </c>
      <c r="T989" s="8" t="s">
        <v>2364</v>
      </c>
      <c r="U989" s="8" t="s">
        <v>3612</v>
      </c>
      <c r="V989" s="8" t="s">
        <v>7170</v>
      </c>
      <c r="W989" s="8" t="s">
        <v>7171</v>
      </c>
    </row>
    <row r="990" spans="1:23" ht="28" customHeight="1" x14ac:dyDescent="0.3">
      <c r="A990" s="308">
        <v>44805</v>
      </c>
      <c r="B990" s="302">
        <v>2017.0820000000001</v>
      </c>
      <c r="C990" s="8">
        <v>-5.6429999999999998</v>
      </c>
      <c r="D990" s="268">
        <v>-2.8E-3</v>
      </c>
      <c r="E990" s="8">
        <v>57.66</v>
      </c>
      <c r="F990" s="8">
        <v>135.29900000000001</v>
      </c>
      <c r="G990" s="8">
        <v>122.264</v>
      </c>
      <c r="H990" s="8">
        <v>88.65</v>
      </c>
      <c r="I990" s="8">
        <v>184.16</v>
      </c>
      <c r="J990" s="8">
        <v>70.12</v>
      </c>
      <c r="K990" s="268">
        <v>0.48859999999999998</v>
      </c>
      <c r="L990" s="268">
        <v>0.37630000000000002</v>
      </c>
      <c r="M990" s="268">
        <v>-3.4000000000000002E-2</v>
      </c>
      <c r="N990" s="8">
        <v>473.07</v>
      </c>
      <c r="O990" s="8">
        <v>7647.41</v>
      </c>
      <c r="P990" s="268">
        <v>6.1899999999999997E-2</v>
      </c>
      <c r="Q990" s="8">
        <v>429</v>
      </c>
      <c r="R990" s="8">
        <v>0</v>
      </c>
      <c r="S990" s="8" t="s">
        <v>7172</v>
      </c>
      <c r="T990" s="8" t="s">
        <v>7173</v>
      </c>
      <c r="U990" s="8" t="s">
        <v>6617</v>
      </c>
      <c r="V990" s="8" t="s">
        <v>3493</v>
      </c>
      <c r="W990" s="8" t="s">
        <v>7174</v>
      </c>
    </row>
    <row r="991" spans="1:23" ht="28" customHeight="1" x14ac:dyDescent="0.3">
      <c r="A991" s="308">
        <v>44804</v>
      </c>
      <c r="B991" s="302">
        <v>2022.7249999999999</v>
      </c>
      <c r="C991" s="8">
        <v>-40.228000000000002</v>
      </c>
      <c r="D991" s="268">
        <v>-1.95E-2</v>
      </c>
      <c r="E991" s="8">
        <v>57.2</v>
      </c>
      <c r="F991" s="8">
        <v>135.77099999999999</v>
      </c>
      <c r="G991" s="8">
        <v>122.20099999999999</v>
      </c>
      <c r="H991" s="8">
        <v>88.79</v>
      </c>
      <c r="I991" s="8">
        <v>184.25</v>
      </c>
      <c r="J991" s="8">
        <v>69.58</v>
      </c>
      <c r="K991" s="268">
        <v>0.48480000000000001</v>
      </c>
      <c r="L991" s="268">
        <v>0.36899999999999999</v>
      </c>
      <c r="M991" s="268">
        <v>-3.49E-2</v>
      </c>
      <c r="N991" s="8">
        <v>542.22</v>
      </c>
      <c r="O991" s="8">
        <v>7645.86</v>
      </c>
      <c r="P991" s="268">
        <v>7.0900000000000005E-2</v>
      </c>
      <c r="Q991" s="8">
        <v>428</v>
      </c>
      <c r="R991" s="8">
        <v>0</v>
      </c>
      <c r="S991" s="8" t="s">
        <v>7175</v>
      </c>
      <c r="T991" s="8" t="s">
        <v>7176</v>
      </c>
      <c r="U991" s="8" t="s">
        <v>7177</v>
      </c>
      <c r="V991" s="8" t="s">
        <v>7178</v>
      </c>
      <c r="W991" s="8" t="s">
        <v>7179</v>
      </c>
    </row>
    <row r="992" spans="1:23" ht="28" customHeight="1" x14ac:dyDescent="0.3">
      <c r="A992" s="308">
        <v>44803</v>
      </c>
      <c r="B992" s="302">
        <v>2062.953</v>
      </c>
      <c r="C992" s="8">
        <v>-5.1079999999999997</v>
      </c>
      <c r="D992" s="268">
        <v>-2.5000000000000001E-3</v>
      </c>
      <c r="E992" s="8">
        <v>64.569999999999993</v>
      </c>
      <c r="F992" s="8">
        <v>138.983</v>
      </c>
      <c r="G992" s="8">
        <v>123.97799999999999</v>
      </c>
      <c r="H992" s="8">
        <v>91.41</v>
      </c>
      <c r="I992" s="8">
        <v>186.17</v>
      </c>
      <c r="J992" s="8">
        <v>65.12</v>
      </c>
      <c r="K992" s="268">
        <v>0.47189999999999999</v>
      </c>
      <c r="L992" s="268">
        <v>0.35460000000000003</v>
      </c>
      <c r="M992" s="268">
        <v>-4.02E-2</v>
      </c>
      <c r="N992" s="8">
        <v>563.96</v>
      </c>
      <c r="O992" s="8">
        <v>7647.64</v>
      </c>
      <c r="P992" s="268">
        <v>7.3700000000000002E-2</v>
      </c>
      <c r="Q992" s="8">
        <v>428</v>
      </c>
      <c r="R992" s="8">
        <v>0</v>
      </c>
      <c r="S992" s="8" t="s">
        <v>6421</v>
      </c>
      <c r="T992" s="8" t="s">
        <v>7139</v>
      </c>
      <c r="U992" s="8" t="s">
        <v>7180</v>
      </c>
      <c r="V992" s="8" t="s">
        <v>7181</v>
      </c>
      <c r="W992" s="8" t="s">
        <v>7182</v>
      </c>
    </row>
    <row r="993" spans="1:23" ht="28" customHeight="1" x14ac:dyDescent="0.3">
      <c r="A993" s="308">
        <v>44802</v>
      </c>
      <c r="B993" s="302">
        <v>2068.0610000000001</v>
      </c>
      <c r="C993" s="8">
        <v>-3.6459999999999999</v>
      </c>
      <c r="D993" s="268">
        <v>-1.8E-3</v>
      </c>
      <c r="E993" s="8">
        <v>64.28</v>
      </c>
      <c r="F993" s="8">
        <v>139.529</v>
      </c>
      <c r="G993" s="8">
        <v>123.976</v>
      </c>
      <c r="H993" s="8">
        <v>91.83</v>
      </c>
      <c r="I993" s="8">
        <v>186.59</v>
      </c>
      <c r="J993" s="8">
        <v>66.040000000000006</v>
      </c>
      <c r="K993" s="268">
        <v>0.47060000000000002</v>
      </c>
      <c r="L993" s="268">
        <v>0.35649999999999998</v>
      </c>
      <c r="M993" s="268">
        <v>-4.0099999999999997E-2</v>
      </c>
      <c r="N993" s="8">
        <v>548.61</v>
      </c>
      <c r="O993" s="8">
        <v>7646.72</v>
      </c>
      <c r="P993" s="268">
        <v>7.17E-2</v>
      </c>
      <c r="Q993" s="8">
        <v>428</v>
      </c>
      <c r="R993" s="8">
        <v>0</v>
      </c>
      <c r="S993" s="8" t="s">
        <v>7183</v>
      </c>
      <c r="T993" s="8" t="s">
        <v>7184</v>
      </c>
      <c r="U993" s="8" t="s">
        <v>7185</v>
      </c>
      <c r="V993" s="8" t="s">
        <v>7186</v>
      </c>
      <c r="W993" s="8" t="s">
        <v>6184</v>
      </c>
    </row>
    <row r="994" spans="1:23" ht="28" customHeight="1" x14ac:dyDescent="0.3">
      <c r="A994" s="308">
        <v>44799</v>
      </c>
      <c r="B994" s="302">
        <v>2071.7069999999999</v>
      </c>
      <c r="C994" s="8">
        <v>-3.528</v>
      </c>
      <c r="D994" s="268">
        <v>-1.6999999999999999E-3</v>
      </c>
      <c r="E994" s="8">
        <v>67.05</v>
      </c>
      <c r="F994" s="8">
        <v>139.87799999999999</v>
      </c>
      <c r="G994" s="8">
        <v>124.64400000000001</v>
      </c>
      <c r="H994" s="8">
        <v>91.94</v>
      </c>
      <c r="I994" s="8">
        <v>188</v>
      </c>
      <c r="J994" s="8">
        <v>70.56</v>
      </c>
      <c r="K994" s="268">
        <v>0.48120000000000002</v>
      </c>
      <c r="L994" s="268">
        <v>0.36609999999999998</v>
      </c>
      <c r="M994" s="268">
        <v>-4.0300000000000002E-2</v>
      </c>
      <c r="N994" s="8">
        <v>565.75</v>
      </c>
      <c r="O994" s="8">
        <v>7641.14</v>
      </c>
      <c r="P994" s="268">
        <v>7.3999999999999996E-2</v>
      </c>
      <c r="Q994" s="8">
        <v>429</v>
      </c>
      <c r="R994" s="8">
        <v>0</v>
      </c>
      <c r="S994" s="8" t="s">
        <v>7187</v>
      </c>
      <c r="T994" s="8" t="s">
        <v>7188</v>
      </c>
      <c r="U994" s="8" t="s">
        <v>7189</v>
      </c>
      <c r="V994" s="8" t="s">
        <v>6431</v>
      </c>
      <c r="W994" s="8" t="s">
        <v>7190</v>
      </c>
    </row>
    <row r="995" spans="1:23" ht="28" customHeight="1" x14ac:dyDescent="0.3">
      <c r="A995" s="308">
        <v>44798</v>
      </c>
      <c r="B995" s="302">
        <v>2075.2350000000001</v>
      </c>
      <c r="C995" s="8">
        <v>-25.588000000000001</v>
      </c>
      <c r="D995" s="268">
        <v>-1.2200000000000001E-2</v>
      </c>
      <c r="E995" s="8">
        <v>67.400000000000006</v>
      </c>
      <c r="F995" s="8">
        <v>140.16200000000001</v>
      </c>
      <c r="G995" s="8">
        <v>124.83</v>
      </c>
      <c r="H995" s="8">
        <v>91.42</v>
      </c>
      <c r="I995" s="8">
        <v>187.65</v>
      </c>
      <c r="J995" s="8">
        <v>69.819999999999993</v>
      </c>
      <c r="K995" s="268">
        <v>0.47489999999999999</v>
      </c>
      <c r="L995" s="268">
        <v>0.36809999999999998</v>
      </c>
      <c r="M995" s="268">
        <v>-4.0899999999999999E-2</v>
      </c>
      <c r="N995" s="8">
        <v>624.08000000000004</v>
      </c>
      <c r="O995" s="8">
        <v>7639.1</v>
      </c>
      <c r="P995" s="268">
        <v>8.1699999999999995E-2</v>
      </c>
      <c r="Q995" s="8">
        <v>428</v>
      </c>
      <c r="R995" s="8">
        <v>0</v>
      </c>
      <c r="S995" s="8" t="s">
        <v>5429</v>
      </c>
      <c r="T995" s="8" t="s">
        <v>7191</v>
      </c>
      <c r="U995" s="8" t="s">
        <v>7192</v>
      </c>
      <c r="V995" s="8" t="s">
        <v>4761</v>
      </c>
      <c r="W995" s="8" t="s">
        <v>7193</v>
      </c>
    </row>
    <row r="996" spans="1:23" ht="28" customHeight="1" x14ac:dyDescent="0.3">
      <c r="A996" s="308">
        <v>44797</v>
      </c>
      <c r="B996" s="302">
        <v>2100.8229999999999</v>
      </c>
      <c r="C996" s="8">
        <v>-47.807000000000002</v>
      </c>
      <c r="D996" s="268">
        <v>-2.23E-2</v>
      </c>
      <c r="E996" s="8">
        <v>71.45</v>
      </c>
      <c r="F996" s="8">
        <v>142.31</v>
      </c>
      <c r="G996" s="8">
        <v>126.128</v>
      </c>
      <c r="H996" s="8">
        <v>92.25</v>
      </c>
      <c r="I996" s="8">
        <v>191.23</v>
      </c>
      <c r="J996" s="8">
        <v>73.38</v>
      </c>
      <c r="K996" s="268">
        <v>0.48920000000000002</v>
      </c>
      <c r="L996" s="268">
        <v>0.38090000000000002</v>
      </c>
      <c r="M996" s="268">
        <v>-4.4200000000000003E-2</v>
      </c>
      <c r="N996" s="8">
        <v>608.35</v>
      </c>
      <c r="O996" s="8">
        <v>7639.54</v>
      </c>
      <c r="P996" s="268">
        <v>7.9600000000000004E-2</v>
      </c>
      <c r="Q996" s="8">
        <v>428</v>
      </c>
      <c r="R996" s="8">
        <v>0</v>
      </c>
      <c r="S996" s="8" t="s">
        <v>7194</v>
      </c>
      <c r="T996" s="8" t="s">
        <v>7195</v>
      </c>
      <c r="U996" s="8" t="s">
        <v>7196</v>
      </c>
      <c r="V996" s="8" t="s">
        <v>7197</v>
      </c>
      <c r="W996" s="8" t="s">
        <v>7198</v>
      </c>
    </row>
    <row r="997" spans="1:23" ht="28" customHeight="1" x14ac:dyDescent="0.3">
      <c r="A997" s="308">
        <v>44796</v>
      </c>
      <c r="B997" s="302">
        <v>2148.63</v>
      </c>
      <c r="C997" s="8">
        <v>5.3579999999999997</v>
      </c>
      <c r="D997" s="268">
        <v>2.5000000000000001E-3</v>
      </c>
      <c r="E997" s="8">
        <v>79.7</v>
      </c>
      <c r="F997" s="8">
        <v>146.25800000000001</v>
      </c>
      <c r="G997" s="8">
        <v>128.93299999999999</v>
      </c>
      <c r="H997" s="8">
        <v>95.26</v>
      </c>
      <c r="I997" s="8">
        <v>193.31</v>
      </c>
      <c r="J997" s="8">
        <v>69.260000000000005</v>
      </c>
      <c r="K997" s="268">
        <v>0.47049999999999997</v>
      </c>
      <c r="L997" s="268">
        <v>0.35759999999999997</v>
      </c>
      <c r="M997" s="268">
        <v>-4.9599999999999998E-2</v>
      </c>
      <c r="N997" s="8">
        <v>614.75</v>
      </c>
      <c r="O997" s="8">
        <v>7636.4</v>
      </c>
      <c r="P997" s="268">
        <v>8.0500000000000002E-2</v>
      </c>
      <c r="Q997" s="8">
        <v>428</v>
      </c>
      <c r="R997" s="8">
        <v>0</v>
      </c>
      <c r="S997" s="8" t="s">
        <v>7199</v>
      </c>
      <c r="T997" s="8" t="s">
        <v>7200</v>
      </c>
      <c r="U997" s="8" t="s">
        <v>7201</v>
      </c>
      <c r="V997" s="8" t="s">
        <v>7202</v>
      </c>
      <c r="W997" s="8" t="s">
        <v>7203</v>
      </c>
    </row>
    <row r="998" spans="1:23" ht="28" customHeight="1" x14ac:dyDescent="0.3">
      <c r="A998" s="308">
        <v>44795</v>
      </c>
      <c r="B998" s="302">
        <v>2143.2719999999999</v>
      </c>
      <c r="C998" s="8">
        <v>7.6239999999999997</v>
      </c>
      <c r="D998" s="268">
        <v>3.5999999999999999E-3</v>
      </c>
      <c r="E998" s="8">
        <v>78.12</v>
      </c>
      <c r="F998" s="8">
        <v>145.935</v>
      </c>
      <c r="G998" s="8">
        <v>128.238</v>
      </c>
      <c r="H998" s="8">
        <v>94.19</v>
      </c>
      <c r="I998" s="8">
        <v>193.11</v>
      </c>
      <c r="J998" s="8">
        <v>68.56</v>
      </c>
      <c r="K998" s="268">
        <v>0.47170000000000001</v>
      </c>
      <c r="L998" s="268">
        <v>0.35799999999999998</v>
      </c>
      <c r="M998" s="268">
        <v>-4.87E-2</v>
      </c>
      <c r="N998" s="8">
        <v>597.66999999999996</v>
      </c>
      <c r="O998" s="8">
        <v>7637.82</v>
      </c>
      <c r="P998" s="268">
        <v>7.8299999999999995E-2</v>
      </c>
      <c r="Q998" s="8">
        <v>428</v>
      </c>
      <c r="R998" s="8">
        <v>0</v>
      </c>
      <c r="S998" s="8" t="s">
        <v>2558</v>
      </c>
      <c r="T998" s="8" t="s">
        <v>7204</v>
      </c>
      <c r="U998" s="8" t="s">
        <v>7205</v>
      </c>
      <c r="V998" s="8" t="s">
        <v>7206</v>
      </c>
      <c r="W998" s="8" t="s">
        <v>7207</v>
      </c>
    </row>
    <row r="999" spans="1:23" ht="28" customHeight="1" x14ac:dyDescent="0.3">
      <c r="A999" s="308">
        <v>44792</v>
      </c>
      <c r="B999" s="302">
        <v>2135.6480000000001</v>
      </c>
      <c r="C999" s="8">
        <v>-31.247</v>
      </c>
      <c r="D999" s="268">
        <v>-1.44E-2</v>
      </c>
      <c r="E999" s="8">
        <v>74.59</v>
      </c>
      <c r="F999" s="8">
        <v>145.40600000000001</v>
      </c>
      <c r="G999" s="8">
        <v>128</v>
      </c>
      <c r="H999" s="8">
        <v>94.1</v>
      </c>
      <c r="I999" s="8">
        <v>192.97</v>
      </c>
      <c r="J999" s="8">
        <v>69.290000000000006</v>
      </c>
      <c r="K999" s="268">
        <v>0.47560000000000002</v>
      </c>
      <c r="L999" s="268">
        <v>0.3659</v>
      </c>
      <c r="M999" s="268">
        <v>-4.7500000000000001E-2</v>
      </c>
      <c r="N999" s="8">
        <v>677.91</v>
      </c>
      <c r="O999" s="8">
        <v>7639.19</v>
      </c>
      <c r="P999" s="268">
        <v>8.8700000000000001E-2</v>
      </c>
      <c r="Q999" s="8">
        <v>429</v>
      </c>
      <c r="R999" s="8">
        <v>0</v>
      </c>
      <c r="S999" s="8" t="s">
        <v>5406</v>
      </c>
      <c r="T999" s="8" t="s">
        <v>7208</v>
      </c>
      <c r="U999" s="8" t="s">
        <v>7209</v>
      </c>
      <c r="V999" s="8" t="s">
        <v>7210</v>
      </c>
      <c r="W999" s="8" t="s">
        <v>7211</v>
      </c>
    </row>
    <row r="1000" spans="1:23" ht="28" customHeight="1" x14ac:dyDescent="0.3">
      <c r="A1000" s="308">
        <v>44791</v>
      </c>
      <c r="B1000" s="302">
        <v>2166.895</v>
      </c>
      <c r="C1000" s="8">
        <v>-16.661000000000001</v>
      </c>
      <c r="D1000" s="268">
        <v>-7.6E-3</v>
      </c>
      <c r="E1000" s="8">
        <v>81.06</v>
      </c>
      <c r="F1000" s="8">
        <v>148.39400000000001</v>
      </c>
      <c r="G1000" s="8">
        <v>129.69</v>
      </c>
      <c r="H1000" s="8">
        <v>95.22</v>
      </c>
      <c r="I1000" s="8">
        <v>196.19</v>
      </c>
      <c r="J1000" s="8">
        <v>70.86</v>
      </c>
      <c r="K1000" s="268">
        <v>0.47799999999999998</v>
      </c>
      <c r="L1000" s="268">
        <v>0.35870000000000002</v>
      </c>
      <c r="M1000" s="268">
        <v>-5.16E-2</v>
      </c>
      <c r="N1000" s="8">
        <v>680.75</v>
      </c>
      <c r="O1000" s="8">
        <v>7606.08</v>
      </c>
      <c r="P1000" s="268">
        <v>8.9499999999999996E-2</v>
      </c>
      <c r="Q1000" s="8">
        <v>428</v>
      </c>
      <c r="R1000" s="8">
        <v>0</v>
      </c>
      <c r="S1000" s="8" t="s">
        <v>3687</v>
      </c>
      <c r="T1000" s="8" t="s">
        <v>7212</v>
      </c>
      <c r="U1000" s="8" t="s">
        <v>7213</v>
      </c>
      <c r="V1000" s="8" t="s">
        <v>7214</v>
      </c>
      <c r="W1000" s="8" t="s">
        <v>7215</v>
      </c>
    </row>
    <row r="1001" spans="1:23" ht="28" customHeight="1" x14ac:dyDescent="0.3">
      <c r="A1001" s="308">
        <v>44790</v>
      </c>
      <c r="B1001" s="302">
        <v>2183.556</v>
      </c>
      <c r="C1001" s="8">
        <v>1.702</v>
      </c>
      <c r="D1001" s="268">
        <v>8.0000000000000004E-4</v>
      </c>
      <c r="E1001" s="8">
        <v>85.49</v>
      </c>
      <c r="F1001" s="8">
        <v>149.499</v>
      </c>
      <c r="G1001" s="8">
        <v>131.30199999999999</v>
      </c>
      <c r="H1001" s="8">
        <v>95.76</v>
      </c>
      <c r="I1001" s="8">
        <v>198.1</v>
      </c>
      <c r="J1001" s="8">
        <v>74.569999999999993</v>
      </c>
      <c r="K1001" s="268">
        <v>0.48599999999999999</v>
      </c>
      <c r="L1001" s="268">
        <v>0.37230000000000002</v>
      </c>
      <c r="M1001" s="268">
        <v>-5.3900000000000003E-2</v>
      </c>
      <c r="N1001" s="8">
        <v>699.33</v>
      </c>
      <c r="O1001" s="8">
        <v>7600.58</v>
      </c>
      <c r="P1001" s="268">
        <v>9.1999999999999998E-2</v>
      </c>
      <c r="Q1001" s="8">
        <v>427</v>
      </c>
      <c r="R1001" s="8">
        <v>0</v>
      </c>
      <c r="S1001" s="8" t="s">
        <v>7216</v>
      </c>
      <c r="T1001" s="8" t="s">
        <v>7217</v>
      </c>
      <c r="U1001" s="8" t="s">
        <v>7218</v>
      </c>
      <c r="V1001" s="8" t="s">
        <v>7219</v>
      </c>
      <c r="W1001" s="8" t="s">
        <v>7220</v>
      </c>
    </row>
    <row r="1002" spans="1:23" ht="28" customHeight="1" x14ac:dyDescent="0.3">
      <c r="A1002" s="308">
        <v>44789</v>
      </c>
      <c r="B1002" s="302">
        <v>2181.8539999999998</v>
      </c>
      <c r="C1002" s="8">
        <v>10.962999999999999</v>
      </c>
      <c r="D1002" s="268">
        <v>5.1000000000000004E-3</v>
      </c>
      <c r="E1002" s="8">
        <v>85.65</v>
      </c>
      <c r="F1002" s="8">
        <v>149.52699999999999</v>
      </c>
      <c r="G1002" s="8">
        <v>131.13800000000001</v>
      </c>
      <c r="H1002" s="8">
        <v>95.99</v>
      </c>
      <c r="I1002" s="8">
        <v>198.31</v>
      </c>
      <c r="J1002" s="8">
        <v>74.510000000000005</v>
      </c>
      <c r="K1002" s="268">
        <v>0.48780000000000001</v>
      </c>
      <c r="L1002" s="268">
        <v>0.37259999999999999</v>
      </c>
      <c r="M1002" s="268">
        <v>-5.33E-2</v>
      </c>
      <c r="N1002" s="8">
        <v>733.25</v>
      </c>
      <c r="O1002" s="8">
        <v>7601.65</v>
      </c>
      <c r="P1002" s="268">
        <v>9.6500000000000002E-2</v>
      </c>
      <c r="Q1002" s="8">
        <v>427</v>
      </c>
      <c r="R1002" s="8">
        <v>0</v>
      </c>
      <c r="S1002" s="8" t="s">
        <v>7221</v>
      </c>
      <c r="T1002" s="8" t="s">
        <v>7222</v>
      </c>
      <c r="U1002" s="8" t="s">
        <v>7223</v>
      </c>
      <c r="V1002" s="8" t="s">
        <v>7224</v>
      </c>
      <c r="W1002" s="8" t="s">
        <v>7225</v>
      </c>
    </row>
    <row r="1003" spans="1:23" ht="28" customHeight="1" x14ac:dyDescent="0.3">
      <c r="A1003" s="308">
        <v>44788</v>
      </c>
      <c r="B1003" s="302">
        <v>2170.8910000000001</v>
      </c>
      <c r="C1003" s="8">
        <v>10.5</v>
      </c>
      <c r="D1003" s="268">
        <v>4.8999999999999998E-3</v>
      </c>
      <c r="E1003" s="8">
        <v>84.33</v>
      </c>
      <c r="F1003" s="8">
        <v>148.75</v>
      </c>
      <c r="G1003" s="8">
        <v>130.14099999999999</v>
      </c>
      <c r="H1003" s="8">
        <v>95.49</v>
      </c>
      <c r="I1003" s="8">
        <v>197.98</v>
      </c>
      <c r="J1003" s="8">
        <v>76.06</v>
      </c>
      <c r="K1003" s="268">
        <v>0.49230000000000002</v>
      </c>
      <c r="L1003" s="268">
        <v>0.36959999999999998</v>
      </c>
      <c r="M1003" s="268">
        <v>-5.21E-2</v>
      </c>
      <c r="N1003" s="8">
        <v>659.23</v>
      </c>
      <c r="O1003" s="8">
        <v>7603.24</v>
      </c>
      <c r="P1003" s="268">
        <v>8.6699999999999999E-2</v>
      </c>
      <c r="Q1003" s="8">
        <v>428</v>
      </c>
      <c r="R1003" s="8">
        <v>0</v>
      </c>
      <c r="S1003" s="8" t="s">
        <v>7226</v>
      </c>
      <c r="T1003" s="8" t="s">
        <v>7227</v>
      </c>
      <c r="U1003" s="8" t="s">
        <v>7228</v>
      </c>
      <c r="V1003" s="8" t="s">
        <v>7229</v>
      </c>
      <c r="W1003" s="8" t="s">
        <v>7230</v>
      </c>
    </row>
    <row r="1004" spans="1:23" ht="28" customHeight="1" x14ac:dyDescent="0.3">
      <c r="A1004" s="308">
        <v>44785</v>
      </c>
      <c r="B1004" s="302">
        <v>2160.3910000000001</v>
      </c>
      <c r="C1004" s="8">
        <v>-2.7690000000000001</v>
      </c>
      <c r="D1004" s="268">
        <v>-1.2999999999999999E-3</v>
      </c>
      <c r="E1004" s="8">
        <v>82.8</v>
      </c>
      <c r="F1004" s="8">
        <v>148.005</v>
      </c>
      <c r="G1004" s="8">
        <v>130.125</v>
      </c>
      <c r="H1004" s="8">
        <v>94.57</v>
      </c>
      <c r="I1004" s="8">
        <v>197.14</v>
      </c>
      <c r="J1004" s="8">
        <v>75</v>
      </c>
      <c r="K1004" s="268">
        <v>0.49130000000000001</v>
      </c>
      <c r="L1004" s="268">
        <v>0.36990000000000001</v>
      </c>
      <c r="M1004" s="268">
        <v>-5.0799999999999998E-2</v>
      </c>
      <c r="N1004" s="8">
        <v>684.13</v>
      </c>
      <c r="O1004" s="8">
        <v>7559.39</v>
      </c>
      <c r="P1004" s="268">
        <v>9.0499999999999997E-2</v>
      </c>
      <c r="Q1004" s="8">
        <v>425</v>
      </c>
      <c r="R1004" s="8">
        <v>0</v>
      </c>
      <c r="S1004" s="8" t="s">
        <v>7231</v>
      </c>
      <c r="T1004" s="8" t="s">
        <v>7232</v>
      </c>
      <c r="U1004" s="8" t="s">
        <v>7233</v>
      </c>
      <c r="V1004" s="8" t="s">
        <v>7234</v>
      </c>
      <c r="W1004" s="8" t="s">
        <v>7235</v>
      </c>
    </row>
    <row r="1005" spans="1:23" ht="28" customHeight="1" x14ac:dyDescent="0.3">
      <c r="A1005" s="308">
        <v>44784</v>
      </c>
      <c r="B1005" s="302">
        <v>2163.16</v>
      </c>
      <c r="C1005" s="8">
        <v>11.382999999999999</v>
      </c>
      <c r="D1005" s="268">
        <v>5.3E-3</v>
      </c>
      <c r="E1005" s="8">
        <v>83.2</v>
      </c>
      <c r="F1005" s="8">
        <v>148.38800000000001</v>
      </c>
      <c r="G1005" s="8">
        <v>129.79</v>
      </c>
      <c r="H1005" s="8">
        <v>95.39</v>
      </c>
      <c r="I1005" s="8">
        <v>196.94</v>
      </c>
      <c r="J1005" s="8">
        <v>72.97</v>
      </c>
      <c r="K1005" s="268">
        <v>0.48549999999999999</v>
      </c>
      <c r="L1005" s="268">
        <v>0.37240000000000001</v>
      </c>
      <c r="M1005" s="268">
        <v>-5.11E-2</v>
      </c>
      <c r="N1005" s="8">
        <v>763.65</v>
      </c>
      <c r="O1005" s="8">
        <v>7554.19</v>
      </c>
      <c r="P1005" s="268">
        <v>0.1011</v>
      </c>
      <c r="Q1005" s="8">
        <v>423</v>
      </c>
      <c r="R1005" s="8">
        <v>0</v>
      </c>
      <c r="S1005" s="8" t="s">
        <v>7236</v>
      </c>
      <c r="T1005" s="8" t="s">
        <v>7237</v>
      </c>
      <c r="U1005" s="8" t="s">
        <v>2945</v>
      </c>
      <c r="V1005" s="8" t="s">
        <v>7238</v>
      </c>
      <c r="W1005" s="8" t="s">
        <v>7239</v>
      </c>
    </row>
    <row r="1006" spans="1:23" ht="28" customHeight="1" x14ac:dyDescent="0.3">
      <c r="A1006" s="308">
        <v>44783</v>
      </c>
      <c r="B1006" s="302">
        <v>2151.777</v>
      </c>
      <c r="C1006" s="8">
        <v>1.0109999999999999</v>
      </c>
      <c r="D1006" s="268">
        <v>5.0000000000000001E-4</v>
      </c>
      <c r="E1006" s="8">
        <v>79.739999999999995</v>
      </c>
      <c r="F1006" s="8">
        <v>147.792</v>
      </c>
      <c r="G1006" s="8">
        <v>128.6</v>
      </c>
      <c r="H1006" s="8">
        <v>94.88</v>
      </c>
      <c r="I1006" s="8">
        <v>197.57</v>
      </c>
      <c r="J1006" s="8">
        <v>75.09</v>
      </c>
      <c r="K1006" s="268">
        <v>0.49780000000000002</v>
      </c>
      <c r="L1006" s="268">
        <v>0.37169999999999997</v>
      </c>
      <c r="M1006" s="268">
        <v>-4.8399999999999999E-2</v>
      </c>
      <c r="N1006" s="8">
        <v>863.57</v>
      </c>
      <c r="O1006" s="8">
        <v>7554.8</v>
      </c>
      <c r="P1006" s="268">
        <v>0.1143</v>
      </c>
      <c r="Q1006" s="8">
        <v>423</v>
      </c>
      <c r="R1006" s="8">
        <v>0</v>
      </c>
      <c r="S1006" s="8" t="s">
        <v>4205</v>
      </c>
      <c r="T1006" s="8" t="s">
        <v>7240</v>
      </c>
      <c r="U1006" s="8" t="s">
        <v>7241</v>
      </c>
      <c r="V1006" s="8" t="s">
        <v>7242</v>
      </c>
      <c r="W1006" s="8" t="s">
        <v>7243</v>
      </c>
    </row>
    <row r="1007" spans="1:23" ht="28" customHeight="1" x14ac:dyDescent="0.3">
      <c r="A1007" s="308">
        <v>44782</v>
      </c>
      <c r="B1007" s="302">
        <v>2150.7660000000001</v>
      </c>
      <c r="C1007" s="8">
        <v>4.7859999999999996</v>
      </c>
      <c r="D1007" s="268">
        <v>2.2000000000000001E-3</v>
      </c>
      <c r="E1007" s="8">
        <v>80.5</v>
      </c>
      <c r="F1007" s="8">
        <v>149.68899999999999</v>
      </c>
      <c r="G1007" s="8">
        <v>128.82</v>
      </c>
      <c r="H1007" s="8">
        <v>94.13</v>
      </c>
      <c r="I1007" s="8">
        <v>199.4</v>
      </c>
      <c r="J1007" s="8">
        <v>74.61</v>
      </c>
      <c r="K1007" s="268">
        <v>0.49709999999999999</v>
      </c>
      <c r="L1007" s="268">
        <v>0.37580000000000002</v>
      </c>
      <c r="M1007" s="268">
        <v>-4.9000000000000002E-2</v>
      </c>
      <c r="N1007" s="8">
        <v>934.89</v>
      </c>
      <c r="O1007" s="8">
        <v>7555.77</v>
      </c>
      <c r="P1007" s="268">
        <v>0.1237</v>
      </c>
      <c r="Q1007" s="8">
        <v>424</v>
      </c>
      <c r="R1007" s="8">
        <v>0</v>
      </c>
      <c r="S1007" s="8" t="s">
        <v>3496</v>
      </c>
      <c r="T1007" s="8" t="s">
        <v>7244</v>
      </c>
      <c r="U1007" s="8" t="s">
        <v>7245</v>
      </c>
      <c r="V1007" s="8" t="s">
        <v>7246</v>
      </c>
      <c r="W1007" s="8" t="s">
        <v>7247</v>
      </c>
    </row>
    <row r="1008" spans="1:23" ht="28" customHeight="1" x14ac:dyDescent="0.3">
      <c r="A1008" s="308">
        <v>44781</v>
      </c>
      <c r="B1008" s="302">
        <v>2145.98</v>
      </c>
      <c r="C1008" s="8">
        <v>20.721</v>
      </c>
      <c r="D1008" s="268">
        <v>9.7000000000000003E-3</v>
      </c>
      <c r="E1008" s="8">
        <v>80.02</v>
      </c>
      <c r="F1008" s="8">
        <v>149.256</v>
      </c>
      <c r="G1008" s="8">
        <v>128.41800000000001</v>
      </c>
      <c r="H1008" s="8">
        <v>94.12</v>
      </c>
      <c r="I1008" s="8">
        <v>198.86</v>
      </c>
      <c r="J1008" s="8">
        <v>73.33</v>
      </c>
      <c r="K1008" s="268">
        <v>0.496</v>
      </c>
      <c r="L1008" s="268">
        <v>0.37569999999999998</v>
      </c>
      <c r="M1008" s="268">
        <v>-4.8300000000000003E-2</v>
      </c>
      <c r="N1008" s="8">
        <v>908.95</v>
      </c>
      <c r="O1008" s="8">
        <v>7557.33</v>
      </c>
      <c r="P1008" s="268">
        <v>0.1203</v>
      </c>
      <c r="Q1008" s="8">
        <v>424</v>
      </c>
      <c r="R1008" s="8">
        <v>0</v>
      </c>
      <c r="S1008" s="8" t="s">
        <v>7248</v>
      </c>
      <c r="T1008" s="8" t="s">
        <v>3700</v>
      </c>
      <c r="U1008" s="8" t="s">
        <v>7249</v>
      </c>
      <c r="V1008" s="8" t="s">
        <v>7250</v>
      </c>
      <c r="W1008" s="8" t="s">
        <v>7251</v>
      </c>
    </row>
    <row r="1009" spans="1:23" ht="28" customHeight="1" x14ac:dyDescent="0.3">
      <c r="A1009" s="308">
        <v>44778</v>
      </c>
      <c r="B1009" s="302">
        <v>2125.259</v>
      </c>
      <c r="C1009" s="8">
        <v>3.9460000000000002</v>
      </c>
      <c r="D1009" s="268">
        <v>1.9E-3</v>
      </c>
      <c r="E1009" s="8">
        <v>78.959999999999994</v>
      </c>
      <c r="F1009" s="8">
        <v>147.46299999999999</v>
      </c>
      <c r="G1009" s="8">
        <v>128.077</v>
      </c>
      <c r="H1009" s="8">
        <v>92.95</v>
      </c>
      <c r="I1009" s="8">
        <v>197.71</v>
      </c>
      <c r="J1009" s="8">
        <v>76.87</v>
      </c>
      <c r="K1009" s="268">
        <v>0.50239999999999996</v>
      </c>
      <c r="L1009" s="268">
        <v>0.3861</v>
      </c>
      <c r="M1009" s="268">
        <v>-4.58E-2</v>
      </c>
      <c r="N1009" s="8">
        <v>867.91</v>
      </c>
      <c r="O1009" s="8">
        <v>7558.06</v>
      </c>
      <c r="P1009" s="268">
        <v>0.1148</v>
      </c>
      <c r="Q1009" s="8">
        <v>424</v>
      </c>
      <c r="R1009" s="8">
        <v>0</v>
      </c>
      <c r="S1009" s="8" t="s">
        <v>5230</v>
      </c>
      <c r="T1009" s="8" t="s">
        <v>7252</v>
      </c>
      <c r="U1009" s="8" t="s">
        <v>7253</v>
      </c>
      <c r="V1009" s="8" t="s">
        <v>7254</v>
      </c>
      <c r="W1009" s="8" t="s">
        <v>7255</v>
      </c>
    </row>
    <row r="1010" spans="1:23" ht="28" customHeight="1" x14ac:dyDescent="0.3">
      <c r="A1010" s="308">
        <v>44777</v>
      </c>
      <c r="B1010" s="302">
        <v>2121.3130000000001</v>
      </c>
      <c r="C1010" s="8">
        <v>5.4379999999999997</v>
      </c>
      <c r="D1010" s="268">
        <v>2.5999999999999999E-3</v>
      </c>
      <c r="E1010" s="8">
        <v>77.209999999999994</v>
      </c>
      <c r="F1010" s="8">
        <v>147.452</v>
      </c>
      <c r="G1010" s="8">
        <v>127.67</v>
      </c>
      <c r="H1010" s="8">
        <v>92.05</v>
      </c>
      <c r="I1010" s="8">
        <v>198.84</v>
      </c>
      <c r="J1010" s="8">
        <v>80.02</v>
      </c>
      <c r="K1010" s="268">
        <v>0.51390000000000002</v>
      </c>
      <c r="L1010" s="268">
        <v>0.39079999999999998</v>
      </c>
      <c r="M1010" s="268">
        <v>-4.4299999999999999E-2</v>
      </c>
      <c r="N1010" s="8">
        <v>979.52</v>
      </c>
      <c r="O1010" s="8">
        <v>7558.98</v>
      </c>
      <c r="P1010" s="268">
        <v>0.12959999999999999</v>
      </c>
      <c r="Q1010" s="8">
        <v>424</v>
      </c>
      <c r="R1010" s="8">
        <v>0</v>
      </c>
      <c r="S1010" s="8" t="s">
        <v>7236</v>
      </c>
      <c r="T1010" s="8" t="s">
        <v>7256</v>
      </c>
      <c r="U1010" s="8" t="s">
        <v>7257</v>
      </c>
      <c r="V1010" s="8" t="s">
        <v>7258</v>
      </c>
      <c r="W1010" s="8" t="s">
        <v>7259</v>
      </c>
    </row>
    <row r="1011" spans="1:23" ht="28" customHeight="1" x14ac:dyDescent="0.3">
      <c r="A1011" s="308">
        <v>44776</v>
      </c>
      <c r="B1011" s="302">
        <v>2115.875</v>
      </c>
      <c r="C1011" s="8">
        <v>-7.4950000000000001</v>
      </c>
      <c r="D1011" s="268">
        <v>-3.5000000000000001E-3</v>
      </c>
      <c r="E1011" s="8">
        <v>76.319999999999993</v>
      </c>
      <c r="F1011" s="8">
        <v>147.11199999999999</v>
      </c>
      <c r="G1011" s="8">
        <v>127.05</v>
      </c>
      <c r="H1011" s="8">
        <v>90.57</v>
      </c>
      <c r="I1011" s="8">
        <v>200.18</v>
      </c>
      <c r="J1011" s="8">
        <v>82.61</v>
      </c>
      <c r="K1011" s="268">
        <v>0.53069999999999995</v>
      </c>
      <c r="L1011" s="268">
        <v>0.39860000000000001</v>
      </c>
      <c r="M1011" s="268">
        <v>-4.4499999999999998E-2</v>
      </c>
      <c r="N1011" s="8">
        <v>1063.3399999999999</v>
      </c>
      <c r="O1011" s="8">
        <v>7543.94</v>
      </c>
      <c r="P1011" s="268">
        <v>0.14099999999999999</v>
      </c>
      <c r="Q1011" s="8">
        <v>423</v>
      </c>
      <c r="R1011" s="8">
        <v>0</v>
      </c>
      <c r="S1011" s="8" t="s">
        <v>3964</v>
      </c>
      <c r="T1011" s="8" t="s">
        <v>6782</v>
      </c>
      <c r="U1011" s="8" t="s">
        <v>7260</v>
      </c>
      <c r="V1011" s="8" t="s">
        <v>7261</v>
      </c>
      <c r="W1011" s="8" t="s">
        <v>7262</v>
      </c>
    </row>
    <row r="1012" spans="1:23" ht="28" customHeight="1" x14ac:dyDescent="0.3">
      <c r="A1012" s="308">
        <v>44775</v>
      </c>
      <c r="B1012" s="302">
        <v>2123.37</v>
      </c>
      <c r="C1012" s="8">
        <v>-28.882999999999999</v>
      </c>
      <c r="D1012" s="268">
        <v>-1.34E-2</v>
      </c>
      <c r="E1012" s="8">
        <v>76.83</v>
      </c>
      <c r="F1012" s="8">
        <v>148.00899999999999</v>
      </c>
      <c r="G1012" s="8">
        <v>126.502</v>
      </c>
      <c r="H1012" s="8">
        <v>91.76</v>
      </c>
      <c r="I1012" s="8">
        <v>200.34</v>
      </c>
      <c r="J1012" s="8">
        <v>81.97</v>
      </c>
      <c r="K1012" s="268">
        <v>0.52329999999999999</v>
      </c>
      <c r="L1012" s="268">
        <v>0.40060000000000001</v>
      </c>
      <c r="M1012" s="268">
        <v>-4.4900000000000002E-2</v>
      </c>
      <c r="N1012" s="8">
        <v>1037.1500000000001</v>
      </c>
      <c r="O1012" s="8">
        <v>7535.75</v>
      </c>
      <c r="P1012" s="268">
        <v>0.1376</v>
      </c>
      <c r="Q1012" s="8">
        <v>421</v>
      </c>
      <c r="R1012" s="8">
        <v>0</v>
      </c>
      <c r="S1012" s="8" t="s">
        <v>7263</v>
      </c>
      <c r="T1012" s="8" t="s">
        <v>2684</v>
      </c>
      <c r="U1012" s="8" t="s">
        <v>7264</v>
      </c>
      <c r="V1012" s="8" t="s">
        <v>7265</v>
      </c>
      <c r="W1012" s="8" t="s">
        <v>7266</v>
      </c>
    </row>
    <row r="1013" spans="1:23" ht="28" customHeight="1" x14ac:dyDescent="0.3">
      <c r="A1013" s="308">
        <v>44774</v>
      </c>
      <c r="B1013" s="302">
        <v>2152.2530000000002</v>
      </c>
      <c r="C1013" s="8">
        <v>13.984</v>
      </c>
      <c r="D1013" s="268">
        <v>6.4999999999999997E-3</v>
      </c>
      <c r="E1013" s="8">
        <v>80.819999999999993</v>
      </c>
      <c r="F1013" s="8">
        <v>150.18700000000001</v>
      </c>
      <c r="G1013" s="8">
        <v>127.999</v>
      </c>
      <c r="H1013" s="8">
        <v>95.25</v>
      </c>
      <c r="I1013" s="8">
        <v>199.19</v>
      </c>
      <c r="J1013" s="8">
        <v>72.11</v>
      </c>
      <c r="K1013" s="268">
        <v>0.49</v>
      </c>
      <c r="L1013" s="268">
        <v>0.36270000000000002</v>
      </c>
      <c r="M1013" s="268">
        <v>-4.7600000000000003E-2</v>
      </c>
      <c r="N1013" s="8">
        <v>1003.98</v>
      </c>
      <c r="O1013" s="8">
        <v>7537.01</v>
      </c>
      <c r="P1013" s="268">
        <v>0.13320000000000001</v>
      </c>
      <c r="Q1013" s="8">
        <v>421</v>
      </c>
      <c r="R1013" s="8">
        <v>0</v>
      </c>
      <c r="S1013" s="8" t="s">
        <v>4121</v>
      </c>
      <c r="T1013" s="8" t="s">
        <v>7267</v>
      </c>
      <c r="U1013" s="8" t="s">
        <v>3102</v>
      </c>
      <c r="V1013" s="8" t="s">
        <v>7268</v>
      </c>
      <c r="W1013" s="8" t="s">
        <v>7269</v>
      </c>
    </row>
    <row r="1014" spans="1:23" ht="28" customHeight="1" x14ac:dyDescent="0.3">
      <c r="A1014" s="308">
        <v>44771</v>
      </c>
      <c r="B1014" s="302">
        <v>2138.2689999999998</v>
      </c>
      <c r="C1014" s="8">
        <v>-2.0550000000000002</v>
      </c>
      <c r="D1014" s="268">
        <v>-1E-3</v>
      </c>
      <c r="E1014" s="8">
        <v>80.78</v>
      </c>
      <c r="F1014" s="8">
        <v>149.05699999999999</v>
      </c>
      <c r="G1014" s="8">
        <v>127.27500000000001</v>
      </c>
      <c r="H1014" s="8">
        <v>93.77</v>
      </c>
      <c r="I1014" s="8">
        <v>199.51</v>
      </c>
      <c r="J1014" s="8">
        <v>75.069999999999993</v>
      </c>
      <c r="K1014" s="268">
        <v>0.50449999999999995</v>
      </c>
      <c r="L1014" s="268">
        <v>0.3619</v>
      </c>
      <c r="M1014" s="268">
        <v>-4.8000000000000001E-2</v>
      </c>
      <c r="N1014" s="8">
        <v>1176.5</v>
      </c>
      <c r="O1014" s="8">
        <v>7538.82</v>
      </c>
      <c r="P1014" s="268">
        <v>0.15609999999999999</v>
      </c>
      <c r="Q1014" s="8">
        <v>422</v>
      </c>
      <c r="R1014" s="8">
        <v>0</v>
      </c>
      <c r="S1014" s="8" t="s">
        <v>7270</v>
      </c>
      <c r="T1014" s="8" t="s">
        <v>7271</v>
      </c>
      <c r="U1014" s="8" t="s">
        <v>7272</v>
      </c>
      <c r="V1014" s="8" t="s">
        <v>7273</v>
      </c>
      <c r="W1014" s="8" t="s">
        <v>7274</v>
      </c>
    </row>
    <row r="1015" spans="1:23" ht="28" customHeight="1" x14ac:dyDescent="0.3">
      <c r="A1015" s="308">
        <v>44770</v>
      </c>
      <c r="B1015" s="302">
        <v>2140.3240000000001</v>
      </c>
      <c r="C1015" s="8">
        <v>15.237</v>
      </c>
      <c r="D1015" s="268">
        <v>7.1999999999999998E-3</v>
      </c>
      <c r="E1015" s="8">
        <v>81.41</v>
      </c>
      <c r="F1015" s="8">
        <v>149.798</v>
      </c>
      <c r="G1015" s="8">
        <v>127.88</v>
      </c>
      <c r="H1015" s="8">
        <v>93.51</v>
      </c>
      <c r="I1015" s="8">
        <v>200.06</v>
      </c>
      <c r="J1015" s="8">
        <v>72.67</v>
      </c>
      <c r="K1015" s="268">
        <v>0.50270000000000004</v>
      </c>
      <c r="L1015" s="268">
        <v>0.35599999999999998</v>
      </c>
      <c r="M1015" s="268">
        <v>-4.7899999999999998E-2</v>
      </c>
      <c r="N1015" s="8">
        <v>1172.8</v>
      </c>
      <c r="O1015" s="8">
        <v>7515.64</v>
      </c>
      <c r="P1015" s="268">
        <v>0.156</v>
      </c>
      <c r="Q1015" s="8">
        <v>420</v>
      </c>
      <c r="R1015" s="8">
        <v>0</v>
      </c>
      <c r="S1015" s="8" t="s">
        <v>7275</v>
      </c>
      <c r="T1015" s="8" t="s">
        <v>4123</v>
      </c>
      <c r="U1015" s="8" t="s">
        <v>7276</v>
      </c>
      <c r="V1015" s="8" t="s">
        <v>7277</v>
      </c>
      <c r="W1015" s="8" t="s">
        <v>7278</v>
      </c>
    </row>
    <row r="1016" spans="1:23" ht="28" customHeight="1" x14ac:dyDescent="0.3">
      <c r="A1016" s="308">
        <v>44769</v>
      </c>
      <c r="B1016" s="302">
        <v>2125.087</v>
      </c>
      <c r="C1016" s="8">
        <v>18.224</v>
      </c>
      <c r="D1016" s="268">
        <v>8.6E-3</v>
      </c>
      <c r="E1016" s="8">
        <v>78.95</v>
      </c>
      <c r="F1016" s="8">
        <v>148.59800000000001</v>
      </c>
      <c r="G1016" s="8">
        <v>127.04</v>
      </c>
      <c r="H1016" s="8">
        <v>93.08</v>
      </c>
      <c r="I1016" s="8">
        <v>199.36</v>
      </c>
      <c r="J1016" s="8">
        <v>71.349999999999994</v>
      </c>
      <c r="K1016" s="268">
        <v>0.50760000000000005</v>
      </c>
      <c r="L1016" s="268">
        <v>0.36149999999999999</v>
      </c>
      <c r="M1016" s="268">
        <v>-4.7800000000000002E-2</v>
      </c>
      <c r="N1016" s="8">
        <v>1116.32</v>
      </c>
      <c r="O1016" s="8">
        <v>7513.15</v>
      </c>
      <c r="P1016" s="268">
        <v>0.14860000000000001</v>
      </c>
      <c r="Q1016" s="8">
        <v>419</v>
      </c>
      <c r="R1016" s="8">
        <v>0</v>
      </c>
      <c r="S1016" s="8" t="s">
        <v>4194</v>
      </c>
      <c r="T1016" s="8" t="s">
        <v>7279</v>
      </c>
      <c r="U1016" s="8" t="s">
        <v>7280</v>
      </c>
      <c r="V1016" s="8" t="s">
        <v>5920</v>
      </c>
      <c r="W1016" s="8" t="s">
        <v>7281</v>
      </c>
    </row>
    <row r="1017" spans="1:23" ht="28" customHeight="1" x14ac:dyDescent="0.3">
      <c r="A1017" s="308">
        <v>44768</v>
      </c>
      <c r="B1017" s="302">
        <v>2106.8629999999998</v>
      </c>
      <c r="C1017" s="8">
        <v>15.186</v>
      </c>
      <c r="D1017" s="268">
        <v>7.3000000000000001E-3</v>
      </c>
      <c r="E1017" s="8">
        <v>75.05</v>
      </c>
      <c r="F1017" s="8">
        <v>147.16800000000001</v>
      </c>
      <c r="G1017" s="8">
        <v>126.096</v>
      </c>
      <c r="H1017" s="8">
        <v>91.79</v>
      </c>
      <c r="I1017" s="8">
        <v>198.39</v>
      </c>
      <c r="J1017" s="8">
        <v>72.900000000000006</v>
      </c>
      <c r="K1017" s="268">
        <v>0.51229999999999998</v>
      </c>
      <c r="L1017" s="268">
        <v>0.36330000000000001</v>
      </c>
      <c r="M1017" s="268">
        <v>-4.4900000000000002E-2</v>
      </c>
      <c r="N1017" s="8">
        <v>1129.54</v>
      </c>
      <c r="O1017" s="8">
        <v>7514.88</v>
      </c>
      <c r="P1017" s="268">
        <v>0.15029999999999999</v>
      </c>
      <c r="Q1017" s="8">
        <v>419</v>
      </c>
      <c r="R1017" s="8">
        <v>0</v>
      </c>
      <c r="S1017" s="8" t="s">
        <v>7282</v>
      </c>
      <c r="T1017" s="8" t="s">
        <v>7283</v>
      </c>
      <c r="U1017" s="8" t="s">
        <v>7284</v>
      </c>
      <c r="V1017" s="8" t="s">
        <v>7285</v>
      </c>
      <c r="W1017" s="8" t="s">
        <v>7286</v>
      </c>
    </row>
    <row r="1018" spans="1:23" ht="28" customHeight="1" x14ac:dyDescent="0.3">
      <c r="A1018" s="308">
        <v>44767</v>
      </c>
      <c r="B1018" s="302">
        <v>2091.6770000000001</v>
      </c>
      <c r="C1018" s="8">
        <v>-9.0540000000000003</v>
      </c>
      <c r="D1018" s="268">
        <v>-4.3E-3</v>
      </c>
      <c r="E1018" s="8">
        <v>71.98</v>
      </c>
      <c r="F1018" s="8">
        <v>146.01900000000001</v>
      </c>
      <c r="G1018" s="8">
        <v>125.2</v>
      </c>
      <c r="H1018" s="8">
        <v>91.38</v>
      </c>
      <c r="I1018" s="8">
        <v>197.71</v>
      </c>
      <c r="J1018" s="8">
        <v>74.150000000000006</v>
      </c>
      <c r="K1018" s="268">
        <v>0.51690000000000003</v>
      </c>
      <c r="L1018" s="268">
        <v>0.36330000000000001</v>
      </c>
      <c r="M1018" s="268">
        <v>-4.3799999999999999E-2</v>
      </c>
      <c r="N1018" s="8">
        <v>1028.6600000000001</v>
      </c>
      <c r="O1018" s="8">
        <v>7511.85</v>
      </c>
      <c r="P1018" s="268">
        <v>0.13689999999999999</v>
      </c>
      <c r="Q1018" s="8">
        <v>419</v>
      </c>
      <c r="R1018" s="8">
        <v>0</v>
      </c>
      <c r="S1018" s="8" t="s">
        <v>7287</v>
      </c>
      <c r="T1018" s="8" t="s">
        <v>7288</v>
      </c>
      <c r="U1018" s="8" t="s">
        <v>7289</v>
      </c>
      <c r="V1018" s="8" t="s">
        <v>7290</v>
      </c>
      <c r="W1018" s="8" t="s">
        <v>7291</v>
      </c>
    </row>
    <row r="1019" spans="1:23" ht="28" customHeight="1" x14ac:dyDescent="0.3">
      <c r="A1019" s="308">
        <v>44764</v>
      </c>
      <c r="B1019" s="302">
        <v>2100.7310000000002</v>
      </c>
      <c r="C1019" s="8">
        <v>-6.85</v>
      </c>
      <c r="D1019" s="268">
        <v>-3.3E-3</v>
      </c>
      <c r="E1019" s="8">
        <v>75.63</v>
      </c>
      <c r="F1019" s="8">
        <v>146.791</v>
      </c>
      <c r="G1019" s="8">
        <v>125.99</v>
      </c>
      <c r="H1019" s="8">
        <v>92.61</v>
      </c>
      <c r="I1019" s="8">
        <v>197.86</v>
      </c>
      <c r="J1019" s="8">
        <v>72.28</v>
      </c>
      <c r="K1019" s="268">
        <v>0.51070000000000004</v>
      </c>
      <c r="L1019" s="268">
        <v>0.35749999999999998</v>
      </c>
      <c r="M1019" s="268">
        <v>-4.4499999999999998E-2</v>
      </c>
      <c r="N1019" s="8">
        <v>1094.44</v>
      </c>
      <c r="O1019" s="8">
        <v>7515.01</v>
      </c>
      <c r="P1019" s="268">
        <v>0.14560000000000001</v>
      </c>
      <c r="Q1019" s="8">
        <v>419</v>
      </c>
      <c r="R1019" s="8">
        <v>0</v>
      </c>
      <c r="S1019" s="8" t="s">
        <v>7120</v>
      </c>
      <c r="T1019" s="8" t="s">
        <v>7292</v>
      </c>
      <c r="U1019" s="8" t="s">
        <v>7293</v>
      </c>
      <c r="V1019" s="8" t="s">
        <v>7294</v>
      </c>
      <c r="W1019" s="8" t="s">
        <v>7295</v>
      </c>
    </row>
    <row r="1020" spans="1:23" ht="28" customHeight="1" x14ac:dyDescent="0.3">
      <c r="A1020" s="308">
        <v>44763</v>
      </c>
      <c r="B1020" s="302">
        <v>2107.5810000000001</v>
      </c>
      <c r="C1020" s="8">
        <v>-6.2149999999999999</v>
      </c>
      <c r="D1020" s="268">
        <v>-2.8999999999999998E-3</v>
      </c>
      <c r="E1020" s="8">
        <v>76.849999999999994</v>
      </c>
      <c r="F1020" s="8">
        <v>147.58099999999999</v>
      </c>
      <c r="G1020" s="8">
        <v>126.212</v>
      </c>
      <c r="H1020" s="8">
        <v>93.47</v>
      </c>
      <c r="I1020" s="8">
        <v>198.95</v>
      </c>
      <c r="J1020" s="8">
        <v>72.16</v>
      </c>
      <c r="K1020" s="268">
        <v>0.51370000000000005</v>
      </c>
      <c r="L1020" s="268">
        <v>0.35639999999999999</v>
      </c>
      <c r="M1020" s="268">
        <v>-4.48E-2</v>
      </c>
      <c r="N1020" s="8">
        <v>1245.1600000000001</v>
      </c>
      <c r="O1020" s="8">
        <v>7502.02</v>
      </c>
      <c r="P1020" s="268">
        <v>0.16600000000000001</v>
      </c>
      <c r="Q1020" s="8">
        <v>416</v>
      </c>
      <c r="R1020" s="8">
        <v>0</v>
      </c>
      <c r="S1020" s="8" t="s">
        <v>7296</v>
      </c>
      <c r="T1020" s="8" t="s">
        <v>7297</v>
      </c>
      <c r="U1020" s="8" t="s">
        <v>4495</v>
      </c>
      <c r="V1020" s="8" t="s">
        <v>7298</v>
      </c>
      <c r="W1020" s="8" t="s">
        <v>7299</v>
      </c>
    </row>
    <row r="1021" spans="1:23" ht="28" customHeight="1" x14ac:dyDescent="0.3">
      <c r="A1021" s="308">
        <v>44762</v>
      </c>
      <c r="B1021" s="302">
        <v>2113.7959999999998</v>
      </c>
      <c r="C1021" s="8">
        <v>14.756</v>
      </c>
      <c r="D1021" s="268">
        <v>7.0000000000000001E-3</v>
      </c>
      <c r="E1021" s="8">
        <v>79.5</v>
      </c>
      <c r="F1021" s="8">
        <v>148.25899999999999</v>
      </c>
      <c r="G1021" s="8">
        <v>126.089</v>
      </c>
      <c r="H1021" s="8">
        <v>92.63</v>
      </c>
      <c r="I1021" s="8">
        <v>199.62</v>
      </c>
      <c r="J1021" s="8">
        <v>70.459999999999994</v>
      </c>
      <c r="K1021" s="268">
        <v>0.51370000000000005</v>
      </c>
      <c r="L1021" s="268">
        <v>0.35589999999999999</v>
      </c>
      <c r="M1021" s="268">
        <v>-4.5499999999999999E-2</v>
      </c>
      <c r="N1021" s="8">
        <v>1147.48</v>
      </c>
      <c r="O1021" s="8">
        <v>7486.21</v>
      </c>
      <c r="P1021" s="268">
        <v>0.15329999999999999</v>
      </c>
      <c r="Q1021" s="8">
        <v>414</v>
      </c>
      <c r="R1021" s="8">
        <v>0</v>
      </c>
      <c r="S1021" s="8" t="s">
        <v>7300</v>
      </c>
      <c r="T1021" s="8" t="s">
        <v>7301</v>
      </c>
      <c r="U1021" s="8" t="s">
        <v>7302</v>
      </c>
      <c r="V1021" s="8" t="s">
        <v>7303</v>
      </c>
      <c r="W1021" s="8" t="s">
        <v>7304</v>
      </c>
    </row>
    <row r="1022" spans="1:23" ht="28" customHeight="1" x14ac:dyDescent="0.3">
      <c r="A1022" s="308">
        <v>44761</v>
      </c>
      <c r="B1022" s="302">
        <v>2099.04</v>
      </c>
      <c r="C1022" s="8">
        <v>10.962</v>
      </c>
      <c r="D1022" s="268">
        <v>5.3E-3</v>
      </c>
      <c r="E1022" s="8">
        <v>77.52</v>
      </c>
      <c r="F1022" s="8">
        <v>147.173</v>
      </c>
      <c r="G1022" s="8">
        <v>125.55</v>
      </c>
      <c r="H1022" s="8">
        <v>91.83</v>
      </c>
      <c r="I1022" s="8">
        <v>198.74</v>
      </c>
      <c r="J1022" s="8">
        <v>70.040000000000006</v>
      </c>
      <c r="K1022" s="268">
        <v>0.51570000000000005</v>
      </c>
      <c r="L1022" s="268">
        <v>0.3589</v>
      </c>
      <c r="M1022" s="268">
        <v>-4.5100000000000001E-2</v>
      </c>
      <c r="N1022" s="8">
        <v>1149.7</v>
      </c>
      <c r="O1022" s="8">
        <v>7458.52</v>
      </c>
      <c r="P1022" s="268">
        <v>0.15409999999999999</v>
      </c>
      <c r="Q1022" s="8">
        <v>413</v>
      </c>
      <c r="R1022" s="8">
        <v>0</v>
      </c>
      <c r="S1022" s="8" t="s">
        <v>5669</v>
      </c>
      <c r="T1022" s="8" t="s">
        <v>7305</v>
      </c>
      <c r="U1022" s="8" t="s">
        <v>7306</v>
      </c>
      <c r="V1022" s="8" t="s">
        <v>7307</v>
      </c>
      <c r="W1022" s="8" t="s">
        <v>7308</v>
      </c>
    </row>
    <row r="1023" spans="1:23" ht="28" customHeight="1" x14ac:dyDescent="0.3">
      <c r="A1023" s="308">
        <v>44760</v>
      </c>
      <c r="B1023" s="302">
        <v>2088.078</v>
      </c>
      <c r="C1023" s="8">
        <v>24.25</v>
      </c>
      <c r="D1023" s="268">
        <v>1.18E-2</v>
      </c>
      <c r="E1023" s="8">
        <v>74.849999999999994</v>
      </c>
      <c r="F1023" s="8">
        <v>146.66900000000001</v>
      </c>
      <c r="G1023" s="8">
        <v>124.96</v>
      </c>
      <c r="H1023" s="8">
        <v>91.48</v>
      </c>
      <c r="I1023" s="8">
        <v>199.2</v>
      </c>
      <c r="J1023" s="8">
        <v>72.58</v>
      </c>
      <c r="K1023" s="268">
        <v>0.52529999999999999</v>
      </c>
      <c r="L1023" s="268">
        <v>0.36470000000000002</v>
      </c>
      <c r="M1023" s="268">
        <v>-4.1700000000000001E-2</v>
      </c>
      <c r="N1023" s="8">
        <v>1036.25</v>
      </c>
      <c r="O1023" s="8">
        <v>7461.54</v>
      </c>
      <c r="P1023" s="268">
        <v>0.1389</v>
      </c>
      <c r="Q1023" s="8">
        <v>413</v>
      </c>
      <c r="R1023" s="8">
        <v>0</v>
      </c>
      <c r="S1023" s="8" t="s">
        <v>7309</v>
      </c>
      <c r="T1023" s="8" t="s">
        <v>7310</v>
      </c>
      <c r="U1023" s="8" t="s">
        <v>7311</v>
      </c>
      <c r="V1023" s="8" t="s">
        <v>7312</v>
      </c>
      <c r="W1023" s="8" t="s">
        <v>7313</v>
      </c>
    </row>
    <row r="1024" spans="1:23" ht="28" customHeight="1" x14ac:dyDescent="0.3">
      <c r="A1024" s="308">
        <v>44757</v>
      </c>
      <c r="B1024" s="302">
        <v>2063.828</v>
      </c>
      <c r="C1024" s="8">
        <v>-5.5670000000000002</v>
      </c>
      <c r="D1024" s="268">
        <v>-2.7000000000000001E-3</v>
      </c>
      <c r="E1024" s="8">
        <v>70.69</v>
      </c>
      <c r="F1024" s="8">
        <v>144.98699999999999</v>
      </c>
      <c r="G1024" s="8">
        <v>123.6</v>
      </c>
      <c r="H1024" s="8">
        <v>88.95</v>
      </c>
      <c r="I1024" s="8">
        <v>199.68</v>
      </c>
      <c r="J1024" s="8">
        <v>76.53</v>
      </c>
      <c r="K1024" s="268">
        <v>0.54690000000000005</v>
      </c>
      <c r="L1024" s="268">
        <v>0.38929999999999998</v>
      </c>
      <c r="M1024" s="268">
        <v>-3.9199999999999999E-2</v>
      </c>
      <c r="N1024" s="8">
        <v>964.68</v>
      </c>
      <c r="O1024" s="8">
        <v>7449.22</v>
      </c>
      <c r="P1024" s="268">
        <v>0.1295</v>
      </c>
      <c r="Q1024" s="8">
        <v>412</v>
      </c>
      <c r="R1024" s="8">
        <v>0</v>
      </c>
      <c r="S1024" s="8" t="s">
        <v>7314</v>
      </c>
      <c r="T1024" s="8" t="s">
        <v>7315</v>
      </c>
      <c r="U1024" s="8" t="s">
        <v>7316</v>
      </c>
      <c r="V1024" s="8" t="s">
        <v>7317</v>
      </c>
      <c r="W1024" s="8" t="s">
        <v>7318</v>
      </c>
    </row>
    <row r="1025" spans="1:23" ht="28" customHeight="1" x14ac:dyDescent="0.3">
      <c r="A1025" s="308">
        <v>44756</v>
      </c>
      <c r="B1025" s="302">
        <v>2069.395</v>
      </c>
      <c r="C1025" s="8">
        <v>13.303000000000001</v>
      </c>
      <c r="D1025" s="268">
        <v>6.4999999999999997E-3</v>
      </c>
      <c r="E1025" s="8">
        <v>72.709999999999994</v>
      </c>
      <c r="F1025" s="8">
        <v>145.29300000000001</v>
      </c>
      <c r="G1025" s="8">
        <v>123.872</v>
      </c>
      <c r="H1025" s="8">
        <v>91.04</v>
      </c>
      <c r="I1025" s="8">
        <v>197.55</v>
      </c>
      <c r="J1025" s="8">
        <v>72.47</v>
      </c>
      <c r="K1025" s="268">
        <v>0.52249999999999996</v>
      </c>
      <c r="L1025" s="268">
        <v>0.36549999999999999</v>
      </c>
      <c r="M1025" s="268">
        <v>-4.1200000000000001E-2</v>
      </c>
      <c r="N1025" s="8">
        <v>1014.97</v>
      </c>
      <c r="O1025" s="8">
        <v>7453.52</v>
      </c>
      <c r="P1025" s="268">
        <v>0.13619999999999999</v>
      </c>
      <c r="Q1025" s="8">
        <v>413</v>
      </c>
      <c r="R1025" s="8">
        <v>0</v>
      </c>
      <c r="S1025" s="8" t="s">
        <v>4028</v>
      </c>
      <c r="T1025" s="8" t="s">
        <v>7319</v>
      </c>
      <c r="U1025" s="8" t="s">
        <v>7320</v>
      </c>
      <c r="V1025" s="8" t="s">
        <v>7321</v>
      </c>
      <c r="W1025" s="8" t="s">
        <v>7322</v>
      </c>
    </row>
    <row r="1026" spans="1:23" ht="28" customHeight="1" x14ac:dyDescent="0.3">
      <c r="A1026" s="308">
        <v>44755</v>
      </c>
      <c r="B1026" s="302">
        <v>2056.0920000000001</v>
      </c>
      <c r="C1026" s="8">
        <v>13.704000000000001</v>
      </c>
      <c r="D1026" s="268">
        <v>6.7000000000000002E-3</v>
      </c>
      <c r="E1026" s="8">
        <v>68.010000000000005</v>
      </c>
      <c r="F1026" s="8">
        <v>144.202</v>
      </c>
      <c r="G1026" s="8">
        <v>123.11199999999999</v>
      </c>
      <c r="H1026" s="8">
        <v>90.53</v>
      </c>
      <c r="I1026" s="8">
        <v>196.72</v>
      </c>
      <c r="J1026" s="8">
        <v>69.41</v>
      </c>
      <c r="K1026" s="268">
        <v>0.5252</v>
      </c>
      <c r="L1026" s="268">
        <v>0.35649999999999998</v>
      </c>
      <c r="M1026" s="268">
        <v>-4.1700000000000001E-2</v>
      </c>
      <c r="N1026" s="8">
        <v>947.95</v>
      </c>
      <c r="O1026" s="8">
        <v>7458.19</v>
      </c>
      <c r="P1026" s="268">
        <v>0.12709999999999999</v>
      </c>
      <c r="Q1026" s="8">
        <v>413</v>
      </c>
      <c r="R1026" s="8">
        <v>0</v>
      </c>
      <c r="S1026" s="8" t="s">
        <v>4127</v>
      </c>
      <c r="T1026" s="8" t="s">
        <v>7323</v>
      </c>
      <c r="U1026" s="8" t="s">
        <v>7324</v>
      </c>
      <c r="V1026" s="8" t="s">
        <v>7325</v>
      </c>
      <c r="W1026" s="8" t="s">
        <v>7326</v>
      </c>
    </row>
    <row r="1027" spans="1:23" ht="28" customHeight="1" x14ac:dyDescent="0.3">
      <c r="A1027" s="308">
        <v>44754</v>
      </c>
      <c r="B1027" s="302">
        <v>2042.3879999999999</v>
      </c>
      <c r="C1027" s="8">
        <v>-23.425999999999998</v>
      </c>
      <c r="D1027" s="268">
        <v>-1.1299999999999999E-2</v>
      </c>
      <c r="E1027" s="8">
        <v>66.67</v>
      </c>
      <c r="F1027" s="8">
        <v>143.328</v>
      </c>
      <c r="G1027" s="8">
        <v>122.548</v>
      </c>
      <c r="H1027" s="8">
        <v>89.04</v>
      </c>
      <c r="I1027" s="8">
        <v>196.45</v>
      </c>
      <c r="J1027" s="8">
        <v>69.430000000000007</v>
      </c>
      <c r="K1027" s="268">
        <v>0.53129999999999999</v>
      </c>
      <c r="L1027" s="268">
        <v>0.37530000000000002</v>
      </c>
      <c r="M1027" s="268">
        <v>-3.9199999999999999E-2</v>
      </c>
      <c r="N1027" s="8">
        <v>914.37</v>
      </c>
      <c r="O1027" s="8">
        <v>7459.44</v>
      </c>
      <c r="P1027" s="268">
        <v>0.1226</v>
      </c>
      <c r="Q1027" s="8">
        <v>413</v>
      </c>
      <c r="R1027" s="8">
        <v>0</v>
      </c>
      <c r="S1027" s="8" t="s">
        <v>7327</v>
      </c>
      <c r="T1027" s="8" t="s">
        <v>7328</v>
      </c>
      <c r="U1027" s="8" t="s">
        <v>7329</v>
      </c>
      <c r="V1027" s="8" t="s">
        <v>7330</v>
      </c>
      <c r="W1027" s="8" t="s">
        <v>7331</v>
      </c>
    </row>
    <row r="1028" spans="1:23" ht="28" customHeight="1" x14ac:dyDescent="0.3">
      <c r="A1028" s="308">
        <v>44753</v>
      </c>
      <c r="B1028" s="302">
        <v>2065.8139999999999</v>
      </c>
      <c r="C1028" s="8">
        <v>-19.202999999999999</v>
      </c>
      <c r="D1028" s="268">
        <v>-9.1999999999999998E-3</v>
      </c>
      <c r="E1028" s="8">
        <v>70.87</v>
      </c>
      <c r="F1028" s="8">
        <v>145.07400000000001</v>
      </c>
      <c r="G1028" s="8">
        <v>123.91800000000001</v>
      </c>
      <c r="H1028" s="8">
        <v>90.12</v>
      </c>
      <c r="I1028" s="8">
        <v>197.64</v>
      </c>
      <c r="J1028" s="8">
        <v>69.97</v>
      </c>
      <c r="K1028" s="268">
        <v>0.52559999999999996</v>
      </c>
      <c r="L1028" s="268">
        <v>0.36709999999999998</v>
      </c>
      <c r="M1028" s="268">
        <v>-4.1799999999999997E-2</v>
      </c>
      <c r="N1028" s="8">
        <v>954.72</v>
      </c>
      <c r="O1028" s="8">
        <v>7464.61</v>
      </c>
      <c r="P1028" s="268">
        <v>0.12790000000000001</v>
      </c>
      <c r="Q1028" s="8">
        <v>413</v>
      </c>
      <c r="R1028" s="8">
        <v>0</v>
      </c>
      <c r="S1028" s="8" t="s">
        <v>4028</v>
      </c>
      <c r="T1028" s="8" t="s">
        <v>2672</v>
      </c>
      <c r="U1028" s="8" t="s">
        <v>7332</v>
      </c>
      <c r="V1028" s="8" t="s">
        <v>7333</v>
      </c>
      <c r="W1028" s="8" t="s">
        <v>7334</v>
      </c>
    </row>
    <row r="1029" spans="1:23" ht="28" customHeight="1" x14ac:dyDescent="0.3">
      <c r="A1029" s="308">
        <v>44750</v>
      </c>
      <c r="B1029" s="302">
        <v>2085.0169999999998</v>
      </c>
      <c r="C1029" s="8">
        <v>-5.98</v>
      </c>
      <c r="D1029" s="268">
        <v>-2.8999999999999998E-3</v>
      </c>
      <c r="E1029" s="8">
        <v>74.77</v>
      </c>
      <c r="F1029" s="8">
        <v>146.589</v>
      </c>
      <c r="G1029" s="8">
        <v>124.937</v>
      </c>
      <c r="H1029" s="8">
        <v>90.9</v>
      </c>
      <c r="I1029" s="8">
        <v>199.66</v>
      </c>
      <c r="J1029" s="8">
        <v>70.7</v>
      </c>
      <c r="K1029" s="268">
        <v>0.53069999999999995</v>
      </c>
      <c r="L1029" s="268">
        <v>0.3755</v>
      </c>
      <c r="M1029" s="268">
        <v>-4.3200000000000002E-2</v>
      </c>
      <c r="N1029" s="8">
        <v>1040.6400000000001</v>
      </c>
      <c r="O1029" s="8">
        <v>7397.14</v>
      </c>
      <c r="P1029" s="268">
        <v>0.14069999999999999</v>
      </c>
      <c r="Q1029" s="8">
        <v>412</v>
      </c>
      <c r="R1029" s="8">
        <v>0</v>
      </c>
      <c r="S1029" s="8" t="s">
        <v>5230</v>
      </c>
      <c r="T1029" s="8" t="s">
        <v>2374</v>
      </c>
      <c r="U1029" s="8" t="s">
        <v>7335</v>
      </c>
      <c r="V1029" s="8" t="s">
        <v>7336</v>
      </c>
      <c r="W1029" s="8" t="s">
        <v>7337</v>
      </c>
    </row>
    <row r="1030" spans="1:23" ht="28" customHeight="1" x14ac:dyDescent="0.3">
      <c r="A1030" s="308">
        <v>44749</v>
      </c>
      <c r="B1030" s="302">
        <v>2090.9969999999998</v>
      </c>
      <c r="C1030" s="8">
        <v>12.512</v>
      </c>
      <c r="D1030" s="268">
        <v>6.0000000000000001E-3</v>
      </c>
      <c r="E1030" s="8">
        <v>74.400000000000006</v>
      </c>
      <c r="F1030" s="8">
        <v>147.66399999999999</v>
      </c>
      <c r="G1030" s="8">
        <v>125.107</v>
      </c>
      <c r="H1030" s="8">
        <v>91.31</v>
      </c>
      <c r="I1030" s="8">
        <v>201.14</v>
      </c>
      <c r="J1030" s="8">
        <v>68.42</v>
      </c>
      <c r="K1030" s="268">
        <v>0.53469999999999995</v>
      </c>
      <c r="L1030" s="268">
        <v>0.37190000000000001</v>
      </c>
      <c r="M1030" s="268">
        <v>-4.0599999999999997E-2</v>
      </c>
      <c r="N1030" s="8">
        <v>1288.43</v>
      </c>
      <c r="O1030" s="8">
        <v>7400.47</v>
      </c>
      <c r="P1030" s="268">
        <v>0.1741</v>
      </c>
      <c r="Q1030" s="8">
        <v>413</v>
      </c>
      <c r="R1030" s="8">
        <v>0</v>
      </c>
      <c r="S1030" s="8" t="s">
        <v>2731</v>
      </c>
      <c r="T1030" s="8" t="s">
        <v>7338</v>
      </c>
      <c r="U1030" s="8" t="s">
        <v>7339</v>
      </c>
      <c r="V1030" s="8" t="s">
        <v>7340</v>
      </c>
      <c r="W1030" s="8" t="s">
        <v>7341</v>
      </c>
    </row>
    <row r="1031" spans="1:23" ht="28" customHeight="1" x14ac:dyDescent="0.3">
      <c r="A1031" s="308">
        <v>44748</v>
      </c>
      <c r="B1031" s="302">
        <v>2078.4850000000001</v>
      </c>
      <c r="C1031" s="8">
        <v>-15.221</v>
      </c>
      <c r="D1031" s="268">
        <v>-7.3000000000000001E-3</v>
      </c>
      <c r="E1031" s="8">
        <v>71.94</v>
      </c>
      <c r="F1031" s="8">
        <v>146.756</v>
      </c>
      <c r="G1031" s="8">
        <v>124.348</v>
      </c>
      <c r="H1031" s="8">
        <v>90.72</v>
      </c>
      <c r="I1031" s="8">
        <v>200.49</v>
      </c>
      <c r="J1031" s="8">
        <v>69.92</v>
      </c>
      <c r="K1031" s="268">
        <v>0.5373</v>
      </c>
      <c r="L1031" s="268">
        <v>0.36480000000000001</v>
      </c>
      <c r="M1031" s="268">
        <v>-3.9300000000000002E-2</v>
      </c>
      <c r="N1031" s="8">
        <v>1211.28</v>
      </c>
      <c r="O1031" s="8">
        <v>7403.48</v>
      </c>
      <c r="P1031" s="268">
        <v>0.1636</v>
      </c>
      <c r="Q1031" s="8">
        <v>414</v>
      </c>
      <c r="R1031" s="8">
        <v>0</v>
      </c>
      <c r="S1031" s="8" t="s">
        <v>7342</v>
      </c>
      <c r="T1031" s="8" t="s">
        <v>7176</v>
      </c>
      <c r="U1031" s="8" t="s">
        <v>7343</v>
      </c>
      <c r="V1031" s="8" t="s">
        <v>7344</v>
      </c>
      <c r="W1031" s="8" t="s">
        <v>7345</v>
      </c>
    </row>
    <row r="1032" spans="1:23" ht="28" customHeight="1" x14ac:dyDescent="0.3">
      <c r="A1032" s="308">
        <v>44747</v>
      </c>
      <c r="B1032" s="302">
        <v>2093.7060000000001</v>
      </c>
      <c r="C1032" s="8">
        <v>-5.2050000000000001</v>
      </c>
      <c r="D1032" s="268">
        <v>-2.5000000000000001E-3</v>
      </c>
      <c r="E1032" s="8">
        <v>75</v>
      </c>
      <c r="F1032" s="8">
        <v>147.71199999999999</v>
      </c>
      <c r="G1032" s="8">
        <v>125.428</v>
      </c>
      <c r="H1032" s="8">
        <v>91.9</v>
      </c>
      <c r="I1032" s="8">
        <v>201.36</v>
      </c>
      <c r="J1032" s="8">
        <v>70.400000000000006</v>
      </c>
      <c r="K1032" s="268">
        <v>0.53649999999999998</v>
      </c>
      <c r="L1032" s="268">
        <v>0.36820000000000003</v>
      </c>
      <c r="M1032" s="268">
        <v>-4.1300000000000003E-2</v>
      </c>
      <c r="N1032" s="8">
        <v>1283.5899999999999</v>
      </c>
      <c r="O1032" s="8">
        <v>7394.58</v>
      </c>
      <c r="P1032" s="268">
        <v>0.1736</v>
      </c>
      <c r="Q1032" s="8">
        <v>413</v>
      </c>
      <c r="R1032" s="8">
        <v>0</v>
      </c>
      <c r="S1032" s="8" t="s">
        <v>7346</v>
      </c>
      <c r="T1032" s="8" t="s">
        <v>7347</v>
      </c>
      <c r="U1032" s="8" t="s">
        <v>7348</v>
      </c>
      <c r="V1032" s="8" t="s">
        <v>7349</v>
      </c>
      <c r="W1032" s="8" t="s">
        <v>7350</v>
      </c>
    </row>
    <row r="1033" spans="1:23" ht="28" customHeight="1" x14ac:dyDescent="0.3">
      <c r="A1033" s="308">
        <v>44746</v>
      </c>
      <c r="B1033" s="302">
        <v>2098.9110000000001</v>
      </c>
      <c r="C1033" s="8">
        <v>13.968999999999999</v>
      </c>
      <c r="D1033" s="268">
        <v>6.7000000000000002E-3</v>
      </c>
      <c r="E1033" s="8">
        <v>78.37</v>
      </c>
      <c r="F1033" s="8">
        <v>147.983</v>
      </c>
      <c r="G1033" s="8">
        <v>126.13</v>
      </c>
      <c r="H1033" s="8">
        <v>92.57</v>
      </c>
      <c r="I1033" s="8">
        <v>201.26</v>
      </c>
      <c r="J1033" s="8">
        <v>70.95</v>
      </c>
      <c r="K1033" s="268">
        <v>0.53280000000000005</v>
      </c>
      <c r="L1033" s="268">
        <v>0.36630000000000001</v>
      </c>
      <c r="M1033" s="268">
        <v>-4.3099999999999999E-2</v>
      </c>
      <c r="N1033" s="8">
        <v>1263.8900000000001</v>
      </c>
      <c r="O1033" s="8">
        <v>7397.93</v>
      </c>
      <c r="P1033" s="268">
        <v>0.17080000000000001</v>
      </c>
      <c r="Q1033" s="8">
        <v>413</v>
      </c>
      <c r="R1033" s="8">
        <v>0</v>
      </c>
      <c r="S1033" s="8" t="s">
        <v>2343</v>
      </c>
      <c r="T1033" s="8" t="s">
        <v>7351</v>
      </c>
      <c r="U1033" s="8" t="s">
        <v>7352</v>
      </c>
      <c r="V1033" s="8" t="s">
        <v>7353</v>
      </c>
      <c r="W1033" s="8" t="s">
        <v>7354</v>
      </c>
    </row>
    <row r="1034" spans="1:23" ht="28" customHeight="1" x14ac:dyDescent="0.3">
      <c r="A1034" s="308">
        <v>44743</v>
      </c>
      <c r="B1034" s="302">
        <v>2084.942</v>
      </c>
      <c r="C1034" s="8">
        <v>-0.45900000000000002</v>
      </c>
      <c r="D1034" s="268">
        <v>-2.0000000000000001E-4</v>
      </c>
      <c r="E1034" s="8">
        <v>76.959999999999994</v>
      </c>
      <c r="F1034" s="8">
        <v>146.636</v>
      </c>
      <c r="G1034" s="8">
        <v>125.55500000000001</v>
      </c>
      <c r="H1034" s="8">
        <v>90.9</v>
      </c>
      <c r="I1034" s="8">
        <v>200.39</v>
      </c>
      <c r="J1034" s="8">
        <v>70.33</v>
      </c>
      <c r="K1034" s="268">
        <v>0.53749999999999998</v>
      </c>
      <c r="L1034" s="268">
        <v>0.37159999999999999</v>
      </c>
      <c r="M1034" s="268">
        <v>-4.3299999999999998E-2</v>
      </c>
      <c r="N1034" s="8">
        <v>1299.58</v>
      </c>
      <c r="O1034" s="8">
        <v>7396.07</v>
      </c>
      <c r="P1034" s="268">
        <v>0.1757</v>
      </c>
      <c r="Q1034" s="8">
        <v>412</v>
      </c>
      <c r="R1034" s="8">
        <v>0</v>
      </c>
      <c r="S1034" s="8" t="s">
        <v>3335</v>
      </c>
      <c r="T1034" s="8" t="s">
        <v>7355</v>
      </c>
      <c r="U1034" s="8" t="s">
        <v>7356</v>
      </c>
      <c r="V1034" s="8" t="s">
        <v>7357</v>
      </c>
      <c r="W1034" s="8" t="s">
        <v>7358</v>
      </c>
    </row>
    <row r="1035" spans="1:23" ht="28" customHeight="1" x14ac:dyDescent="0.3">
      <c r="A1035" s="308">
        <v>44742</v>
      </c>
      <c r="B1035" s="302">
        <v>2085.4009999999998</v>
      </c>
      <c r="C1035" s="8">
        <v>13.406000000000001</v>
      </c>
      <c r="D1035" s="268">
        <v>6.4999999999999997E-3</v>
      </c>
      <c r="E1035" s="8">
        <v>76.75</v>
      </c>
      <c r="F1035" s="8">
        <v>146.601</v>
      </c>
      <c r="G1035" s="8">
        <v>125.589</v>
      </c>
      <c r="H1035" s="8">
        <v>91.76</v>
      </c>
      <c r="I1035" s="8">
        <v>200.22</v>
      </c>
      <c r="J1035" s="8">
        <v>71.930000000000007</v>
      </c>
      <c r="K1035" s="268">
        <v>0.53620000000000001</v>
      </c>
      <c r="L1035" s="268">
        <v>0.36670000000000003</v>
      </c>
      <c r="M1035" s="268">
        <v>-4.4699999999999997E-2</v>
      </c>
      <c r="N1035" s="8">
        <v>1511.98</v>
      </c>
      <c r="O1035" s="8">
        <v>7398.1</v>
      </c>
      <c r="P1035" s="268">
        <v>0.2044</v>
      </c>
      <c r="Q1035" s="8">
        <v>412</v>
      </c>
      <c r="R1035" s="8">
        <v>0</v>
      </c>
      <c r="S1035" s="8" t="s">
        <v>6018</v>
      </c>
      <c r="T1035" s="8" t="s">
        <v>7359</v>
      </c>
      <c r="U1035" s="8" t="s">
        <v>7360</v>
      </c>
      <c r="V1035" s="8" t="s">
        <v>7361</v>
      </c>
      <c r="W1035" s="8" t="s">
        <v>7362</v>
      </c>
    </row>
    <row r="1036" spans="1:23" ht="28" customHeight="1" x14ac:dyDescent="0.3">
      <c r="A1036" s="308">
        <v>44741</v>
      </c>
      <c r="B1036" s="302">
        <v>2071.9949999999999</v>
      </c>
      <c r="C1036" s="8">
        <v>-27.864999999999998</v>
      </c>
      <c r="D1036" s="268">
        <v>-1.3299999999999999E-2</v>
      </c>
      <c r="E1036" s="8">
        <v>74.69</v>
      </c>
      <c r="F1036" s="8">
        <v>145.46700000000001</v>
      </c>
      <c r="G1036" s="8">
        <v>125</v>
      </c>
      <c r="H1036" s="8">
        <v>91.41</v>
      </c>
      <c r="I1036" s="8">
        <v>199.32</v>
      </c>
      <c r="J1036" s="8">
        <v>71.92</v>
      </c>
      <c r="K1036" s="268">
        <v>0.53859999999999997</v>
      </c>
      <c r="L1036" s="268">
        <v>0.36780000000000002</v>
      </c>
      <c r="M1036" s="268">
        <v>-4.2999999999999997E-2</v>
      </c>
      <c r="N1036" s="8">
        <v>1612.54</v>
      </c>
      <c r="O1036" s="8">
        <v>7398.39</v>
      </c>
      <c r="P1036" s="268">
        <v>0.218</v>
      </c>
      <c r="Q1036" s="8">
        <v>412</v>
      </c>
      <c r="R1036" s="8">
        <v>0</v>
      </c>
      <c r="S1036" s="8" t="s">
        <v>5658</v>
      </c>
      <c r="T1036" s="8" t="s">
        <v>7363</v>
      </c>
      <c r="U1036" s="8" t="s">
        <v>7364</v>
      </c>
      <c r="V1036" s="8" t="s">
        <v>7365</v>
      </c>
      <c r="W1036" s="8" t="s">
        <v>7366</v>
      </c>
    </row>
    <row r="1037" spans="1:23" ht="28" customHeight="1" x14ac:dyDescent="0.3">
      <c r="A1037" s="308">
        <v>44740</v>
      </c>
      <c r="B1037" s="302">
        <v>2099.86</v>
      </c>
      <c r="C1037" s="8">
        <v>16.169</v>
      </c>
      <c r="D1037" s="268">
        <v>7.7999999999999996E-3</v>
      </c>
      <c r="E1037" s="8">
        <v>78.59</v>
      </c>
      <c r="F1037" s="8">
        <v>147.99199999999999</v>
      </c>
      <c r="G1037" s="8">
        <v>126.95</v>
      </c>
      <c r="H1037" s="8">
        <v>93.32</v>
      </c>
      <c r="I1037" s="8">
        <v>200.34</v>
      </c>
      <c r="J1037" s="8">
        <v>66.11</v>
      </c>
      <c r="K1037" s="268">
        <v>0.52339999999999998</v>
      </c>
      <c r="L1037" s="268">
        <v>0.35360000000000003</v>
      </c>
      <c r="M1037" s="268">
        <v>-4.5199999999999997E-2</v>
      </c>
      <c r="N1037" s="8">
        <v>1727.02</v>
      </c>
      <c r="O1037" s="8">
        <v>7400.2</v>
      </c>
      <c r="P1037" s="268">
        <v>0.2334</v>
      </c>
      <c r="Q1037" s="8">
        <v>413</v>
      </c>
      <c r="R1037" s="8">
        <v>0</v>
      </c>
      <c r="S1037" s="8" t="s">
        <v>7367</v>
      </c>
      <c r="T1037" s="8" t="s">
        <v>7368</v>
      </c>
      <c r="U1037" s="8" t="s">
        <v>7369</v>
      </c>
      <c r="V1037" s="8" t="s">
        <v>7370</v>
      </c>
      <c r="W1037" s="8" t="s">
        <v>7371</v>
      </c>
    </row>
    <row r="1038" spans="1:23" ht="28" customHeight="1" x14ac:dyDescent="0.3">
      <c r="A1038" s="308">
        <v>44739</v>
      </c>
      <c r="B1038" s="302">
        <v>2083.6909999999998</v>
      </c>
      <c r="C1038" s="8">
        <v>20.712</v>
      </c>
      <c r="D1038" s="268">
        <v>0.01</v>
      </c>
      <c r="E1038" s="8">
        <v>77.84</v>
      </c>
      <c r="F1038" s="8">
        <v>146.50899999999999</v>
      </c>
      <c r="G1038" s="8">
        <v>125.815</v>
      </c>
      <c r="H1038" s="8">
        <v>91.77</v>
      </c>
      <c r="I1038" s="8">
        <v>199.62</v>
      </c>
      <c r="J1038" s="8">
        <v>68.63</v>
      </c>
      <c r="K1038" s="268">
        <v>0.53110000000000002</v>
      </c>
      <c r="L1038" s="268">
        <v>0.36149999999999999</v>
      </c>
      <c r="M1038" s="268">
        <v>-4.4900000000000002E-2</v>
      </c>
      <c r="N1038" s="8">
        <v>1578.19</v>
      </c>
      <c r="O1038" s="8">
        <v>7402.97</v>
      </c>
      <c r="P1038" s="268">
        <v>0.2132</v>
      </c>
      <c r="Q1038" s="8">
        <v>414</v>
      </c>
      <c r="R1038" s="8">
        <v>0</v>
      </c>
      <c r="S1038" s="8" t="s">
        <v>7372</v>
      </c>
      <c r="T1038" s="8" t="s">
        <v>7373</v>
      </c>
      <c r="U1038" s="8" t="s">
        <v>7374</v>
      </c>
      <c r="V1038" s="8" t="s">
        <v>7375</v>
      </c>
      <c r="W1038" s="8" t="s">
        <v>7376</v>
      </c>
    </row>
    <row r="1039" spans="1:23" ht="28" customHeight="1" x14ac:dyDescent="0.3">
      <c r="A1039" s="308">
        <v>44736</v>
      </c>
      <c r="B1039" s="302">
        <v>2062.9789999999998</v>
      </c>
      <c r="C1039" s="8">
        <v>14.971</v>
      </c>
      <c r="D1039" s="268">
        <v>7.3000000000000001E-3</v>
      </c>
      <c r="E1039" s="8">
        <v>74.849999999999994</v>
      </c>
      <c r="F1039" s="8">
        <v>144.833</v>
      </c>
      <c r="G1039" s="8">
        <v>124.58</v>
      </c>
      <c r="H1039" s="8">
        <v>91.56</v>
      </c>
      <c r="I1039" s="8">
        <v>198.2</v>
      </c>
      <c r="J1039" s="8">
        <v>67.66</v>
      </c>
      <c r="K1039" s="268">
        <v>0.53369999999999995</v>
      </c>
      <c r="L1039" s="268">
        <v>0.35399999999999998</v>
      </c>
      <c r="M1039" s="268">
        <v>-4.36E-2</v>
      </c>
      <c r="N1039" s="8">
        <v>1646.32</v>
      </c>
      <c r="O1039" s="8">
        <v>7404.64</v>
      </c>
      <c r="P1039" s="268">
        <v>0.2223</v>
      </c>
      <c r="Q1039" s="8">
        <v>414</v>
      </c>
      <c r="R1039" s="8">
        <v>0</v>
      </c>
      <c r="S1039" s="8" t="s">
        <v>7377</v>
      </c>
      <c r="T1039" s="8" t="s">
        <v>7378</v>
      </c>
      <c r="U1039" s="8" t="s">
        <v>7379</v>
      </c>
      <c r="V1039" s="8" t="s">
        <v>7380</v>
      </c>
      <c r="W1039" s="8" t="s">
        <v>7381</v>
      </c>
    </row>
    <row r="1040" spans="1:23" ht="28" customHeight="1" x14ac:dyDescent="0.3">
      <c r="A1040" s="308">
        <v>44735</v>
      </c>
      <c r="B1040" s="302">
        <v>2048.0079999999998</v>
      </c>
      <c r="C1040" s="8">
        <v>15.831</v>
      </c>
      <c r="D1040" s="268">
        <v>7.7999999999999996E-3</v>
      </c>
      <c r="E1040" s="8">
        <v>71.8</v>
      </c>
      <c r="F1040" s="8">
        <v>143.74700000000001</v>
      </c>
      <c r="G1040" s="8">
        <v>123.85</v>
      </c>
      <c r="H1040" s="8">
        <v>90.99</v>
      </c>
      <c r="I1040" s="8">
        <v>197.76</v>
      </c>
      <c r="J1040" s="8">
        <v>68.25</v>
      </c>
      <c r="K1040" s="268">
        <v>0.54010000000000002</v>
      </c>
      <c r="L1040" s="268">
        <v>0.35970000000000002</v>
      </c>
      <c r="M1040" s="268">
        <v>-4.1399999999999999E-2</v>
      </c>
      <c r="N1040" s="8">
        <v>1647.71</v>
      </c>
      <c r="O1040" s="8">
        <v>7405.77</v>
      </c>
      <c r="P1040" s="268">
        <v>0.2225</v>
      </c>
      <c r="Q1040" s="8">
        <v>414</v>
      </c>
      <c r="R1040" s="8">
        <v>0</v>
      </c>
      <c r="S1040" s="8" t="s">
        <v>4127</v>
      </c>
      <c r="T1040" s="8" t="s">
        <v>6256</v>
      </c>
      <c r="U1040" s="8" t="s">
        <v>7382</v>
      </c>
      <c r="V1040" s="8" t="s">
        <v>7383</v>
      </c>
      <c r="W1040" s="8" t="s">
        <v>5913</v>
      </c>
    </row>
    <row r="1041" spans="1:23" ht="28" customHeight="1" x14ac:dyDescent="0.3">
      <c r="A1041" s="308">
        <v>44734</v>
      </c>
      <c r="B1041" s="302">
        <v>2032.1769999999999</v>
      </c>
      <c r="C1041" s="8">
        <v>2.8610000000000002</v>
      </c>
      <c r="D1041" s="268">
        <v>1.4E-3</v>
      </c>
      <c r="E1041" s="8">
        <v>69.45</v>
      </c>
      <c r="F1041" s="8">
        <v>142.57900000000001</v>
      </c>
      <c r="G1041" s="8">
        <v>122.544</v>
      </c>
      <c r="H1041" s="8">
        <v>89.03</v>
      </c>
      <c r="I1041" s="8">
        <v>198.82</v>
      </c>
      <c r="J1041" s="8">
        <v>73</v>
      </c>
      <c r="K1041" s="268">
        <v>0.56240000000000001</v>
      </c>
      <c r="L1041" s="268">
        <v>0.37990000000000002</v>
      </c>
      <c r="M1041" s="268">
        <v>-3.8699999999999998E-2</v>
      </c>
      <c r="N1041" s="8">
        <v>1572.6</v>
      </c>
      <c r="O1041" s="8">
        <v>7406.5</v>
      </c>
      <c r="P1041" s="268">
        <v>0.21229999999999999</v>
      </c>
      <c r="Q1041" s="8">
        <v>414</v>
      </c>
      <c r="R1041" s="8">
        <v>0</v>
      </c>
      <c r="S1041" s="8" t="s">
        <v>7384</v>
      </c>
      <c r="T1041" s="8" t="s">
        <v>6325</v>
      </c>
      <c r="U1041" s="8" t="s">
        <v>7385</v>
      </c>
      <c r="V1041" s="8" t="s">
        <v>7386</v>
      </c>
      <c r="W1041" s="8" t="s">
        <v>7387</v>
      </c>
    </row>
    <row r="1042" spans="1:23" ht="28" customHeight="1" x14ac:dyDescent="0.3">
      <c r="A1042" s="308">
        <v>44733</v>
      </c>
      <c r="B1042" s="302">
        <v>2029.316</v>
      </c>
      <c r="C1042" s="8">
        <v>3.0390000000000001</v>
      </c>
      <c r="D1042" s="268">
        <v>1.5E-3</v>
      </c>
      <c r="E1042" s="8">
        <v>71.790000000000006</v>
      </c>
      <c r="F1042" s="8">
        <v>142.16</v>
      </c>
      <c r="G1042" s="8">
        <v>122.98</v>
      </c>
      <c r="H1042" s="8">
        <v>90.55</v>
      </c>
      <c r="I1042" s="8">
        <v>196.15</v>
      </c>
      <c r="J1042" s="8">
        <v>68.09</v>
      </c>
      <c r="K1042" s="268">
        <v>0.53990000000000005</v>
      </c>
      <c r="L1042" s="268">
        <v>0.3604</v>
      </c>
      <c r="M1042" s="268">
        <v>-3.8300000000000001E-2</v>
      </c>
      <c r="N1042" s="8">
        <v>1323.87</v>
      </c>
      <c r="O1042" s="8">
        <v>7401.86</v>
      </c>
      <c r="P1042" s="268">
        <v>0.1789</v>
      </c>
      <c r="Q1042" s="8">
        <v>413</v>
      </c>
      <c r="R1042" s="8">
        <v>0</v>
      </c>
      <c r="S1042" s="8" t="s">
        <v>4127</v>
      </c>
      <c r="T1042" s="8" t="s">
        <v>7388</v>
      </c>
      <c r="U1042" s="8" t="s">
        <v>7389</v>
      </c>
      <c r="V1042" s="8" t="s">
        <v>7390</v>
      </c>
      <c r="W1042" s="8" t="s">
        <v>7391</v>
      </c>
    </row>
    <row r="1043" spans="1:23" ht="28" customHeight="1" x14ac:dyDescent="0.3">
      <c r="A1043" s="308">
        <v>44732</v>
      </c>
      <c r="B1043" s="302">
        <v>2026.277</v>
      </c>
      <c r="C1043" s="8">
        <v>-23.055</v>
      </c>
      <c r="D1043" s="268">
        <v>-1.1299999999999999E-2</v>
      </c>
      <c r="E1043" s="8">
        <v>71.290000000000006</v>
      </c>
      <c r="F1043" s="8">
        <v>141.81399999999999</v>
      </c>
      <c r="G1043" s="8">
        <v>123.14</v>
      </c>
      <c r="H1043" s="8">
        <v>90.4</v>
      </c>
      <c r="I1043" s="8">
        <v>194.81</v>
      </c>
      <c r="J1043" s="8">
        <v>68.849999999999994</v>
      </c>
      <c r="K1043" s="268">
        <v>0.52990000000000004</v>
      </c>
      <c r="L1043" s="268">
        <v>0.35759999999999997</v>
      </c>
      <c r="M1043" s="268">
        <v>-3.95E-2</v>
      </c>
      <c r="N1043" s="8">
        <v>1245.02</v>
      </c>
      <c r="O1043" s="8">
        <v>7402.68</v>
      </c>
      <c r="P1043" s="268">
        <v>0.16819999999999999</v>
      </c>
      <c r="Q1043" s="8">
        <v>413</v>
      </c>
      <c r="R1043" s="8">
        <v>0</v>
      </c>
      <c r="S1043" s="8" t="s">
        <v>7100</v>
      </c>
      <c r="T1043" s="8" t="s">
        <v>7392</v>
      </c>
      <c r="U1043" s="8" t="s">
        <v>7393</v>
      </c>
      <c r="V1043" s="8" t="s">
        <v>7394</v>
      </c>
      <c r="W1043" s="8" t="s">
        <v>7395</v>
      </c>
    </row>
    <row r="1044" spans="1:23" ht="28" customHeight="1" x14ac:dyDescent="0.3">
      <c r="A1044" s="308">
        <v>44729</v>
      </c>
      <c r="B1044" s="302">
        <v>2049.3319999999999</v>
      </c>
      <c r="C1044" s="8">
        <v>9.9320000000000004</v>
      </c>
      <c r="D1044" s="268">
        <v>4.8999999999999998E-3</v>
      </c>
      <c r="E1044" s="8">
        <v>75.400000000000006</v>
      </c>
      <c r="F1044" s="8">
        <v>144.01599999999999</v>
      </c>
      <c r="G1044" s="8">
        <v>124.15</v>
      </c>
      <c r="H1044" s="8">
        <v>89.58</v>
      </c>
      <c r="I1044" s="8">
        <v>201.4</v>
      </c>
      <c r="J1044" s="8">
        <v>77.73</v>
      </c>
      <c r="K1044" s="268">
        <v>0.57379999999999998</v>
      </c>
      <c r="L1044" s="268">
        <v>0.38940000000000002</v>
      </c>
      <c r="M1044" s="268">
        <v>-4.1399999999999999E-2</v>
      </c>
      <c r="N1044" s="8">
        <v>1747.23</v>
      </c>
      <c r="O1044" s="8">
        <v>7404.71</v>
      </c>
      <c r="P1044" s="268">
        <v>0.23599999999999999</v>
      </c>
      <c r="Q1044" s="8">
        <v>413</v>
      </c>
      <c r="R1044" s="8">
        <v>0</v>
      </c>
      <c r="S1044" s="8" t="s">
        <v>4211</v>
      </c>
      <c r="T1044" s="8" t="s">
        <v>7396</v>
      </c>
      <c r="U1044" s="8" t="s">
        <v>7397</v>
      </c>
      <c r="V1044" s="8" t="s">
        <v>7398</v>
      </c>
      <c r="W1044" s="8" t="s">
        <v>7399</v>
      </c>
    </row>
    <row r="1045" spans="1:23" ht="28" customHeight="1" x14ac:dyDescent="0.3">
      <c r="A1045" s="308">
        <v>44728</v>
      </c>
      <c r="B1045" s="302">
        <v>2039.4</v>
      </c>
      <c r="C1045" s="8">
        <v>14.76</v>
      </c>
      <c r="D1045" s="268">
        <v>7.3000000000000001E-3</v>
      </c>
      <c r="E1045" s="8">
        <v>73.88</v>
      </c>
      <c r="F1045" s="8">
        <v>143.405</v>
      </c>
      <c r="G1045" s="8">
        <v>123.83</v>
      </c>
      <c r="H1045" s="8">
        <v>89.14</v>
      </c>
      <c r="I1045" s="8">
        <v>201.2</v>
      </c>
      <c r="J1045" s="8">
        <v>77.260000000000005</v>
      </c>
      <c r="K1045" s="268">
        <v>0.57789999999999997</v>
      </c>
      <c r="L1045" s="268">
        <v>0.3861</v>
      </c>
      <c r="M1045" s="268">
        <v>-3.85E-2</v>
      </c>
      <c r="N1045" s="8">
        <v>1823.79</v>
      </c>
      <c r="O1045" s="8">
        <v>7405.48</v>
      </c>
      <c r="P1045" s="268">
        <v>0.24629999999999999</v>
      </c>
      <c r="Q1045" s="8">
        <v>413</v>
      </c>
      <c r="R1045" s="8">
        <v>0</v>
      </c>
      <c r="S1045" s="8" t="s">
        <v>4057</v>
      </c>
      <c r="T1045" s="8" t="s">
        <v>7400</v>
      </c>
      <c r="U1045" s="8" t="s">
        <v>7401</v>
      </c>
      <c r="V1045" s="8" t="s">
        <v>7402</v>
      </c>
      <c r="W1045" s="8" t="s">
        <v>7403</v>
      </c>
    </row>
    <row r="1046" spans="1:23" ht="28" customHeight="1" x14ac:dyDescent="0.3">
      <c r="A1046" s="308">
        <v>44727</v>
      </c>
      <c r="B1046" s="302">
        <v>2024.64</v>
      </c>
      <c r="C1046" s="8">
        <v>13.894</v>
      </c>
      <c r="D1046" s="268">
        <v>6.8999999999999999E-3</v>
      </c>
      <c r="E1046" s="8">
        <v>72.290000000000006</v>
      </c>
      <c r="F1046" s="8">
        <v>142.19800000000001</v>
      </c>
      <c r="G1046" s="8">
        <v>122.97</v>
      </c>
      <c r="H1046" s="8">
        <v>88.89</v>
      </c>
      <c r="I1046" s="8">
        <v>199.97</v>
      </c>
      <c r="J1046" s="8">
        <v>76.790000000000006</v>
      </c>
      <c r="K1046" s="268">
        <v>0.57779999999999998</v>
      </c>
      <c r="L1046" s="268">
        <v>0.39069999999999999</v>
      </c>
      <c r="M1046" s="268">
        <v>-3.7400000000000003E-2</v>
      </c>
      <c r="N1046" s="8">
        <v>1622.3</v>
      </c>
      <c r="O1046" s="8">
        <v>7406.27</v>
      </c>
      <c r="P1046" s="268">
        <v>0.219</v>
      </c>
      <c r="Q1046" s="8">
        <v>413</v>
      </c>
      <c r="R1046" s="8">
        <v>0</v>
      </c>
      <c r="S1046" s="8" t="s">
        <v>7404</v>
      </c>
      <c r="T1046" s="8" t="s">
        <v>7405</v>
      </c>
      <c r="U1046" s="8" t="s">
        <v>7406</v>
      </c>
      <c r="V1046" s="8" t="s">
        <v>7407</v>
      </c>
      <c r="W1046" s="8" t="s">
        <v>7408</v>
      </c>
    </row>
    <row r="1047" spans="1:23" ht="28" customHeight="1" x14ac:dyDescent="0.3">
      <c r="A1047" s="308">
        <v>44726</v>
      </c>
      <c r="B1047" s="302">
        <v>2010.7460000000001</v>
      </c>
      <c r="C1047" s="8">
        <v>-5.5039999999999996</v>
      </c>
      <c r="D1047" s="268">
        <v>-2.7000000000000001E-3</v>
      </c>
      <c r="E1047" s="8">
        <v>68.97</v>
      </c>
      <c r="F1047" s="8">
        <v>141.28899999999999</v>
      </c>
      <c r="G1047" s="8">
        <v>121.99</v>
      </c>
      <c r="H1047" s="8">
        <v>88.71</v>
      </c>
      <c r="I1047" s="8">
        <v>197.96</v>
      </c>
      <c r="J1047" s="8">
        <v>75.3</v>
      </c>
      <c r="K1047" s="268">
        <v>0.56669999999999998</v>
      </c>
      <c r="L1047" s="268">
        <v>0.38179999999999997</v>
      </c>
      <c r="M1047" s="268">
        <v>-3.5200000000000002E-2</v>
      </c>
      <c r="N1047" s="8">
        <v>1583.9</v>
      </c>
      <c r="O1047" s="8">
        <v>7410.45</v>
      </c>
      <c r="P1047" s="268">
        <v>0.2137</v>
      </c>
      <c r="Q1047" s="8">
        <v>413</v>
      </c>
      <c r="R1047" s="8">
        <v>0</v>
      </c>
      <c r="S1047" s="8" t="s">
        <v>7409</v>
      </c>
      <c r="T1047" s="8" t="s">
        <v>7410</v>
      </c>
      <c r="U1047" s="8" t="s">
        <v>7411</v>
      </c>
      <c r="V1047" s="8" t="s">
        <v>4683</v>
      </c>
      <c r="W1047" s="8" t="s">
        <v>7412</v>
      </c>
    </row>
    <row r="1048" spans="1:23" ht="28" customHeight="1" x14ac:dyDescent="0.3">
      <c r="A1048" s="308">
        <v>44725</v>
      </c>
      <c r="B1048" s="302">
        <v>2016.25</v>
      </c>
      <c r="C1048" s="8">
        <v>5.9909999999999997</v>
      </c>
      <c r="D1048" s="268">
        <v>3.0000000000000001E-3</v>
      </c>
      <c r="E1048" s="8">
        <v>71.47</v>
      </c>
      <c r="F1048" s="8">
        <v>141.89400000000001</v>
      </c>
      <c r="G1048" s="8">
        <v>122.19499999999999</v>
      </c>
      <c r="H1048" s="8">
        <v>88.33</v>
      </c>
      <c r="I1048" s="8">
        <v>199.32</v>
      </c>
      <c r="J1048" s="8">
        <v>78.260000000000005</v>
      </c>
      <c r="K1048" s="268">
        <v>0.57430000000000003</v>
      </c>
      <c r="L1048" s="268">
        <v>0.39179999999999998</v>
      </c>
      <c r="M1048" s="268">
        <v>-3.5799999999999998E-2</v>
      </c>
      <c r="N1048" s="8">
        <v>1493.77</v>
      </c>
      <c r="O1048" s="8">
        <v>7378.63</v>
      </c>
      <c r="P1048" s="268">
        <v>0.2024</v>
      </c>
      <c r="Q1048" s="8">
        <v>412</v>
      </c>
      <c r="R1048" s="8">
        <v>0</v>
      </c>
      <c r="S1048" s="8" t="s">
        <v>7409</v>
      </c>
      <c r="T1048" s="8" t="s">
        <v>7413</v>
      </c>
      <c r="U1048" s="8" t="s">
        <v>7414</v>
      </c>
      <c r="V1048" s="8" t="s">
        <v>7415</v>
      </c>
      <c r="W1048" s="8" t="s">
        <v>6370</v>
      </c>
    </row>
    <row r="1049" spans="1:23" ht="28" customHeight="1" x14ac:dyDescent="0.3">
      <c r="A1049" s="308">
        <v>44722</v>
      </c>
      <c r="B1049" s="302">
        <v>2010.259</v>
      </c>
      <c r="C1049" s="8">
        <v>16.686</v>
      </c>
      <c r="D1049" s="268">
        <v>8.3999999999999995E-3</v>
      </c>
      <c r="E1049" s="8">
        <v>70.75</v>
      </c>
      <c r="F1049" s="8">
        <v>141.31700000000001</v>
      </c>
      <c r="G1049" s="8">
        <v>121.64</v>
      </c>
      <c r="H1049" s="8">
        <v>87.59</v>
      </c>
      <c r="I1049" s="8">
        <v>198.86</v>
      </c>
      <c r="J1049" s="8">
        <v>78.400000000000006</v>
      </c>
      <c r="K1049" s="268">
        <v>0.57550000000000001</v>
      </c>
      <c r="L1049" s="268">
        <v>0.3931</v>
      </c>
      <c r="M1049" s="268">
        <v>-3.9800000000000002E-2</v>
      </c>
      <c r="N1049" s="8">
        <v>1700.24</v>
      </c>
      <c r="O1049" s="8">
        <v>7374.1</v>
      </c>
      <c r="P1049" s="268">
        <v>0.2306</v>
      </c>
      <c r="Q1049" s="8">
        <v>412</v>
      </c>
      <c r="R1049" s="8">
        <v>0</v>
      </c>
      <c r="S1049" s="8" t="s">
        <v>7416</v>
      </c>
      <c r="T1049" s="8" t="s">
        <v>7417</v>
      </c>
      <c r="U1049" s="8" t="s">
        <v>7418</v>
      </c>
      <c r="V1049" s="8" t="s">
        <v>7419</v>
      </c>
      <c r="W1049" s="8" t="s">
        <v>7420</v>
      </c>
    </row>
    <row r="1050" spans="1:23" ht="28" customHeight="1" x14ac:dyDescent="0.3">
      <c r="A1050" s="308">
        <v>44721</v>
      </c>
      <c r="B1050" s="302">
        <v>1993.5730000000001</v>
      </c>
      <c r="C1050" s="8">
        <v>-8.4280000000000008</v>
      </c>
      <c r="D1050" s="268">
        <v>-4.1999999999999997E-3</v>
      </c>
      <c r="E1050" s="8">
        <v>68.989999999999995</v>
      </c>
      <c r="F1050" s="8">
        <v>139.899</v>
      </c>
      <c r="G1050" s="8">
        <v>120.84099999999999</v>
      </c>
      <c r="H1050" s="8">
        <v>86.66</v>
      </c>
      <c r="I1050" s="8">
        <v>199</v>
      </c>
      <c r="J1050" s="8">
        <v>82.11</v>
      </c>
      <c r="K1050" s="268">
        <v>0.59099999999999997</v>
      </c>
      <c r="L1050" s="268">
        <v>0.40839999999999999</v>
      </c>
      <c r="M1050" s="268">
        <v>-3.3700000000000001E-2</v>
      </c>
      <c r="N1050" s="8">
        <v>1840.53</v>
      </c>
      <c r="O1050" s="8">
        <v>7376.36</v>
      </c>
      <c r="P1050" s="268">
        <v>0.2495</v>
      </c>
      <c r="Q1050" s="8">
        <v>412</v>
      </c>
      <c r="R1050" s="8">
        <v>0</v>
      </c>
      <c r="S1050" s="8" t="s">
        <v>7421</v>
      </c>
      <c r="T1050" s="8" t="s">
        <v>7422</v>
      </c>
      <c r="U1050" s="8" t="s">
        <v>7423</v>
      </c>
      <c r="V1050" s="8" t="s">
        <v>7424</v>
      </c>
      <c r="W1050" s="8" t="s">
        <v>7425</v>
      </c>
    </row>
    <row r="1051" spans="1:23" ht="28" customHeight="1" x14ac:dyDescent="0.3">
      <c r="A1051" s="308">
        <v>44720</v>
      </c>
      <c r="B1051" s="302">
        <v>2002.001</v>
      </c>
      <c r="C1051" s="8">
        <v>4.1159999999999997</v>
      </c>
      <c r="D1051" s="268">
        <v>2.0999999999999999E-3</v>
      </c>
      <c r="E1051" s="8">
        <v>71.02</v>
      </c>
      <c r="F1051" s="8">
        <v>140.46</v>
      </c>
      <c r="G1051" s="8">
        <v>121.28400000000001</v>
      </c>
      <c r="H1051" s="8">
        <v>88.13</v>
      </c>
      <c r="I1051" s="8">
        <v>197.53</v>
      </c>
      <c r="J1051" s="8">
        <v>79.900000000000006</v>
      </c>
      <c r="K1051" s="268">
        <v>0.57069999999999999</v>
      </c>
      <c r="L1051" s="268">
        <v>0.39340000000000003</v>
      </c>
      <c r="M1051" s="268">
        <v>-3.5000000000000003E-2</v>
      </c>
      <c r="N1051" s="8">
        <v>2080.96</v>
      </c>
      <c r="O1051" s="8">
        <v>7377.89</v>
      </c>
      <c r="P1051" s="268">
        <v>0.28210000000000002</v>
      </c>
      <c r="Q1051" s="8">
        <v>412</v>
      </c>
      <c r="R1051" s="8">
        <v>0</v>
      </c>
      <c r="S1051" s="8" t="s">
        <v>7426</v>
      </c>
      <c r="T1051" s="8" t="s">
        <v>7427</v>
      </c>
      <c r="U1051" s="8" t="s">
        <v>7428</v>
      </c>
      <c r="V1051" s="8" t="s">
        <v>7429</v>
      </c>
      <c r="W1051" s="8" t="s">
        <v>7430</v>
      </c>
    </row>
    <row r="1052" spans="1:23" ht="28" customHeight="1" x14ac:dyDescent="0.3">
      <c r="A1052" s="308">
        <v>44719</v>
      </c>
      <c r="B1052" s="302">
        <v>1997.885</v>
      </c>
      <c r="C1052" s="8">
        <v>1.7370000000000001</v>
      </c>
      <c r="D1052" s="268">
        <v>8.9999999999999998E-4</v>
      </c>
      <c r="E1052" s="8">
        <v>70.599999999999994</v>
      </c>
      <c r="F1052" s="8">
        <v>140.018</v>
      </c>
      <c r="G1052" s="8">
        <v>121.227</v>
      </c>
      <c r="H1052" s="8">
        <v>87.89</v>
      </c>
      <c r="I1052" s="8">
        <v>196.43</v>
      </c>
      <c r="J1052" s="8">
        <v>78.78</v>
      </c>
      <c r="K1052" s="268">
        <v>0.56410000000000005</v>
      </c>
      <c r="L1052" s="268">
        <v>0.40139999999999998</v>
      </c>
      <c r="M1052" s="268">
        <v>-3.5200000000000002E-2</v>
      </c>
      <c r="N1052" s="8">
        <v>1622.43</v>
      </c>
      <c r="O1052" s="8">
        <v>7380.65</v>
      </c>
      <c r="P1052" s="268">
        <v>0.2198</v>
      </c>
      <c r="Q1052" s="8">
        <v>412</v>
      </c>
      <c r="R1052" s="8">
        <v>0</v>
      </c>
      <c r="S1052" s="8" t="s">
        <v>7377</v>
      </c>
      <c r="T1052" s="8" t="s">
        <v>7431</v>
      </c>
      <c r="U1052" s="8" t="s">
        <v>7432</v>
      </c>
      <c r="V1052" s="8" t="s">
        <v>7433</v>
      </c>
      <c r="W1052" s="8" t="s">
        <v>7434</v>
      </c>
    </row>
    <row r="1053" spans="1:23" ht="28" customHeight="1" x14ac:dyDescent="0.3">
      <c r="A1053" s="308">
        <v>44718</v>
      </c>
      <c r="B1053" s="302">
        <v>1996.1479999999999</v>
      </c>
      <c r="C1053" s="8">
        <v>23.026</v>
      </c>
      <c r="D1053" s="268">
        <v>1.17E-2</v>
      </c>
      <c r="E1053" s="8">
        <v>69.72</v>
      </c>
      <c r="F1053" s="8">
        <v>139.965</v>
      </c>
      <c r="G1053" s="8">
        <v>120.99</v>
      </c>
      <c r="H1053" s="8">
        <v>88.4</v>
      </c>
      <c r="I1053" s="8">
        <v>195.52</v>
      </c>
      <c r="J1053" s="8">
        <v>78.58</v>
      </c>
      <c r="K1053" s="268">
        <v>0.55549999999999999</v>
      </c>
      <c r="L1053" s="268">
        <v>0.38950000000000001</v>
      </c>
      <c r="M1053" s="268">
        <v>-3.3799999999999997E-2</v>
      </c>
      <c r="N1053" s="8">
        <v>1561.8</v>
      </c>
      <c r="O1053" s="8">
        <v>7381.75</v>
      </c>
      <c r="P1053" s="268">
        <v>0.21160000000000001</v>
      </c>
      <c r="Q1053" s="8">
        <v>412</v>
      </c>
      <c r="R1053" s="8">
        <v>0</v>
      </c>
      <c r="S1053" s="8" t="s">
        <v>3313</v>
      </c>
      <c r="T1053" s="8" t="s">
        <v>7435</v>
      </c>
      <c r="U1053" s="8" t="s">
        <v>7436</v>
      </c>
      <c r="V1053" s="8" t="s">
        <v>7437</v>
      </c>
      <c r="W1053" s="8" t="s">
        <v>7438</v>
      </c>
    </row>
    <row r="1054" spans="1:23" ht="28" customHeight="1" x14ac:dyDescent="0.3">
      <c r="A1054" s="308">
        <v>44714</v>
      </c>
      <c r="B1054" s="302">
        <v>1973.1220000000001</v>
      </c>
      <c r="C1054" s="8">
        <v>10.558999999999999</v>
      </c>
      <c r="D1054" s="268">
        <v>5.4000000000000003E-3</v>
      </c>
      <c r="E1054" s="8">
        <v>66.78</v>
      </c>
      <c r="F1054" s="8">
        <v>137.69900000000001</v>
      </c>
      <c r="G1054" s="8">
        <v>120.25</v>
      </c>
      <c r="H1054" s="8">
        <v>87.47</v>
      </c>
      <c r="I1054" s="8">
        <v>194.25</v>
      </c>
      <c r="J1054" s="8">
        <v>79.849999999999994</v>
      </c>
      <c r="K1054" s="268">
        <v>0.5655</v>
      </c>
      <c r="L1054" s="268">
        <v>0.39489999999999997</v>
      </c>
      <c r="M1054" s="268">
        <v>-3.1699999999999999E-2</v>
      </c>
      <c r="N1054" s="8">
        <v>1580.19</v>
      </c>
      <c r="O1054" s="8">
        <v>7383.09</v>
      </c>
      <c r="P1054" s="268">
        <v>0.214</v>
      </c>
      <c r="Q1054" s="8">
        <v>412</v>
      </c>
      <c r="R1054" s="8">
        <v>0</v>
      </c>
      <c r="S1054" s="8" t="s">
        <v>4080</v>
      </c>
      <c r="T1054" s="8" t="s">
        <v>7439</v>
      </c>
      <c r="U1054" s="8" t="s">
        <v>7440</v>
      </c>
      <c r="V1054" s="8" t="s">
        <v>7441</v>
      </c>
      <c r="W1054" s="8" t="s">
        <v>7442</v>
      </c>
    </row>
    <row r="1055" spans="1:23" ht="28" customHeight="1" x14ac:dyDescent="0.3">
      <c r="A1055" s="308">
        <v>44713</v>
      </c>
      <c r="B1055" s="302">
        <v>1962.5630000000001</v>
      </c>
      <c r="C1055" s="8">
        <v>7.6630000000000003</v>
      </c>
      <c r="D1055" s="268">
        <v>3.8999999999999998E-3</v>
      </c>
      <c r="E1055" s="8">
        <v>64.680000000000007</v>
      </c>
      <c r="F1055" s="8">
        <v>136.44999999999999</v>
      </c>
      <c r="G1055" s="8">
        <v>119.765</v>
      </c>
      <c r="H1055" s="8">
        <v>87.26</v>
      </c>
      <c r="I1055" s="8">
        <v>193.53</v>
      </c>
      <c r="J1055" s="8">
        <v>81.84</v>
      </c>
      <c r="K1055" s="268">
        <v>0.57079999999999997</v>
      </c>
      <c r="L1055" s="268">
        <v>0.40860000000000002</v>
      </c>
      <c r="M1055" s="268">
        <v>-3.09E-2</v>
      </c>
      <c r="N1055" s="8">
        <v>1243.92</v>
      </c>
      <c r="O1055" s="8">
        <v>7383.71</v>
      </c>
      <c r="P1055" s="268">
        <v>0.16850000000000001</v>
      </c>
      <c r="Q1055" s="8">
        <v>412</v>
      </c>
      <c r="R1055" s="8">
        <v>0</v>
      </c>
      <c r="S1055" s="8" t="s">
        <v>3539</v>
      </c>
      <c r="T1055" s="8" t="s">
        <v>7443</v>
      </c>
      <c r="U1055" s="8" t="s">
        <v>7444</v>
      </c>
      <c r="V1055" s="8" t="s">
        <v>7445</v>
      </c>
      <c r="W1055" s="8" t="s">
        <v>7446</v>
      </c>
    </row>
    <row r="1056" spans="1:23" ht="28" customHeight="1" x14ac:dyDescent="0.3">
      <c r="A1056" s="308">
        <v>44712</v>
      </c>
      <c r="B1056" s="302">
        <v>1954.9</v>
      </c>
      <c r="C1056" s="8">
        <v>4.3890000000000002</v>
      </c>
      <c r="D1056" s="268">
        <v>2.3E-3</v>
      </c>
      <c r="E1056" s="8">
        <v>63.9</v>
      </c>
      <c r="F1056" s="8">
        <v>135.70500000000001</v>
      </c>
      <c r="G1056" s="8">
        <v>119.72499999999999</v>
      </c>
      <c r="H1056" s="8">
        <v>86.17</v>
      </c>
      <c r="I1056" s="8">
        <v>192.7</v>
      </c>
      <c r="J1056" s="8">
        <v>80.36</v>
      </c>
      <c r="K1056" s="268">
        <v>0.56999999999999995</v>
      </c>
      <c r="L1056" s="268">
        <v>0.4173</v>
      </c>
      <c r="M1056" s="268">
        <v>-3.0300000000000001E-2</v>
      </c>
      <c r="N1056" s="8">
        <v>978.71</v>
      </c>
      <c r="O1056" s="8">
        <v>7384.23</v>
      </c>
      <c r="P1056" s="268">
        <v>0.13250000000000001</v>
      </c>
      <c r="Q1056" s="8">
        <v>412</v>
      </c>
      <c r="R1056" s="8">
        <v>0</v>
      </c>
      <c r="S1056" s="8" t="s">
        <v>3283</v>
      </c>
      <c r="T1056" s="8" t="s">
        <v>7447</v>
      </c>
      <c r="U1056" s="8" t="s">
        <v>7448</v>
      </c>
      <c r="V1056" s="8" t="s">
        <v>7449</v>
      </c>
      <c r="W1056" s="8" t="s">
        <v>7450</v>
      </c>
    </row>
    <row r="1057" spans="1:23" ht="28" customHeight="1" x14ac:dyDescent="0.3">
      <c r="A1057" s="308">
        <v>44711</v>
      </c>
      <c r="B1057" s="302">
        <v>1950.511</v>
      </c>
      <c r="C1057" s="8">
        <v>2.5129999999999999</v>
      </c>
      <c r="D1057" s="268">
        <v>1.2999999999999999E-3</v>
      </c>
      <c r="E1057" s="8">
        <v>62.96</v>
      </c>
      <c r="F1057" s="8">
        <v>135.77799999999999</v>
      </c>
      <c r="G1057" s="8">
        <v>119.80500000000001</v>
      </c>
      <c r="H1057" s="8">
        <v>84.89</v>
      </c>
      <c r="I1057" s="8">
        <v>194.75</v>
      </c>
      <c r="J1057" s="8">
        <v>82.85</v>
      </c>
      <c r="K1057" s="268">
        <v>0.5897</v>
      </c>
      <c r="L1057" s="268">
        <v>0.43130000000000002</v>
      </c>
      <c r="M1057" s="268">
        <v>-2.9899999999999999E-2</v>
      </c>
      <c r="N1057" s="8">
        <v>859.75</v>
      </c>
      <c r="O1057" s="8">
        <v>7330.51</v>
      </c>
      <c r="P1057" s="268">
        <v>0.1173</v>
      </c>
      <c r="Q1057" s="8">
        <v>410</v>
      </c>
      <c r="R1057" s="8">
        <v>0</v>
      </c>
      <c r="S1057" s="8" t="s">
        <v>3369</v>
      </c>
      <c r="T1057" s="8" t="s">
        <v>6281</v>
      </c>
      <c r="U1057" s="8" t="s">
        <v>7451</v>
      </c>
      <c r="V1057" s="8" t="s">
        <v>7452</v>
      </c>
      <c r="W1057" s="8" t="s">
        <v>7453</v>
      </c>
    </row>
    <row r="1058" spans="1:23" ht="28" customHeight="1" x14ac:dyDescent="0.3">
      <c r="A1058" s="308">
        <v>44708</v>
      </c>
      <c r="B1058" s="302">
        <v>1947.998</v>
      </c>
      <c r="C1058" s="8">
        <v>-0.214</v>
      </c>
      <c r="D1058" s="268">
        <v>-1E-4</v>
      </c>
      <c r="E1058" s="8">
        <v>62.45</v>
      </c>
      <c r="F1058" s="8">
        <v>135.583</v>
      </c>
      <c r="G1058" s="8">
        <v>119.211</v>
      </c>
      <c r="H1058" s="8">
        <v>84.43</v>
      </c>
      <c r="I1058" s="8">
        <v>195.59</v>
      </c>
      <c r="J1058" s="8">
        <v>84.82</v>
      </c>
      <c r="K1058" s="268">
        <v>0.60009999999999997</v>
      </c>
      <c r="L1058" s="268">
        <v>0.44290000000000002</v>
      </c>
      <c r="M1058" s="268">
        <v>-2.9399999999999999E-2</v>
      </c>
      <c r="N1058" s="8">
        <v>1000.49</v>
      </c>
      <c r="O1058" s="8">
        <v>7331.34</v>
      </c>
      <c r="P1058" s="268">
        <v>0.13650000000000001</v>
      </c>
      <c r="Q1058" s="8">
        <v>410</v>
      </c>
      <c r="R1058" s="8">
        <v>0</v>
      </c>
      <c r="S1058" s="8" t="s">
        <v>7454</v>
      </c>
      <c r="T1058" s="8" t="s">
        <v>5470</v>
      </c>
      <c r="U1058" s="8" t="s">
        <v>7455</v>
      </c>
      <c r="V1058" s="8" t="s">
        <v>7456</v>
      </c>
      <c r="W1058" s="8" t="s">
        <v>7457</v>
      </c>
    </row>
    <row r="1059" spans="1:23" ht="28" customHeight="1" x14ac:dyDescent="0.3">
      <c r="A1059" s="308">
        <v>44707</v>
      </c>
      <c r="B1059" s="302">
        <v>1948.212</v>
      </c>
      <c r="C1059" s="8">
        <v>4.024</v>
      </c>
      <c r="D1059" s="268">
        <v>2.0999999999999999E-3</v>
      </c>
      <c r="E1059" s="8">
        <v>62.75</v>
      </c>
      <c r="F1059" s="8">
        <v>135.81800000000001</v>
      </c>
      <c r="G1059" s="8">
        <v>118.55</v>
      </c>
      <c r="H1059" s="8">
        <v>84.31</v>
      </c>
      <c r="I1059" s="8">
        <v>195.45</v>
      </c>
      <c r="J1059" s="8">
        <v>84.14</v>
      </c>
      <c r="K1059" s="268">
        <v>0.59630000000000005</v>
      </c>
      <c r="L1059" s="268">
        <v>0.44080000000000003</v>
      </c>
      <c r="M1059" s="268">
        <v>-2.86E-2</v>
      </c>
      <c r="N1059" s="8">
        <v>1150.17</v>
      </c>
      <c r="O1059" s="8">
        <v>7324.19</v>
      </c>
      <c r="P1059" s="268">
        <v>0.157</v>
      </c>
      <c r="Q1059" s="8">
        <v>409</v>
      </c>
      <c r="R1059" s="8">
        <v>0</v>
      </c>
      <c r="S1059" s="8" t="s">
        <v>7458</v>
      </c>
      <c r="T1059" s="8" t="s">
        <v>7459</v>
      </c>
      <c r="U1059" s="8" t="s">
        <v>7460</v>
      </c>
      <c r="V1059" s="8" t="s">
        <v>7461</v>
      </c>
      <c r="W1059" s="8" t="s">
        <v>7462</v>
      </c>
    </row>
    <row r="1060" spans="1:23" ht="28" customHeight="1" x14ac:dyDescent="0.3">
      <c r="A1060" s="308">
        <v>44706</v>
      </c>
      <c r="B1060" s="302">
        <v>1944.1880000000001</v>
      </c>
      <c r="C1060" s="8">
        <v>12.228999999999999</v>
      </c>
      <c r="D1060" s="268">
        <v>6.3E-3</v>
      </c>
      <c r="E1060" s="8">
        <v>61.63</v>
      </c>
      <c r="F1060" s="8">
        <v>134.91</v>
      </c>
      <c r="G1060" s="8">
        <v>118.446</v>
      </c>
      <c r="H1060" s="8">
        <v>83.41</v>
      </c>
      <c r="I1060" s="8">
        <v>194.82</v>
      </c>
      <c r="J1060" s="8">
        <v>84.7</v>
      </c>
      <c r="K1060" s="268">
        <v>0.59909999999999997</v>
      </c>
      <c r="L1060" s="268">
        <v>0.45050000000000001</v>
      </c>
      <c r="M1060" s="268">
        <v>-2.7900000000000001E-2</v>
      </c>
      <c r="N1060" s="8">
        <v>1200.3499999999999</v>
      </c>
      <c r="O1060" s="8">
        <v>7315.63</v>
      </c>
      <c r="P1060" s="268">
        <v>0.1641</v>
      </c>
      <c r="Q1060" s="8">
        <v>406</v>
      </c>
      <c r="R1060" s="8">
        <v>0</v>
      </c>
      <c r="S1060" s="8" t="s">
        <v>7463</v>
      </c>
      <c r="T1060" s="8" t="s">
        <v>7464</v>
      </c>
      <c r="U1060" s="8" t="s">
        <v>7465</v>
      </c>
      <c r="V1060" s="8" t="s">
        <v>7466</v>
      </c>
      <c r="W1060" s="8" t="s">
        <v>7467</v>
      </c>
    </row>
    <row r="1061" spans="1:23" ht="28" customHeight="1" x14ac:dyDescent="0.3">
      <c r="A1061" s="308">
        <v>44705</v>
      </c>
      <c r="B1061" s="302">
        <v>1931.9590000000001</v>
      </c>
      <c r="C1061" s="8">
        <v>-40.735999999999997</v>
      </c>
      <c r="D1061" s="268">
        <v>-2.06E-2</v>
      </c>
      <c r="E1061" s="8">
        <v>57.5</v>
      </c>
      <c r="F1061" s="8">
        <v>134.298</v>
      </c>
      <c r="G1061" s="8">
        <v>117.85</v>
      </c>
      <c r="H1061" s="8">
        <v>82.22</v>
      </c>
      <c r="I1061" s="8">
        <v>196.34</v>
      </c>
      <c r="J1061" s="8">
        <v>88.18</v>
      </c>
      <c r="K1061" s="268">
        <v>0.62050000000000005</v>
      </c>
      <c r="L1061" s="268">
        <v>0.46379999999999999</v>
      </c>
      <c r="M1061" s="268">
        <v>-2.5600000000000001E-2</v>
      </c>
      <c r="N1061" s="8">
        <v>1261.33</v>
      </c>
      <c r="O1061" s="8">
        <v>7319.27</v>
      </c>
      <c r="P1061" s="268">
        <v>0.17230000000000001</v>
      </c>
      <c r="Q1061" s="8">
        <v>407</v>
      </c>
      <c r="R1061" s="8">
        <v>0</v>
      </c>
      <c r="S1061" s="8" t="s">
        <v>4110</v>
      </c>
      <c r="T1061" s="8" t="s">
        <v>7468</v>
      </c>
      <c r="U1061" s="8" t="s">
        <v>7469</v>
      </c>
      <c r="V1061" s="8" t="s">
        <v>7470</v>
      </c>
      <c r="W1061" s="8" t="s">
        <v>7471</v>
      </c>
    </row>
    <row r="1062" spans="1:23" ht="28" customHeight="1" x14ac:dyDescent="0.3">
      <c r="A1062" s="308">
        <v>44704</v>
      </c>
      <c r="B1062" s="302">
        <v>1972.6949999999999</v>
      </c>
      <c r="C1062" s="8">
        <v>9.6189999999999998</v>
      </c>
      <c r="D1062" s="268">
        <v>4.8999999999999998E-3</v>
      </c>
      <c r="E1062" s="8">
        <v>66.27</v>
      </c>
      <c r="F1062" s="8">
        <v>137.30699999999999</v>
      </c>
      <c r="G1062" s="8">
        <v>120.239</v>
      </c>
      <c r="H1062" s="8">
        <v>85.76</v>
      </c>
      <c r="I1062" s="8">
        <v>195.67</v>
      </c>
      <c r="J1062" s="8">
        <v>83.17</v>
      </c>
      <c r="K1062" s="268">
        <v>0.5837</v>
      </c>
      <c r="L1062" s="268">
        <v>0.43169999999999997</v>
      </c>
      <c r="M1062" s="268">
        <v>-3.15E-2</v>
      </c>
      <c r="N1062" s="8">
        <v>1248.5899999999999</v>
      </c>
      <c r="O1062" s="8">
        <v>7304.09</v>
      </c>
      <c r="P1062" s="268">
        <v>0.1709</v>
      </c>
      <c r="Q1062" s="8">
        <v>407</v>
      </c>
      <c r="R1062" s="8">
        <v>0</v>
      </c>
      <c r="S1062" s="8" t="s">
        <v>7472</v>
      </c>
      <c r="T1062" s="8" t="s">
        <v>7473</v>
      </c>
      <c r="U1062" s="8" t="s">
        <v>4673</v>
      </c>
      <c r="V1062" s="8" t="s">
        <v>7474</v>
      </c>
      <c r="W1062" s="8" t="s">
        <v>7475</v>
      </c>
    </row>
    <row r="1063" spans="1:23" ht="28" customHeight="1" x14ac:dyDescent="0.3">
      <c r="A1063" s="308">
        <v>44701</v>
      </c>
      <c r="B1063" s="302">
        <v>1963.076</v>
      </c>
      <c r="C1063" s="8">
        <v>8.0350000000000001</v>
      </c>
      <c r="D1063" s="268">
        <v>4.1000000000000003E-3</v>
      </c>
      <c r="E1063" s="8">
        <v>64.31</v>
      </c>
      <c r="F1063" s="8">
        <v>136.58099999999999</v>
      </c>
      <c r="G1063" s="8">
        <v>119.5</v>
      </c>
      <c r="H1063" s="8">
        <v>85.48</v>
      </c>
      <c r="I1063" s="8">
        <v>197.06</v>
      </c>
      <c r="J1063" s="8">
        <v>86.42</v>
      </c>
      <c r="K1063" s="268">
        <v>0.6048</v>
      </c>
      <c r="L1063" s="268">
        <v>0.441</v>
      </c>
      <c r="M1063" s="268">
        <v>-3.0099999999999998E-2</v>
      </c>
      <c r="N1063" s="8">
        <v>1534.62</v>
      </c>
      <c r="O1063" s="8">
        <v>7301.02</v>
      </c>
      <c r="P1063" s="268">
        <v>0.2102</v>
      </c>
      <c r="Q1063" s="8">
        <v>406</v>
      </c>
      <c r="R1063" s="8">
        <v>0</v>
      </c>
      <c r="S1063" s="8" t="s">
        <v>3309</v>
      </c>
      <c r="T1063" s="8" t="s">
        <v>7476</v>
      </c>
      <c r="U1063" s="8" t="s">
        <v>7477</v>
      </c>
      <c r="V1063" s="8" t="s">
        <v>7478</v>
      </c>
      <c r="W1063" s="8" t="s">
        <v>7479</v>
      </c>
    </row>
    <row r="1064" spans="1:23" ht="28" customHeight="1" x14ac:dyDescent="0.3">
      <c r="A1064" s="308">
        <v>44700</v>
      </c>
      <c r="B1064" s="302">
        <v>1955.0409999999999</v>
      </c>
      <c r="C1064" s="8">
        <v>4.4080000000000004</v>
      </c>
      <c r="D1064" s="268">
        <v>2.3E-3</v>
      </c>
      <c r="E1064" s="8">
        <v>61.95</v>
      </c>
      <c r="F1064" s="8">
        <v>136.215</v>
      </c>
      <c r="G1064" s="8">
        <v>119.218</v>
      </c>
      <c r="H1064" s="8">
        <v>83.95</v>
      </c>
      <c r="I1064" s="8">
        <v>198.14</v>
      </c>
      <c r="J1064" s="8">
        <v>88.23</v>
      </c>
      <c r="K1064" s="268">
        <v>0.61929999999999996</v>
      </c>
      <c r="L1064" s="268">
        <v>0.45610000000000001</v>
      </c>
      <c r="M1064" s="268">
        <v>-2.87E-2</v>
      </c>
      <c r="N1064" s="8">
        <v>1622.78</v>
      </c>
      <c r="O1064" s="8">
        <v>7304.67</v>
      </c>
      <c r="P1064" s="268">
        <v>0.22220000000000001</v>
      </c>
      <c r="Q1064" s="8">
        <v>406</v>
      </c>
      <c r="R1064" s="8">
        <v>0</v>
      </c>
      <c r="S1064" s="8" t="s">
        <v>7480</v>
      </c>
      <c r="T1064" s="8" t="s">
        <v>7481</v>
      </c>
      <c r="U1064" s="8" t="s">
        <v>7482</v>
      </c>
      <c r="V1064" s="8" t="s">
        <v>7483</v>
      </c>
      <c r="W1064" s="8" t="s">
        <v>7484</v>
      </c>
    </row>
    <row r="1065" spans="1:23" ht="28" customHeight="1" x14ac:dyDescent="0.3">
      <c r="A1065" s="308">
        <v>44699</v>
      </c>
      <c r="B1065" s="302">
        <v>1950.633</v>
      </c>
      <c r="C1065" s="8">
        <v>5.1360000000000001</v>
      </c>
      <c r="D1065" s="268">
        <v>2.5999999999999999E-3</v>
      </c>
      <c r="E1065" s="8">
        <v>61.38</v>
      </c>
      <c r="F1065" s="8">
        <v>136.453</v>
      </c>
      <c r="G1065" s="8">
        <v>119.233</v>
      </c>
      <c r="H1065" s="8">
        <v>84.13</v>
      </c>
      <c r="I1065" s="8">
        <v>199.72</v>
      </c>
      <c r="J1065" s="8">
        <v>90.05</v>
      </c>
      <c r="K1065" s="268">
        <v>0.63270000000000004</v>
      </c>
      <c r="L1065" s="268">
        <v>0.46339999999999998</v>
      </c>
      <c r="M1065" s="268">
        <v>-2.9499999999999998E-2</v>
      </c>
      <c r="N1065" s="8">
        <v>1656.29</v>
      </c>
      <c r="O1065" s="8">
        <v>7279.99</v>
      </c>
      <c r="P1065" s="268">
        <v>0.22750000000000001</v>
      </c>
      <c r="Q1065" s="8">
        <v>405</v>
      </c>
      <c r="R1065" s="8">
        <v>0</v>
      </c>
      <c r="S1065" s="8" t="s">
        <v>7485</v>
      </c>
      <c r="T1065" s="8" t="s">
        <v>7486</v>
      </c>
      <c r="U1065" s="8" t="s">
        <v>7487</v>
      </c>
      <c r="V1065" s="8" t="s">
        <v>7488</v>
      </c>
      <c r="W1065" s="8" t="s">
        <v>7489</v>
      </c>
    </row>
    <row r="1066" spans="1:23" ht="28" customHeight="1" x14ac:dyDescent="0.3">
      <c r="A1066" s="308">
        <v>44698</v>
      </c>
      <c r="B1066" s="302">
        <v>1945.4970000000001</v>
      </c>
      <c r="C1066" s="8">
        <v>5.8959999999999999</v>
      </c>
      <c r="D1066" s="268">
        <v>3.0000000000000001E-3</v>
      </c>
      <c r="E1066" s="8">
        <v>60.77</v>
      </c>
      <c r="F1066" s="8">
        <v>135.63200000000001</v>
      </c>
      <c r="G1066" s="8">
        <v>118.93</v>
      </c>
      <c r="H1066" s="8">
        <v>82.95</v>
      </c>
      <c r="I1066" s="8">
        <v>198.35</v>
      </c>
      <c r="J1066" s="8">
        <v>91.67</v>
      </c>
      <c r="K1066" s="268">
        <v>0.62719999999999998</v>
      </c>
      <c r="L1066" s="268">
        <v>0.46820000000000001</v>
      </c>
      <c r="M1066" s="268">
        <v>-2.7300000000000001E-2</v>
      </c>
      <c r="N1066" s="8">
        <v>1740.54</v>
      </c>
      <c r="O1066" s="8">
        <v>7287.11</v>
      </c>
      <c r="P1066" s="268">
        <v>0.2389</v>
      </c>
      <c r="Q1066" s="8">
        <v>403</v>
      </c>
      <c r="R1066" s="8">
        <v>0</v>
      </c>
      <c r="S1066" s="8" t="s">
        <v>3242</v>
      </c>
      <c r="T1066" s="8" t="s">
        <v>7490</v>
      </c>
      <c r="U1066" s="8" t="s">
        <v>7491</v>
      </c>
      <c r="V1066" s="8" t="s">
        <v>7492</v>
      </c>
      <c r="W1066" s="8" t="s">
        <v>7493</v>
      </c>
    </row>
    <row r="1067" spans="1:23" ht="28" customHeight="1" x14ac:dyDescent="0.3">
      <c r="A1067" s="308">
        <v>44697</v>
      </c>
      <c r="B1067" s="302">
        <v>1939.6010000000001</v>
      </c>
      <c r="C1067" s="8">
        <v>12.851000000000001</v>
      </c>
      <c r="D1067" s="268">
        <v>6.7000000000000002E-3</v>
      </c>
      <c r="E1067" s="8">
        <v>60.1</v>
      </c>
      <c r="F1067" s="8">
        <v>135.06399999999999</v>
      </c>
      <c r="G1067" s="8">
        <v>118.452</v>
      </c>
      <c r="H1067" s="8">
        <v>82.88</v>
      </c>
      <c r="I1067" s="8">
        <v>197.37</v>
      </c>
      <c r="J1067" s="8">
        <v>92.76</v>
      </c>
      <c r="K1067" s="268">
        <v>0.62309999999999999</v>
      </c>
      <c r="L1067" s="268">
        <v>0.46450000000000002</v>
      </c>
      <c r="M1067" s="268">
        <v>-2.7799999999999998E-2</v>
      </c>
      <c r="N1067" s="8">
        <v>1553.55</v>
      </c>
      <c r="O1067" s="8">
        <v>7284.43</v>
      </c>
      <c r="P1067" s="268">
        <v>0.21329999999999999</v>
      </c>
      <c r="Q1067" s="8">
        <v>402</v>
      </c>
      <c r="R1067" s="8">
        <v>0</v>
      </c>
      <c r="S1067" s="8" t="s">
        <v>4166</v>
      </c>
      <c r="T1067" s="8" t="s">
        <v>7494</v>
      </c>
      <c r="U1067" s="8" t="s">
        <v>7495</v>
      </c>
      <c r="V1067" s="8" t="s">
        <v>7496</v>
      </c>
      <c r="W1067" s="8" t="s">
        <v>7497</v>
      </c>
    </row>
    <row r="1068" spans="1:23" ht="28" customHeight="1" x14ac:dyDescent="0.3">
      <c r="A1068" s="308">
        <v>44694</v>
      </c>
      <c r="B1068" s="302">
        <v>1926.75</v>
      </c>
      <c r="C1068" s="8">
        <v>11.986000000000001</v>
      </c>
      <c r="D1068" s="268">
        <v>6.3E-3</v>
      </c>
      <c r="E1068" s="8">
        <v>58.29</v>
      </c>
      <c r="F1068" s="8">
        <v>133.87799999999999</v>
      </c>
      <c r="G1068" s="8">
        <v>118.04</v>
      </c>
      <c r="H1068" s="8">
        <v>83.42</v>
      </c>
      <c r="I1068" s="8">
        <v>194.92</v>
      </c>
      <c r="J1068" s="8">
        <v>91.27</v>
      </c>
      <c r="K1068" s="268">
        <v>0.61050000000000004</v>
      </c>
      <c r="L1068" s="268">
        <v>0.4607</v>
      </c>
      <c r="M1068" s="268">
        <v>-2.86E-2</v>
      </c>
      <c r="N1068" s="8">
        <v>1624.4</v>
      </c>
      <c r="O1068" s="8">
        <v>7285.46</v>
      </c>
      <c r="P1068" s="268">
        <v>0.223</v>
      </c>
      <c r="Q1068" s="8">
        <v>402</v>
      </c>
      <c r="R1068" s="8">
        <v>0</v>
      </c>
      <c r="S1068" s="8" t="s">
        <v>7498</v>
      </c>
      <c r="T1068" s="8" t="s">
        <v>7499</v>
      </c>
      <c r="U1068" s="8" t="s">
        <v>6514</v>
      </c>
      <c r="V1068" s="8" t="s">
        <v>7500</v>
      </c>
      <c r="W1068" s="8" t="s">
        <v>7501</v>
      </c>
    </row>
    <row r="1069" spans="1:23" ht="28" customHeight="1" x14ac:dyDescent="0.3">
      <c r="A1069" s="308">
        <v>44693</v>
      </c>
      <c r="B1069" s="302">
        <v>1914.7639999999999</v>
      </c>
      <c r="C1069" s="8">
        <v>4.07</v>
      </c>
      <c r="D1069" s="268">
        <v>2.0999999999999999E-3</v>
      </c>
      <c r="E1069" s="8">
        <v>57.49</v>
      </c>
      <c r="F1069" s="8">
        <v>132.84299999999999</v>
      </c>
      <c r="G1069" s="8">
        <v>117.1</v>
      </c>
      <c r="H1069" s="8">
        <v>82.94</v>
      </c>
      <c r="I1069" s="8">
        <v>193.62</v>
      </c>
      <c r="J1069" s="8">
        <v>90.7</v>
      </c>
      <c r="K1069" s="268">
        <v>0.60770000000000002</v>
      </c>
      <c r="L1069" s="268">
        <v>0.4531</v>
      </c>
      <c r="M1069" s="268">
        <v>-2.8199999999999999E-2</v>
      </c>
      <c r="N1069" s="8">
        <v>1693.63</v>
      </c>
      <c r="O1069" s="8">
        <v>7276.06</v>
      </c>
      <c r="P1069" s="268">
        <v>0.23280000000000001</v>
      </c>
      <c r="Q1069" s="8">
        <v>401</v>
      </c>
      <c r="R1069" s="8">
        <v>0</v>
      </c>
      <c r="S1069" s="8" t="s">
        <v>6517</v>
      </c>
      <c r="T1069" s="8" t="s">
        <v>7502</v>
      </c>
      <c r="U1069" s="8" t="s">
        <v>7503</v>
      </c>
      <c r="V1069" s="8" t="s">
        <v>7504</v>
      </c>
      <c r="W1069" s="8" t="s">
        <v>7505</v>
      </c>
    </row>
    <row r="1070" spans="1:23" ht="28" customHeight="1" x14ac:dyDescent="0.3">
      <c r="A1070" s="308">
        <v>44692</v>
      </c>
      <c r="B1070" s="302">
        <v>1910.694</v>
      </c>
      <c r="C1070" s="8">
        <v>21.648</v>
      </c>
      <c r="D1070" s="268">
        <v>1.15E-2</v>
      </c>
      <c r="E1070" s="8">
        <v>55.91</v>
      </c>
      <c r="F1070" s="8">
        <v>132.55500000000001</v>
      </c>
      <c r="G1070" s="8">
        <v>117.15</v>
      </c>
      <c r="H1070" s="8">
        <v>81.510000000000005</v>
      </c>
      <c r="I1070" s="8">
        <v>193.81</v>
      </c>
      <c r="J1070" s="8">
        <v>91.78</v>
      </c>
      <c r="K1070" s="268">
        <v>0.61260000000000003</v>
      </c>
      <c r="L1070" s="268">
        <v>0.46229999999999999</v>
      </c>
      <c r="M1070" s="268">
        <v>-2.75E-2</v>
      </c>
      <c r="N1070" s="8">
        <v>1864.95</v>
      </c>
      <c r="O1070" s="8">
        <v>7282.95</v>
      </c>
      <c r="P1070" s="268">
        <v>0.25609999999999999</v>
      </c>
      <c r="Q1070" s="8">
        <v>402</v>
      </c>
      <c r="R1070" s="8">
        <v>0</v>
      </c>
      <c r="S1070" s="8" t="s">
        <v>2712</v>
      </c>
      <c r="T1070" s="8" t="s">
        <v>7506</v>
      </c>
      <c r="U1070" s="8" t="s">
        <v>7507</v>
      </c>
      <c r="V1070" s="8" t="s">
        <v>7508</v>
      </c>
      <c r="W1070" s="8" t="s">
        <v>7509</v>
      </c>
    </row>
    <row r="1071" spans="1:23" ht="28" customHeight="1" x14ac:dyDescent="0.3">
      <c r="A1071" s="308">
        <v>44691</v>
      </c>
      <c r="B1071" s="302">
        <v>1889.046</v>
      </c>
      <c r="C1071" s="8">
        <v>12.666</v>
      </c>
      <c r="D1071" s="268">
        <v>6.7999999999999996E-3</v>
      </c>
      <c r="E1071" s="8">
        <v>54.48</v>
      </c>
      <c r="F1071" s="8">
        <v>130.684</v>
      </c>
      <c r="G1071" s="8">
        <v>116.59</v>
      </c>
      <c r="H1071" s="8">
        <v>81.09</v>
      </c>
      <c r="I1071" s="8">
        <v>191.15</v>
      </c>
      <c r="J1071" s="8">
        <v>90.31</v>
      </c>
      <c r="K1071" s="268">
        <v>0.60470000000000002</v>
      </c>
      <c r="L1071" s="268">
        <v>0.4627</v>
      </c>
      <c r="M1071" s="268">
        <v>-2.53E-2</v>
      </c>
      <c r="N1071" s="8">
        <v>1453.84</v>
      </c>
      <c r="O1071" s="8">
        <v>7206.69</v>
      </c>
      <c r="P1071" s="268">
        <v>0.20169999999999999</v>
      </c>
      <c r="Q1071" s="8">
        <v>401</v>
      </c>
      <c r="R1071" s="8">
        <v>0</v>
      </c>
      <c r="S1071" s="8" t="s">
        <v>2456</v>
      </c>
      <c r="T1071" s="8" t="s">
        <v>7510</v>
      </c>
      <c r="U1071" s="8" t="s">
        <v>7511</v>
      </c>
      <c r="V1071" s="8" t="s">
        <v>7512</v>
      </c>
      <c r="W1071" s="8" t="s">
        <v>7513</v>
      </c>
    </row>
    <row r="1072" spans="1:23" ht="28" customHeight="1" x14ac:dyDescent="0.3">
      <c r="A1072" s="308">
        <v>44690</v>
      </c>
      <c r="B1072" s="302">
        <v>1876.38</v>
      </c>
      <c r="C1072" s="8">
        <v>13.894</v>
      </c>
      <c r="D1072" s="268">
        <v>7.4999999999999997E-3</v>
      </c>
      <c r="E1072" s="8">
        <v>52.51</v>
      </c>
      <c r="F1072" s="8">
        <v>129.41200000000001</v>
      </c>
      <c r="G1072" s="8">
        <v>116.58</v>
      </c>
      <c r="H1072" s="8">
        <v>80.14</v>
      </c>
      <c r="I1072" s="8">
        <v>191.49</v>
      </c>
      <c r="J1072" s="8">
        <v>92.72</v>
      </c>
      <c r="K1072" s="268">
        <v>0.62080000000000002</v>
      </c>
      <c r="L1072" s="268">
        <v>0.47939999999999999</v>
      </c>
      <c r="M1072" s="268">
        <v>-2.41E-2</v>
      </c>
      <c r="N1072" s="8">
        <v>1264.28</v>
      </c>
      <c r="O1072" s="8">
        <v>7207.29</v>
      </c>
      <c r="P1072" s="268">
        <v>0.1754</v>
      </c>
      <c r="Q1072" s="8">
        <v>401</v>
      </c>
      <c r="R1072" s="8">
        <v>0</v>
      </c>
      <c r="S1072" s="8" t="s">
        <v>7514</v>
      </c>
      <c r="T1072" s="8" t="s">
        <v>7515</v>
      </c>
      <c r="U1072" s="8" t="s">
        <v>7516</v>
      </c>
      <c r="V1072" s="8" t="s">
        <v>7517</v>
      </c>
      <c r="W1072" s="8" t="s">
        <v>7518</v>
      </c>
    </row>
    <row r="1073" spans="1:23" ht="28" customHeight="1" x14ac:dyDescent="0.3">
      <c r="A1073" s="308">
        <v>44687</v>
      </c>
      <c r="B1073" s="302">
        <v>1862.4860000000001</v>
      </c>
      <c r="C1073" s="8">
        <v>-8.1180000000000003</v>
      </c>
      <c r="D1073" s="268">
        <v>-4.3E-3</v>
      </c>
      <c r="E1073" s="8">
        <v>50.12</v>
      </c>
      <c r="F1073" s="8">
        <v>128.4</v>
      </c>
      <c r="G1073" s="8">
        <v>115.85899999999999</v>
      </c>
      <c r="H1073" s="8">
        <v>78.709999999999994</v>
      </c>
      <c r="I1073" s="8">
        <v>191.93</v>
      </c>
      <c r="J1073" s="8">
        <v>95.51</v>
      </c>
      <c r="K1073" s="268">
        <v>0.63529999999999998</v>
      </c>
      <c r="L1073" s="268">
        <v>0.49370000000000003</v>
      </c>
      <c r="M1073" s="268">
        <v>-2.1700000000000001E-2</v>
      </c>
      <c r="N1073" s="8">
        <v>1395.26</v>
      </c>
      <c r="O1073" s="8">
        <v>7214.88</v>
      </c>
      <c r="P1073" s="268">
        <v>0.19339999999999999</v>
      </c>
      <c r="Q1073" s="8">
        <v>401</v>
      </c>
      <c r="R1073" s="8">
        <v>0</v>
      </c>
      <c r="S1073" s="8" t="s">
        <v>7519</v>
      </c>
      <c r="T1073" s="8" t="s">
        <v>7520</v>
      </c>
      <c r="U1073" s="8" t="s">
        <v>7521</v>
      </c>
      <c r="V1073" s="8" t="s">
        <v>7522</v>
      </c>
      <c r="W1073" s="8" t="s">
        <v>7523</v>
      </c>
    </row>
    <row r="1074" spans="1:23" ht="28" customHeight="1" x14ac:dyDescent="0.3">
      <c r="A1074" s="308">
        <v>44686</v>
      </c>
      <c r="B1074" s="302">
        <v>1870.604</v>
      </c>
      <c r="C1074" s="8">
        <v>22.673999999999999</v>
      </c>
      <c r="D1074" s="268">
        <v>1.23E-2</v>
      </c>
      <c r="E1074" s="8">
        <v>54.63</v>
      </c>
      <c r="F1074" s="8">
        <v>129.03100000000001</v>
      </c>
      <c r="G1074" s="8">
        <v>116.2</v>
      </c>
      <c r="H1074" s="8">
        <v>78.72</v>
      </c>
      <c r="I1074" s="8">
        <v>191</v>
      </c>
      <c r="J1074" s="8">
        <v>94.1</v>
      </c>
      <c r="K1074" s="268">
        <v>0.61970000000000003</v>
      </c>
      <c r="L1074" s="268">
        <v>0.47560000000000002</v>
      </c>
      <c r="M1074" s="268">
        <v>-2.3400000000000001E-2</v>
      </c>
      <c r="N1074" s="8">
        <v>1101.26</v>
      </c>
      <c r="O1074" s="8">
        <v>7187.56</v>
      </c>
      <c r="P1074" s="268">
        <v>0.1532</v>
      </c>
      <c r="Q1074" s="8">
        <v>399</v>
      </c>
      <c r="R1074" s="8">
        <v>0</v>
      </c>
      <c r="S1074" s="8" t="s">
        <v>7524</v>
      </c>
      <c r="T1074" s="8" t="s">
        <v>7525</v>
      </c>
      <c r="U1074" s="8" t="s">
        <v>7526</v>
      </c>
      <c r="V1074" s="8" t="s">
        <v>7527</v>
      </c>
      <c r="W1074" s="8" t="s">
        <v>7528</v>
      </c>
    </row>
    <row r="1075" spans="1:23" ht="28" customHeight="1" x14ac:dyDescent="0.3">
      <c r="A1075" s="308">
        <v>44680</v>
      </c>
      <c r="B1075" s="302">
        <v>1847.93</v>
      </c>
      <c r="C1075" s="8">
        <v>38.841000000000001</v>
      </c>
      <c r="D1075" s="268">
        <v>2.1499999999999998E-2</v>
      </c>
      <c r="E1075" s="8">
        <v>48.41</v>
      </c>
      <c r="F1075" s="8">
        <v>127.3</v>
      </c>
      <c r="G1075" s="8">
        <v>114.745</v>
      </c>
      <c r="H1075" s="8">
        <v>77.75</v>
      </c>
      <c r="I1075" s="8">
        <v>189.62</v>
      </c>
      <c r="J1075" s="8">
        <v>95.36</v>
      </c>
      <c r="K1075" s="268">
        <v>0.62319999999999998</v>
      </c>
      <c r="L1075" s="268">
        <v>0.49120000000000003</v>
      </c>
      <c r="M1075" s="268">
        <v>-1.9800000000000002E-2</v>
      </c>
      <c r="N1075" s="8">
        <v>1442.34</v>
      </c>
      <c r="O1075" s="8">
        <v>7194.94</v>
      </c>
      <c r="P1075" s="268">
        <v>0.20050000000000001</v>
      </c>
      <c r="Q1075" s="8">
        <v>400</v>
      </c>
      <c r="R1075" s="8">
        <v>0</v>
      </c>
      <c r="S1075" s="8" t="s">
        <v>7529</v>
      </c>
      <c r="T1075" s="8" t="s">
        <v>7530</v>
      </c>
      <c r="U1075" s="8" t="s">
        <v>7531</v>
      </c>
      <c r="V1075" s="8" t="s">
        <v>7532</v>
      </c>
      <c r="W1075" s="8" t="s">
        <v>7533</v>
      </c>
    </row>
    <row r="1076" spans="1:23" ht="28" customHeight="1" x14ac:dyDescent="0.3">
      <c r="A1076" s="308">
        <v>44679</v>
      </c>
      <c r="B1076" s="302">
        <v>1809.0889999999999</v>
      </c>
      <c r="C1076" s="8">
        <v>-0.61499999999999999</v>
      </c>
      <c r="D1076" s="268">
        <v>-2.9999999999999997E-4</v>
      </c>
      <c r="E1076" s="8">
        <v>39.119999999999997</v>
      </c>
      <c r="F1076" s="8">
        <v>124.425</v>
      </c>
      <c r="G1076" s="8">
        <v>112.221</v>
      </c>
      <c r="H1076" s="8">
        <v>75.33</v>
      </c>
      <c r="I1076" s="8">
        <v>189.24</v>
      </c>
      <c r="J1076" s="8">
        <v>97.97</v>
      </c>
      <c r="K1076" s="268">
        <v>0.64810000000000001</v>
      </c>
      <c r="L1076" s="268">
        <v>0.5171</v>
      </c>
      <c r="M1076" s="268">
        <v>-1.37E-2</v>
      </c>
      <c r="N1076" s="8">
        <v>1314.4</v>
      </c>
      <c r="O1076" s="8">
        <v>7193.95</v>
      </c>
      <c r="P1076" s="268">
        <v>0.1827</v>
      </c>
      <c r="Q1076" s="8">
        <v>399</v>
      </c>
      <c r="R1076" s="8">
        <v>0</v>
      </c>
      <c r="S1076" s="8" t="s">
        <v>2815</v>
      </c>
      <c r="T1076" s="8" t="s">
        <v>7534</v>
      </c>
      <c r="U1076" s="8" t="s">
        <v>7535</v>
      </c>
      <c r="V1076" s="8" t="s">
        <v>7536</v>
      </c>
      <c r="W1076" s="8" t="s">
        <v>7537</v>
      </c>
    </row>
    <row r="1077" spans="1:23" ht="28" customHeight="1" x14ac:dyDescent="0.3">
      <c r="A1077" s="308">
        <v>44678</v>
      </c>
      <c r="B1077" s="302">
        <v>1809.704</v>
      </c>
      <c r="C1077" s="8">
        <v>29.866</v>
      </c>
      <c r="D1077" s="268">
        <v>1.6799999999999999E-2</v>
      </c>
      <c r="E1077" s="8">
        <v>38.299999999999997</v>
      </c>
      <c r="F1077" s="8">
        <v>124.545</v>
      </c>
      <c r="G1077" s="8">
        <v>112.53</v>
      </c>
      <c r="H1077" s="8">
        <v>76.91</v>
      </c>
      <c r="I1077" s="8">
        <v>187.41</v>
      </c>
      <c r="J1077" s="8">
        <v>96.94</v>
      </c>
      <c r="K1077" s="268">
        <v>0.62860000000000005</v>
      </c>
      <c r="L1077" s="268">
        <v>0.49709999999999999</v>
      </c>
      <c r="M1077" s="268">
        <v>-1.4200000000000001E-2</v>
      </c>
      <c r="N1077" s="8">
        <v>1311.1</v>
      </c>
      <c r="O1077" s="8">
        <v>7188.95</v>
      </c>
      <c r="P1077" s="268">
        <v>0.18240000000000001</v>
      </c>
      <c r="Q1077" s="8">
        <v>399</v>
      </c>
      <c r="R1077" s="8">
        <v>0</v>
      </c>
      <c r="S1077" s="8" t="s">
        <v>7538</v>
      </c>
      <c r="T1077" s="8" t="s">
        <v>7127</v>
      </c>
      <c r="U1077" s="8" t="s">
        <v>7539</v>
      </c>
      <c r="V1077" s="8" t="s">
        <v>7540</v>
      </c>
      <c r="W1077" s="8" t="s">
        <v>7541</v>
      </c>
    </row>
    <row r="1078" spans="1:23" ht="28" customHeight="1" x14ac:dyDescent="0.3">
      <c r="A1078" s="308">
        <v>44677</v>
      </c>
      <c r="B1078" s="302">
        <v>1779.838</v>
      </c>
      <c r="C1078" s="8">
        <v>-10.816000000000001</v>
      </c>
      <c r="D1078" s="268">
        <v>-6.0000000000000001E-3</v>
      </c>
      <c r="E1078" s="8">
        <v>34.25</v>
      </c>
      <c r="F1078" s="8">
        <v>122.062</v>
      </c>
      <c r="G1078" s="8">
        <v>111.465</v>
      </c>
      <c r="H1078" s="8">
        <v>74.55</v>
      </c>
      <c r="I1078" s="8">
        <v>188.51</v>
      </c>
      <c r="J1078" s="8">
        <v>99.12</v>
      </c>
      <c r="K1078" s="268">
        <v>0.66449999999999998</v>
      </c>
      <c r="L1078" s="268">
        <v>0.52400000000000002</v>
      </c>
      <c r="M1078" s="268">
        <v>-1.0200000000000001E-2</v>
      </c>
      <c r="N1078" s="8">
        <v>1196.6400000000001</v>
      </c>
      <c r="O1078" s="8">
        <v>7168.96</v>
      </c>
      <c r="P1078" s="268">
        <v>0.16689999999999999</v>
      </c>
      <c r="Q1078" s="8">
        <v>398</v>
      </c>
      <c r="R1078" s="8">
        <v>0</v>
      </c>
      <c r="S1078" s="8" t="s">
        <v>7542</v>
      </c>
      <c r="T1078" s="8" t="s">
        <v>7543</v>
      </c>
      <c r="U1078" s="8" t="s">
        <v>7544</v>
      </c>
      <c r="V1078" s="8" t="s">
        <v>7545</v>
      </c>
      <c r="W1078" s="8" t="s">
        <v>7546</v>
      </c>
    </row>
    <row r="1079" spans="1:23" ht="28" customHeight="1" x14ac:dyDescent="0.3">
      <c r="A1079" s="308">
        <v>44676</v>
      </c>
      <c r="B1079" s="302">
        <v>1790.654</v>
      </c>
      <c r="C1079" s="8">
        <v>-55.609000000000002</v>
      </c>
      <c r="D1079" s="268">
        <v>-3.0099999999999998E-2</v>
      </c>
      <c r="E1079" s="8">
        <v>38.450000000000003</v>
      </c>
      <c r="F1079" s="8">
        <v>122.762</v>
      </c>
      <c r="G1079" s="8">
        <v>112.512</v>
      </c>
      <c r="H1079" s="8">
        <v>76.48</v>
      </c>
      <c r="I1079" s="8">
        <v>185.18</v>
      </c>
      <c r="J1079" s="8">
        <v>98.19</v>
      </c>
      <c r="K1079" s="268">
        <v>0.62419999999999998</v>
      </c>
      <c r="L1079" s="268">
        <v>0.49830000000000002</v>
      </c>
      <c r="M1079" s="268">
        <v>-1.21E-2</v>
      </c>
      <c r="N1079" s="8">
        <v>973.36</v>
      </c>
      <c r="O1079" s="8">
        <v>7182.3</v>
      </c>
      <c r="P1079" s="268">
        <v>0.13550000000000001</v>
      </c>
      <c r="Q1079" s="8">
        <v>398</v>
      </c>
      <c r="R1079" s="8">
        <v>0</v>
      </c>
      <c r="S1079" s="8" t="s">
        <v>7547</v>
      </c>
      <c r="T1079" s="8" t="s">
        <v>7548</v>
      </c>
      <c r="U1079" s="8" t="s">
        <v>7549</v>
      </c>
      <c r="V1079" s="8" t="s">
        <v>7550</v>
      </c>
      <c r="W1079" s="8" t="s">
        <v>7551</v>
      </c>
    </row>
    <row r="1080" spans="1:23" ht="28" customHeight="1" x14ac:dyDescent="0.3">
      <c r="A1080" s="308">
        <v>44673</v>
      </c>
      <c r="B1080" s="302">
        <v>1846.2629999999999</v>
      </c>
      <c r="C1080" s="8">
        <v>-16.635999999999999</v>
      </c>
      <c r="D1080" s="268">
        <v>-8.8999999999999999E-3</v>
      </c>
      <c r="E1080" s="8">
        <v>49.11</v>
      </c>
      <c r="F1080" s="8">
        <v>126.79600000000001</v>
      </c>
      <c r="G1080" s="8">
        <v>115.84</v>
      </c>
      <c r="H1080" s="8">
        <v>82.55</v>
      </c>
      <c r="I1080" s="8">
        <v>181.44</v>
      </c>
      <c r="J1080" s="8">
        <v>92.84</v>
      </c>
      <c r="K1080" s="268">
        <v>0.5464</v>
      </c>
      <c r="L1080" s="268">
        <v>0.42909999999999998</v>
      </c>
      <c r="M1080" s="268">
        <v>-2.1000000000000001E-2</v>
      </c>
      <c r="N1080" s="8">
        <v>1064.26</v>
      </c>
      <c r="O1080" s="8">
        <v>7150.3</v>
      </c>
      <c r="P1080" s="268">
        <v>0.14879999999999999</v>
      </c>
      <c r="Q1080" s="8">
        <v>395</v>
      </c>
      <c r="R1080" s="8">
        <v>0</v>
      </c>
      <c r="S1080" s="8" t="s">
        <v>7552</v>
      </c>
      <c r="T1080" s="8" t="s">
        <v>7553</v>
      </c>
      <c r="U1080" s="8" t="s">
        <v>7554</v>
      </c>
      <c r="V1080" s="8" t="s">
        <v>7555</v>
      </c>
      <c r="W1080" s="8" t="s">
        <v>7556</v>
      </c>
    </row>
    <row r="1081" spans="1:23" ht="28" customHeight="1" x14ac:dyDescent="0.3">
      <c r="A1081" s="308">
        <v>44672</v>
      </c>
      <c r="B1081" s="302">
        <v>1862.8989999999999</v>
      </c>
      <c r="C1081" s="8">
        <v>-26.719000000000001</v>
      </c>
      <c r="D1081" s="268">
        <v>-1.41E-2</v>
      </c>
      <c r="E1081" s="8">
        <v>50.35</v>
      </c>
      <c r="F1081" s="8">
        <v>128.636</v>
      </c>
      <c r="G1081" s="8">
        <v>115.86</v>
      </c>
      <c r="H1081" s="8">
        <v>83.29</v>
      </c>
      <c r="I1081" s="8">
        <v>183.35</v>
      </c>
      <c r="J1081" s="8">
        <v>93.15</v>
      </c>
      <c r="K1081" s="268">
        <v>0.54720000000000002</v>
      </c>
      <c r="L1081" s="268">
        <v>0.4194</v>
      </c>
      <c r="M1081" s="268">
        <v>-2.3199999999999998E-2</v>
      </c>
      <c r="N1081" s="8">
        <v>1268.45</v>
      </c>
      <c r="O1081" s="8">
        <v>7147.64</v>
      </c>
      <c r="P1081" s="268">
        <v>0.17749999999999999</v>
      </c>
      <c r="Q1081" s="8">
        <v>394</v>
      </c>
      <c r="R1081" s="8">
        <v>0</v>
      </c>
      <c r="S1081" s="8" t="s">
        <v>7557</v>
      </c>
      <c r="T1081" s="8" t="s">
        <v>7558</v>
      </c>
      <c r="U1081" s="8" t="s">
        <v>7559</v>
      </c>
      <c r="V1081" s="8" t="s">
        <v>7560</v>
      </c>
      <c r="W1081" s="8" t="s">
        <v>7561</v>
      </c>
    </row>
    <row r="1082" spans="1:23" ht="28" customHeight="1" x14ac:dyDescent="0.3">
      <c r="A1082" s="308">
        <v>44671</v>
      </c>
      <c r="B1082" s="302">
        <v>1889.6179999999999</v>
      </c>
      <c r="C1082" s="8">
        <v>-7.7030000000000003</v>
      </c>
      <c r="D1082" s="268">
        <v>-4.1000000000000003E-3</v>
      </c>
      <c r="E1082" s="8">
        <v>55</v>
      </c>
      <c r="F1082" s="8">
        <v>130.77000000000001</v>
      </c>
      <c r="G1082" s="8">
        <v>117.51</v>
      </c>
      <c r="H1082" s="8">
        <v>86.3</v>
      </c>
      <c r="I1082" s="8">
        <v>181.76</v>
      </c>
      <c r="J1082" s="8">
        <v>88.18</v>
      </c>
      <c r="K1082" s="268">
        <v>0.50990000000000002</v>
      </c>
      <c r="L1082" s="268">
        <v>0.39050000000000001</v>
      </c>
      <c r="M1082" s="268">
        <v>-2.64E-2</v>
      </c>
      <c r="N1082" s="8">
        <v>1372.61</v>
      </c>
      <c r="O1082" s="8">
        <v>7117.69</v>
      </c>
      <c r="P1082" s="268">
        <v>0.1928</v>
      </c>
      <c r="Q1082" s="8">
        <v>393</v>
      </c>
      <c r="R1082" s="8">
        <v>0</v>
      </c>
      <c r="S1082" s="8" t="s">
        <v>4127</v>
      </c>
      <c r="T1082" s="8" t="s">
        <v>7562</v>
      </c>
      <c r="U1082" s="8" t="s">
        <v>7563</v>
      </c>
      <c r="V1082" s="8" t="s">
        <v>7564</v>
      </c>
      <c r="W1082" s="8" t="s">
        <v>7565</v>
      </c>
    </row>
    <row r="1083" spans="1:23" ht="28" customHeight="1" x14ac:dyDescent="0.3">
      <c r="A1083" s="308">
        <v>44670</v>
      </c>
      <c r="B1083" s="302">
        <v>1897.3209999999999</v>
      </c>
      <c r="C1083" s="8">
        <v>17.073</v>
      </c>
      <c r="D1083" s="268">
        <v>9.1000000000000004E-3</v>
      </c>
      <c r="E1083" s="8">
        <v>56.53</v>
      </c>
      <c r="F1083" s="8">
        <v>131.21199999999999</v>
      </c>
      <c r="G1083" s="8">
        <v>117.845</v>
      </c>
      <c r="H1083" s="8">
        <v>86.79</v>
      </c>
      <c r="I1083" s="8">
        <v>180.82</v>
      </c>
      <c r="J1083" s="8">
        <v>84.83</v>
      </c>
      <c r="K1083" s="268">
        <v>0.49609999999999999</v>
      </c>
      <c r="L1083" s="268">
        <v>0.37190000000000001</v>
      </c>
      <c r="M1083" s="268">
        <v>-2.6800000000000001E-2</v>
      </c>
      <c r="N1083" s="8">
        <v>1220.9000000000001</v>
      </c>
      <c r="O1083" s="8">
        <v>7115.87</v>
      </c>
      <c r="P1083" s="268">
        <v>0.1716</v>
      </c>
      <c r="Q1083" s="8">
        <v>392</v>
      </c>
      <c r="R1083" s="8">
        <v>0</v>
      </c>
      <c r="S1083" s="8" t="s">
        <v>3084</v>
      </c>
      <c r="T1083" s="8" t="s">
        <v>7566</v>
      </c>
      <c r="U1083" s="8" t="s">
        <v>7567</v>
      </c>
      <c r="V1083" s="8" t="s">
        <v>4398</v>
      </c>
      <c r="W1083" s="8" t="s">
        <v>7568</v>
      </c>
    </row>
    <row r="1084" spans="1:23" ht="28" customHeight="1" x14ac:dyDescent="0.3">
      <c r="A1084" s="308">
        <v>44669</v>
      </c>
      <c r="B1084" s="302">
        <v>1880.248</v>
      </c>
      <c r="C1084" s="8">
        <v>16.013999999999999</v>
      </c>
      <c r="D1084" s="268">
        <v>8.6E-3</v>
      </c>
      <c r="E1084" s="8">
        <v>54.87</v>
      </c>
      <c r="F1084" s="8">
        <v>129.79599999999999</v>
      </c>
      <c r="G1084" s="8">
        <v>116.962</v>
      </c>
      <c r="H1084" s="8">
        <v>86.42</v>
      </c>
      <c r="I1084" s="8">
        <v>178.05</v>
      </c>
      <c r="J1084" s="8">
        <v>84.09</v>
      </c>
      <c r="K1084" s="268">
        <v>0.48259999999999997</v>
      </c>
      <c r="L1084" s="268">
        <v>0.36180000000000001</v>
      </c>
      <c r="M1084" s="268">
        <v>-2.6100000000000002E-2</v>
      </c>
      <c r="N1084" s="8">
        <v>915.05</v>
      </c>
      <c r="O1084" s="8">
        <v>7120.75</v>
      </c>
      <c r="P1084" s="268">
        <v>0.1285</v>
      </c>
      <c r="Q1084" s="8">
        <v>393</v>
      </c>
      <c r="R1084" s="8">
        <v>0</v>
      </c>
      <c r="S1084" s="8" t="s">
        <v>7569</v>
      </c>
      <c r="T1084" s="8" t="s">
        <v>7570</v>
      </c>
      <c r="U1084" s="8" t="s">
        <v>7571</v>
      </c>
      <c r="V1084" s="8" t="s">
        <v>5155</v>
      </c>
      <c r="W1084" s="8" t="s">
        <v>7572</v>
      </c>
    </row>
    <row r="1085" spans="1:23" ht="28" customHeight="1" x14ac:dyDescent="0.3">
      <c r="A1085" s="308">
        <v>44666</v>
      </c>
      <c r="B1085" s="302">
        <v>1864.2339999999999</v>
      </c>
      <c r="C1085" s="8">
        <v>-4.0540000000000003</v>
      </c>
      <c r="D1085" s="268">
        <v>-2.2000000000000001E-3</v>
      </c>
      <c r="E1085" s="8">
        <v>53.16</v>
      </c>
      <c r="F1085" s="8">
        <v>128.44399999999999</v>
      </c>
      <c r="G1085" s="8">
        <v>116.535</v>
      </c>
      <c r="H1085" s="8">
        <v>85.82</v>
      </c>
      <c r="I1085" s="8">
        <v>176.9</v>
      </c>
      <c r="J1085" s="8">
        <v>84.82</v>
      </c>
      <c r="K1085" s="268">
        <v>0.48449999999999999</v>
      </c>
      <c r="L1085" s="268">
        <v>0.36330000000000001</v>
      </c>
      <c r="M1085" s="268">
        <v>-2.4299999999999999E-2</v>
      </c>
      <c r="N1085" s="8">
        <v>934.88</v>
      </c>
      <c r="O1085" s="8">
        <v>7071.03</v>
      </c>
      <c r="P1085" s="268">
        <v>0.13220000000000001</v>
      </c>
      <c r="Q1085" s="8">
        <v>392</v>
      </c>
      <c r="R1085" s="8">
        <v>0</v>
      </c>
      <c r="S1085" s="8" t="s">
        <v>7384</v>
      </c>
      <c r="T1085" s="8" t="s">
        <v>7573</v>
      </c>
      <c r="U1085" s="8" t="s">
        <v>7574</v>
      </c>
      <c r="V1085" s="8" t="s">
        <v>7575</v>
      </c>
      <c r="W1085" s="8" t="s">
        <v>7576</v>
      </c>
    </row>
    <row r="1086" spans="1:23" ht="28" customHeight="1" x14ac:dyDescent="0.3">
      <c r="A1086" s="308">
        <v>44665</v>
      </c>
      <c r="B1086" s="302">
        <v>1868.288</v>
      </c>
      <c r="C1086" s="8">
        <v>11.143000000000001</v>
      </c>
      <c r="D1086" s="268">
        <v>6.0000000000000001E-3</v>
      </c>
      <c r="E1086" s="8">
        <v>55.81</v>
      </c>
      <c r="F1086" s="8">
        <v>128.77699999999999</v>
      </c>
      <c r="G1086" s="8">
        <v>117.408</v>
      </c>
      <c r="H1086" s="8">
        <v>87.55</v>
      </c>
      <c r="I1086" s="8">
        <v>175.54</v>
      </c>
      <c r="J1086" s="8">
        <v>80.56</v>
      </c>
      <c r="K1086" s="268">
        <v>0.46760000000000002</v>
      </c>
      <c r="L1086" s="268">
        <v>0.35649999999999998</v>
      </c>
      <c r="M1086" s="268">
        <v>-2.52E-2</v>
      </c>
      <c r="N1086" s="8">
        <v>716.42</v>
      </c>
      <c r="O1086" s="8">
        <v>6941.88</v>
      </c>
      <c r="P1086" s="268">
        <v>0.1032</v>
      </c>
      <c r="Q1086" s="8">
        <v>391</v>
      </c>
      <c r="R1086" s="8">
        <v>0</v>
      </c>
      <c r="S1086" s="8" t="s">
        <v>5204</v>
      </c>
      <c r="T1086" s="8" t="s">
        <v>7577</v>
      </c>
      <c r="U1086" s="8" t="s">
        <v>7578</v>
      </c>
      <c r="V1086" s="8" t="s">
        <v>7579</v>
      </c>
      <c r="W1086" s="8" t="s">
        <v>7580</v>
      </c>
    </row>
    <row r="1087" spans="1:23" ht="28" customHeight="1" x14ac:dyDescent="0.3">
      <c r="A1087" s="308">
        <v>44664</v>
      </c>
      <c r="B1087" s="302">
        <v>1857.145</v>
      </c>
      <c r="C1087" s="8">
        <v>-12.47</v>
      </c>
      <c r="D1087" s="268">
        <v>-6.7000000000000002E-3</v>
      </c>
      <c r="E1087" s="8">
        <v>52.5</v>
      </c>
      <c r="F1087" s="8">
        <v>128.08799999999999</v>
      </c>
      <c r="G1087" s="8">
        <v>116.765</v>
      </c>
      <c r="H1087" s="8">
        <v>86.62</v>
      </c>
      <c r="I1087" s="8">
        <v>175.27</v>
      </c>
      <c r="J1087" s="8">
        <v>81.45</v>
      </c>
      <c r="K1087" s="268">
        <v>0.4718</v>
      </c>
      <c r="L1087" s="268">
        <v>0.34739999999999999</v>
      </c>
      <c r="M1087" s="268">
        <v>-2.3900000000000001E-2</v>
      </c>
      <c r="N1087" s="8">
        <v>706.46</v>
      </c>
      <c r="O1087" s="8">
        <v>6940.57</v>
      </c>
      <c r="P1087" s="268">
        <v>0.1018</v>
      </c>
      <c r="Q1087" s="8">
        <v>390</v>
      </c>
      <c r="R1087" s="8">
        <v>0</v>
      </c>
      <c r="S1087" s="8" t="s">
        <v>7581</v>
      </c>
      <c r="T1087" s="8" t="s">
        <v>7582</v>
      </c>
      <c r="U1087" s="8" t="s">
        <v>7583</v>
      </c>
      <c r="V1087" s="8" t="s">
        <v>7584</v>
      </c>
      <c r="W1087" s="8" t="s">
        <v>7585</v>
      </c>
    </row>
    <row r="1088" spans="1:23" ht="28" customHeight="1" x14ac:dyDescent="0.3">
      <c r="A1088" s="308">
        <v>44663</v>
      </c>
      <c r="B1088" s="302">
        <v>1869.615</v>
      </c>
      <c r="C1088" s="8">
        <v>4.383</v>
      </c>
      <c r="D1088" s="268">
        <v>2.3E-3</v>
      </c>
      <c r="E1088" s="8">
        <v>54.71</v>
      </c>
      <c r="F1088" s="8">
        <v>128.857</v>
      </c>
      <c r="G1088" s="8">
        <v>117.08499999999999</v>
      </c>
      <c r="H1088" s="8">
        <v>88.83</v>
      </c>
      <c r="I1088" s="8">
        <v>173.57</v>
      </c>
      <c r="J1088" s="8">
        <v>73.52</v>
      </c>
      <c r="K1088" s="268">
        <v>0.44719999999999999</v>
      </c>
      <c r="L1088" s="268">
        <v>0.32200000000000001</v>
      </c>
      <c r="M1088" s="268">
        <v>-2.6100000000000002E-2</v>
      </c>
      <c r="N1088" s="8">
        <v>722.25</v>
      </c>
      <c r="O1088" s="8">
        <v>6944.29</v>
      </c>
      <c r="P1088" s="268">
        <v>0.104</v>
      </c>
      <c r="Q1088" s="8">
        <v>390</v>
      </c>
      <c r="R1088" s="8">
        <v>0</v>
      </c>
      <c r="S1088" s="8" t="s">
        <v>6329</v>
      </c>
      <c r="T1088" s="8" t="s">
        <v>7586</v>
      </c>
      <c r="U1088" s="8" t="s">
        <v>6750</v>
      </c>
      <c r="V1088" s="8" t="s">
        <v>7587</v>
      </c>
      <c r="W1088" s="8" t="s">
        <v>7588</v>
      </c>
    </row>
    <row r="1089" spans="1:23" ht="28" customHeight="1" x14ac:dyDescent="0.3">
      <c r="A1089" s="308">
        <v>44662</v>
      </c>
      <c r="B1089" s="302">
        <v>1865.232</v>
      </c>
      <c r="C1089" s="8">
        <v>-28.577999999999999</v>
      </c>
      <c r="D1089" s="268">
        <v>-1.5100000000000001E-2</v>
      </c>
      <c r="E1089" s="8">
        <v>52.21</v>
      </c>
      <c r="F1089" s="8">
        <v>128.68199999999999</v>
      </c>
      <c r="G1089" s="8">
        <v>117.46899999999999</v>
      </c>
      <c r="H1089" s="8">
        <v>87.8</v>
      </c>
      <c r="I1089" s="8">
        <v>175.28</v>
      </c>
      <c r="J1089" s="8">
        <v>79.95</v>
      </c>
      <c r="K1089" s="268">
        <v>0.46600000000000003</v>
      </c>
      <c r="L1089" s="268">
        <v>0.33739999999999998</v>
      </c>
      <c r="M1089" s="268">
        <v>-2.5399999999999999E-2</v>
      </c>
      <c r="N1089" s="8">
        <v>687.78</v>
      </c>
      <c r="O1089" s="8">
        <v>6906.56</v>
      </c>
      <c r="P1089" s="268">
        <v>9.9599999999999994E-2</v>
      </c>
      <c r="Q1089" s="8">
        <v>389</v>
      </c>
      <c r="R1089" s="8">
        <v>0</v>
      </c>
      <c r="S1089" s="8" t="s">
        <v>7134</v>
      </c>
      <c r="T1089" s="8" t="s">
        <v>7589</v>
      </c>
      <c r="U1089" s="8" t="s">
        <v>7590</v>
      </c>
      <c r="V1089" s="8" t="s">
        <v>7591</v>
      </c>
      <c r="W1089" s="8" t="s">
        <v>7592</v>
      </c>
    </row>
    <row r="1090" spans="1:23" ht="28" customHeight="1" x14ac:dyDescent="0.3">
      <c r="A1090" s="308">
        <v>44659</v>
      </c>
      <c r="B1090" s="302">
        <v>1893.81</v>
      </c>
      <c r="C1090" s="8">
        <v>-4.9370000000000003</v>
      </c>
      <c r="D1090" s="268">
        <v>-2.5999999999999999E-3</v>
      </c>
      <c r="E1090" s="8">
        <v>57.59</v>
      </c>
      <c r="F1090" s="8">
        <v>130.92699999999999</v>
      </c>
      <c r="G1090" s="8">
        <v>119.145</v>
      </c>
      <c r="H1090" s="8">
        <v>89.86</v>
      </c>
      <c r="I1090" s="8">
        <v>175.47</v>
      </c>
      <c r="J1090" s="8">
        <v>78.44</v>
      </c>
      <c r="K1090" s="268">
        <v>0.44540000000000002</v>
      </c>
      <c r="L1090" s="268">
        <v>0.31480000000000002</v>
      </c>
      <c r="M1090" s="268">
        <v>-2.9700000000000001E-2</v>
      </c>
      <c r="N1090" s="8">
        <v>749.55</v>
      </c>
      <c r="O1090" s="8">
        <v>6928.55</v>
      </c>
      <c r="P1090" s="268">
        <v>0.1082</v>
      </c>
      <c r="Q1090" s="8">
        <v>388</v>
      </c>
      <c r="R1090" s="8">
        <v>0</v>
      </c>
      <c r="S1090" s="8" t="s">
        <v>7593</v>
      </c>
      <c r="T1090" s="8" t="s">
        <v>7594</v>
      </c>
      <c r="U1090" s="8" t="s">
        <v>7595</v>
      </c>
      <c r="V1090" s="8" t="s">
        <v>7596</v>
      </c>
      <c r="W1090" s="8" t="s">
        <v>5393</v>
      </c>
    </row>
    <row r="1091" spans="1:23" ht="28" customHeight="1" x14ac:dyDescent="0.3">
      <c r="A1091" s="308">
        <v>44658</v>
      </c>
      <c r="B1091" s="302">
        <v>1898.7470000000001</v>
      </c>
      <c r="C1091" s="8">
        <v>-16.161999999999999</v>
      </c>
      <c r="D1091" s="268">
        <v>-8.3999999999999995E-3</v>
      </c>
      <c r="E1091" s="8">
        <v>57.77</v>
      </c>
      <c r="F1091" s="8">
        <v>131.494</v>
      </c>
      <c r="G1091" s="8">
        <v>119.289</v>
      </c>
      <c r="H1091" s="8">
        <v>90.64</v>
      </c>
      <c r="I1091" s="8">
        <v>175.32</v>
      </c>
      <c r="J1091" s="8">
        <v>75.81</v>
      </c>
      <c r="K1091" s="268">
        <v>0.43819999999999998</v>
      </c>
      <c r="L1091" s="268">
        <v>0.31840000000000002</v>
      </c>
      <c r="M1091" s="268">
        <v>-3.0499999999999999E-2</v>
      </c>
      <c r="N1091" s="8">
        <v>744.09</v>
      </c>
      <c r="O1091" s="8">
        <v>6930.31</v>
      </c>
      <c r="P1091" s="268">
        <v>0.1074</v>
      </c>
      <c r="Q1091" s="8">
        <v>388</v>
      </c>
      <c r="R1091" s="8">
        <v>0</v>
      </c>
      <c r="S1091" s="8" t="s">
        <v>7597</v>
      </c>
      <c r="T1091" s="8" t="s">
        <v>7598</v>
      </c>
      <c r="U1091" s="8" t="s">
        <v>7599</v>
      </c>
      <c r="V1091" s="8" t="s">
        <v>7600</v>
      </c>
      <c r="W1091" s="8" t="s">
        <v>7601</v>
      </c>
    </row>
    <row r="1092" spans="1:23" ht="28" customHeight="1" x14ac:dyDescent="0.3">
      <c r="A1092" s="308">
        <v>44657</v>
      </c>
      <c r="B1092" s="302">
        <v>1914.9090000000001</v>
      </c>
      <c r="C1092" s="8">
        <v>5.4039999999999999</v>
      </c>
      <c r="D1092" s="268">
        <v>2.8E-3</v>
      </c>
      <c r="E1092" s="8">
        <v>60.76</v>
      </c>
      <c r="F1092" s="8">
        <v>132.774</v>
      </c>
      <c r="G1092" s="8">
        <v>119.97499999999999</v>
      </c>
      <c r="H1092" s="8">
        <v>92.06</v>
      </c>
      <c r="I1092" s="8">
        <v>174.41</v>
      </c>
      <c r="J1092" s="8">
        <v>70.89</v>
      </c>
      <c r="K1092" s="268">
        <v>0.4163</v>
      </c>
      <c r="L1092" s="268">
        <v>0.30230000000000001</v>
      </c>
      <c r="M1092" s="268">
        <v>-3.3700000000000001E-2</v>
      </c>
      <c r="N1092" s="8">
        <v>664.13</v>
      </c>
      <c r="O1092" s="8">
        <v>6835.19</v>
      </c>
      <c r="P1092" s="268">
        <v>9.7199999999999995E-2</v>
      </c>
      <c r="Q1092" s="8">
        <v>386</v>
      </c>
      <c r="R1092" s="8">
        <v>0</v>
      </c>
      <c r="S1092" s="8" t="s">
        <v>7602</v>
      </c>
      <c r="T1092" s="8" t="s">
        <v>7603</v>
      </c>
      <c r="U1092" s="8" t="s">
        <v>6936</v>
      </c>
      <c r="V1092" s="8" t="s">
        <v>7604</v>
      </c>
      <c r="W1092" s="8" t="s">
        <v>7605</v>
      </c>
    </row>
    <row r="1093" spans="1:23" ht="28" customHeight="1" x14ac:dyDescent="0.3">
      <c r="A1093" s="308">
        <v>44652</v>
      </c>
      <c r="B1093" s="302">
        <v>1909.5050000000001</v>
      </c>
      <c r="C1093" s="8">
        <v>13.763</v>
      </c>
      <c r="D1093" s="268">
        <v>7.3000000000000001E-3</v>
      </c>
      <c r="E1093" s="8">
        <v>58.49</v>
      </c>
      <c r="F1093" s="8">
        <v>132.64500000000001</v>
      </c>
      <c r="G1093" s="8">
        <v>119.7</v>
      </c>
      <c r="H1093" s="8">
        <v>92.12</v>
      </c>
      <c r="I1093" s="8">
        <v>174.55</v>
      </c>
      <c r="J1093" s="8">
        <v>71.84</v>
      </c>
      <c r="K1093" s="268">
        <v>0.41899999999999998</v>
      </c>
      <c r="L1093" s="268">
        <v>0.30470000000000003</v>
      </c>
      <c r="M1093" s="268">
        <v>-3.2399999999999998E-2</v>
      </c>
      <c r="N1093" s="8">
        <v>784.9</v>
      </c>
      <c r="O1093" s="8">
        <v>6842.49</v>
      </c>
      <c r="P1093" s="268">
        <v>0.1147</v>
      </c>
      <c r="Q1093" s="8">
        <v>387</v>
      </c>
      <c r="R1093" s="8">
        <v>0</v>
      </c>
      <c r="S1093" s="8" t="s">
        <v>7606</v>
      </c>
      <c r="T1093" s="8" t="s">
        <v>7607</v>
      </c>
      <c r="U1093" s="8" t="s">
        <v>7608</v>
      </c>
      <c r="V1093" s="8" t="s">
        <v>7609</v>
      </c>
      <c r="W1093" s="8" t="s">
        <v>7610</v>
      </c>
    </row>
    <row r="1094" spans="1:23" ht="28" customHeight="1" x14ac:dyDescent="0.3">
      <c r="A1094" s="308">
        <v>44651</v>
      </c>
      <c r="B1094" s="302">
        <v>1895.742</v>
      </c>
      <c r="C1094" s="8">
        <v>-2.411</v>
      </c>
      <c r="D1094" s="268">
        <v>-1.2999999999999999E-3</v>
      </c>
      <c r="E1094" s="8">
        <v>55.86</v>
      </c>
      <c r="F1094" s="8">
        <v>131.655</v>
      </c>
      <c r="G1094" s="8">
        <v>118.53</v>
      </c>
      <c r="H1094" s="8">
        <v>91.44</v>
      </c>
      <c r="I1094" s="8">
        <v>172.41</v>
      </c>
      <c r="J1094" s="8">
        <v>68.61</v>
      </c>
      <c r="K1094" s="268">
        <v>0.40749999999999997</v>
      </c>
      <c r="L1094" s="268">
        <v>0.29049999999999998</v>
      </c>
      <c r="M1094" s="268">
        <v>-3.0200000000000001E-2</v>
      </c>
      <c r="N1094" s="8">
        <v>796.35</v>
      </c>
      <c r="O1094" s="8">
        <v>6839.47</v>
      </c>
      <c r="P1094" s="268">
        <v>0.1164</v>
      </c>
      <c r="Q1094" s="8">
        <v>386</v>
      </c>
      <c r="R1094" s="8">
        <v>0</v>
      </c>
      <c r="S1094" s="8" t="s">
        <v>7153</v>
      </c>
      <c r="T1094" s="8" t="s">
        <v>7611</v>
      </c>
      <c r="U1094" s="8" t="s">
        <v>7612</v>
      </c>
      <c r="V1094" s="8" t="s">
        <v>7613</v>
      </c>
      <c r="W1094" s="8" t="s">
        <v>5618</v>
      </c>
    </row>
    <row r="1095" spans="1:23" ht="28" customHeight="1" x14ac:dyDescent="0.3">
      <c r="A1095" s="308">
        <v>44650</v>
      </c>
      <c r="B1095" s="302">
        <v>1898.153</v>
      </c>
      <c r="C1095" s="8">
        <v>27.388000000000002</v>
      </c>
      <c r="D1095" s="268">
        <v>1.46E-2</v>
      </c>
      <c r="E1095" s="8">
        <v>55.95</v>
      </c>
      <c r="F1095" s="8">
        <v>131.97</v>
      </c>
      <c r="G1095" s="8">
        <v>118.07</v>
      </c>
      <c r="H1095" s="8">
        <v>91.22</v>
      </c>
      <c r="I1095" s="8">
        <v>172.38</v>
      </c>
      <c r="J1095" s="8">
        <v>67.569999999999993</v>
      </c>
      <c r="K1095" s="268">
        <v>0.40410000000000001</v>
      </c>
      <c r="L1095" s="268">
        <v>0.28789999999999999</v>
      </c>
      <c r="M1095" s="268">
        <v>-3.04E-2</v>
      </c>
      <c r="N1095" s="8">
        <v>736.04</v>
      </c>
      <c r="O1095" s="8">
        <v>6877.04</v>
      </c>
      <c r="P1095" s="268">
        <v>0.107</v>
      </c>
      <c r="Q1095" s="8">
        <v>386</v>
      </c>
      <c r="R1095" s="8">
        <v>0</v>
      </c>
      <c r="S1095" s="8" t="s">
        <v>7614</v>
      </c>
      <c r="T1095" s="8" t="s">
        <v>7615</v>
      </c>
      <c r="U1095" s="8" t="s">
        <v>7616</v>
      </c>
      <c r="V1095" s="8" t="s">
        <v>7617</v>
      </c>
      <c r="W1095" s="8" t="s">
        <v>7618</v>
      </c>
    </row>
    <row r="1096" spans="1:23" ht="28" customHeight="1" x14ac:dyDescent="0.3">
      <c r="A1096" s="308">
        <v>44649</v>
      </c>
      <c r="B1096" s="302">
        <v>1870.7650000000001</v>
      </c>
      <c r="C1096" s="8">
        <v>-5.61</v>
      </c>
      <c r="D1096" s="268">
        <v>-3.0000000000000001E-3</v>
      </c>
      <c r="E1096" s="8">
        <v>51.32</v>
      </c>
      <c r="F1096" s="8">
        <v>129.887</v>
      </c>
      <c r="G1096" s="8">
        <v>116.779</v>
      </c>
      <c r="H1096" s="8">
        <v>89.63</v>
      </c>
      <c r="I1096" s="8">
        <v>170.99</v>
      </c>
      <c r="J1096" s="8">
        <v>68.39</v>
      </c>
      <c r="K1096" s="268">
        <v>0.41110000000000002</v>
      </c>
      <c r="L1096" s="268">
        <v>0.29239999999999999</v>
      </c>
      <c r="M1096" s="268">
        <v>-2.6499999999999999E-2</v>
      </c>
      <c r="N1096" s="8">
        <v>762.03</v>
      </c>
      <c r="O1096" s="8">
        <v>6880.3</v>
      </c>
      <c r="P1096" s="268">
        <v>0.1108</v>
      </c>
      <c r="Q1096" s="8">
        <v>386</v>
      </c>
      <c r="R1096" s="8">
        <v>0</v>
      </c>
      <c r="S1096" s="8" t="s">
        <v>7619</v>
      </c>
      <c r="T1096" s="8" t="s">
        <v>7620</v>
      </c>
      <c r="U1096" s="8" t="s">
        <v>7621</v>
      </c>
      <c r="V1096" s="8" t="s">
        <v>7622</v>
      </c>
      <c r="W1096" s="8" t="s">
        <v>7623</v>
      </c>
    </row>
    <row r="1097" spans="1:23" ht="28" customHeight="1" x14ac:dyDescent="0.3">
      <c r="A1097" s="308">
        <v>44648</v>
      </c>
      <c r="B1097" s="302">
        <v>1876.375</v>
      </c>
      <c r="C1097" s="8">
        <v>-13.074999999999999</v>
      </c>
      <c r="D1097" s="268">
        <v>-6.8999999999999999E-3</v>
      </c>
      <c r="E1097" s="8">
        <v>52.71</v>
      </c>
      <c r="F1097" s="8">
        <v>130.18799999999999</v>
      </c>
      <c r="G1097" s="8">
        <v>117.706</v>
      </c>
      <c r="H1097" s="8">
        <v>90.55</v>
      </c>
      <c r="I1097" s="8">
        <v>170.51</v>
      </c>
      <c r="J1097" s="8">
        <v>68.3</v>
      </c>
      <c r="K1097" s="268">
        <v>0.4032</v>
      </c>
      <c r="L1097" s="268">
        <v>0.28560000000000002</v>
      </c>
      <c r="M1097" s="268">
        <v>-2.76E-2</v>
      </c>
      <c r="N1097" s="8">
        <v>656.82</v>
      </c>
      <c r="O1097" s="8">
        <v>6882.98</v>
      </c>
      <c r="P1097" s="268">
        <v>9.5399999999999999E-2</v>
      </c>
      <c r="Q1097" s="8">
        <v>386</v>
      </c>
      <c r="R1097" s="8">
        <v>0</v>
      </c>
      <c r="S1097" s="8" t="s">
        <v>4097</v>
      </c>
      <c r="T1097" s="8" t="s">
        <v>7624</v>
      </c>
      <c r="U1097" s="8" t="s">
        <v>7625</v>
      </c>
      <c r="V1097" s="8" t="s">
        <v>7626</v>
      </c>
      <c r="W1097" s="8" t="s">
        <v>7627</v>
      </c>
    </row>
    <row r="1098" spans="1:23" ht="28" customHeight="1" x14ac:dyDescent="0.3">
      <c r="A1098" s="308">
        <v>44645</v>
      </c>
      <c r="B1098" s="302">
        <v>1889.45</v>
      </c>
      <c r="C1098" s="8">
        <v>-19.741</v>
      </c>
      <c r="D1098" s="268">
        <v>-1.03E-2</v>
      </c>
      <c r="E1098" s="8">
        <v>56</v>
      </c>
      <c r="F1098" s="8">
        <v>131.20599999999999</v>
      </c>
      <c r="G1098" s="8">
        <v>118.035</v>
      </c>
      <c r="H1098" s="8">
        <v>90.83</v>
      </c>
      <c r="I1098" s="8">
        <v>171.98</v>
      </c>
      <c r="J1098" s="8">
        <v>68.89</v>
      </c>
      <c r="K1098" s="268">
        <v>0.40770000000000001</v>
      </c>
      <c r="L1098" s="268">
        <v>0.2989</v>
      </c>
      <c r="M1098" s="268">
        <v>-2.9600000000000001E-2</v>
      </c>
      <c r="N1098" s="8">
        <v>829.65</v>
      </c>
      <c r="O1098" s="8">
        <v>6886.13</v>
      </c>
      <c r="P1098" s="268">
        <v>0.1205</v>
      </c>
      <c r="Q1098" s="8">
        <v>386</v>
      </c>
      <c r="R1098" s="8">
        <v>0</v>
      </c>
      <c r="S1098" s="8" t="s">
        <v>7628</v>
      </c>
      <c r="T1098" s="8" t="s">
        <v>7629</v>
      </c>
      <c r="U1098" s="8" t="s">
        <v>7630</v>
      </c>
      <c r="V1098" s="8" t="s">
        <v>7631</v>
      </c>
      <c r="W1098" s="8" t="s">
        <v>7632</v>
      </c>
    </row>
    <row r="1099" spans="1:23" ht="28" customHeight="1" x14ac:dyDescent="0.3">
      <c r="A1099" s="308">
        <v>44644</v>
      </c>
      <c r="B1099" s="302">
        <v>1909.191</v>
      </c>
      <c r="C1099" s="8">
        <v>-26.068000000000001</v>
      </c>
      <c r="D1099" s="268">
        <v>-1.35E-2</v>
      </c>
      <c r="E1099" s="8">
        <v>59.5</v>
      </c>
      <c r="F1099" s="8">
        <v>132.72399999999999</v>
      </c>
      <c r="G1099" s="8">
        <v>119</v>
      </c>
      <c r="H1099" s="8">
        <v>91.48</v>
      </c>
      <c r="I1099" s="8">
        <v>174.23</v>
      </c>
      <c r="J1099" s="8">
        <v>73.23</v>
      </c>
      <c r="K1099" s="268">
        <v>0.41510000000000002</v>
      </c>
      <c r="L1099" s="268">
        <v>0.30969999999999998</v>
      </c>
      <c r="M1099" s="268">
        <v>-3.2199999999999999E-2</v>
      </c>
      <c r="N1099" s="8">
        <v>768.77</v>
      </c>
      <c r="O1099" s="8">
        <v>6881.75</v>
      </c>
      <c r="P1099" s="268">
        <v>0.11169999999999999</v>
      </c>
      <c r="Q1099" s="8">
        <v>385</v>
      </c>
      <c r="R1099" s="8">
        <v>0</v>
      </c>
      <c r="S1099" s="8" t="s">
        <v>6147</v>
      </c>
      <c r="T1099" s="8" t="s">
        <v>7633</v>
      </c>
      <c r="U1099" s="8" t="s">
        <v>7634</v>
      </c>
      <c r="V1099" s="8" t="s">
        <v>7635</v>
      </c>
      <c r="W1099" s="8" t="s">
        <v>7636</v>
      </c>
    </row>
    <row r="1100" spans="1:23" ht="28" customHeight="1" x14ac:dyDescent="0.3">
      <c r="A1100" s="308">
        <v>44643</v>
      </c>
      <c r="B1100" s="302">
        <v>1935.259</v>
      </c>
      <c r="C1100" s="8">
        <v>-3.9950000000000001</v>
      </c>
      <c r="D1100" s="268">
        <v>-2.0999999999999999E-3</v>
      </c>
      <c r="E1100" s="8">
        <v>64.849999999999994</v>
      </c>
      <c r="F1100" s="8">
        <v>134.773</v>
      </c>
      <c r="G1100" s="8">
        <v>121</v>
      </c>
      <c r="H1100" s="8">
        <v>92.19</v>
      </c>
      <c r="I1100" s="8">
        <v>176.34</v>
      </c>
      <c r="J1100" s="8">
        <v>74.38</v>
      </c>
      <c r="K1100" s="268">
        <v>0.41570000000000001</v>
      </c>
      <c r="L1100" s="268">
        <v>0.307</v>
      </c>
      <c r="M1100" s="268">
        <v>-3.61E-2</v>
      </c>
      <c r="N1100" s="8">
        <v>812.9</v>
      </c>
      <c r="O1100" s="8">
        <v>6784.1</v>
      </c>
      <c r="P1100" s="268">
        <v>0.1198</v>
      </c>
      <c r="Q1100" s="8">
        <v>383</v>
      </c>
      <c r="R1100" s="8">
        <v>0</v>
      </c>
      <c r="S1100" s="8" t="s">
        <v>7637</v>
      </c>
      <c r="T1100" s="8" t="s">
        <v>7638</v>
      </c>
      <c r="U1100" s="8" t="s">
        <v>7639</v>
      </c>
      <c r="V1100" s="8" t="s">
        <v>7640</v>
      </c>
      <c r="W1100" s="8" t="s">
        <v>7641</v>
      </c>
    </row>
    <row r="1101" spans="1:23" ht="28" customHeight="1" x14ac:dyDescent="0.3">
      <c r="A1101" s="308">
        <v>44642</v>
      </c>
      <c r="B1101" s="302">
        <v>1939.2539999999999</v>
      </c>
      <c r="C1101" s="8">
        <v>-6.6550000000000002</v>
      </c>
      <c r="D1101" s="268">
        <v>-3.3999999999999998E-3</v>
      </c>
      <c r="E1101" s="8">
        <v>65.959999999999994</v>
      </c>
      <c r="F1101" s="8">
        <v>135.089</v>
      </c>
      <c r="G1101" s="8">
        <v>120.81399999999999</v>
      </c>
      <c r="H1101" s="8">
        <v>92.03</v>
      </c>
      <c r="I1101" s="8">
        <v>177.24</v>
      </c>
      <c r="J1101" s="8">
        <v>75.03</v>
      </c>
      <c r="K1101" s="268">
        <v>0.42149999999999999</v>
      </c>
      <c r="L1101" s="268">
        <v>0.31380000000000002</v>
      </c>
      <c r="M1101" s="268">
        <v>-3.6499999999999998E-2</v>
      </c>
      <c r="N1101" s="8">
        <v>793.79</v>
      </c>
      <c r="O1101" s="8">
        <v>6785.68</v>
      </c>
      <c r="P1101" s="268">
        <v>0.11700000000000001</v>
      </c>
      <c r="Q1101" s="8">
        <v>382</v>
      </c>
      <c r="R1101" s="8">
        <v>0</v>
      </c>
      <c r="S1101" s="8" t="s">
        <v>7642</v>
      </c>
      <c r="T1101" s="8" t="s">
        <v>7643</v>
      </c>
      <c r="U1101" s="8" t="s">
        <v>7644</v>
      </c>
      <c r="V1101" s="8" t="s">
        <v>7645</v>
      </c>
      <c r="W1101" s="8" t="s">
        <v>7646</v>
      </c>
    </row>
    <row r="1102" spans="1:23" ht="28" customHeight="1" x14ac:dyDescent="0.3">
      <c r="A1102" s="308">
        <v>44641</v>
      </c>
      <c r="B1102" s="302">
        <v>1945.9090000000001</v>
      </c>
      <c r="C1102" s="8">
        <v>9.7390000000000008</v>
      </c>
      <c r="D1102" s="268">
        <v>5.0000000000000001E-3</v>
      </c>
      <c r="E1102" s="8">
        <v>66.19</v>
      </c>
      <c r="F1102" s="8">
        <v>135.71899999999999</v>
      </c>
      <c r="G1102" s="8">
        <v>120.93</v>
      </c>
      <c r="H1102" s="8">
        <v>91.97</v>
      </c>
      <c r="I1102" s="8">
        <v>177.67</v>
      </c>
      <c r="J1102" s="8">
        <v>77.709999999999994</v>
      </c>
      <c r="K1102" s="268">
        <v>0.41949999999999998</v>
      </c>
      <c r="L1102" s="268">
        <v>0.31530000000000002</v>
      </c>
      <c r="M1102" s="268">
        <v>-3.7499999999999999E-2</v>
      </c>
      <c r="N1102" s="8">
        <v>914.7</v>
      </c>
      <c r="O1102" s="8">
        <v>6789.54</v>
      </c>
      <c r="P1102" s="268">
        <v>0.13469999999999999</v>
      </c>
      <c r="Q1102" s="8">
        <v>383</v>
      </c>
      <c r="R1102" s="8">
        <v>0</v>
      </c>
      <c r="S1102" s="8" t="s">
        <v>3668</v>
      </c>
      <c r="T1102" s="8" t="s">
        <v>7647</v>
      </c>
      <c r="U1102" s="8" t="s">
        <v>7648</v>
      </c>
      <c r="V1102" s="8" t="s">
        <v>7649</v>
      </c>
      <c r="W1102" s="8" t="s">
        <v>7650</v>
      </c>
    </row>
    <row r="1103" spans="1:23" ht="28" customHeight="1" x14ac:dyDescent="0.3">
      <c r="A1103" s="308">
        <v>44638</v>
      </c>
      <c r="B1103" s="302">
        <v>1936.17</v>
      </c>
      <c r="C1103" s="8">
        <v>15.881</v>
      </c>
      <c r="D1103" s="268">
        <v>8.3000000000000001E-3</v>
      </c>
      <c r="E1103" s="8">
        <v>65.489999999999995</v>
      </c>
      <c r="F1103" s="8">
        <v>134.94900000000001</v>
      </c>
      <c r="G1103" s="8">
        <v>120.842</v>
      </c>
      <c r="H1103" s="8">
        <v>91.54</v>
      </c>
      <c r="I1103" s="8">
        <v>177.86</v>
      </c>
      <c r="J1103" s="8">
        <v>78.92</v>
      </c>
      <c r="K1103" s="268">
        <v>0.42909999999999998</v>
      </c>
      <c r="L1103" s="268">
        <v>0.32779999999999998</v>
      </c>
      <c r="M1103" s="268">
        <v>-3.5799999999999998E-2</v>
      </c>
      <c r="N1103" s="8">
        <v>892.07</v>
      </c>
      <c r="O1103" s="8">
        <v>6674.59</v>
      </c>
      <c r="P1103" s="268">
        <v>0.13370000000000001</v>
      </c>
      <c r="Q1103" s="8">
        <v>382</v>
      </c>
      <c r="R1103" s="8">
        <v>0</v>
      </c>
      <c r="S1103" s="8" t="s">
        <v>6275</v>
      </c>
      <c r="T1103" s="8" t="s">
        <v>7651</v>
      </c>
      <c r="U1103" s="8" t="s">
        <v>7652</v>
      </c>
      <c r="V1103" s="8" t="s">
        <v>7653</v>
      </c>
      <c r="W1103" s="8" t="s">
        <v>7654</v>
      </c>
    </row>
    <row r="1104" spans="1:23" ht="28" customHeight="1" x14ac:dyDescent="0.3">
      <c r="A1104" s="308">
        <v>44637</v>
      </c>
      <c r="B1104" s="302">
        <v>1920.289</v>
      </c>
      <c r="C1104" s="8">
        <v>30.39</v>
      </c>
      <c r="D1104" s="268">
        <v>1.61E-2</v>
      </c>
      <c r="E1104" s="8">
        <v>63.1</v>
      </c>
      <c r="F1104" s="8">
        <v>134.119</v>
      </c>
      <c r="G1104" s="8">
        <v>119.685</v>
      </c>
      <c r="H1104" s="8">
        <v>90.16</v>
      </c>
      <c r="I1104" s="8">
        <v>177.48</v>
      </c>
      <c r="J1104" s="8">
        <v>79.81</v>
      </c>
      <c r="K1104" s="268">
        <v>0.43359999999999999</v>
      </c>
      <c r="L1104" s="268">
        <v>0.32700000000000001</v>
      </c>
      <c r="M1104" s="268">
        <v>-3.1899999999999998E-2</v>
      </c>
      <c r="N1104" s="8">
        <v>1106.27</v>
      </c>
      <c r="O1104" s="8">
        <v>6682.84</v>
      </c>
      <c r="P1104" s="268">
        <v>0.16550000000000001</v>
      </c>
      <c r="Q1104" s="8">
        <v>383</v>
      </c>
      <c r="R1104" s="8">
        <v>0</v>
      </c>
      <c r="S1104" s="8" t="s">
        <v>3610</v>
      </c>
      <c r="T1104" s="8" t="s">
        <v>7655</v>
      </c>
      <c r="U1104" s="8" t="s">
        <v>7656</v>
      </c>
      <c r="V1104" s="8" t="s">
        <v>7657</v>
      </c>
      <c r="W1104" s="8" t="s">
        <v>7658</v>
      </c>
    </row>
    <row r="1105" spans="1:23" ht="28" customHeight="1" x14ac:dyDescent="0.3">
      <c r="A1105" s="308">
        <v>44636</v>
      </c>
      <c r="B1105" s="302">
        <v>1889.8989999999999</v>
      </c>
      <c r="C1105" s="8">
        <v>31.719000000000001</v>
      </c>
      <c r="D1105" s="268">
        <v>1.7100000000000001E-2</v>
      </c>
      <c r="E1105" s="8">
        <v>58.44</v>
      </c>
      <c r="F1105" s="8">
        <v>131.85599999999999</v>
      </c>
      <c r="G1105" s="8">
        <v>118.02</v>
      </c>
      <c r="H1105" s="8">
        <v>89.06</v>
      </c>
      <c r="I1105" s="8">
        <v>175.73</v>
      </c>
      <c r="J1105" s="8">
        <v>81.42</v>
      </c>
      <c r="K1105" s="268">
        <v>0.43880000000000002</v>
      </c>
      <c r="L1105" s="268">
        <v>0.32929999999999998</v>
      </c>
      <c r="M1105" s="268">
        <v>-2.8799999999999999E-2</v>
      </c>
      <c r="N1105" s="8">
        <v>1035.8900000000001</v>
      </c>
      <c r="O1105" s="8">
        <v>6685.04</v>
      </c>
      <c r="P1105" s="268">
        <v>0.155</v>
      </c>
      <c r="Q1105" s="8">
        <v>383</v>
      </c>
      <c r="R1105" s="8">
        <v>0</v>
      </c>
      <c r="S1105" s="8" t="s">
        <v>2546</v>
      </c>
      <c r="T1105" s="8" t="s">
        <v>7659</v>
      </c>
      <c r="U1105" s="8" t="s">
        <v>7660</v>
      </c>
      <c r="V1105" s="8" t="s">
        <v>7661</v>
      </c>
      <c r="W1105" s="8" t="s">
        <v>7662</v>
      </c>
    </row>
    <row r="1106" spans="1:23" ht="28" x14ac:dyDescent="0.3">
      <c r="A1106" s="308">
        <v>44635</v>
      </c>
      <c r="B1106" s="302">
        <v>1858.18</v>
      </c>
      <c r="C1106" s="8">
        <v>-36.722999999999999</v>
      </c>
      <c r="D1106" s="268">
        <v>-1.9400000000000001E-2</v>
      </c>
      <c r="E1106" s="8">
        <v>53.39</v>
      </c>
      <c r="F1106" s="8">
        <v>129.40899999999999</v>
      </c>
      <c r="G1106" s="8">
        <v>115.68600000000001</v>
      </c>
      <c r="H1106" s="8">
        <v>87.15</v>
      </c>
      <c r="I1106" s="8">
        <v>175.41</v>
      </c>
      <c r="J1106" s="8">
        <v>85.67</v>
      </c>
      <c r="K1106" s="268">
        <v>0.46</v>
      </c>
      <c r="L1106" s="268">
        <v>0.33900000000000002</v>
      </c>
      <c r="M1106" s="268">
        <v>-2.4E-2</v>
      </c>
      <c r="N1106" s="8">
        <v>873.76</v>
      </c>
      <c r="O1106" s="8">
        <v>6681.47</v>
      </c>
      <c r="P1106" s="268">
        <v>0.1308</v>
      </c>
      <c r="Q1106" s="8">
        <v>382</v>
      </c>
      <c r="R1106" s="8">
        <v>0</v>
      </c>
      <c r="S1106" s="8" t="s">
        <v>7663</v>
      </c>
      <c r="T1106" s="8" t="s">
        <v>7664</v>
      </c>
      <c r="U1106" s="8" t="s">
        <v>7665</v>
      </c>
      <c r="V1106" s="8" t="s">
        <v>7666</v>
      </c>
      <c r="W1106" s="8" t="s">
        <v>7667</v>
      </c>
    </row>
    <row r="1107" spans="1:23" ht="28" x14ac:dyDescent="0.3">
      <c r="A1107" s="308">
        <v>44634</v>
      </c>
      <c r="B1107" s="302">
        <v>1894.903</v>
      </c>
      <c r="C1107" s="8">
        <v>-14.146000000000001</v>
      </c>
      <c r="D1107" s="268">
        <v>-7.4000000000000003E-3</v>
      </c>
      <c r="E1107" s="8">
        <v>60.27</v>
      </c>
      <c r="F1107" s="8">
        <v>131.99</v>
      </c>
      <c r="G1107" s="8">
        <v>118.125</v>
      </c>
      <c r="H1107" s="8">
        <v>91.46</v>
      </c>
      <c r="I1107" s="8">
        <v>173.11</v>
      </c>
      <c r="J1107" s="8">
        <v>72.58</v>
      </c>
      <c r="K1107" s="268">
        <v>0.41120000000000001</v>
      </c>
      <c r="L1107" s="268">
        <v>0.29959999999999998</v>
      </c>
      <c r="M1107" s="268">
        <v>-2.98E-2</v>
      </c>
      <c r="N1107" s="8">
        <v>769.21</v>
      </c>
      <c r="O1107" s="8">
        <v>6682.02</v>
      </c>
      <c r="P1107" s="268">
        <v>0.11509999999999999</v>
      </c>
      <c r="Q1107" s="8">
        <v>382</v>
      </c>
      <c r="R1107" s="8">
        <v>0</v>
      </c>
      <c r="S1107" s="8" t="s">
        <v>7668</v>
      </c>
      <c r="T1107" s="8" t="s">
        <v>7669</v>
      </c>
      <c r="U1107" s="8" t="s">
        <v>7670</v>
      </c>
      <c r="V1107" s="8" t="s">
        <v>7671</v>
      </c>
      <c r="W1107" s="8" t="s">
        <v>7672</v>
      </c>
    </row>
    <row r="1108" spans="1:23" ht="28" x14ac:dyDescent="0.3">
      <c r="A1108" s="308">
        <v>44631</v>
      </c>
      <c r="B1108" s="302">
        <v>1909.049</v>
      </c>
      <c r="C1108" s="8">
        <v>-1.1839999999999999</v>
      </c>
      <c r="D1108" s="268">
        <v>-5.9999999999999995E-4</v>
      </c>
      <c r="E1108" s="8">
        <v>61.87</v>
      </c>
      <c r="F1108" s="8">
        <v>133.09399999999999</v>
      </c>
      <c r="G1108" s="8">
        <v>118.477</v>
      </c>
      <c r="H1108" s="8">
        <v>94.07</v>
      </c>
      <c r="I1108" s="8">
        <v>171.42</v>
      </c>
      <c r="J1108" s="8">
        <v>62.16</v>
      </c>
      <c r="K1108" s="268">
        <v>0.38329999999999997</v>
      </c>
      <c r="L1108" s="268">
        <v>0.26579999999999998</v>
      </c>
      <c r="M1108" s="268">
        <v>-3.1600000000000003E-2</v>
      </c>
      <c r="N1108" s="8">
        <v>898.65</v>
      </c>
      <c r="O1108" s="8">
        <v>6676.17</v>
      </c>
      <c r="P1108" s="268">
        <v>0.1346</v>
      </c>
      <c r="Q1108" s="8">
        <v>381</v>
      </c>
      <c r="R1108" s="8">
        <v>0</v>
      </c>
      <c r="S1108" s="8" t="s">
        <v>7673</v>
      </c>
      <c r="T1108" s="8" t="s">
        <v>7674</v>
      </c>
      <c r="U1108" s="8" t="s">
        <v>7675</v>
      </c>
      <c r="V1108" s="8" t="s">
        <v>7676</v>
      </c>
      <c r="W1108" s="8" t="s">
        <v>7677</v>
      </c>
    </row>
    <row r="1109" spans="1:23" ht="28" x14ac:dyDescent="0.3">
      <c r="A1109" s="308">
        <v>44630</v>
      </c>
      <c r="B1109" s="302">
        <v>1910.2329999999999</v>
      </c>
      <c r="C1109" s="8">
        <v>37.546999999999997</v>
      </c>
      <c r="D1109" s="268">
        <v>0.02</v>
      </c>
      <c r="E1109" s="8">
        <v>62.21</v>
      </c>
      <c r="F1109" s="8">
        <v>133.333</v>
      </c>
      <c r="G1109" s="8">
        <v>118.99</v>
      </c>
      <c r="H1109" s="8">
        <v>93.26</v>
      </c>
      <c r="I1109" s="8">
        <v>172.97</v>
      </c>
      <c r="J1109" s="8">
        <v>66.040000000000006</v>
      </c>
      <c r="K1109" s="268">
        <v>0.39629999999999999</v>
      </c>
      <c r="L1109" s="268">
        <v>0.27410000000000001</v>
      </c>
      <c r="M1109" s="268">
        <v>-3.1699999999999999E-2</v>
      </c>
      <c r="N1109" s="8">
        <v>971.51</v>
      </c>
      <c r="O1109" s="8">
        <v>6669.71</v>
      </c>
      <c r="P1109" s="268">
        <v>0.1457</v>
      </c>
      <c r="Q1109" s="8">
        <v>380</v>
      </c>
      <c r="R1109" s="8">
        <v>0</v>
      </c>
      <c r="S1109" s="8" t="s">
        <v>7678</v>
      </c>
      <c r="T1109" s="8" t="s">
        <v>7679</v>
      </c>
      <c r="U1109" s="8" t="s">
        <v>7680</v>
      </c>
      <c r="V1109" s="8" t="s">
        <v>7681</v>
      </c>
      <c r="W1109" s="8" t="s">
        <v>7682</v>
      </c>
    </row>
    <row r="1110" spans="1:23" ht="28" x14ac:dyDescent="0.3">
      <c r="A1110" s="308">
        <v>44629</v>
      </c>
      <c r="B1110" s="302">
        <v>1872.6859999999999</v>
      </c>
      <c r="C1110" s="8">
        <v>-16.187999999999999</v>
      </c>
      <c r="D1110" s="268">
        <v>-8.6E-3</v>
      </c>
      <c r="E1110" s="8">
        <v>55.23</v>
      </c>
      <c r="F1110" s="8">
        <v>130.65299999999999</v>
      </c>
      <c r="G1110" s="8">
        <v>116.018</v>
      </c>
      <c r="H1110" s="8">
        <v>91.1</v>
      </c>
      <c r="I1110" s="8">
        <v>170.31</v>
      </c>
      <c r="J1110" s="8">
        <v>63.09</v>
      </c>
      <c r="K1110" s="268">
        <v>0.39660000000000001</v>
      </c>
      <c r="L1110" s="268">
        <v>0.27210000000000001</v>
      </c>
      <c r="M1110" s="268">
        <v>-2.6200000000000001E-2</v>
      </c>
      <c r="N1110" s="8">
        <v>1029.72</v>
      </c>
      <c r="O1110" s="8">
        <v>6653.19</v>
      </c>
      <c r="P1110" s="268">
        <v>0.15479999999999999</v>
      </c>
      <c r="Q1110" s="8">
        <v>379</v>
      </c>
      <c r="R1110" s="8">
        <v>0</v>
      </c>
      <c r="S1110" s="8" t="s">
        <v>7683</v>
      </c>
      <c r="T1110" s="8" t="s">
        <v>7684</v>
      </c>
      <c r="U1110" s="8" t="s">
        <v>7685</v>
      </c>
      <c r="V1110" s="8" t="s">
        <v>7686</v>
      </c>
      <c r="W1110" s="8" t="s">
        <v>7687</v>
      </c>
    </row>
    <row r="1111" spans="1:23" x14ac:dyDescent="0.3">
      <c r="A1111" s="308">
        <v>44628</v>
      </c>
      <c r="B1111" s="302">
        <v>1888.874</v>
      </c>
      <c r="C1111" s="8">
        <v>-51.039000000000001</v>
      </c>
      <c r="D1111" s="268">
        <v>-2.63E-2</v>
      </c>
      <c r="E1111" s="8">
        <v>59.25</v>
      </c>
      <c r="F1111" s="8">
        <v>131.83199999999999</v>
      </c>
      <c r="G1111" s="8">
        <v>117.9</v>
      </c>
      <c r="H1111" s="8">
        <v>92.96</v>
      </c>
      <c r="I1111" s="8">
        <v>170.68</v>
      </c>
      <c r="J1111" s="8">
        <v>61.1</v>
      </c>
      <c r="K1111" s="268">
        <v>0.38850000000000001</v>
      </c>
      <c r="L1111" s="268">
        <v>0.26569999999999999</v>
      </c>
      <c r="M1111" s="268">
        <v>-2.76E-2</v>
      </c>
      <c r="N1111" s="8">
        <v>1071.71</v>
      </c>
      <c r="O1111" s="8">
        <v>6676.29</v>
      </c>
      <c r="P1111" s="268">
        <v>0.1605</v>
      </c>
      <c r="Q1111" s="8">
        <v>381</v>
      </c>
      <c r="R1111" s="8">
        <v>0</v>
      </c>
      <c r="S1111" s="8">
        <v>0</v>
      </c>
      <c r="T1111" s="8" t="s">
        <v>7688</v>
      </c>
      <c r="U1111" s="8" t="s">
        <v>7689</v>
      </c>
      <c r="V1111" s="8" t="s">
        <v>7690</v>
      </c>
      <c r="W1111" s="8" t="s">
        <v>7691</v>
      </c>
    </row>
    <row r="1112" spans="1:23" x14ac:dyDescent="0.3">
      <c r="A1112" s="308">
        <v>44627</v>
      </c>
      <c r="B1112" s="302">
        <v>1939.913</v>
      </c>
      <c r="C1112" s="8">
        <v>-47.722999999999999</v>
      </c>
      <c r="D1112" s="268">
        <v>-2.4E-2</v>
      </c>
      <c r="E1112" s="8">
        <v>66.81</v>
      </c>
      <c r="F1112" s="8">
        <v>135.934</v>
      </c>
      <c r="G1112" s="8">
        <v>120.565</v>
      </c>
      <c r="H1112" s="8">
        <v>95.27</v>
      </c>
      <c r="I1112" s="8">
        <v>173.91</v>
      </c>
      <c r="J1112" s="8">
        <v>59.3</v>
      </c>
      <c r="K1112" s="268">
        <v>0.37980000000000003</v>
      </c>
      <c r="L1112" s="268">
        <v>0.25219999999999998</v>
      </c>
      <c r="M1112" s="268">
        <v>-3.5299999999999998E-2</v>
      </c>
      <c r="N1112" s="8">
        <v>853.53</v>
      </c>
      <c r="O1112" s="8">
        <v>6687.99</v>
      </c>
      <c r="P1112" s="268">
        <v>0.12759999999999999</v>
      </c>
      <c r="Q1112" s="8">
        <v>382</v>
      </c>
      <c r="R1112" s="8">
        <v>0</v>
      </c>
      <c r="S1112" s="8">
        <v>0</v>
      </c>
      <c r="T1112" s="8" t="s">
        <v>7692</v>
      </c>
      <c r="U1112" s="8" t="s">
        <v>7693</v>
      </c>
      <c r="V1112" s="8" t="s">
        <v>7694</v>
      </c>
      <c r="W1112" s="8" t="s">
        <v>7695</v>
      </c>
    </row>
    <row r="1113" spans="1:23" ht="28" customHeight="1" x14ac:dyDescent="0.3">
      <c r="A1113" s="308">
        <v>44624</v>
      </c>
      <c r="B1113" s="302">
        <v>1987.636</v>
      </c>
      <c r="C1113" s="8">
        <v>-31.251999999999999</v>
      </c>
      <c r="D1113" s="268">
        <v>-1.55E-2</v>
      </c>
      <c r="E1113" s="8">
        <v>72.84</v>
      </c>
      <c r="F1113" s="8">
        <v>139.50800000000001</v>
      </c>
      <c r="G1113" s="8">
        <v>124.2</v>
      </c>
      <c r="H1113" s="8">
        <v>96.54</v>
      </c>
      <c r="I1113" s="8">
        <v>177.72</v>
      </c>
      <c r="J1113" s="8">
        <v>64.16</v>
      </c>
      <c r="K1113" s="268">
        <v>0.3821</v>
      </c>
      <c r="L1113" s="268">
        <v>0.26740000000000003</v>
      </c>
      <c r="M1113" s="268">
        <v>-4.1599999999999998E-2</v>
      </c>
      <c r="N1113" s="8">
        <v>974.26</v>
      </c>
      <c r="O1113" s="8">
        <v>6686.79</v>
      </c>
      <c r="P1113" s="268">
        <v>0.1457</v>
      </c>
      <c r="Q1113" s="8">
        <v>381</v>
      </c>
      <c r="R1113" s="8">
        <v>0</v>
      </c>
      <c r="S1113" s="8">
        <v>0</v>
      </c>
      <c r="T1113" s="8" t="s">
        <v>7696</v>
      </c>
      <c r="U1113" s="8" t="s">
        <v>7697</v>
      </c>
      <c r="V1113" s="8" t="s">
        <v>7698</v>
      </c>
      <c r="W1113" s="8" t="s">
        <v>7699</v>
      </c>
    </row>
    <row r="1114" spans="1:23" ht="28" customHeight="1" x14ac:dyDescent="0.3">
      <c r="A1114" s="308">
        <v>44623</v>
      </c>
      <c r="B1114" s="302">
        <v>2018.8879999999999</v>
      </c>
      <c r="C1114" s="8">
        <v>-21.032</v>
      </c>
      <c r="D1114" s="268">
        <v>-1.03E-2</v>
      </c>
      <c r="E1114" s="8">
        <v>77.86</v>
      </c>
      <c r="F1114" s="8">
        <v>141.995</v>
      </c>
      <c r="G1114" s="8">
        <v>125.8</v>
      </c>
      <c r="H1114" s="8">
        <v>97.52</v>
      </c>
      <c r="I1114" s="8">
        <v>180.46</v>
      </c>
      <c r="J1114" s="8">
        <v>65.599999999999994</v>
      </c>
      <c r="K1114" s="268">
        <v>0.3846</v>
      </c>
      <c r="L1114" s="268">
        <v>0.26679999999999998</v>
      </c>
      <c r="M1114" s="268">
        <v>-4.5699999999999998E-2</v>
      </c>
      <c r="N1114" s="8">
        <v>1010.28</v>
      </c>
      <c r="O1114" s="8">
        <v>6694.37</v>
      </c>
      <c r="P1114" s="268">
        <v>0.15090000000000001</v>
      </c>
      <c r="Q1114" s="8">
        <v>381</v>
      </c>
      <c r="R1114" s="8">
        <v>0</v>
      </c>
      <c r="S1114" s="8">
        <v>0</v>
      </c>
      <c r="T1114" s="8" t="s">
        <v>7700</v>
      </c>
      <c r="U1114" s="8" t="s">
        <v>6951</v>
      </c>
      <c r="V1114" s="8" t="s">
        <v>7701</v>
      </c>
      <c r="W1114" s="8" t="s">
        <v>7702</v>
      </c>
    </row>
    <row r="1115" spans="1:23" ht="28" customHeight="1" x14ac:dyDescent="0.3">
      <c r="A1115" s="308">
        <v>44622</v>
      </c>
      <c r="B1115" s="302">
        <v>2039.92</v>
      </c>
      <c r="C1115" s="8">
        <v>-3.5350000000000001</v>
      </c>
      <c r="D1115" s="268">
        <v>-1.6999999999999999E-3</v>
      </c>
      <c r="E1115" s="8">
        <v>80.290000000000006</v>
      </c>
      <c r="F1115" s="8">
        <v>143.76300000000001</v>
      </c>
      <c r="G1115" s="8">
        <v>126.71</v>
      </c>
      <c r="H1115" s="8">
        <v>97.93</v>
      </c>
      <c r="I1115" s="8">
        <v>182.84</v>
      </c>
      <c r="J1115" s="8">
        <v>68.709999999999994</v>
      </c>
      <c r="K1115" s="268">
        <v>0.39079999999999998</v>
      </c>
      <c r="L1115" s="268">
        <v>0.27910000000000001</v>
      </c>
      <c r="M1115" s="268">
        <v>-4.8300000000000003E-2</v>
      </c>
      <c r="N1115" s="8">
        <v>1026.02</v>
      </c>
      <c r="O1115" s="8">
        <v>6691.39</v>
      </c>
      <c r="P1115" s="268">
        <v>0.15329999999999999</v>
      </c>
      <c r="Q1115" s="8">
        <v>380</v>
      </c>
      <c r="R1115" s="8">
        <v>0</v>
      </c>
      <c r="S1115" s="8">
        <v>0</v>
      </c>
      <c r="T1115" s="8" t="s">
        <v>7703</v>
      </c>
      <c r="U1115" s="8" t="s">
        <v>7704</v>
      </c>
      <c r="V1115" s="8" t="s">
        <v>7705</v>
      </c>
      <c r="W1115" s="8" t="s">
        <v>7706</v>
      </c>
    </row>
    <row r="1116" spans="1:23" x14ac:dyDescent="0.3">
      <c r="A1116" s="308">
        <v>44621</v>
      </c>
      <c r="B1116" s="302">
        <v>2043.4549999999999</v>
      </c>
      <c r="C1116" s="8">
        <v>6.9039999999999999</v>
      </c>
      <c r="D1116" s="268">
        <v>3.3999999999999998E-3</v>
      </c>
      <c r="E1116" s="8">
        <v>80.98</v>
      </c>
      <c r="F1116" s="8">
        <v>144.37100000000001</v>
      </c>
      <c r="G1116" s="8">
        <v>127.3</v>
      </c>
      <c r="H1116" s="8">
        <v>98.42</v>
      </c>
      <c r="I1116" s="8">
        <v>183.65</v>
      </c>
      <c r="J1116" s="8">
        <v>69.44</v>
      </c>
      <c r="K1116" s="268">
        <v>0.39279999999999998</v>
      </c>
      <c r="L1116" s="268">
        <v>0.27979999999999999</v>
      </c>
      <c r="M1116" s="268">
        <v>-4.8899999999999999E-2</v>
      </c>
      <c r="N1116" s="8">
        <v>1078.03</v>
      </c>
      <c r="O1116" s="8">
        <v>6686.28</v>
      </c>
      <c r="P1116" s="268">
        <v>0.16120000000000001</v>
      </c>
      <c r="Q1116" s="8">
        <v>381</v>
      </c>
      <c r="R1116" s="8">
        <v>0</v>
      </c>
      <c r="S1116" s="8">
        <v>0</v>
      </c>
      <c r="T1116" s="8" t="s">
        <v>7707</v>
      </c>
      <c r="U1116" s="8" t="s">
        <v>6849</v>
      </c>
      <c r="V1116" s="8" t="s">
        <v>7708</v>
      </c>
      <c r="W1116" s="8" t="s">
        <v>7709</v>
      </c>
    </row>
    <row r="1117" spans="1:23" ht="28" customHeight="1" x14ac:dyDescent="0.3">
      <c r="A1117" s="308">
        <v>44620</v>
      </c>
      <c r="B1117" s="302">
        <v>2036.5509999999999</v>
      </c>
      <c r="C1117" s="8">
        <v>10.253</v>
      </c>
      <c r="D1117" s="268">
        <v>5.1000000000000004E-3</v>
      </c>
      <c r="E1117" s="8">
        <v>80.31</v>
      </c>
      <c r="F1117" s="8">
        <v>144.07400000000001</v>
      </c>
      <c r="G1117" s="8">
        <v>126.395</v>
      </c>
      <c r="H1117" s="8">
        <v>97.24</v>
      </c>
      <c r="I1117" s="8">
        <v>183.67</v>
      </c>
      <c r="J1117" s="8">
        <v>72.239999999999995</v>
      </c>
      <c r="K1117" s="268">
        <v>0.39589999999999997</v>
      </c>
      <c r="L1117" s="268">
        <v>0.28399999999999997</v>
      </c>
      <c r="M1117" s="268">
        <v>-4.7699999999999999E-2</v>
      </c>
      <c r="N1117" s="8">
        <v>891</v>
      </c>
      <c r="O1117" s="8">
        <v>6701.23</v>
      </c>
      <c r="P1117" s="268">
        <v>0.13300000000000001</v>
      </c>
      <c r="Q1117" s="8">
        <v>383</v>
      </c>
      <c r="R1117" s="8">
        <v>0</v>
      </c>
      <c r="S1117" s="8">
        <v>0</v>
      </c>
      <c r="T1117" s="8" t="s">
        <v>7710</v>
      </c>
      <c r="U1117" s="8" t="s">
        <v>7711</v>
      </c>
      <c r="V1117" s="8" t="s">
        <v>7712</v>
      </c>
      <c r="W1117" s="8" t="s">
        <v>7713</v>
      </c>
    </row>
    <row r="1118" spans="1:23" ht="28" customHeight="1" x14ac:dyDescent="0.3">
      <c r="A1118" s="308">
        <v>44617</v>
      </c>
      <c r="B1118" s="302">
        <v>2026.298</v>
      </c>
      <c r="C1118" s="8">
        <v>19.248000000000001</v>
      </c>
      <c r="D1118" s="268">
        <v>9.5999999999999992E-3</v>
      </c>
      <c r="E1118" s="8">
        <v>78.22</v>
      </c>
      <c r="F1118" s="8">
        <v>143.13399999999999</v>
      </c>
      <c r="G1118" s="8">
        <v>126.199</v>
      </c>
      <c r="H1118" s="8">
        <v>97.1</v>
      </c>
      <c r="I1118" s="8">
        <v>181.9</v>
      </c>
      <c r="J1118" s="8">
        <v>68.88</v>
      </c>
      <c r="K1118" s="268">
        <v>0.3876</v>
      </c>
      <c r="L1118" s="268">
        <v>0.28420000000000001</v>
      </c>
      <c r="M1118" s="268">
        <v>-4.6600000000000003E-2</v>
      </c>
      <c r="N1118" s="8">
        <v>1061.93</v>
      </c>
      <c r="O1118" s="8">
        <v>6731.31</v>
      </c>
      <c r="P1118" s="268">
        <v>0.1578</v>
      </c>
      <c r="Q1118" s="8">
        <v>383</v>
      </c>
      <c r="R1118" s="8">
        <v>0</v>
      </c>
      <c r="S1118" s="8">
        <v>0</v>
      </c>
      <c r="T1118" s="8" t="s">
        <v>7714</v>
      </c>
      <c r="U1118" s="8" t="s">
        <v>7715</v>
      </c>
      <c r="V1118" s="8" t="s">
        <v>7716</v>
      </c>
      <c r="W1118" s="8" t="s">
        <v>7717</v>
      </c>
    </row>
    <row r="1119" spans="1:23" ht="28" customHeight="1" x14ac:dyDescent="0.3">
      <c r="A1119" s="308">
        <v>44616</v>
      </c>
      <c r="B1119" s="302">
        <v>2007.05</v>
      </c>
      <c r="C1119" s="8">
        <v>-17.901</v>
      </c>
      <c r="D1119" s="268">
        <v>-8.8000000000000005E-3</v>
      </c>
      <c r="E1119" s="8">
        <v>76.25</v>
      </c>
      <c r="F1119" s="8">
        <v>141.93299999999999</v>
      </c>
      <c r="G1119" s="8">
        <v>125.6</v>
      </c>
      <c r="H1119" s="8">
        <v>96.93</v>
      </c>
      <c r="I1119" s="8">
        <v>180.45</v>
      </c>
      <c r="J1119" s="8">
        <v>70.25</v>
      </c>
      <c r="K1119" s="268">
        <v>0.38519999999999999</v>
      </c>
      <c r="L1119" s="268">
        <v>0.27889999999999998</v>
      </c>
      <c r="M1119" s="268">
        <v>-4.4999999999999998E-2</v>
      </c>
      <c r="N1119" s="8">
        <v>1172.01</v>
      </c>
      <c r="O1119" s="8">
        <v>6756.15</v>
      </c>
      <c r="P1119" s="268">
        <v>0.17349999999999999</v>
      </c>
      <c r="Q1119" s="8">
        <v>385</v>
      </c>
      <c r="R1119" s="8">
        <v>0</v>
      </c>
      <c r="S1119" s="8">
        <v>0</v>
      </c>
      <c r="T1119" s="8" t="s">
        <v>7718</v>
      </c>
      <c r="U1119" s="8" t="s">
        <v>7719</v>
      </c>
      <c r="V1119" s="8" t="s">
        <v>7720</v>
      </c>
      <c r="W1119" s="8" t="s">
        <v>6746</v>
      </c>
    </row>
    <row r="1120" spans="1:23" x14ac:dyDescent="0.3">
      <c r="A1120" s="308">
        <v>44615</v>
      </c>
      <c r="B1120" s="302">
        <v>2024.951</v>
      </c>
      <c r="C1120" s="8">
        <v>34.768000000000001</v>
      </c>
      <c r="D1120" s="268">
        <v>1.7500000000000002E-2</v>
      </c>
      <c r="E1120" s="8">
        <v>79.569999999999993</v>
      </c>
      <c r="F1120" s="8">
        <v>143.459</v>
      </c>
      <c r="G1120" s="8">
        <v>126.35</v>
      </c>
      <c r="H1120" s="8">
        <v>99.35</v>
      </c>
      <c r="I1120" s="8">
        <v>179.99</v>
      </c>
      <c r="J1120" s="8">
        <v>61.53</v>
      </c>
      <c r="K1120" s="268">
        <v>0.36530000000000001</v>
      </c>
      <c r="L1120" s="268">
        <v>0.26169999999999999</v>
      </c>
      <c r="M1120" s="268">
        <v>-4.8899999999999999E-2</v>
      </c>
      <c r="N1120" s="8">
        <v>994.58</v>
      </c>
      <c r="O1120" s="8">
        <v>6770.9</v>
      </c>
      <c r="P1120" s="268">
        <v>0.1469</v>
      </c>
      <c r="Q1120" s="8">
        <v>386</v>
      </c>
      <c r="R1120" s="8">
        <v>0</v>
      </c>
      <c r="S1120" s="8">
        <v>0</v>
      </c>
      <c r="T1120" s="8" t="s">
        <v>7721</v>
      </c>
      <c r="U1120" s="8" t="s">
        <v>7722</v>
      </c>
      <c r="V1120" s="8" t="s">
        <v>7723</v>
      </c>
      <c r="W1120" s="8" t="s">
        <v>7724</v>
      </c>
    </row>
    <row r="1121" spans="1:23" ht="28" customHeight="1" x14ac:dyDescent="0.3">
      <c r="A1121" s="308">
        <v>44614</v>
      </c>
      <c r="B1121" s="302">
        <v>1990.183</v>
      </c>
      <c r="C1121" s="8">
        <v>-11.973000000000001</v>
      </c>
      <c r="D1121" s="268">
        <v>-6.0000000000000001E-3</v>
      </c>
      <c r="E1121" s="8">
        <v>75.06</v>
      </c>
      <c r="F1121" s="8">
        <v>140.893</v>
      </c>
      <c r="G1121" s="8">
        <v>124.765</v>
      </c>
      <c r="H1121" s="8">
        <v>98.23</v>
      </c>
      <c r="I1121" s="8">
        <v>177.63</v>
      </c>
      <c r="J1121" s="8">
        <v>61.06</v>
      </c>
      <c r="K1121" s="268">
        <v>0.3674</v>
      </c>
      <c r="L1121" s="268">
        <v>0.26290000000000002</v>
      </c>
      <c r="M1121" s="268">
        <v>-4.4200000000000003E-2</v>
      </c>
      <c r="N1121" s="8">
        <v>1123.8599999999999</v>
      </c>
      <c r="O1121" s="8">
        <v>6783.05</v>
      </c>
      <c r="P1121" s="268">
        <v>0.16569999999999999</v>
      </c>
      <c r="Q1121" s="8">
        <v>386</v>
      </c>
      <c r="R1121" s="8">
        <v>0</v>
      </c>
      <c r="S1121" s="8">
        <v>0</v>
      </c>
      <c r="T1121" s="8" t="s">
        <v>7725</v>
      </c>
      <c r="U1121" s="8" t="s">
        <v>7726</v>
      </c>
      <c r="V1121" s="8" t="s">
        <v>7727</v>
      </c>
      <c r="W1121" s="8" t="s">
        <v>7728</v>
      </c>
    </row>
    <row r="1122" spans="1:23" ht="28" customHeight="1" x14ac:dyDescent="0.3">
      <c r="A1122" s="308">
        <v>44613</v>
      </c>
      <c r="B1122" s="302">
        <v>2002.1559999999999</v>
      </c>
      <c r="C1122" s="8">
        <v>23.35</v>
      </c>
      <c r="D1122" s="268">
        <v>1.18E-2</v>
      </c>
      <c r="E1122" s="8">
        <v>76.72</v>
      </c>
      <c r="F1122" s="8">
        <v>141.518</v>
      </c>
      <c r="G1122" s="8">
        <v>125.22</v>
      </c>
      <c r="H1122" s="8">
        <v>99.4</v>
      </c>
      <c r="I1122" s="8">
        <v>177.24</v>
      </c>
      <c r="J1122" s="8">
        <v>58.93</v>
      </c>
      <c r="K1122" s="268">
        <v>0.35720000000000002</v>
      </c>
      <c r="L1122" s="268">
        <v>0.25769999999999998</v>
      </c>
      <c r="M1122" s="268">
        <v>-4.5600000000000002E-2</v>
      </c>
      <c r="N1122" s="8">
        <v>739.9</v>
      </c>
      <c r="O1122" s="8">
        <v>6800.25</v>
      </c>
      <c r="P1122" s="268">
        <v>0.10879999999999999</v>
      </c>
      <c r="Q1122" s="8">
        <v>386</v>
      </c>
      <c r="R1122" s="8">
        <v>0</v>
      </c>
      <c r="S1122" s="8">
        <v>0</v>
      </c>
      <c r="T1122" s="8" t="s">
        <v>7729</v>
      </c>
      <c r="U1122" s="8" t="s">
        <v>7730</v>
      </c>
      <c r="V1122" s="8" t="s">
        <v>7731</v>
      </c>
      <c r="W1122" s="8" t="s">
        <v>7732</v>
      </c>
    </row>
    <row r="1123" spans="1:23" ht="28" customHeight="1" x14ac:dyDescent="0.3">
      <c r="A1123" s="308">
        <v>44610</v>
      </c>
      <c r="B1123" s="302">
        <v>1978.806</v>
      </c>
      <c r="C1123" s="8">
        <v>15.763</v>
      </c>
      <c r="D1123" s="268">
        <v>8.0000000000000002E-3</v>
      </c>
      <c r="E1123" s="8">
        <v>74.88</v>
      </c>
      <c r="F1123" s="8">
        <v>139.80500000000001</v>
      </c>
      <c r="G1123" s="8">
        <v>124.94499999999999</v>
      </c>
      <c r="H1123" s="8">
        <v>98.22</v>
      </c>
      <c r="I1123" s="8">
        <v>175.74</v>
      </c>
      <c r="J1123" s="8">
        <v>60.25</v>
      </c>
      <c r="K1123" s="268">
        <v>0.35930000000000001</v>
      </c>
      <c r="L1123" s="268">
        <v>0.2591</v>
      </c>
      <c r="M1123" s="268">
        <v>-4.24E-2</v>
      </c>
      <c r="N1123" s="8">
        <v>585.82000000000005</v>
      </c>
      <c r="O1123" s="8">
        <v>6807.36</v>
      </c>
      <c r="P1123" s="268">
        <v>8.6099999999999996E-2</v>
      </c>
      <c r="Q1123" s="8">
        <v>386</v>
      </c>
      <c r="R1123" s="8">
        <v>0</v>
      </c>
      <c r="S1123" s="8">
        <v>0</v>
      </c>
      <c r="T1123" s="8" t="s">
        <v>7733</v>
      </c>
      <c r="U1123" s="8" t="s">
        <v>7734</v>
      </c>
      <c r="V1123" s="8" t="s">
        <v>7735</v>
      </c>
      <c r="W1123" s="8" t="s">
        <v>7736</v>
      </c>
    </row>
    <row r="1124" spans="1:23" ht="28" customHeight="1" x14ac:dyDescent="0.3">
      <c r="A1124" s="308">
        <v>44609</v>
      </c>
      <c r="B1124" s="302">
        <v>1963.0429999999999</v>
      </c>
      <c r="C1124" s="8">
        <v>3.605</v>
      </c>
      <c r="D1124" s="268">
        <v>1.8E-3</v>
      </c>
      <c r="E1124" s="8">
        <v>71.89</v>
      </c>
      <c r="F1124" s="8">
        <v>138.96799999999999</v>
      </c>
      <c r="G1124" s="8">
        <v>123.55500000000001</v>
      </c>
      <c r="H1124" s="8">
        <v>97.67</v>
      </c>
      <c r="I1124" s="8">
        <v>174.98</v>
      </c>
      <c r="J1124" s="8">
        <v>60.07</v>
      </c>
      <c r="K1124" s="268">
        <v>0.36020000000000002</v>
      </c>
      <c r="L1124" s="268">
        <v>0.25469999999999998</v>
      </c>
      <c r="M1124" s="268">
        <v>-4.02E-2</v>
      </c>
      <c r="N1124" s="8">
        <v>557.98</v>
      </c>
      <c r="O1124" s="8">
        <v>6748.94</v>
      </c>
      <c r="P1124" s="268">
        <v>8.2699999999999996E-2</v>
      </c>
      <c r="Q1124" s="8">
        <v>386</v>
      </c>
      <c r="R1124" s="8">
        <v>0</v>
      </c>
      <c r="S1124" s="8">
        <v>0</v>
      </c>
      <c r="T1124" s="8" t="s">
        <v>7737</v>
      </c>
      <c r="U1124" s="8" t="s">
        <v>6151</v>
      </c>
      <c r="V1124" s="8" t="s">
        <v>7738</v>
      </c>
      <c r="W1124" s="8" t="s">
        <v>7739</v>
      </c>
    </row>
    <row r="1125" spans="1:23" x14ac:dyDescent="0.3">
      <c r="A1125" s="308">
        <v>44608</v>
      </c>
      <c r="B1125" s="302">
        <v>1959.4380000000001</v>
      </c>
      <c r="C1125" s="8">
        <v>12.77</v>
      </c>
      <c r="D1125" s="268">
        <v>6.6E-3</v>
      </c>
      <c r="E1125" s="8">
        <v>72.12</v>
      </c>
      <c r="F1125" s="8">
        <v>138.35599999999999</v>
      </c>
      <c r="G1125" s="8">
        <v>123.57</v>
      </c>
      <c r="H1125" s="8">
        <v>97.45</v>
      </c>
      <c r="I1125" s="8">
        <v>173.93</v>
      </c>
      <c r="J1125" s="8">
        <v>57.31</v>
      </c>
      <c r="K1125" s="268">
        <v>0.35570000000000002</v>
      </c>
      <c r="L1125" s="268">
        <v>0.25729999999999997</v>
      </c>
      <c r="M1125" s="268">
        <v>-0.04</v>
      </c>
      <c r="N1125" s="8">
        <v>523.19000000000005</v>
      </c>
      <c r="O1125" s="8">
        <v>6764.28</v>
      </c>
      <c r="P1125" s="268">
        <v>7.7299999999999994E-2</v>
      </c>
      <c r="Q1125" s="8">
        <v>386</v>
      </c>
      <c r="R1125" s="8">
        <v>0</v>
      </c>
      <c r="S1125" s="8">
        <v>0</v>
      </c>
      <c r="T1125" s="8" t="s">
        <v>7740</v>
      </c>
      <c r="U1125" s="8" t="s">
        <v>7741</v>
      </c>
      <c r="V1125" s="8" t="s">
        <v>7742</v>
      </c>
      <c r="W1125" s="8" t="s">
        <v>7743</v>
      </c>
    </row>
    <row r="1126" spans="1:23" ht="28" customHeight="1" x14ac:dyDescent="0.3">
      <c r="A1126" s="308">
        <v>44607</v>
      </c>
      <c r="B1126" s="302">
        <v>1946.6679999999999</v>
      </c>
      <c r="C1126" s="8">
        <v>-31.271000000000001</v>
      </c>
      <c r="D1126" s="268">
        <v>-1.5800000000000002E-2</v>
      </c>
      <c r="E1126" s="8">
        <v>69.77</v>
      </c>
      <c r="F1126" s="8">
        <v>137.553</v>
      </c>
      <c r="G1126" s="8">
        <v>122.374</v>
      </c>
      <c r="H1126" s="8">
        <v>96.29</v>
      </c>
      <c r="I1126" s="8">
        <v>173.88</v>
      </c>
      <c r="J1126" s="8">
        <v>60.8</v>
      </c>
      <c r="K1126" s="268">
        <v>0.36330000000000001</v>
      </c>
      <c r="L1126" s="268">
        <v>0.2616</v>
      </c>
      <c r="M1126" s="268">
        <v>-3.7999999999999999E-2</v>
      </c>
      <c r="N1126" s="8">
        <v>618.71</v>
      </c>
      <c r="O1126" s="8">
        <v>6774.14</v>
      </c>
      <c r="P1126" s="268">
        <v>9.1300000000000006E-2</v>
      </c>
      <c r="Q1126" s="8">
        <v>385</v>
      </c>
      <c r="R1126" s="8">
        <v>0</v>
      </c>
      <c r="S1126" s="8">
        <v>0</v>
      </c>
      <c r="T1126" s="8" t="s">
        <v>7744</v>
      </c>
      <c r="U1126" s="8" t="s">
        <v>7745</v>
      </c>
      <c r="V1126" s="8" t="s">
        <v>7746</v>
      </c>
      <c r="W1126" s="8" t="s">
        <v>7747</v>
      </c>
    </row>
    <row r="1127" spans="1:23" ht="28" customHeight="1" x14ac:dyDescent="0.3">
      <c r="A1127" s="308">
        <v>44606</v>
      </c>
      <c r="B1127" s="302">
        <v>1977.9390000000001</v>
      </c>
      <c r="C1127" s="8">
        <v>-63.32</v>
      </c>
      <c r="D1127" s="268">
        <v>-3.1E-2</v>
      </c>
      <c r="E1127" s="8">
        <v>75</v>
      </c>
      <c r="F1127" s="8">
        <v>139.583</v>
      </c>
      <c r="G1127" s="8">
        <v>124.93</v>
      </c>
      <c r="H1127" s="8">
        <v>96.29</v>
      </c>
      <c r="I1127" s="8">
        <v>179.19</v>
      </c>
      <c r="J1127" s="8">
        <v>74.34</v>
      </c>
      <c r="K1127" s="268">
        <v>0.39610000000000001</v>
      </c>
      <c r="L1127" s="268">
        <v>0.28970000000000001</v>
      </c>
      <c r="M1127" s="268">
        <v>-4.24E-2</v>
      </c>
      <c r="N1127" s="8">
        <v>575.1</v>
      </c>
      <c r="O1127" s="8">
        <v>6786.99</v>
      </c>
      <c r="P1127" s="268">
        <v>8.4699999999999998E-2</v>
      </c>
      <c r="Q1127" s="8">
        <v>385</v>
      </c>
      <c r="R1127" s="8">
        <v>0</v>
      </c>
      <c r="S1127" s="8">
        <v>0</v>
      </c>
      <c r="T1127" s="8" t="s">
        <v>7748</v>
      </c>
      <c r="U1127" s="8" t="s">
        <v>7749</v>
      </c>
      <c r="V1127" s="8" t="s">
        <v>7750</v>
      </c>
      <c r="W1127" s="8" t="s">
        <v>7751</v>
      </c>
    </row>
    <row r="1128" spans="1:23" ht="28" customHeight="1" x14ac:dyDescent="0.3">
      <c r="A1128" s="308">
        <v>44603</v>
      </c>
      <c r="B1128" s="302">
        <v>2041.259</v>
      </c>
      <c r="C1128" s="8">
        <v>-22.161000000000001</v>
      </c>
      <c r="D1128" s="268">
        <v>-1.0699999999999999E-2</v>
      </c>
      <c r="E1128" s="8">
        <v>84.8</v>
      </c>
      <c r="F1128" s="8">
        <v>144.24199999999999</v>
      </c>
      <c r="G1128" s="8">
        <v>128.75</v>
      </c>
      <c r="H1128" s="8">
        <v>96.22</v>
      </c>
      <c r="I1128" s="8">
        <v>187.83</v>
      </c>
      <c r="J1128" s="8">
        <v>89.36</v>
      </c>
      <c r="K1128" s="268">
        <v>0.43580000000000002</v>
      </c>
      <c r="L1128" s="268">
        <v>0.33239999999999997</v>
      </c>
      <c r="M1128" s="268">
        <v>-5.04E-2</v>
      </c>
      <c r="N1128" s="8">
        <v>549.66</v>
      </c>
      <c r="O1128" s="8">
        <v>6789.7</v>
      </c>
      <c r="P1128" s="268">
        <v>8.1000000000000003E-2</v>
      </c>
      <c r="Q1128" s="8">
        <v>385</v>
      </c>
      <c r="R1128" s="8">
        <v>0</v>
      </c>
      <c r="S1128" s="8">
        <v>0</v>
      </c>
      <c r="T1128" s="8" t="s">
        <v>7752</v>
      </c>
      <c r="U1128" s="8" t="s">
        <v>7753</v>
      </c>
      <c r="V1128" s="8" t="s">
        <v>7754</v>
      </c>
      <c r="W1128" s="8" t="s">
        <v>7755</v>
      </c>
    </row>
    <row r="1129" spans="1:23" ht="28" customHeight="1" x14ac:dyDescent="0.3">
      <c r="A1129" s="308">
        <v>44602</v>
      </c>
      <c r="B1129" s="302">
        <v>2063.42</v>
      </c>
      <c r="C1129" s="8">
        <v>3.79</v>
      </c>
      <c r="D1129" s="268">
        <v>1.8E-3</v>
      </c>
      <c r="E1129" s="8">
        <v>87.17</v>
      </c>
      <c r="F1129" s="8">
        <v>145.80699999999999</v>
      </c>
      <c r="G1129" s="8">
        <v>129.39699999999999</v>
      </c>
      <c r="H1129" s="8">
        <v>98.29</v>
      </c>
      <c r="I1129" s="8">
        <v>187.66</v>
      </c>
      <c r="J1129" s="8">
        <v>84.86</v>
      </c>
      <c r="K1129" s="268">
        <v>0.41849999999999998</v>
      </c>
      <c r="L1129" s="268">
        <v>0.32129999999999997</v>
      </c>
      <c r="M1129" s="268">
        <v>-5.3100000000000001E-2</v>
      </c>
      <c r="N1129" s="8">
        <v>626.65</v>
      </c>
      <c r="O1129" s="8">
        <v>6793.9</v>
      </c>
      <c r="P1129" s="268">
        <v>9.2200000000000004E-2</v>
      </c>
      <c r="Q1129" s="8">
        <v>385</v>
      </c>
      <c r="R1129" s="8">
        <v>0</v>
      </c>
      <c r="S1129" s="8">
        <v>0</v>
      </c>
      <c r="T1129" s="8" t="s">
        <v>7756</v>
      </c>
      <c r="U1129" s="8" t="s">
        <v>7757</v>
      </c>
      <c r="V1129" s="8" t="s">
        <v>7758</v>
      </c>
      <c r="W1129" s="8" t="s">
        <v>7759</v>
      </c>
    </row>
    <row r="1130" spans="1:23" ht="28" customHeight="1" x14ac:dyDescent="0.3">
      <c r="A1130" s="308">
        <v>44601</v>
      </c>
      <c r="B1130" s="302">
        <v>2059.63</v>
      </c>
      <c r="C1130" s="8">
        <v>27.254000000000001</v>
      </c>
      <c r="D1130" s="268">
        <v>1.34E-2</v>
      </c>
      <c r="E1130" s="8">
        <v>87.5</v>
      </c>
      <c r="F1130" s="8">
        <v>145.614</v>
      </c>
      <c r="G1130" s="8">
        <v>129.69</v>
      </c>
      <c r="H1130" s="8">
        <v>98.22</v>
      </c>
      <c r="I1130" s="8">
        <v>187</v>
      </c>
      <c r="J1130" s="8">
        <v>82.65</v>
      </c>
      <c r="K1130" s="268">
        <v>0.4138</v>
      </c>
      <c r="L1130" s="268">
        <v>0.31790000000000002</v>
      </c>
      <c r="M1130" s="268">
        <v>-5.2400000000000002E-2</v>
      </c>
      <c r="N1130" s="8">
        <v>693.76</v>
      </c>
      <c r="O1130" s="8">
        <v>6796.79</v>
      </c>
      <c r="P1130" s="268">
        <v>0.1021</v>
      </c>
      <c r="Q1130" s="8">
        <v>385</v>
      </c>
      <c r="R1130" s="8">
        <v>0</v>
      </c>
      <c r="S1130" s="8">
        <v>0</v>
      </c>
      <c r="T1130" s="8" t="s">
        <v>7760</v>
      </c>
      <c r="U1130" s="8" t="s">
        <v>7761</v>
      </c>
      <c r="V1130" s="8" t="s">
        <v>7762</v>
      </c>
      <c r="W1130" s="8" t="s">
        <v>7763</v>
      </c>
    </row>
    <row r="1131" spans="1:23" ht="28" customHeight="1" x14ac:dyDescent="0.3">
      <c r="A1131" s="308">
        <v>44600</v>
      </c>
      <c r="B1131" s="302">
        <v>2032.376</v>
      </c>
      <c r="C1131" s="8">
        <v>2.395</v>
      </c>
      <c r="D1131" s="268">
        <v>1.1999999999999999E-3</v>
      </c>
      <c r="E1131" s="8">
        <v>83.96</v>
      </c>
      <c r="F1131" s="8">
        <v>143.49799999999999</v>
      </c>
      <c r="G1131" s="8">
        <v>128.4</v>
      </c>
      <c r="H1131" s="8">
        <v>97.18</v>
      </c>
      <c r="I1131" s="8">
        <v>185.03</v>
      </c>
      <c r="J1131" s="8">
        <v>82.42</v>
      </c>
      <c r="K1131" s="268">
        <v>0.4153</v>
      </c>
      <c r="L1131" s="268">
        <v>0.31509999999999999</v>
      </c>
      <c r="M1131" s="268">
        <v>-4.8800000000000003E-2</v>
      </c>
      <c r="N1131" s="8">
        <v>596</v>
      </c>
      <c r="O1131" s="8">
        <v>6802.98</v>
      </c>
      <c r="P1131" s="268">
        <v>8.7599999999999997E-2</v>
      </c>
      <c r="Q1131" s="8">
        <v>385</v>
      </c>
      <c r="R1131" s="8">
        <v>0</v>
      </c>
      <c r="S1131" s="8">
        <v>0</v>
      </c>
      <c r="T1131" s="8" t="s">
        <v>7764</v>
      </c>
      <c r="U1131" s="8" t="s">
        <v>7765</v>
      </c>
      <c r="V1131" s="8" t="s">
        <v>7766</v>
      </c>
      <c r="W1131" s="8" t="s">
        <v>7767</v>
      </c>
    </row>
    <row r="1132" spans="1:23" ht="28" customHeight="1" x14ac:dyDescent="0.3">
      <c r="A1132" s="308">
        <v>44599</v>
      </c>
      <c r="B1132" s="302">
        <v>2029.981</v>
      </c>
      <c r="C1132" s="8">
        <v>22.524000000000001</v>
      </c>
      <c r="D1132" s="268">
        <v>1.12E-2</v>
      </c>
      <c r="E1132" s="8">
        <v>82.84</v>
      </c>
      <c r="F1132" s="8">
        <v>143.751</v>
      </c>
      <c r="G1132" s="8">
        <v>128.02500000000001</v>
      </c>
      <c r="H1132" s="8">
        <v>95.77</v>
      </c>
      <c r="I1132" s="8">
        <v>186.78</v>
      </c>
      <c r="J1132" s="8">
        <v>86.73</v>
      </c>
      <c r="K1132" s="268">
        <v>0.43030000000000002</v>
      </c>
      <c r="L1132" s="268">
        <v>0.32590000000000002</v>
      </c>
      <c r="M1132" s="268">
        <v>-4.8099999999999997E-2</v>
      </c>
      <c r="N1132" s="8">
        <v>458.18</v>
      </c>
      <c r="O1132" s="8">
        <v>6808.08</v>
      </c>
      <c r="P1132" s="268">
        <v>6.7299999999999999E-2</v>
      </c>
      <c r="Q1132" s="8">
        <v>385</v>
      </c>
      <c r="R1132" s="8">
        <v>0</v>
      </c>
      <c r="S1132" s="8">
        <v>0</v>
      </c>
      <c r="T1132" s="8" t="s">
        <v>7768</v>
      </c>
      <c r="U1132" s="8" t="s">
        <v>7769</v>
      </c>
      <c r="V1132" s="8" t="s">
        <v>7770</v>
      </c>
      <c r="W1132" s="8" t="s">
        <v>7771</v>
      </c>
    </row>
    <row r="1133" spans="1:23" ht="28" customHeight="1" x14ac:dyDescent="0.3">
      <c r="A1133" s="308">
        <v>44589</v>
      </c>
      <c r="B1133" s="302">
        <v>2007.4570000000001</v>
      </c>
      <c r="C1133" s="8">
        <v>2.1659999999999999</v>
      </c>
      <c r="D1133" s="268">
        <v>1.1000000000000001E-3</v>
      </c>
      <c r="E1133" s="8">
        <v>79.73</v>
      </c>
      <c r="F1133" s="8">
        <v>142.125</v>
      </c>
      <c r="G1133" s="8">
        <v>126.3</v>
      </c>
      <c r="H1133" s="8">
        <v>93.83</v>
      </c>
      <c r="I1133" s="8">
        <v>185.83</v>
      </c>
      <c r="J1133" s="8">
        <v>89.71</v>
      </c>
      <c r="K1133" s="268">
        <v>0.43709999999999999</v>
      </c>
      <c r="L1133" s="268">
        <v>0.32950000000000002</v>
      </c>
      <c r="M1133" s="268">
        <v>-4.5100000000000001E-2</v>
      </c>
      <c r="N1133" s="8">
        <v>597.12</v>
      </c>
      <c r="O1133" s="8">
        <v>6808.97</v>
      </c>
      <c r="P1133" s="268">
        <v>8.77E-2</v>
      </c>
      <c r="Q1133" s="8">
        <v>385</v>
      </c>
      <c r="R1133" s="8">
        <v>0</v>
      </c>
      <c r="S1133" s="8" t="s">
        <v>3563</v>
      </c>
      <c r="T1133" s="8" t="s">
        <v>7772</v>
      </c>
      <c r="U1133" s="8" t="s">
        <v>7773</v>
      </c>
      <c r="V1133" s="8" t="s">
        <v>7774</v>
      </c>
      <c r="W1133" s="8" t="s">
        <v>7775</v>
      </c>
    </row>
    <row r="1134" spans="1:23" ht="28" customHeight="1" x14ac:dyDescent="0.3">
      <c r="A1134" s="308">
        <v>44588</v>
      </c>
      <c r="B1134" s="302">
        <v>2005.2909999999999</v>
      </c>
      <c r="C1134" s="8">
        <v>-25.527000000000001</v>
      </c>
      <c r="D1134" s="268">
        <v>-1.26E-2</v>
      </c>
      <c r="E1134" s="8">
        <v>78.88</v>
      </c>
      <c r="F1134" s="8">
        <v>142.18199999999999</v>
      </c>
      <c r="G1134" s="8">
        <v>126.169</v>
      </c>
      <c r="H1134" s="8">
        <v>92.11</v>
      </c>
      <c r="I1134" s="8">
        <v>187.03</v>
      </c>
      <c r="J1134" s="8">
        <v>91.03</v>
      </c>
      <c r="K1134" s="268">
        <v>0.44850000000000001</v>
      </c>
      <c r="L1134" s="268">
        <v>0.34420000000000001</v>
      </c>
      <c r="M1134" s="268">
        <v>-4.4900000000000002E-2</v>
      </c>
      <c r="N1134" s="8">
        <v>679.62</v>
      </c>
      <c r="O1134" s="8">
        <v>6808.81</v>
      </c>
      <c r="P1134" s="268">
        <v>9.98E-2</v>
      </c>
      <c r="Q1134" s="8">
        <v>384</v>
      </c>
      <c r="R1134" s="8">
        <v>0</v>
      </c>
      <c r="S1134" s="8" t="s">
        <v>7776</v>
      </c>
      <c r="T1134" s="8" t="s">
        <v>7777</v>
      </c>
      <c r="U1134" s="8" t="s">
        <v>7778</v>
      </c>
      <c r="V1134" s="8" t="s">
        <v>7779</v>
      </c>
      <c r="W1134" s="8" t="s">
        <v>7780</v>
      </c>
    </row>
    <row r="1135" spans="1:23" ht="28" customHeight="1" x14ac:dyDescent="0.3">
      <c r="A1135" s="308">
        <v>44587</v>
      </c>
      <c r="B1135" s="302">
        <v>2030.818</v>
      </c>
      <c r="C1135" s="8">
        <v>8.4529999999999994</v>
      </c>
      <c r="D1135" s="268">
        <v>4.1999999999999997E-3</v>
      </c>
      <c r="E1135" s="8">
        <v>81.56</v>
      </c>
      <c r="F1135" s="8">
        <v>144.97999999999999</v>
      </c>
      <c r="G1135" s="8">
        <v>127.5</v>
      </c>
      <c r="H1135" s="8">
        <v>95.15</v>
      </c>
      <c r="I1135" s="8">
        <v>187.09</v>
      </c>
      <c r="J1135" s="8">
        <v>88.57</v>
      </c>
      <c r="K1135" s="268">
        <v>0.42109999999999997</v>
      </c>
      <c r="L1135" s="268">
        <v>0.32619999999999999</v>
      </c>
      <c r="M1135" s="268">
        <v>-4.7699999999999999E-2</v>
      </c>
      <c r="N1135" s="8">
        <v>759.76</v>
      </c>
      <c r="O1135" s="8">
        <v>6814.26</v>
      </c>
      <c r="P1135" s="268">
        <v>0.1115</v>
      </c>
      <c r="Q1135" s="8">
        <v>385</v>
      </c>
      <c r="R1135" s="8">
        <v>0</v>
      </c>
      <c r="S1135" s="8">
        <v>0</v>
      </c>
      <c r="T1135" s="8" t="s">
        <v>7781</v>
      </c>
      <c r="U1135" s="8" t="s">
        <v>7782</v>
      </c>
      <c r="V1135" s="8" t="s">
        <v>7783</v>
      </c>
      <c r="W1135" s="8" t="s">
        <v>7784</v>
      </c>
    </row>
    <row r="1136" spans="1:23" ht="28" customHeight="1" x14ac:dyDescent="0.3">
      <c r="A1136" s="308">
        <v>44586</v>
      </c>
      <c r="B1136" s="302">
        <v>2022.365</v>
      </c>
      <c r="C1136" s="8">
        <v>-33.531999999999996</v>
      </c>
      <c r="D1136" s="268">
        <v>-1.6299999999999999E-2</v>
      </c>
      <c r="E1136" s="8">
        <v>81.83</v>
      </c>
      <c r="F1136" s="8">
        <v>144.315</v>
      </c>
      <c r="G1136" s="8">
        <v>127.354</v>
      </c>
      <c r="H1136" s="8">
        <v>94.85</v>
      </c>
      <c r="I1136" s="8">
        <v>186.58</v>
      </c>
      <c r="J1136" s="8">
        <v>89.35</v>
      </c>
      <c r="K1136" s="268">
        <v>0.42259999999999998</v>
      </c>
      <c r="L1136" s="268">
        <v>0.33210000000000001</v>
      </c>
      <c r="M1136" s="268">
        <v>-4.6600000000000003E-2</v>
      </c>
      <c r="N1136" s="8">
        <v>697.6</v>
      </c>
      <c r="O1136" s="8">
        <v>6826.99</v>
      </c>
      <c r="P1136" s="268">
        <v>0.1022</v>
      </c>
      <c r="Q1136" s="8">
        <v>385</v>
      </c>
      <c r="R1136" s="8">
        <v>0</v>
      </c>
      <c r="S1136" s="8">
        <v>0</v>
      </c>
      <c r="T1136" s="8" t="s">
        <v>7785</v>
      </c>
      <c r="U1136" s="8" t="s">
        <v>7786</v>
      </c>
      <c r="V1136" s="8" t="s">
        <v>7787</v>
      </c>
      <c r="W1136" s="8" t="s">
        <v>7788</v>
      </c>
    </row>
    <row r="1137" spans="1:23" ht="28" customHeight="1" x14ac:dyDescent="0.3">
      <c r="A1137" s="308">
        <v>44585</v>
      </c>
      <c r="B1137" s="302">
        <v>2055.8969999999999</v>
      </c>
      <c r="C1137" s="8">
        <v>7.9870000000000001</v>
      </c>
      <c r="D1137" s="268">
        <v>3.8999999999999998E-3</v>
      </c>
      <c r="E1137" s="8">
        <v>86.64</v>
      </c>
      <c r="F1137" s="8">
        <v>146.798</v>
      </c>
      <c r="G1137" s="8">
        <v>128.94499999999999</v>
      </c>
      <c r="H1137" s="8">
        <v>98.89</v>
      </c>
      <c r="I1137" s="8">
        <v>185.52</v>
      </c>
      <c r="J1137" s="8">
        <v>81.97</v>
      </c>
      <c r="K1137" s="268">
        <v>0.38719999999999999</v>
      </c>
      <c r="L1137" s="268">
        <v>0.29959999999999998</v>
      </c>
      <c r="M1137" s="268">
        <v>-5.0900000000000001E-2</v>
      </c>
      <c r="N1137" s="8">
        <v>612.36</v>
      </c>
      <c r="O1137" s="8">
        <v>6818.71</v>
      </c>
      <c r="P1137" s="268">
        <v>8.9800000000000005E-2</v>
      </c>
      <c r="Q1137" s="8">
        <v>384</v>
      </c>
      <c r="R1137" s="8">
        <v>0</v>
      </c>
      <c r="S1137" s="8">
        <v>0</v>
      </c>
      <c r="T1137" s="8" t="s">
        <v>7789</v>
      </c>
      <c r="U1137" s="8" t="s">
        <v>7790</v>
      </c>
      <c r="V1137" s="8" t="s">
        <v>7791</v>
      </c>
      <c r="W1137" s="8" t="s">
        <v>7792</v>
      </c>
    </row>
    <row r="1138" spans="1:23" ht="28" customHeight="1" x14ac:dyDescent="0.3">
      <c r="A1138" s="308">
        <v>44582</v>
      </c>
      <c r="B1138" s="302">
        <v>2047.91</v>
      </c>
      <c r="C1138" s="8">
        <v>-10.808</v>
      </c>
      <c r="D1138" s="268">
        <v>-5.3E-3</v>
      </c>
      <c r="E1138" s="8">
        <v>85.53</v>
      </c>
      <c r="F1138" s="8">
        <v>145.88499999999999</v>
      </c>
      <c r="G1138" s="8">
        <v>129.07900000000001</v>
      </c>
      <c r="H1138" s="8">
        <v>98.98</v>
      </c>
      <c r="I1138" s="8">
        <v>183.79</v>
      </c>
      <c r="J1138" s="8">
        <v>78.91</v>
      </c>
      <c r="K1138" s="268">
        <v>0.379</v>
      </c>
      <c r="L1138" s="268">
        <v>0.29020000000000001</v>
      </c>
      <c r="M1138" s="268">
        <v>-5.04E-2</v>
      </c>
      <c r="N1138" s="8">
        <v>598.02</v>
      </c>
      <c r="O1138" s="8">
        <v>6810.26</v>
      </c>
      <c r="P1138" s="268">
        <v>8.7800000000000003E-2</v>
      </c>
      <c r="Q1138" s="8">
        <v>382</v>
      </c>
      <c r="R1138" s="8">
        <v>0</v>
      </c>
      <c r="S1138" s="8">
        <v>0</v>
      </c>
      <c r="T1138" s="8" t="s">
        <v>7793</v>
      </c>
      <c r="U1138" s="8" t="s">
        <v>7794</v>
      </c>
      <c r="V1138" s="8" t="s">
        <v>7795</v>
      </c>
      <c r="W1138" s="8" t="s">
        <v>7796</v>
      </c>
    </row>
    <row r="1139" spans="1:23" ht="28" customHeight="1" x14ac:dyDescent="0.3">
      <c r="A1139" s="308">
        <v>44581</v>
      </c>
      <c r="B1139" s="302">
        <v>2058.7179999999998</v>
      </c>
      <c r="C1139" s="8">
        <v>-13.782</v>
      </c>
      <c r="D1139" s="268">
        <v>-6.7000000000000002E-3</v>
      </c>
      <c r="E1139" s="8">
        <v>87.92</v>
      </c>
      <c r="F1139" s="8">
        <v>146.71700000000001</v>
      </c>
      <c r="G1139" s="8">
        <v>130.41999999999999</v>
      </c>
      <c r="H1139" s="8">
        <v>100.37</v>
      </c>
      <c r="I1139" s="8">
        <v>183.61</v>
      </c>
      <c r="J1139" s="8">
        <v>75.69</v>
      </c>
      <c r="K1139" s="268">
        <v>0.36890000000000001</v>
      </c>
      <c r="L1139" s="268">
        <v>0.28149999999999997</v>
      </c>
      <c r="M1139" s="268">
        <v>-5.1700000000000003E-2</v>
      </c>
      <c r="N1139" s="8">
        <v>744.38</v>
      </c>
      <c r="O1139" s="8">
        <v>6806.73</v>
      </c>
      <c r="P1139" s="268">
        <v>0.1094</v>
      </c>
      <c r="Q1139" s="8">
        <v>381</v>
      </c>
      <c r="R1139" s="8">
        <v>0</v>
      </c>
      <c r="S1139" s="8">
        <v>0</v>
      </c>
      <c r="T1139" s="8" t="s">
        <v>7797</v>
      </c>
      <c r="U1139" s="8" t="s">
        <v>7798</v>
      </c>
      <c r="V1139" s="8" t="s">
        <v>7799</v>
      </c>
      <c r="W1139" s="8" t="s">
        <v>7800</v>
      </c>
    </row>
    <row r="1140" spans="1:23" ht="28" customHeight="1" x14ac:dyDescent="0.3">
      <c r="A1140" s="308">
        <v>44580</v>
      </c>
      <c r="B1140" s="302">
        <v>2072.5</v>
      </c>
      <c r="C1140" s="8">
        <v>-0.60099999999999998</v>
      </c>
      <c r="D1140" s="268">
        <v>-2.9999999999999997E-4</v>
      </c>
      <c r="E1140" s="8">
        <v>88.75</v>
      </c>
      <c r="F1140" s="8">
        <v>148.006</v>
      </c>
      <c r="G1140" s="8">
        <v>130.79</v>
      </c>
      <c r="H1140" s="8">
        <v>102.8</v>
      </c>
      <c r="I1140" s="8">
        <v>182.92</v>
      </c>
      <c r="J1140" s="8">
        <v>67.900000000000006</v>
      </c>
      <c r="K1140" s="268">
        <v>0.34910000000000002</v>
      </c>
      <c r="L1140" s="268">
        <v>0.26329999999999998</v>
      </c>
      <c r="M1140" s="268">
        <v>-5.3400000000000003E-2</v>
      </c>
      <c r="N1140" s="8">
        <v>691.31</v>
      </c>
      <c r="O1140" s="8">
        <v>6806.68</v>
      </c>
      <c r="P1140" s="268">
        <v>0.1016</v>
      </c>
      <c r="Q1140" s="8">
        <v>380</v>
      </c>
      <c r="R1140" s="8">
        <v>0</v>
      </c>
      <c r="S1140" s="8">
        <v>0</v>
      </c>
      <c r="T1140" s="8" t="s">
        <v>7801</v>
      </c>
      <c r="U1140" s="8" t="s">
        <v>7802</v>
      </c>
      <c r="V1140" s="8" t="s">
        <v>7803</v>
      </c>
      <c r="W1140" s="8" t="s">
        <v>7804</v>
      </c>
    </row>
    <row r="1141" spans="1:23" ht="28" customHeight="1" x14ac:dyDescent="0.3">
      <c r="A1141" s="308">
        <v>44579</v>
      </c>
      <c r="B1141" s="302">
        <v>2073.1010000000001</v>
      </c>
      <c r="C1141" s="8">
        <v>-1.847</v>
      </c>
      <c r="D1141" s="268">
        <v>-8.9999999999999998E-4</v>
      </c>
      <c r="E1141" s="8">
        <v>88.59</v>
      </c>
      <c r="F1141" s="8">
        <v>148.61500000000001</v>
      </c>
      <c r="G1141" s="8">
        <v>129.65</v>
      </c>
      <c r="H1141" s="8">
        <v>102.23</v>
      </c>
      <c r="I1141" s="8">
        <v>183.61</v>
      </c>
      <c r="J1141" s="8">
        <v>69.069999999999993</v>
      </c>
      <c r="K1141" s="268">
        <v>0.34989999999999999</v>
      </c>
      <c r="L1141" s="268">
        <v>0.25929999999999997</v>
      </c>
      <c r="M1141" s="268">
        <v>-5.33E-2</v>
      </c>
      <c r="N1141" s="8">
        <v>712.63</v>
      </c>
      <c r="O1141" s="8">
        <v>6804.94</v>
      </c>
      <c r="P1141" s="268">
        <v>0.1047</v>
      </c>
      <c r="Q1141" s="8">
        <v>378</v>
      </c>
      <c r="R1141" s="8">
        <v>0</v>
      </c>
      <c r="S1141" s="8">
        <v>0</v>
      </c>
      <c r="T1141" s="8" t="s">
        <v>7805</v>
      </c>
      <c r="U1141" s="8" t="s">
        <v>7806</v>
      </c>
      <c r="V1141" s="8" t="s">
        <v>7807</v>
      </c>
      <c r="W1141" s="8" t="s">
        <v>7808</v>
      </c>
    </row>
    <row r="1142" spans="1:23" ht="28" customHeight="1" x14ac:dyDescent="0.3">
      <c r="A1142" s="308">
        <v>44578</v>
      </c>
      <c r="B1142" s="302">
        <v>2074.9479999999999</v>
      </c>
      <c r="C1142" s="8">
        <v>23.834</v>
      </c>
      <c r="D1142" s="268">
        <v>1.1599999999999999E-2</v>
      </c>
      <c r="E1142" s="8">
        <v>89.86</v>
      </c>
      <c r="F1142" s="8">
        <v>148.797</v>
      </c>
      <c r="G1142" s="8">
        <v>130.63499999999999</v>
      </c>
      <c r="H1142" s="8">
        <v>104.78</v>
      </c>
      <c r="I1142" s="8">
        <v>182.51</v>
      </c>
      <c r="J1142" s="8">
        <v>63.29</v>
      </c>
      <c r="K1142" s="268">
        <v>0.33710000000000001</v>
      </c>
      <c r="L1142" s="268">
        <v>0.25019999999999998</v>
      </c>
      <c r="M1142" s="268">
        <v>-5.3499999999999999E-2</v>
      </c>
      <c r="N1142" s="8">
        <v>657.75</v>
      </c>
      <c r="O1142" s="8">
        <v>6806.37</v>
      </c>
      <c r="P1142" s="268">
        <v>9.6600000000000005E-2</v>
      </c>
      <c r="Q1142" s="8">
        <v>378</v>
      </c>
      <c r="R1142" s="8">
        <v>0</v>
      </c>
      <c r="S1142" s="8">
        <v>0</v>
      </c>
      <c r="T1142" s="8" t="s">
        <v>7809</v>
      </c>
      <c r="U1142" s="8" t="s">
        <v>7810</v>
      </c>
      <c r="V1142" s="8" t="s">
        <v>7811</v>
      </c>
      <c r="W1142" s="8" t="s">
        <v>7812</v>
      </c>
    </row>
    <row r="1143" spans="1:23" ht="28" customHeight="1" x14ac:dyDescent="0.3">
      <c r="A1143" s="308">
        <v>44575</v>
      </c>
      <c r="B1143" s="302">
        <v>2051.114</v>
      </c>
      <c r="C1143" s="8">
        <v>-17.375</v>
      </c>
      <c r="D1143" s="268">
        <v>-8.3999999999999995E-3</v>
      </c>
      <c r="E1143" s="8">
        <v>87.48</v>
      </c>
      <c r="F1143" s="8">
        <v>147.00800000000001</v>
      </c>
      <c r="G1143" s="8">
        <v>129.602</v>
      </c>
      <c r="H1143" s="8">
        <v>103.22</v>
      </c>
      <c r="I1143" s="8">
        <v>181.33</v>
      </c>
      <c r="J1143" s="8">
        <v>65.709999999999994</v>
      </c>
      <c r="K1143" s="268">
        <v>0.34320000000000001</v>
      </c>
      <c r="L1143" s="268">
        <v>0.25679999999999997</v>
      </c>
      <c r="M1143" s="268">
        <v>-5.1700000000000003E-2</v>
      </c>
      <c r="N1143" s="8">
        <v>656.74</v>
      </c>
      <c r="O1143" s="8">
        <v>6306.65</v>
      </c>
      <c r="P1143" s="268">
        <v>0.1041</v>
      </c>
      <c r="Q1143" s="8">
        <v>377</v>
      </c>
      <c r="R1143" s="8">
        <v>0</v>
      </c>
      <c r="S1143" s="8" t="s">
        <v>7813</v>
      </c>
      <c r="T1143" s="8" t="s">
        <v>7814</v>
      </c>
      <c r="U1143" s="8" t="s">
        <v>7815</v>
      </c>
      <c r="V1143" s="8" t="s">
        <v>7816</v>
      </c>
      <c r="W1143" s="8" t="s">
        <v>7817</v>
      </c>
    </row>
    <row r="1144" spans="1:23" ht="28" customHeight="1" x14ac:dyDescent="0.3">
      <c r="A1144" s="308">
        <v>44574</v>
      </c>
      <c r="B1144" s="302">
        <v>2068.489</v>
      </c>
      <c r="C1144" s="8">
        <v>-14.707000000000001</v>
      </c>
      <c r="D1144" s="268">
        <v>-7.1000000000000004E-3</v>
      </c>
      <c r="E1144" s="8">
        <v>91.1</v>
      </c>
      <c r="F1144" s="8">
        <v>148.06399999999999</v>
      </c>
      <c r="G1144" s="8">
        <v>130.66900000000001</v>
      </c>
      <c r="H1144" s="8">
        <v>103.72</v>
      </c>
      <c r="I1144" s="8">
        <v>183.13</v>
      </c>
      <c r="J1144" s="8">
        <v>68.239999999999995</v>
      </c>
      <c r="K1144" s="268">
        <v>0.35070000000000001</v>
      </c>
      <c r="L1144" s="268">
        <v>0.26279999999999998</v>
      </c>
      <c r="M1144" s="268">
        <v>-5.3100000000000001E-2</v>
      </c>
      <c r="N1144" s="8">
        <v>621.62</v>
      </c>
      <c r="O1144" s="8">
        <v>6308.08</v>
      </c>
      <c r="P1144" s="268">
        <v>9.8500000000000004E-2</v>
      </c>
      <c r="Q1144" s="8">
        <v>377</v>
      </c>
      <c r="R1144" s="8">
        <v>0</v>
      </c>
      <c r="S1144" s="8">
        <v>0</v>
      </c>
      <c r="T1144" s="8" t="s">
        <v>7818</v>
      </c>
      <c r="U1144" s="8" t="s">
        <v>7819</v>
      </c>
      <c r="V1144" s="8" t="s">
        <v>7820</v>
      </c>
      <c r="W1144" s="8" t="s">
        <v>7821</v>
      </c>
    </row>
    <row r="1145" spans="1:23" ht="28" customHeight="1" x14ac:dyDescent="0.3">
      <c r="A1145" s="308">
        <v>44573</v>
      </c>
      <c r="B1145" s="302">
        <v>2083.1959999999999</v>
      </c>
      <c r="C1145" s="8">
        <v>19.664999999999999</v>
      </c>
      <c r="D1145" s="268">
        <v>9.4999999999999998E-3</v>
      </c>
      <c r="E1145" s="8">
        <v>92.74</v>
      </c>
      <c r="F1145" s="8">
        <v>149.25299999999999</v>
      </c>
      <c r="G1145" s="8">
        <v>131.501</v>
      </c>
      <c r="H1145" s="8">
        <v>104.82</v>
      </c>
      <c r="I1145" s="8">
        <v>183.64</v>
      </c>
      <c r="J1145" s="8">
        <v>66.53</v>
      </c>
      <c r="K1145" s="268">
        <v>0.34389999999999998</v>
      </c>
      <c r="L1145" s="268">
        <v>0.25929999999999997</v>
      </c>
      <c r="M1145" s="268">
        <v>-5.4699999999999999E-2</v>
      </c>
      <c r="N1145" s="8">
        <v>594.19000000000005</v>
      </c>
      <c r="O1145" s="8">
        <v>6308.28</v>
      </c>
      <c r="P1145" s="268">
        <v>9.4200000000000006E-2</v>
      </c>
      <c r="Q1145" s="8">
        <v>377</v>
      </c>
      <c r="R1145" s="8">
        <v>0</v>
      </c>
      <c r="S1145" s="8">
        <v>0</v>
      </c>
      <c r="T1145" s="8" t="s">
        <v>5820</v>
      </c>
      <c r="U1145" s="8" t="s">
        <v>7822</v>
      </c>
      <c r="V1145" s="8" t="s">
        <v>7823</v>
      </c>
      <c r="W1145" s="8" t="s">
        <v>7824</v>
      </c>
    </row>
    <row r="1146" spans="1:23" ht="28" customHeight="1" x14ac:dyDescent="0.3">
      <c r="A1146" s="308">
        <v>44572</v>
      </c>
      <c r="B1146" s="302">
        <v>2063.5309999999999</v>
      </c>
      <c r="C1146" s="8">
        <v>-15.048999999999999</v>
      </c>
      <c r="D1146" s="268">
        <v>-7.1999999999999998E-3</v>
      </c>
      <c r="E1146" s="8">
        <v>90.98</v>
      </c>
      <c r="F1146" s="8">
        <v>147.52000000000001</v>
      </c>
      <c r="G1146" s="8">
        <v>130.268</v>
      </c>
      <c r="H1146" s="8">
        <v>104.61</v>
      </c>
      <c r="I1146" s="8">
        <v>182.56</v>
      </c>
      <c r="J1146" s="8">
        <v>68.78</v>
      </c>
      <c r="K1146" s="268">
        <v>0.35049999999999998</v>
      </c>
      <c r="L1146" s="268">
        <v>0.26379999999999998</v>
      </c>
      <c r="M1146" s="268">
        <v>-5.2499999999999998E-2</v>
      </c>
      <c r="N1146" s="8">
        <v>528.58000000000004</v>
      </c>
      <c r="O1146" s="8">
        <v>6311.52</v>
      </c>
      <c r="P1146" s="268">
        <v>8.3699999999999997E-2</v>
      </c>
      <c r="Q1146" s="8">
        <v>377</v>
      </c>
      <c r="R1146" s="8">
        <v>0</v>
      </c>
      <c r="S1146" s="8">
        <v>0</v>
      </c>
      <c r="T1146" s="8" t="s">
        <v>7825</v>
      </c>
      <c r="U1146" s="8" t="s">
        <v>7826</v>
      </c>
      <c r="V1146" s="8" t="s">
        <v>7827</v>
      </c>
      <c r="W1146" s="8" t="s">
        <v>7828</v>
      </c>
    </row>
    <row r="1147" spans="1:23" ht="28" customHeight="1" x14ac:dyDescent="0.3">
      <c r="A1147" s="308">
        <v>44571</v>
      </c>
      <c r="B1147" s="302">
        <v>2078.58</v>
      </c>
      <c r="C1147" s="8">
        <v>10.238</v>
      </c>
      <c r="D1147" s="268">
        <v>4.8999999999999998E-3</v>
      </c>
      <c r="E1147" s="8">
        <v>92.45</v>
      </c>
      <c r="F1147" s="8">
        <v>149.01300000000001</v>
      </c>
      <c r="G1147" s="8">
        <v>130.76</v>
      </c>
      <c r="H1147" s="8">
        <v>103.97</v>
      </c>
      <c r="I1147" s="8">
        <v>184.11</v>
      </c>
      <c r="J1147" s="8">
        <v>70.209999999999994</v>
      </c>
      <c r="K1147" s="268">
        <v>0.35099999999999998</v>
      </c>
      <c r="L1147" s="268">
        <v>0.26500000000000001</v>
      </c>
      <c r="M1147" s="268">
        <v>-5.4199999999999998E-2</v>
      </c>
      <c r="N1147" s="8">
        <v>535.26</v>
      </c>
      <c r="O1147" s="8">
        <v>6313.66</v>
      </c>
      <c r="P1147" s="268">
        <v>8.48E-2</v>
      </c>
      <c r="Q1147" s="8">
        <v>378</v>
      </c>
      <c r="R1147" s="8">
        <v>0</v>
      </c>
      <c r="S1147" s="8">
        <v>0</v>
      </c>
      <c r="T1147" s="8" t="s">
        <v>7829</v>
      </c>
      <c r="U1147" s="8" t="s">
        <v>7830</v>
      </c>
      <c r="V1147" s="8" t="s">
        <v>7831</v>
      </c>
      <c r="W1147" s="8" t="s">
        <v>7832</v>
      </c>
    </row>
    <row r="1148" spans="1:23" ht="28" customHeight="1" x14ac:dyDescent="0.3">
      <c r="A1148" s="308">
        <v>44568</v>
      </c>
      <c r="B1148" s="302">
        <v>2068.3420000000001</v>
      </c>
      <c r="C1148" s="8">
        <v>-13.071</v>
      </c>
      <c r="D1148" s="268">
        <v>-6.3E-3</v>
      </c>
      <c r="E1148" s="8">
        <v>91.51</v>
      </c>
      <c r="F1148" s="8">
        <v>148.13499999999999</v>
      </c>
      <c r="G1148" s="8">
        <v>130.18</v>
      </c>
      <c r="H1148" s="8">
        <v>102.44</v>
      </c>
      <c r="I1148" s="8">
        <v>184.23</v>
      </c>
      <c r="J1148" s="8">
        <v>74.64</v>
      </c>
      <c r="K1148" s="268">
        <v>0.3609</v>
      </c>
      <c r="L1148" s="268">
        <v>0.26750000000000002</v>
      </c>
      <c r="M1148" s="268">
        <v>-5.2999999999999999E-2</v>
      </c>
      <c r="N1148" s="8">
        <v>508.81</v>
      </c>
      <c r="O1148" s="8">
        <v>6328.98</v>
      </c>
      <c r="P1148" s="268">
        <v>8.0399999999999999E-2</v>
      </c>
      <c r="Q1148" s="8">
        <v>378</v>
      </c>
      <c r="R1148" s="8">
        <v>0</v>
      </c>
      <c r="S1148" s="8">
        <v>0</v>
      </c>
      <c r="T1148" s="8" t="s">
        <v>7833</v>
      </c>
      <c r="U1148" s="8" t="s">
        <v>7834</v>
      </c>
      <c r="V1148" s="8" t="s">
        <v>7835</v>
      </c>
      <c r="W1148" s="8" t="s">
        <v>7836</v>
      </c>
    </row>
    <row r="1149" spans="1:23" ht="28" customHeight="1" x14ac:dyDescent="0.3">
      <c r="A1149" s="308">
        <v>44567</v>
      </c>
      <c r="B1149" s="302">
        <v>2081.413</v>
      </c>
      <c r="C1149" s="8">
        <v>11.488</v>
      </c>
      <c r="D1149" s="268">
        <v>5.5999999999999999E-3</v>
      </c>
      <c r="E1149" s="8">
        <v>92.27</v>
      </c>
      <c r="F1149" s="8">
        <v>149.62700000000001</v>
      </c>
      <c r="G1149" s="8">
        <v>130.85</v>
      </c>
      <c r="H1149" s="8">
        <v>103.55</v>
      </c>
      <c r="I1149" s="8">
        <v>184.3</v>
      </c>
      <c r="J1149" s="8">
        <v>69.02</v>
      </c>
      <c r="K1149" s="268">
        <v>0.3468</v>
      </c>
      <c r="L1149" s="268">
        <v>0.25659999999999999</v>
      </c>
      <c r="M1149" s="268">
        <v>-5.4300000000000001E-2</v>
      </c>
      <c r="N1149" s="8">
        <v>581.66999999999996</v>
      </c>
      <c r="O1149" s="8">
        <v>6330.14</v>
      </c>
      <c r="P1149" s="268">
        <v>9.1899999999999996E-2</v>
      </c>
      <c r="Q1149" s="8">
        <v>378</v>
      </c>
      <c r="R1149" s="8">
        <v>0</v>
      </c>
      <c r="S1149" s="8">
        <v>0</v>
      </c>
      <c r="T1149" s="8" t="s">
        <v>7837</v>
      </c>
      <c r="U1149" s="8" t="s">
        <v>7838</v>
      </c>
      <c r="V1149" s="8" t="s">
        <v>7839</v>
      </c>
      <c r="W1149" s="8" t="s">
        <v>7840</v>
      </c>
    </row>
    <row r="1150" spans="1:23" ht="28" customHeight="1" x14ac:dyDescent="0.3">
      <c r="A1150" s="308">
        <v>44566</v>
      </c>
      <c r="B1150" s="302">
        <v>2069.9250000000002</v>
      </c>
      <c r="C1150" s="8">
        <v>-19.472999999999999</v>
      </c>
      <c r="D1150" s="268">
        <v>-9.2999999999999992E-3</v>
      </c>
      <c r="E1150" s="8">
        <v>90.97</v>
      </c>
      <c r="F1150" s="8">
        <v>148.994</v>
      </c>
      <c r="G1150" s="8">
        <v>130.184</v>
      </c>
      <c r="H1150" s="8">
        <v>103.18</v>
      </c>
      <c r="I1150" s="8">
        <v>184.13</v>
      </c>
      <c r="J1150" s="8">
        <v>70.22</v>
      </c>
      <c r="K1150" s="268">
        <v>0.35139999999999999</v>
      </c>
      <c r="L1150" s="268">
        <v>0.26350000000000001</v>
      </c>
      <c r="M1150" s="268">
        <v>-5.3900000000000003E-2</v>
      </c>
      <c r="N1150" s="8">
        <v>560.16999999999996</v>
      </c>
      <c r="O1150" s="8">
        <v>6331.56</v>
      </c>
      <c r="P1150" s="268">
        <v>8.8499999999999995E-2</v>
      </c>
      <c r="Q1150" s="8">
        <v>378</v>
      </c>
      <c r="R1150" s="8">
        <v>0</v>
      </c>
      <c r="S1150" s="8" t="s">
        <v>3723</v>
      </c>
      <c r="T1150" s="8" t="s">
        <v>2944</v>
      </c>
      <c r="U1150" s="8" t="s">
        <v>7841</v>
      </c>
      <c r="V1150" s="8" t="s">
        <v>7842</v>
      </c>
      <c r="W1150" s="8" t="s">
        <v>7843</v>
      </c>
    </row>
    <row r="1151" spans="1:23" ht="28" customHeight="1" x14ac:dyDescent="0.3">
      <c r="A1151" s="308">
        <v>44565</v>
      </c>
      <c r="B1151" s="302">
        <v>2089.3980000000001</v>
      </c>
      <c r="C1151" s="8">
        <v>16.13</v>
      </c>
      <c r="D1151" s="268">
        <v>7.7999999999999996E-3</v>
      </c>
      <c r="E1151" s="8">
        <v>92.81</v>
      </c>
      <c r="F1151" s="8">
        <v>151.029</v>
      </c>
      <c r="G1151" s="8">
        <v>130.261</v>
      </c>
      <c r="H1151" s="8">
        <v>103.96</v>
      </c>
      <c r="I1151" s="8">
        <v>185.28</v>
      </c>
      <c r="J1151" s="8">
        <v>65.88</v>
      </c>
      <c r="K1151" s="268">
        <v>0.34250000000000003</v>
      </c>
      <c r="L1151" s="268">
        <v>0.25409999999999999</v>
      </c>
      <c r="M1151" s="268">
        <v>-5.67E-2</v>
      </c>
      <c r="N1151" s="8">
        <v>549.48</v>
      </c>
      <c r="O1151" s="8">
        <v>6323.93</v>
      </c>
      <c r="P1151" s="268">
        <v>8.6900000000000005E-2</v>
      </c>
      <c r="Q1151" s="8">
        <v>376</v>
      </c>
      <c r="R1151" s="8">
        <v>0</v>
      </c>
      <c r="S1151" s="8" t="s">
        <v>3745</v>
      </c>
      <c r="T1151" s="8" t="s">
        <v>7844</v>
      </c>
      <c r="U1151" s="8" t="s">
        <v>7845</v>
      </c>
      <c r="V1151" s="8" t="s">
        <v>7846</v>
      </c>
      <c r="W1151" s="8" t="s">
        <v>7847</v>
      </c>
    </row>
    <row r="1152" spans="1:23" ht="28" customHeight="1" x14ac:dyDescent="0.3">
      <c r="A1152" s="308">
        <v>44561</v>
      </c>
      <c r="B1152" s="302">
        <v>2073.268</v>
      </c>
      <c r="C1152" s="8">
        <v>18.126000000000001</v>
      </c>
      <c r="D1152" s="268">
        <v>8.8000000000000005E-3</v>
      </c>
      <c r="E1152" s="8">
        <v>91.81</v>
      </c>
      <c r="F1152" s="8">
        <v>150.155</v>
      </c>
      <c r="G1152" s="8">
        <v>128.61500000000001</v>
      </c>
      <c r="H1152" s="8">
        <v>102.34</v>
      </c>
      <c r="I1152" s="8">
        <v>185.04</v>
      </c>
      <c r="J1152" s="8">
        <v>67.790000000000006</v>
      </c>
      <c r="K1152" s="268">
        <v>0.34889999999999999</v>
      </c>
      <c r="L1152" s="268">
        <v>0.25769999999999998</v>
      </c>
      <c r="M1152" s="268">
        <v>-5.3699999999999998E-2</v>
      </c>
      <c r="N1152" s="8">
        <v>543.52</v>
      </c>
      <c r="O1152" s="8">
        <v>6317.13</v>
      </c>
      <c r="P1152" s="268">
        <v>8.5999999999999993E-2</v>
      </c>
      <c r="Q1152" s="8">
        <v>376</v>
      </c>
      <c r="R1152" s="8">
        <v>0</v>
      </c>
      <c r="S1152" s="8" t="s">
        <v>7848</v>
      </c>
      <c r="T1152" s="8" t="s">
        <v>7849</v>
      </c>
      <c r="U1152" s="8" t="s">
        <v>7850</v>
      </c>
      <c r="V1152" s="8" t="s">
        <v>7851</v>
      </c>
      <c r="W1152" s="8" t="s">
        <v>7852</v>
      </c>
    </row>
    <row r="1153" spans="1:23" ht="28" customHeight="1" x14ac:dyDescent="0.3">
      <c r="A1153" s="308">
        <v>44560</v>
      </c>
      <c r="B1153" s="302">
        <v>2055.1419999999998</v>
      </c>
      <c r="C1153" s="8">
        <v>8.6159999999999997</v>
      </c>
      <c r="D1153" s="268">
        <v>4.1999999999999997E-3</v>
      </c>
      <c r="E1153" s="8">
        <v>88.1</v>
      </c>
      <c r="F1153" s="8">
        <v>148.53899999999999</v>
      </c>
      <c r="G1153" s="8">
        <v>127.91</v>
      </c>
      <c r="H1153" s="8">
        <v>101.96</v>
      </c>
      <c r="I1153" s="8">
        <v>183.37</v>
      </c>
      <c r="J1153" s="8">
        <v>65.59</v>
      </c>
      <c r="K1153" s="268">
        <v>0.3483</v>
      </c>
      <c r="L1153" s="268">
        <v>0.25669999999999998</v>
      </c>
      <c r="M1153" s="268">
        <v>-5.1299999999999998E-2</v>
      </c>
      <c r="N1153" s="8">
        <v>466.94</v>
      </c>
      <c r="O1153" s="8">
        <v>6314.45</v>
      </c>
      <c r="P1153" s="268">
        <v>7.3899999999999993E-2</v>
      </c>
      <c r="Q1153" s="8">
        <v>377</v>
      </c>
      <c r="R1153" s="8">
        <v>0</v>
      </c>
      <c r="S1153" s="8" t="s">
        <v>3667</v>
      </c>
      <c r="T1153" s="8" t="s">
        <v>7853</v>
      </c>
      <c r="U1153" s="8" t="s">
        <v>7854</v>
      </c>
      <c r="V1153" s="8" t="s">
        <v>7855</v>
      </c>
      <c r="W1153" s="8" t="s">
        <v>7856</v>
      </c>
    </row>
    <row r="1154" spans="1:23" ht="28" customHeight="1" x14ac:dyDescent="0.3">
      <c r="A1154" s="308">
        <v>44559</v>
      </c>
      <c r="B1154" s="302">
        <v>2046.5260000000001</v>
      </c>
      <c r="C1154" s="8">
        <v>-4.718</v>
      </c>
      <c r="D1154" s="268">
        <v>-2.3E-3</v>
      </c>
      <c r="E1154" s="8">
        <v>87.95</v>
      </c>
      <c r="F1154" s="8">
        <v>148.03200000000001</v>
      </c>
      <c r="G1154" s="8">
        <v>127.508</v>
      </c>
      <c r="H1154" s="8">
        <v>100.9</v>
      </c>
      <c r="I1154" s="8">
        <v>183.58</v>
      </c>
      <c r="J1154" s="8">
        <v>69.34</v>
      </c>
      <c r="K1154" s="268">
        <v>0.35549999999999998</v>
      </c>
      <c r="L1154" s="268">
        <v>0.26129999999999998</v>
      </c>
      <c r="M1154" s="268">
        <v>-4.9799999999999997E-2</v>
      </c>
      <c r="N1154" s="8">
        <v>442.21</v>
      </c>
      <c r="O1154" s="8">
        <v>6304.82</v>
      </c>
      <c r="P1154" s="268">
        <v>7.0099999999999996E-2</v>
      </c>
      <c r="Q1154" s="8">
        <v>376</v>
      </c>
      <c r="R1154" s="8">
        <v>0</v>
      </c>
      <c r="S1154" s="8" t="s">
        <v>2407</v>
      </c>
      <c r="T1154" s="8" t="s">
        <v>7857</v>
      </c>
      <c r="U1154" s="8" t="s">
        <v>7858</v>
      </c>
      <c r="V1154" s="8" t="s">
        <v>7859</v>
      </c>
      <c r="W1154" s="8" t="s">
        <v>7860</v>
      </c>
    </row>
    <row r="1155" spans="1:23" ht="28" customHeight="1" x14ac:dyDescent="0.3">
      <c r="A1155" s="308">
        <v>44558</v>
      </c>
      <c r="B1155" s="302">
        <v>2051.2440000000001</v>
      </c>
      <c r="C1155" s="8">
        <v>2.1920000000000002</v>
      </c>
      <c r="D1155" s="268">
        <v>1.1000000000000001E-3</v>
      </c>
      <c r="E1155" s="8">
        <v>88.17</v>
      </c>
      <c r="F1155" s="8">
        <v>148.47900000000001</v>
      </c>
      <c r="G1155" s="8">
        <v>128.07</v>
      </c>
      <c r="H1155" s="8">
        <v>100.92</v>
      </c>
      <c r="I1155" s="8">
        <v>183.98</v>
      </c>
      <c r="J1155" s="8">
        <v>69.760000000000005</v>
      </c>
      <c r="K1155" s="268">
        <v>0.35510000000000003</v>
      </c>
      <c r="L1155" s="268">
        <v>0.26040000000000002</v>
      </c>
      <c r="M1155" s="268">
        <v>-5.0299999999999997E-2</v>
      </c>
      <c r="N1155" s="8">
        <v>481.72</v>
      </c>
      <c r="O1155" s="8">
        <v>6307.19</v>
      </c>
      <c r="P1155" s="268">
        <v>7.6399999999999996E-2</v>
      </c>
      <c r="Q1155" s="8">
        <v>377</v>
      </c>
      <c r="R1155" s="8">
        <v>0</v>
      </c>
      <c r="S1155" s="8" t="s">
        <v>7861</v>
      </c>
      <c r="T1155" s="8" t="s">
        <v>7862</v>
      </c>
      <c r="U1155" s="8" t="s">
        <v>7863</v>
      </c>
      <c r="V1155" s="8" t="s">
        <v>7864</v>
      </c>
      <c r="W1155" s="8" t="s">
        <v>7865</v>
      </c>
    </row>
    <row r="1156" spans="1:23" ht="28" customHeight="1" x14ac:dyDescent="0.3">
      <c r="A1156" s="308">
        <v>44557</v>
      </c>
      <c r="B1156" s="302">
        <v>2049.0520000000001</v>
      </c>
      <c r="C1156" s="8">
        <v>-4.4770000000000003</v>
      </c>
      <c r="D1156" s="268">
        <v>-2.2000000000000001E-3</v>
      </c>
      <c r="E1156" s="8">
        <v>87.92</v>
      </c>
      <c r="F1156" s="8">
        <v>148.21799999999999</v>
      </c>
      <c r="G1156" s="8">
        <v>127.59</v>
      </c>
      <c r="H1156" s="8">
        <v>100.31</v>
      </c>
      <c r="I1156" s="8">
        <v>184.27</v>
      </c>
      <c r="J1156" s="8">
        <v>72.41</v>
      </c>
      <c r="K1156" s="268">
        <v>0.36049999999999999</v>
      </c>
      <c r="L1156" s="268">
        <v>0.27329999999999999</v>
      </c>
      <c r="M1156" s="268">
        <v>-5.0200000000000002E-2</v>
      </c>
      <c r="N1156" s="8">
        <v>541.59</v>
      </c>
      <c r="O1156" s="8">
        <v>6308.02</v>
      </c>
      <c r="P1156" s="268">
        <v>8.5900000000000004E-2</v>
      </c>
      <c r="Q1156" s="8">
        <v>377</v>
      </c>
      <c r="R1156" s="8">
        <v>0</v>
      </c>
      <c r="S1156" s="8" t="s">
        <v>7866</v>
      </c>
      <c r="T1156" s="8" t="s">
        <v>7227</v>
      </c>
      <c r="U1156" s="8" t="s">
        <v>7867</v>
      </c>
      <c r="V1156" s="8" t="s">
        <v>4269</v>
      </c>
      <c r="W1156" s="8" t="s">
        <v>7868</v>
      </c>
    </row>
    <row r="1157" spans="1:23" ht="28" customHeight="1" x14ac:dyDescent="0.3">
      <c r="A1157" s="308">
        <v>44554</v>
      </c>
      <c r="B1157" s="302">
        <v>2053.529</v>
      </c>
      <c r="C1157" s="8">
        <v>-11.814</v>
      </c>
      <c r="D1157" s="268">
        <v>-5.7000000000000002E-3</v>
      </c>
      <c r="E1157" s="8">
        <v>88.76</v>
      </c>
      <c r="F1157" s="8">
        <v>148.863</v>
      </c>
      <c r="G1157" s="8">
        <v>127.65</v>
      </c>
      <c r="H1157" s="8">
        <v>100.28</v>
      </c>
      <c r="I1157" s="8">
        <v>185.79</v>
      </c>
      <c r="J1157" s="8">
        <v>75.760000000000005</v>
      </c>
      <c r="K1157" s="268">
        <v>0.36919999999999997</v>
      </c>
      <c r="L1157" s="268">
        <v>0.27760000000000001</v>
      </c>
      <c r="M1157" s="268">
        <v>-5.0599999999999999E-2</v>
      </c>
      <c r="N1157" s="8">
        <v>577.03</v>
      </c>
      <c r="O1157" s="8">
        <v>6309.74</v>
      </c>
      <c r="P1157" s="268">
        <v>9.1499999999999998E-2</v>
      </c>
      <c r="Q1157" s="8">
        <v>377</v>
      </c>
      <c r="R1157" s="8">
        <v>0</v>
      </c>
      <c r="S1157" s="8" t="s">
        <v>3538</v>
      </c>
      <c r="T1157" s="8" t="s">
        <v>7869</v>
      </c>
      <c r="U1157" s="8" t="s">
        <v>7870</v>
      </c>
      <c r="V1157" s="8" t="s">
        <v>7871</v>
      </c>
      <c r="W1157" s="8" t="s">
        <v>7872</v>
      </c>
    </row>
    <row r="1158" spans="1:23" ht="28" customHeight="1" x14ac:dyDescent="0.3">
      <c r="A1158" s="308">
        <v>44553</v>
      </c>
      <c r="B1158" s="302">
        <v>2065.3429999999998</v>
      </c>
      <c r="C1158" s="8">
        <v>12.645</v>
      </c>
      <c r="D1158" s="268">
        <v>6.1999999999999998E-3</v>
      </c>
      <c r="E1158" s="8">
        <v>90.56</v>
      </c>
      <c r="F1158" s="8">
        <v>150.44300000000001</v>
      </c>
      <c r="G1158" s="8">
        <v>127.669</v>
      </c>
      <c r="H1158" s="8">
        <v>101.16</v>
      </c>
      <c r="I1158" s="8">
        <v>185.99</v>
      </c>
      <c r="J1158" s="8">
        <v>71.03</v>
      </c>
      <c r="K1158" s="268">
        <v>0.35539999999999999</v>
      </c>
      <c r="L1158" s="268">
        <v>0.2676</v>
      </c>
      <c r="M1158" s="268">
        <v>-5.28E-2</v>
      </c>
      <c r="N1158" s="8">
        <v>612.77</v>
      </c>
      <c r="O1158" s="8">
        <v>6311.37</v>
      </c>
      <c r="P1158" s="268">
        <v>9.7100000000000006E-2</v>
      </c>
      <c r="Q1158" s="8">
        <v>378</v>
      </c>
      <c r="R1158" s="8">
        <v>0</v>
      </c>
      <c r="S1158" s="8" t="s">
        <v>7873</v>
      </c>
      <c r="T1158" s="8" t="s">
        <v>7874</v>
      </c>
      <c r="U1158" s="8" t="s">
        <v>7875</v>
      </c>
      <c r="V1158" s="8" t="s">
        <v>7876</v>
      </c>
      <c r="W1158" s="8" t="s">
        <v>7877</v>
      </c>
    </row>
    <row r="1159" spans="1:23" ht="28" customHeight="1" x14ac:dyDescent="0.3">
      <c r="A1159" s="308">
        <v>44552</v>
      </c>
      <c r="B1159" s="302">
        <v>2052.6979999999999</v>
      </c>
      <c r="C1159" s="8">
        <v>13.337</v>
      </c>
      <c r="D1159" s="268">
        <v>6.4999999999999997E-3</v>
      </c>
      <c r="E1159" s="8">
        <v>89.32</v>
      </c>
      <c r="F1159" s="8">
        <v>149.363</v>
      </c>
      <c r="G1159" s="8">
        <v>127.85</v>
      </c>
      <c r="H1159" s="8">
        <v>101.71</v>
      </c>
      <c r="I1159" s="8">
        <v>184.3</v>
      </c>
      <c r="J1159" s="8">
        <v>67.09</v>
      </c>
      <c r="K1159" s="268">
        <v>0.34939999999999999</v>
      </c>
      <c r="L1159" s="268">
        <v>0.25919999999999999</v>
      </c>
      <c r="M1159" s="268">
        <v>-5.1299999999999998E-2</v>
      </c>
      <c r="N1159" s="8">
        <v>520.21</v>
      </c>
      <c r="O1159" s="8">
        <v>6247.35</v>
      </c>
      <c r="P1159" s="268">
        <v>8.3299999999999999E-2</v>
      </c>
      <c r="Q1159" s="8">
        <v>375</v>
      </c>
      <c r="R1159" s="8">
        <v>0</v>
      </c>
      <c r="S1159" s="8" t="s">
        <v>3443</v>
      </c>
      <c r="T1159" s="8" t="s">
        <v>7878</v>
      </c>
      <c r="U1159" s="8" t="s">
        <v>7879</v>
      </c>
      <c r="V1159" s="8" t="s">
        <v>7880</v>
      </c>
      <c r="W1159" s="8" t="s">
        <v>7881</v>
      </c>
    </row>
    <row r="1160" spans="1:23" ht="28" customHeight="1" x14ac:dyDescent="0.3">
      <c r="A1160" s="308">
        <v>44551</v>
      </c>
      <c r="B1160" s="302">
        <v>2039.3610000000001</v>
      </c>
      <c r="C1160" s="8">
        <v>15.763999999999999</v>
      </c>
      <c r="D1160" s="268">
        <v>7.7999999999999996E-3</v>
      </c>
      <c r="E1160" s="8">
        <v>87.91</v>
      </c>
      <c r="F1160" s="8">
        <v>148.32</v>
      </c>
      <c r="G1160" s="8">
        <v>127.15</v>
      </c>
      <c r="H1160" s="8">
        <v>100.98</v>
      </c>
      <c r="I1160" s="8">
        <v>183.43</v>
      </c>
      <c r="J1160" s="8">
        <v>66.900000000000006</v>
      </c>
      <c r="K1160" s="268">
        <v>0.35110000000000002</v>
      </c>
      <c r="L1160" s="268">
        <v>0.2601</v>
      </c>
      <c r="M1160" s="268">
        <v>-4.9799999999999997E-2</v>
      </c>
      <c r="N1160" s="8">
        <v>513.69000000000005</v>
      </c>
      <c r="O1160" s="8">
        <v>6301.03</v>
      </c>
      <c r="P1160" s="268">
        <v>8.1500000000000003E-2</v>
      </c>
      <c r="Q1160" s="8">
        <v>376</v>
      </c>
      <c r="R1160" s="8">
        <v>0</v>
      </c>
      <c r="S1160" s="8" t="s">
        <v>3667</v>
      </c>
      <c r="T1160" s="8" t="s">
        <v>7882</v>
      </c>
      <c r="U1160" s="8" t="s">
        <v>7883</v>
      </c>
      <c r="V1160" s="8" t="s">
        <v>7884</v>
      </c>
      <c r="W1160" s="8" t="s">
        <v>7885</v>
      </c>
    </row>
    <row r="1161" spans="1:23" ht="28" customHeight="1" x14ac:dyDescent="0.3">
      <c r="A1161" s="308">
        <v>44550</v>
      </c>
      <c r="B1161" s="302">
        <v>2023.597</v>
      </c>
      <c r="C1161" s="8">
        <v>-16.114000000000001</v>
      </c>
      <c r="D1161" s="268">
        <v>-7.9000000000000008E-3</v>
      </c>
      <c r="E1161" s="8">
        <v>86.24</v>
      </c>
      <c r="F1161" s="8">
        <v>147.16999999999999</v>
      </c>
      <c r="G1161" s="8">
        <v>126.14</v>
      </c>
      <c r="H1161" s="8">
        <v>99.58</v>
      </c>
      <c r="I1161" s="8">
        <v>183.37</v>
      </c>
      <c r="J1161" s="8">
        <v>70.48</v>
      </c>
      <c r="K1161" s="268">
        <v>0.36199999999999999</v>
      </c>
      <c r="L1161" s="268">
        <v>0.2697</v>
      </c>
      <c r="M1161" s="268">
        <v>-4.7899999999999998E-2</v>
      </c>
      <c r="N1161" s="8">
        <v>455.1</v>
      </c>
      <c r="O1161" s="8">
        <v>6294.77</v>
      </c>
      <c r="P1161" s="268">
        <v>7.2300000000000003E-2</v>
      </c>
      <c r="Q1161" s="8">
        <v>375</v>
      </c>
      <c r="R1161" s="8">
        <v>0</v>
      </c>
      <c r="S1161" s="8" t="s">
        <v>7886</v>
      </c>
      <c r="T1161" s="8" t="s">
        <v>7887</v>
      </c>
      <c r="U1161" s="8" t="s">
        <v>7888</v>
      </c>
      <c r="V1161" s="8" t="s">
        <v>7889</v>
      </c>
      <c r="W1161" s="8" t="s">
        <v>7890</v>
      </c>
    </row>
    <row r="1162" spans="1:23" ht="28" customHeight="1" x14ac:dyDescent="0.3">
      <c r="A1162" s="308">
        <v>44547</v>
      </c>
      <c r="B1162" s="302">
        <v>2039.711</v>
      </c>
      <c r="C1162" s="8">
        <v>-3.617</v>
      </c>
      <c r="D1162" s="268">
        <v>-1.8E-3</v>
      </c>
      <c r="E1162" s="8">
        <v>87.69</v>
      </c>
      <c r="F1162" s="8">
        <v>148.642</v>
      </c>
      <c r="G1162" s="8">
        <v>127.41</v>
      </c>
      <c r="H1162" s="8">
        <v>100.58</v>
      </c>
      <c r="I1162" s="8">
        <v>184.39</v>
      </c>
      <c r="J1162" s="8">
        <v>68.86</v>
      </c>
      <c r="K1162" s="268">
        <v>0.3574</v>
      </c>
      <c r="L1162" s="268">
        <v>0.26719999999999999</v>
      </c>
      <c r="M1162" s="268">
        <v>-5.0900000000000001E-2</v>
      </c>
      <c r="N1162" s="8">
        <v>484.41</v>
      </c>
      <c r="O1162" s="8">
        <v>6291.7</v>
      </c>
      <c r="P1162" s="268">
        <v>7.6999999999999999E-2</v>
      </c>
      <c r="Q1162" s="8">
        <v>375</v>
      </c>
      <c r="R1162" s="8">
        <v>0</v>
      </c>
      <c r="S1162" s="8" t="s">
        <v>7891</v>
      </c>
      <c r="T1162" s="8" t="s">
        <v>7892</v>
      </c>
      <c r="U1162" s="8" t="s">
        <v>7893</v>
      </c>
      <c r="V1162" s="8" t="s">
        <v>7894</v>
      </c>
      <c r="W1162" s="8" t="s">
        <v>6326</v>
      </c>
    </row>
    <row r="1163" spans="1:23" ht="28" customHeight="1" x14ac:dyDescent="0.3">
      <c r="A1163" s="308">
        <v>44546</v>
      </c>
      <c r="B1163" s="302">
        <v>2043.328</v>
      </c>
      <c r="C1163" s="8">
        <v>8.3230000000000004</v>
      </c>
      <c r="D1163" s="268">
        <v>4.1000000000000003E-3</v>
      </c>
      <c r="E1163" s="8">
        <v>89</v>
      </c>
      <c r="F1163" s="8">
        <v>149.18100000000001</v>
      </c>
      <c r="G1163" s="8">
        <v>127.399</v>
      </c>
      <c r="H1163" s="8">
        <v>100.87</v>
      </c>
      <c r="I1163" s="8">
        <v>184.09</v>
      </c>
      <c r="J1163" s="8">
        <v>66.63</v>
      </c>
      <c r="K1163" s="268">
        <v>0.34910000000000002</v>
      </c>
      <c r="L1163" s="268">
        <v>0.25209999999999999</v>
      </c>
      <c r="M1163" s="268">
        <v>-5.1700000000000003E-2</v>
      </c>
      <c r="N1163" s="8">
        <v>529.29</v>
      </c>
      <c r="O1163" s="8">
        <v>6294.56</v>
      </c>
      <c r="P1163" s="268">
        <v>8.4099999999999994E-2</v>
      </c>
      <c r="Q1163" s="8">
        <v>376</v>
      </c>
      <c r="R1163" s="8">
        <v>0</v>
      </c>
      <c r="S1163" s="8" t="s">
        <v>7606</v>
      </c>
      <c r="T1163" s="8" t="s">
        <v>7895</v>
      </c>
      <c r="U1163" s="8" t="s">
        <v>7896</v>
      </c>
      <c r="V1163" s="8" t="s">
        <v>7897</v>
      </c>
      <c r="W1163" s="8" t="s">
        <v>7898</v>
      </c>
    </row>
    <row r="1164" spans="1:23" ht="28" customHeight="1" x14ac:dyDescent="0.3">
      <c r="A1164" s="308">
        <v>44545</v>
      </c>
      <c r="B1164" s="302">
        <v>2035.0050000000001</v>
      </c>
      <c r="C1164" s="8">
        <v>0.56999999999999995</v>
      </c>
      <c r="D1164" s="268">
        <v>2.9999999999999997E-4</v>
      </c>
      <c r="E1164" s="8">
        <v>86.3</v>
      </c>
      <c r="F1164" s="8">
        <v>148.64599999999999</v>
      </c>
      <c r="G1164" s="8">
        <v>126.495</v>
      </c>
      <c r="H1164" s="8">
        <v>99.87</v>
      </c>
      <c r="I1164" s="8">
        <v>184.03</v>
      </c>
      <c r="J1164" s="8">
        <v>68.849999999999994</v>
      </c>
      <c r="K1164" s="268">
        <v>0.35389999999999999</v>
      </c>
      <c r="L1164" s="268">
        <v>0.2611</v>
      </c>
      <c r="M1164" s="268">
        <v>-5.0599999999999999E-2</v>
      </c>
      <c r="N1164" s="8">
        <v>528.46</v>
      </c>
      <c r="O1164" s="8">
        <v>6308.04</v>
      </c>
      <c r="P1164" s="268">
        <v>8.3799999999999999E-2</v>
      </c>
      <c r="Q1164" s="8">
        <v>378</v>
      </c>
      <c r="R1164" s="8">
        <v>0</v>
      </c>
      <c r="S1164" s="8" t="s">
        <v>7899</v>
      </c>
      <c r="T1164" s="8" t="s">
        <v>3798</v>
      </c>
      <c r="U1164" s="8" t="s">
        <v>7900</v>
      </c>
      <c r="V1164" s="8" t="s">
        <v>7901</v>
      </c>
      <c r="W1164" s="8" t="s">
        <v>7902</v>
      </c>
    </row>
    <row r="1165" spans="1:23" ht="28" customHeight="1" x14ac:dyDescent="0.3">
      <c r="A1165" s="308">
        <v>44544</v>
      </c>
      <c r="B1165" s="302">
        <v>2034.4349999999999</v>
      </c>
      <c r="C1165" s="8">
        <v>-8.3759999999999994</v>
      </c>
      <c r="D1165" s="268">
        <v>-4.1000000000000003E-3</v>
      </c>
      <c r="E1165" s="8">
        <v>87.05</v>
      </c>
      <c r="F1165" s="8">
        <v>148.636</v>
      </c>
      <c r="G1165" s="8">
        <v>127</v>
      </c>
      <c r="H1165" s="8">
        <v>100.14</v>
      </c>
      <c r="I1165" s="8">
        <v>183.72</v>
      </c>
      <c r="J1165" s="8">
        <v>66.599999999999994</v>
      </c>
      <c r="K1165" s="268">
        <v>0.3508</v>
      </c>
      <c r="L1165" s="268">
        <v>0.2621</v>
      </c>
      <c r="M1165" s="268">
        <v>-5.0500000000000003E-2</v>
      </c>
      <c r="N1165" s="8">
        <v>583.38</v>
      </c>
      <c r="O1165" s="8">
        <v>6310.61</v>
      </c>
      <c r="P1165" s="268">
        <v>9.2399999999999996E-2</v>
      </c>
      <c r="Q1165" s="8">
        <v>379</v>
      </c>
      <c r="R1165" s="8">
        <v>0</v>
      </c>
      <c r="S1165" s="8" t="s">
        <v>7903</v>
      </c>
      <c r="T1165" s="8" t="s">
        <v>7904</v>
      </c>
      <c r="U1165" s="8" t="s">
        <v>7905</v>
      </c>
      <c r="V1165" s="8" t="s">
        <v>7753</v>
      </c>
      <c r="W1165" s="8" t="s">
        <v>7906</v>
      </c>
    </row>
    <row r="1166" spans="1:23" ht="28" customHeight="1" x14ac:dyDescent="0.3">
      <c r="A1166" s="308">
        <v>44543</v>
      </c>
      <c r="B1166" s="302">
        <v>2042.8109999999999</v>
      </c>
      <c r="C1166" s="8">
        <v>8.0779999999999994</v>
      </c>
      <c r="D1166" s="268">
        <v>4.0000000000000001E-3</v>
      </c>
      <c r="E1166" s="8">
        <v>89.87</v>
      </c>
      <c r="F1166" s="8">
        <v>149.453</v>
      </c>
      <c r="G1166" s="8">
        <v>127.14</v>
      </c>
      <c r="H1166" s="8">
        <v>101.02</v>
      </c>
      <c r="I1166" s="8">
        <v>185.41</v>
      </c>
      <c r="J1166" s="8">
        <v>72.040000000000006</v>
      </c>
      <c r="K1166" s="268">
        <v>0.35949999999999999</v>
      </c>
      <c r="L1166" s="268">
        <v>0.26290000000000002</v>
      </c>
      <c r="M1166" s="268">
        <v>-5.2200000000000003E-2</v>
      </c>
      <c r="N1166" s="8">
        <v>634.16999999999996</v>
      </c>
      <c r="O1166" s="8">
        <v>6316.71</v>
      </c>
      <c r="P1166" s="268">
        <v>0.1004</v>
      </c>
      <c r="Q1166" s="8">
        <v>379</v>
      </c>
      <c r="R1166" s="8">
        <v>0</v>
      </c>
      <c r="S1166" s="8" t="s">
        <v>7907</v>
      </c>
      <c r="T1166" s="8" t="s">
        <v>3462</v>
      </c>
      <c r="U1166" s="8" t="s">
        <v>7908</v>
      </c>
      <c r="V1166" s="8" t="s">
        <v>7909</v>
      </c>
      <c r="W1166" s="8" t="s">
        <v>7910</v>
      </c>
    </row>
    <row r="1167" spans="1:23" ht="28" customHeight="1" x14ac:dyDescent="0.3">
      <c r="A1167" s="308">
        <v>44540</v>
      </c>
      <c r="B1167" s="302">
        <v>2034.7329999999999</v>
      </c>
      <c r="C1167" s="8">
        <v>13.702999999999999</v>
      </c>
      <c r="D1167" s="268">
        <v>6.7999999999999996E-3</v>
      </c>
      <c r="E1167" s="8">
        <v>88.81</v>
      </c>
      <c r="F1167" s="8">
        <v>149.01900000000001</v>
      </c>
      <c r="G1167" s="8">
        <v>126.755</v>
      </c>
      <c r="H1167" s="8">
        <v>100.19</v>
      </c>
      <c r="I1167" s="8">
        <v>185.04</v>
      </c>
      <c r="J1167" s="8">
        <v>71.739999999999995</v>
      </c>
      <c r="K1167" s="268">
        <v>0.36020000000000002</v>
      </c>
      <c r="L1167" s="268">
        <v>0.26500000000000001</v>
      </c>
      <c r="M1167" s="268">
        <v>-5.1299999999999998E-2</v>
      </c>
      <c r="N1167" s="8">
        <v>632.26</v>
      </c>
      <c r="O1167" s="8">
        <v>6242.88</v>
      </c>
      <c r="P1167" s="268">
        <v>0.1013</v>
      </c>
      <c r="Q1167" s="8">
        <v>376</v>
      </c>
      <c r="R1167" s="8">
        <v>0</v>
      </c>
      <c r="S1167" s="8" t="s">
        <v>7891</v>
      </c>
      <c r="T1167" s="8" t="s">
        <v>7911</v>
      </c>
      <c r="U1167" s="8" t="s">
        <v>7912</v>
      </c>
      <c r="V1167" s="8" t="s">
        <v>7913</v>
      </c>
      <c r="W1167" s="8" t="s">
        <v>7914</v>
      </c>
    </row>
    <row r="1168" spans="1:23" ht="28" customHeight="1" x14ac:dyDescent="0.3">
      <c r="A1168" s="308">
        <v>44539</v>
      </c>
      <c r="B1168" s="302">
        <v>2021.03</v>
      </c>
      <c r="C1168" s="8">
        <v>13.510999999999999</v>
      </c>
      <c r="D1168" s="268">
        <v>6.7000000000000002E-3</v>
      </c>
      <c r="E1168" s="8">
        <v>87.89</v>
      </c>
      <c r="F1168" s="8">
        <v>147.99700000000001</v>
      </c>
      <c r="G1168" s="8">
        <v>126.142</v>
      </c>
      <c r="H1168" s="8">
        <v>100.14</v>
      </c>
      <c r="I1168" s="8">
        <v>183.76</v>
      </c>
      <c r="J1168" s="8">
        <v>69.27</v>
      </c>
      <c r="K1168" s="268">
        <v>0.35759999999999997</v>
      </c>
      <c r="L1168" s="268">
        <v>0.25640000000000002</v>
      </c>
      <c r="M1168" s="268">
        <v>-4.9599999999999998E-2</v>
      </c>
      <c r="N1168" s="8">
        <v>681.32</v>
      </c>
      <c r="O1168" s="8">
        <v>6225</v>
      </c>
      <c r="P1168" s="268">
        <v>0.1094</v>
      </c>
      <c r="Q1168" s="8">
        <v>375</v>
      </c>
      <c r="R1168" s="8">
        <v>0</v>
      </c>
      <c r="S1168" s="8" t="s">
        <v>7915</v>
      </c>
      <c r="T1168" s="8" t="s">
        <v>7916</v>
      </c>
      <c r="U1168" s="8" t="s">
        <v>7917</v>
      </c>
      <c r="V1168" s="8" t="s">
        <v>7918</v>
      </c>
      <c r="W1168" s="8" t="s">
        <v>3655</v>
      </c>
    </row>
    <row r="1169" spans="1:23" ht="28" customHeight="1" x14ac:dyDescent="0.3">
      <c r="A1169" s="308">
        <v>44538</v>
      </c>
      <c r="B1169" s="302">
        <v>2007.519</v>
      </c>
      <c r="C1169" s="8">
        <v>23.411999999999999</v>
      </c>
      <c r="D1169" s="268">
        <v>1.18E-2</v>
      </c>
      <c r="E1169" s="8">
        <v>85.05</v>
      </c>
      <c r="F1169" s="8">
        <v>147.114</v>
      </c>
      <c r="G1169" s="8">
        <v>124.3</v>
      </c>
      <c r="H1169" s="8">
        <v>100.28</v>
      </c>
      <c r="I1169" s="8">
        <v>182.51</v>
      </c>
      <c r="J1169" s="8">
        <v>66.67</v>
      </c>
      <c r="K1169" s="268">
        <v>0.35399999999999998</v>
      </c>
      <c r="L1169" s="268">
        <v>0.2482</v>
      </c>
      <c r="M1169" s="268">
        <v>-4.7500000000000001E-2</v>
      </c>
      <c r="N1169" s="8">
        <v>712.41</v>
      </c>
      <c r="O1169" s="8">
        <v>6228.01</v>
      </c>
      <c r="P1169" s="268">
        <v>0.1144</v>
      </c>
      <c r="Q1169" s="8">
        <v>375</v>
      </c>
      <c r="R1169" s="8">
        <v>0</v>
      </c>
      <c r="S1169" s="8" t="s">
        <v>4109</v>
      </c>
      <c r="T1169" s="8" t="s">
        <v>7919</v>
      </c>
      <c r="U1169" s="8" t="s">
        <v>7920</v>
      </c>
      <c r="V1169" s="8" t="s">
        <v>7921</v>
      </c>
      <c r="W1169" s="8" t="s">
        <v>7922</v>
      </c>
    </row>
    <row r="1170" spans="1:23" ht="28" customHeight="1" x14ac:dyDescent="0.3">
      <c r="A1170" s="308">
        <v>44537</v>
      </c>
      <c r="B1170" s="302">
        <v>1984.107</v>
      </c>
      <c r="C1170" s="8">
        <v>-50.957999999999998</v>
      </c>
      <c r="D1170" s="268">
        <v>-2.5000000000000001E-2</v>
      </c>
      <c r="E1170" s="8">
        <v>82.86</v>
      </c>
      <c r="F1170" s="8">
        <v>145.191</v>
      </c>
      <c r="G1170" s="8">
        <v>122.98</v>
      </c>
      <c r="H1170" s="8">
        <v>99.36</v>
      </c>
      <c r="I1170" s="8">
        <v>181</v>
      </c>
      <c r="J1170" s="8">
        <v>69.569999999999993</v>
      </c>
      <c r="K1170" s="268">
        <v>0.35809999999999997</v>
      </c>
      <c r="L1170" s="268">
        <v>0.2535</v>
      </c>
      <c r="M1170" s="268">
        <v>-4.3799999999999999E-2</v>
      </c>
      <c r="N1170" s="8">
        <v>825.13</v>
      </c>
      <c r="O1170" s="8">
        <v>6231.91</v>
      </c>
      <c r="P1170" s="268">
        <v>0.13239999999999999</v>
      </c>
      <c r="Q1170" s="8">
        <v>375</v>
      </c>
      <c r="R1170" s="8">
        <v>0</v>
      </c>
      <c r="S1170" s="8" t="s">
        <v>7923</v>
      </c>
      <c r="T1170" s="8" t="s">
        <v>7924</v>
      </c>
      <c r="U1170" s="8" t="s">
        <v>7925</v>
      </c>
      <c r="V1170" s="8" t="s">
        <v>7926</v>
      </c>
      <c r="W1170" s="8" t="s">
        <v>7927</v>
      </c>
    </row>
    <row r="1171" spans="1:23" ht="28" customHeight="1" x14ac:dyDescent="0.3">
      <c r="A1171" s="308">
        <v>44536</v>
      </c>
      <c r="B1171" s="302">
        <v>2035.0650000000001</v>
      </c>
      <c r="C1171" s="8">
        <v>-32.186999999999998</v>
      </c>
      <c r="D1171" s="268">
        <v>-1.5599999999999999E-2</v>
      </c>
      <c r="E1171" s="8">
        <v>88.79</v>
      </c>
      <c r="F1171" s="8">
        <v>149.643</v>
      </c>
      <c r="G1171" s="8">
        <v>126</v>
      </c>
      <c r="H1171" s="8">
        <v>99.13</v>
      </c>
      <c r="I1171" s="8">
        <v>187.65</v>
      </c>
      <c r="J1171" s="8">
        <v>78.11</v>
      </c>
      <c r="K1171" s="268">
        <v>0.38</v>
      </c>
      <c r="L1171" s="268">
        <v>0.2762</v>
      </c>
      <c r="M1171" s="268">
        <v>-5.0700000000000002E-2</v>
      </c>
      <c r="N1171" s="8">
        <v>751.26</v>
      </c>
      <c r="O1171" s="8">
        <v>6206.05</v>
      </c>
      <c r="P1171" s="268">
        <v>0.1211</v>
      </c>
      <c r="Q1171" s="8">
        <v>373</v>
      </c>
      <c r="R1171" s="8">
        <v>0</v>
      </c>
      <c r="S1171" s="8" t="s">
        <v>7928</v>
      </c>
      <c r="T1171" s="8" t="s">
        <v>7929</v>
      </c>
      <c r="U1171" s="8" t="s">
        <v>7930</v>
      </c>
      <c r="V1171" s="8" t="s">
        <v>7931</v>
      </c>
      <c r="W1171" s="8" t="s">
        <v>7932</v>
      </c>
    </row>
    <row r="1172" spans="1:23" ht="28" customHeight="1" x14ac:dyDescent="0.3">
      <c r="A1172" s="308">
        <v>44533</v>
      </c>
      <c r="B1172" s="302">
        <v>2067.252</v>
      </c>
      <c r="C1172" s="8">
        <v>7.6</v>
      </c>
      <c r="D1172" s="268">
        <v>3.7000000000000002E-3</v>
      </c>
      <c r="E1172" s="8">
        <v>92.71</v>
      </c>
      <c r="F1172" s="8">
        <v>152.232</v>
      </c>
      <c r="G1172" s="8">
        <v>127.8</v>
      </c>
      <c r="H1172" s="8">
        <v>100.89</v>
      </c>
      <c r="I1172" s="8">
        <v>190.09</v>
      </c>
      <c r="J1172" s="8">
        <v>75.69</v>
      </c>
      <c r="K1172" s="268">
        <v>0.3785</v>
      </c>
      <c r="L1172" s="268">
        <v>0.2707</v>
      </c>
      <c r="M1172" s="268">
        <v>-5.4699999999999999E-2</v>
      </c>
      <c r="N1172" s="8">
        <v>884.38</v>
      </c>
      <c r="O1172" s="8">
        <v>6208.97</v>
      </c>
      <c r="P1172" s="268">
        <v>0.1424</v>
      </c>
      <c r="Q1172" s="8">
        <v>373</v>
      </c>
      <c r="R1172" s="8">
        <v>0</v>
      </c>
      <c r="S1172" s="8" t="s">
        <v>3863</v>
      </c>
      <c r="T1172" s="8" t="s">
        <v>2369</v>
      </c>
      <c r="U1172" s="8" t="s">
        <v>7933</v>
      </c>
      <c r="V1172" s="8" t="s">
        <v>7934</v>
      </c>
      <c r="W1172" s="8" t="s">
        <v>7935</v>
      </c>
    </row>
    <row r="1173" spans="1:23" ht="28" customHeight="1" x14ac:dyDescent="0.3">
      <c r="A1173" s="308">
        <v>44532</v>
      </c>
      <c r="B1173" s="302">
        <v>2059.652</v>
      </c>
      <c r="C1173" s="8">
        <v>0.28799999999999998</v>
      </c>
      <c r="D1173" s="268">
        <v>1E-4</v>
      </c>
      <c r="E1173" s="8">
        <v>91.1</v>
      </c>
      <c r="F1173" s="8">
        <v>151.69999999999999</v>
      </c>
      <c r="G1173" s="8">
        <v>126.949</v>
      </c>
      <c r="H1173" s="8">
        <v>100.67</v>
      </c>
      <c r="I1173" s="8">
        <v>189.81</v>
      </c>
      <c r="J1173" s="8">
        <v>76.86</v>
      </c>
      <c r="K1173" s="268">
        <v>0.38109999999999999</v>
      </c>
      <c r="L1173" s="268">
        <v>0.27250000000000002</v>
      </c>
      <c r="M1173" s="268">
        <v>-5.4199999999999998E-2</v>
      </c>
      <c r="N1173" s="8">
        <v>823.55</v>
      </c>
      <c r="O1173" s="8">
        <v>6207.53</v>
      </c>
      <c r="P1173" s="268">
        <v>0.13270000000000001</v>
      </c>
      <c r="Q1173" s="8">
        <v>372</v>
      </c>
      <c r="R1173" s="8">
        <v>0</v>
      </c>
      <c r="S1173" s="8" t="s">
        <v>7187</v>
      </c>
      <c r="T1173" s="8" t="s">
        <v>7936</v>
      </c>
      <c r="U1173" s="8" t="s">
        <v>7790</v>
      </c>
      <c r="V1173" s="8" t="s">
        <v>7937</v>
      </c>
      <c r="W1173" s="8" t="s">
        <v>7938</v>
      </c>
    </row>
    <row r="1174" spans="1:23" ht="28" customHeight="1" x14ac:dyDescent="0.3">
      <c r="A1174" s="308">
        <v>44531</v>
      </c>
      <c r="B1174" s="302">
        <v>2059.364</v>
      </c>
      <c r="C1174" s="8">
        <v>13.198</v>
      </c>
      <c r="D1174" s="268">
        <v>6.4999999999999997E-3</v>
      </c>
      <c r="E1174" s="8">
        <v>91.69</v>
      </c>
      <c r="F1174" s="8">
        <v>151.72800000000001</v>
      </c>
      <c r="G1174" s="8">
        <v>128.124</v>
      </c>
      <c r="H1174" s="8">
        <v>101.46</v>
      </c>
      <c r="I1174" s="8">
        <v>188.64</v>
      </c>
      <c r="J1174" s="8">
        <v>73.56</v>
      </c>
      <c r="K1174" s="268">
        <v>0.36909999999999998</v>
      </c>
      <c r="L1174" s="268">
        <v>0.25669999999999998</v>
      </c>
      <c r="M1174" s="268">
        <v>-5.3999999999999999E-2</v>
      </c>
      <c r="N1174" s="8">
        <v>870.61</v>
      </c>
      <c r="O1174" s="8">
        <v>6210.21</v>
      </c>
      <c r="P1174" s="268">
        <v>0.14019999999999999</v>
      </c>
      <c r="Q1174" s="8">
        <v>372</v>
      </c>
      <c r="R1174" s="8">
        <v>0</v>
      </c>
      <c r="S1174" s="8" t="s">
        <v>6329</v>
      </c>
      <c r="T1174" s="8" t="s">
        <v>7939</v>
      </c>
      <c r="U1174" s="8" t="s">
        <v>7940</v>
      </c>
      <c r="V1174" s="8" t="s">
        <v>7941</v>
      </c>
      <c r="W1174" s="8" t="s">
        <v>7942</v>
      </c>
    </row>
    <row r="1175" spans="1:23" ht="28" customHeight="1" x14ac:dyDescent="0.3">
      <c r="A1175" s="308">
        <v>44530</v>
      </c>
      <c r="B1175" s="302">
        <v>2046.1659999999999</v>
      </c>
      <c r="C1175" s="8">
        <v>10.18</v>
      </c>
      <c r="D1175" s="268">
        <v>5.0000000000000001E-3</v>
      </c>
      <c r="E1175" s="8">
        <v>90.85</v>
      </c>
      <c r="F1175" s="8">
        <v>150.72900000000001</v>
      </c>
      <c r="G1175" s="8">
        <v>127.452</v>
      </c>
      <c r="H1175" s="8">
        <v>99.86</v>
      </c>
      <c r="I1175" s="8">
        <v>188.33</v>
      </c>
      <c r="J1175" s="8">
        <v>74.78</v>
      </c>
      <c r="K1175" s="268">
        <v>0.376</v>
      </c>
      <c r="L1175" s="268">
        <v>0.2641</v>
      </c>
      <c r="M1175" s="268">
        <v>-5.2299999999999999E-2</v>
      </c>
      <c r="N1175" s="8">
        <v>952.35</v>
      </c>
      <c r="O1175" s="8">
        <v>6211.6</v>
      </c>
      <c r="P1175" s="268">
        <v>0.15329999999999999</v>
      </c>
      <c r="Q1175" s="8">
        <v>372</v>
      </c>
      <c r="R1175" s="8">
        <v>0</v>
      </c>
      <c r="S1175" s="8" t="s">
        <v>7943</v>
      </c>
      <c r="T1175" s="8" t="s">
        <v>4885</v>
      </c>
      <c r="U1175" s="8" t="s">
        <v>7944</v>
      </c>
      <c r="V1175" s="8" t="s">
        <v>4615</v>
      </c>
      <c r="W1175" s="8" t="s">
        <v>7945</v>
      </c>
    </row>
    <row r="1176" spans="1:23" ht="28" customHeight="1" x14ac:dyDescent="0.3">
      <c r="A1176" s="308">
        <v>44529</v>
      </c>
      <c r="B1176" s="302">
        <v>2035.9860000000001</v>
      </c>
      <c r="C1176" s="8">
        <v>13.41</v>
      </c>
      <c r="D1176" s="268">
        <v>6.6E-3</v>
      </c>
      <c r="E1176" s="8">
        <v>89.49</v>
      </c>
      <c r="F1176" s="8">
        <v>150.72800000000001</v>
      </c>
      <c r="G1176" s="8">
        <v>126.80500000000001</v>
      </c>
      <c r="H1176" s="8">
        <v>99.2</v>
      </c>
      <c r="I1176" s="8">
        <v>188.69</v>
      </c>
      <c r="J1176" s="8">
        <v>76.2</v>
      </c>
      <c r="K1176" s="268">
        <v>0.37969999999999998</v>
      </c>
      <c r="L1176" s="268">
        <v>0.26989999999999997</v>
      </c>
      <c r="M1176" s="268">
        <v>-5.16E-2</v>
      </c>
      <c r="N1176" s="8">
        <v>877.88</v>
      </c>
      <c r="O1176" s="8">
        <v>6132.43</v>
      </c>
      <c r="P1176" s="268">
        <v>0.14319999999999999</v>
      </c>
      <c r="Q1176" s="8">
        <v>374</v>
      </c>
      <c r="R1176" s="8">
        <v>0</v>
      </c>
      <c r="S1176" s="8" t="s">
        <v>7946</v>
      </c>
      <c r="T1176" s="8" t="s">
        <v>5288</v>
      </c>
      <c r="U1176" s="8" t="s">
        <v>2621</v>
      </c>
      <c r="V1176" s="8" t="s">
        <v>7947</v>
      </c>
      <c r="W1176" s="8" t="s">
        <v>7948</v>
      </c>
    </row>
    <row r="1177" spans="1:23" ht="28" customHeight="1" x14ac:dyDescent="0.3">
      <c r="A1177" s="308">
        <v>44526</v>
      </c>
      <c r="B1177" s="302">
        <v>2022.576</v>
      </c>
      <c r="C1177" s="8">
        <v>3.3719999999999999</v>
      </c>
      <c r="D1177" s="268">
        <v>1.6999999999999999E-3</v>
      </c>
      <c r="E1177" s="8">
        <v>90.27</v>
      </c>
      <c r="F1177" s="8">
        <v>149.393</v>
      </c>
      <c r="G1177" s="8">
        <v>126.52</v>
      </c>
      <c r="H1177" s="8">
        <v>99.41</v>
      </c>
      <c r="I1177" s="8">
        <v>186.69</v>
      </c>
      <c r="J1177" s="8">
        <v>75.099999999999994</v>
      </c>
      <c r="K1177" s="268">
        <v>0.373</v>
      </c>
      <c r="L1177" s="268">
        <v>0.26619999999999999</v>
      </c>
      <c r="M1177" s="268">
        <v>-5.0900000000000001E-2</v>
      </c>
      <c r="N1177" s="8">
        <v>971.92</v>
      </c>
      <c r="O1177" s="8">
        <v>6122.11</v>
      </c>
      <c r="P1177" s="268">
        <v>0.1588</v>
      </c>
      <c r="Q1177" s="8">
        <v>373</v>
      </c>
      <c r="R1177" s="8">
        <v>0</v>
      </c>
      <c r="S1177" s="8" t="s">
        <v>4159</v>
      </c>
      <c r="T1177" s="8" t="s">
        <v>7949</v>
      </c>
      <c r="U1177" s="8" t="s">
        <v>7950</v>
      </c>
      <c r="V1177" s="8" t="s">
        <v>7951</v>
      </c>
      <c r="W1177" s="8" t="s">
        <v>7952</v>
      </c>
    </row>
    <row r="1178" spans="1:23" ht="28" customHeight="1" x14ac:dyDescent="0.3">
      <c r="A1178" s="308">
        <v>44525</v>
      </c>
      <c r="B1178" s="302">
        <v>2019.204</v>
      </c>
      <c r="C1178" s="8">
        <v>-2.3650000000000002</v>
      </c>
      <c r="D1178" s="268">
        <v>-1.1999999999999999E-3</v>
      </c>
      <c r="E1178" s="8">
        <v>90.12</v>
      </c>
      <c r="F1178" s="8">
        <v>148.893</v>
      </c>
      <c r="G1178" s="8">
        <v>126.38</v>
      </c>
      <c r="H1178" s="8">
        <v>99.16</v>
      </c>
      <c r="I1178" s="8">
        <v>185.85</v>
      </c>
      <c r="J1178" s="8">
        <v>75.430000000000007</v>
      </c>
      <c r="K1178" s="268">
        <v>0.36959999999999998</v>
      </c>
      <c r="L1178" s="268">
        <v>0.26440000000000002</v>
      </c>
      <c r="M1178" s="268">
        <v>-5.0099999999999999E-2</v>
      </c>
      <c r="N1178" s="8">
        <v>824.36</v>
      </c>
      <c r="O1178" s="8">
        <v>6145.03</v>
      </c>
      <c r="P1178" s="268">
        <v>0.13420000000000001</v>
      </c>
      <c r="Q1178" s="8">
        <v>374</v>
      </c>
      <c r="R1178" s="8">
        <v>0</v>
      </c>
      <c r="S1178" s="8" t="s">
        <v>7953</v>
      </c>
      <c r="T1178" s="8" t="s">
        <v>7954</v>
      </c>
      <c r="U1178" s="8" t="s">
        <v>7228</v>
      </c>
      <c r="V1178" s="8" t="s">
        <v>7955</v>
      </c>
      <c r="W1178" s="8" t="s">
        <v>5381</v>
      </c>
    </row>
    <row r="1179" spans="1:23" ht="28" customHeight="1" x14ac:dyDescent="0.3">
      <c r="A1179" s="308">
        <v>44524</v>
      </c>
      <c r="B1179" s="302">
        <v>2021.569</v>
      </c>
      <c r="C1179" s="8">
        <v>3.149</v>
      </c>
      <c r="D1179" s="268">
        <v>1.6000000000000001E-3</v>
      </c>
      <c r="E1179" s="8">
        <v>89.44</v>
      </c>
      <c r="F1179" s="8">
        <v>149.524</v>
      </c>
      <c r="G1179" s="8">
        <v>126.2</v>
      </c>
      <c r="H1179" s="8">
        <v>99.39</v>
      </c>
      <c r="I1179" s="8">
        <v>186.54</v>
      </c>
      <c r="J1179" s="8">
        <v>72.790000000000006</v>
      </c>
      <c r="K1179" s="268">
        <v>0.37009999999999998</v>
      </c>
      <c r="L1179" s="268">
        <v>0.26540000000000002</v>
      </c>
      <c r="M1179" s="268">
        <v>-5.0599999999999999E-2</v>
      </c>
      <c r="N1179" s="8">
        <v>955.96</v>
      </c>
      <c r="O1179" s="8">
        <v>6136.3</v>
      </c>
      <c r="P1179" s="268">
        <v>0.15579999999999999</v>
      </c>
      <c r="Q1179" s="8">
        <v>371</v>
      </c>
      <c r="R1179" s="8">
        <v>0</v>
      </c>
      <c r="S1179" s="8" t="s">
        <v>7956</v>
      </c>
      <c r="T1179" s="8" t="s">
        <v>7957</v>
      </c>
      <c r="U1179" s="8" t="s">
        <v>7958</v>
      </c>
      <c r="V1179" s="8" t="s">
        <v>7959</v>
      </c>
      <c r="W1179" s="8" t="s">
        <v>7960</v>
      </c>
    </row>
    <row r="1180" spans="1:23" ht="28" customHeight="1" x14ac:dyDescent="0.3">
      <c r="A1180" s="308">
        <v>44523</v>
      </c>
      <c r="B1180" s="302">
        <v>2018.42</v>
      </c>
      <c r="C1180" s="8">
        <v>1.5529999999999999</v>
      </c>
      <c r="D1180" s="268">
        <v>8.0000000000000004E-4</v>
      </c>
      <c r="E1180" s="8">
        <v>89.88</v>
      </c>
      <c r="F1180" s="8">
        <v>149.41800000000001</v>
      </c>
      <c r="G1180" s="8">
        <v>125.664</v>
      </c>
      <c r="H1180" s="8">
        <v>99.25</v>
      </c>
      <c r="I1180" s="8">
        <v>186.27</v>
      </c>
      <c r="J1180" s="8">
        <v>73.36</v>
      </c>
      <c r="K1180" s="268">
        <v>0.36849999999999999</v>
      </c>
      <c r="L1180" s="268">
        <v>0.25900000000000001</v>
      </c>
      <c r="M1180" s="268">
        <v>-5.0299999999999997E-2</v>
      </c>
      <c r="N1180" s="8">
        <v>897.94</v>
      </c>
      <c r="O1180" s="8">
        <v>6119.4</v>
      </c>
      <c r="P1180" s="268">
        <v>0.1467</v>
      </c>
      <c r="Q1180" s="8">
        <v>370</v>
      </c>
      <c r="R1180" s="8">
        <v>0</v>
      </c>
      <c r="S1180" s="8" t="s">
        <v>7158</v>
      </c>
      <c r="T1180" s="8" t="s">
        <v>7961</v>
      </c>
      <c r="U1180" s="8" t="s">
        <v>7962</v>
      </c>
      <c r="V1180" s="8" t="s">
        <v>7963</v>
      </c>
      <c r="W1180" s="8" t="s">
        <v>7964</v>
      </c>
    </row>
    <row r="1181" spans="1:23" ht="28" customHeight="1" x14ac:dyDescent="0.3">
      <c r="A1181" s="308">
        <v>44522</v>
      </c>
      <c r="B1181" s="302">
        <v>2016.867</v>
      </c>
      <c r="C1181" s="8">
        <v>24.919</v>
      </c>
      <c r="D1181" s="268">
        <v>1.2500000000000001E-2</v>
      </c>
      <c r="E1181" s="8">
        <v>90.26</v>
      </c>
      <c r="F1181" s="8">
        <v>149.422</v>
      </c>
      <c r="G1181" s="8">
        <v>125.499</v>
      </c>
      <c r="H1181" s="8">
        <v>98.04</v>
      </c>
      <c r="I1181" s="8">
        <v>186.36</v>
      </c>
      <c r="J1181" s="8">
        <v>73.69</v>
      </c>
      <c r="K1181" s="268">
        <v>0.36940000000000001</v>
      </c>
      <c r="L1181" s="268">
        <v>0.2596</v>
      </c>
      <c r="M1181" s="268">
        <v>-5.0099999999999999E-2</v>
      </c>
      <c r="N1181" s="8">
        <v>946.84</v>
      </c>
      <c r="O1181" s="8">
        <v>6120.13</v>
      </c>
      <c r="P1181" s="268">
        <v>0.1547</v>
      </c>
      <c r="Q1181" s="8">
        <v>370</v>
      </c>
      <c r="R1181" s="8">
        <v>0</v>
      </c>
      <c r="S1181" s="8" t="s">
        <v>7965</v>
      </c>
      <c r="T1181" s="8" t="s">
        <v>7323</v>
      </c>
      <c r="U1181" s="8" t="s">
        <v>7966</v>
      </c>
      <c r="V1181" s="8" t="s">
        <v>7967</v>
      </c>
      <c r="W1181" s="8" t="s">
        <v>7968</v>
      </c>
    </row>
    <row r="1182" spans="1:23" ht="28" customHeight="1" x14ac:dyDescent="0.3">
      <c r="A1182" s="308">
        <v>44519</v>
      </c>
      <c r="B1182" s="302">
        <v>1991.9480000000001</v>
      </c>
      <c r="C1182" s="8">
        <v>21.829000000000001</v>
      </c>
      <c r="D1182" s="268">
        <v>1.11E-2</v>
      </c>
      <c r="E1182" s="8">
        <v>88.02</v>
      </c>
      <c r="F1182" s="8">
        <v>147.16900000000001</v>
      </c>
      <c r="G1182" s="8">
        <v>125.169</v>
      </c>
      <c r="H1182" s="8">
        <v>98.74</v>
      </c>
      <c r="I1182" s="8">
        <v>183.79</v>
      </c>
      <c r="J1182" s="8">
        <v>74.33</v>
      </c>
      <c r="K1182" s="268">
        <v>0.36620000000000003</v>
      </c>
      <c r="L1182" s="268">
        <v>0.26019999999999999</v>
      </c>
      <c r="M1182" s="268">
        <v>-4.7100000000000003E-2</v>
      </c>
      <c r="N1182" s="8">
        <v>1090.71</v>
      </c>
      <c r="O1182" s="8">
        <v>6117.68</v>
      </c>
      <c r="P1182" s="268">
        <v>0.17829999999999999</v>
      </c>
      <c r="Q1182" s="8">
        <v>369</v>
      </c>
      <c r="R1182" s="8">
        <v>0</v>
      </c>
      <c r="S1182" s="8" t="s">
        <v>7969</v>
      </c>
      <c r="T1182" s="8" t="s">
        <v>7970</v>
      </c>
      <c r="U1182" s="8" t="s">
        <v>7971</v>
      </c>
      <c r="V1182" s="8" t="s">
        <v>7972</v>
      </c>
      <c r="W1182" s="8" t="s">
        <v>7973</v>
      </c>
    </row>
    <row r="1183" spans="1:23" ht="28" customHeight="1" x14ac:dyDescent="0.3">
      <c r="A1183" s="308">
        <v>44518</v>
      </c>
      <c r="B1183" s="302">
        <v>1970.1189999999999</v>
      </c>
      <c r="C1183" s="8">
        <v>-2.2090000000000001</v>
      </c>
      <c r="D1183" s="268">
        <v>-1.1000000000000001E-3</v>
      </c>
      <c r="E1183" s="8">
        <v>85.23</v>
      </c>
      <c r="F1183" s="8">
        <v>145.87899999999999</v>
      </c>
      <c r="G1183" s="8">
        <v>124.524</v>
      </c>
      <c r="H1183" s="8">
        <v>97.4</v>
      </c>
      <c r="I1183" s="8">
        <v>182.74</v>
      </c>
      <c r="J1183" s="8">
        <v>75.900000000000006</v>
      </c>
      <c r="K1183" s="268">
        <v>0.36859999999999998</v>
      </c>
      <c r="L1183" s="268">
        <v>0.25950000000000001</v>
      </c>
      <c r="M1183" s="268">
        <v>-4.4499999999999998E-2</v>
      </c>
      <c r="N1183" s="8">
        <v>1098.17</v>
      </c>
      <c r="O1183" s="8">
        <v>6107.31</v>
      </c>
      <c r="P1183" s="268">
        <v>0.17979999999999999</v>
      </c>
      <c r="Q1183" s="8">
        <v>370</v>
      </c>
      <c r="R1183" s="8">
        <v>0</v>
      </c>
      <c r="S1183" s="8" t="s">
        <v>6081</v>
      </c>
      <c r="T1183" s="8" t="s">
        <v>7974</v>
      </c>
      <c r="U1183" s="8" t="s">
        <v>7975</v>
      </c>
      <c r="V1183" s="8" t="s">
        <v>7976</v>
      </c>
      <c r="W1183" s="8" t="s">
        <v>7977</v>
      </c>
    </row>
    <row r="1184" spans="1:23" ht="28" customHeight="1" x14ac:dyDescent="0.3">
      <c r="A1184" s="308">
        <v>44517</v>
      </c>
      <c r="B1184" s="302">
        <v>1972.328</v>
      </c>
      <c r="C1184" s="8">
        <v>14.138</v>
      </c>
      <c r="D1184" s="268">
        <v>7.1999999999999998E-3</v>
      </c>
      <c r="E1184" s="8">
        <v>86.38</v>
      </c>
      <c r="F1184" s="8">
        <v>145.85</v>
      </c>
      <c r="G1184" s="8">
        <v>124.443</v>
      </c>
      <c r="H1184" s="8">
        <v>97.56</v>
      </c>
      <c r="I1184" s="8">
        <v>182.09</v>
      </c>
      <c r="J1184" s="8">
        <v>71.11</v>
      </c>
      <c r="K1184" s="268">
        <v>0.3624</v>
      </c>
      <c r="L1184" s="268">
        <v>0.25669999999999998</v>
      </c>
      <c r="M1184" s="268">
        <v>-4.5199999999999997E-2</v>
      </c>
      <c r="N1184" s="8">
        <v>1087.07</v>
      </c>
      <c r="O1184" s="8">
        <v>6110.14</v>
      </c>
      <c r="P1184" s="268">
        <v>0.1779</v>
      </c>
      <c r="Q1184" s="8">
        <v>370</v>
      </c>
      <c r="R1184" s="8">
        <v>0</v>
      </c>
      <c r="S1184" s="8" t="s">
        <v>7978</v>
      </c>
      <c r="T1184" s="8" t="s">
        <v>7979</v>
      </c>
      <c r="U1184" s="8" t="s">
        <v>7980</v>
      </c>
      <c r="V1184" s="8" t="s">
        <v>7981</v>
      </c>
      <c r="W1184" s="8" t="s">
        <v>7982</v>
      </c>
    </row>
    <row r="1185" spans="1:23" ht="28" customHeight="1" x14ac:dyDescent="0.3">
      <c r="A1185" s="308">
        <v>44516</v>
      </c>
      <c r="B1185" s="302">
        <v>1958.19</v>
      </c>
      <c r="C1185" s="8">
        <v>-15.414</v>
      </c>
      <c r="D1185" s="268">
        <v>-7.7999999999999996E-3</v>
      </c>
      <c r="E1185" s="8">
        <v>85.96</v>
      </c>
      <c r="F1185" s="8">
        <v>144.46899999999999</v>
      </c>
      <c r="G1185" s="8">
        <v>124.399</v>
      </c>
      <c r="H1185" s="8">
        <v>97.22</v>
      </c>
      <c r="I1185" s="8">
        <v>181.54</v>
      </c>
      <c r="J1185" s="8">
        <v>75.319999999999993</v>
      </c>
      <c r="K1185" s="268">
        <v>0.37069999999999997</v>
      </c>
      <c r="L1185" s="268">
        <v>0.26569999999999999</v>
      </c>
      <c r="M1185" s="268">
        <v>-4.36E-2</v>
      </c>
      <c r="N1185" s="8">
        <v>947.84</v>
      </c>
      <c r="O1185" s="8">
        <v>6112.1</v>
      </c>
      <c r="P1185" s="268">
        <v>0.15509999999999999</v>
      </c>
      <c r="Q1185" s="8">
        <v>370</v>
      </c>
      <c r="R1185" s="8">
        <v>0</v>
      </c>
      <c r="S1185" s="8" t="s">
        <v>7983</v>
      </c>
      <c r="T1185" s="8" t="s">
        <v>7984</v>
      </c>
      <c r="U1185" s="8" t="s">
        <v>7985</v>
      </c>
      <c r="V1185" s="8" t="s">
        <v>7986</v>
      </c>
      <c r="W1185" s="8" t="s">
        <v>7987</v>
      </c>
    </row>
    <row r="1186" spans="1:23" ht="28" customHeight="1" x14ac:dyDescent="0.3">
      <c r="A1186" s="308">
        <v>44515</v>
      </c>
      <c r="B1186" s="302">
        <v>1973.604</v>
      </c>
      <c r="C1186" s="8">
        <v>10.151</v>
      </c>
      <c r="D1186" s="268">
        <v>5.1999999999999998E-3</v>
      </c>
      <c r="E1186" s="8">
        <v>88.22</v>
      </c>
      <c r="F1186" s="8">
        <v>145.72999999999999</v>
      </c>
      <c r="G1186" s="8">
        <v>125.075</v>
      </c>
      <c r="H1186" s="8">
        <v>97.61</v>
      </c>
      <c r="I1186" s="8">
        <v>182.89</v>
      </c>
      <c r="J1186" s="8">
        <v>75.14</v>
      </c>
      <c r="K1186" s="268">
        <v>0.37159999999999999</v>
      </c>
      <c r="L1186" s="268">
        <v>0.2631</v>
      </c>
      <c r="M1186" s="268">
        <v>-4.5499999999999999E-2</v>
      </c>
      <c r="N1186" s="8">
        <v>955.16</v>
      </c>
      <c r="O1186" s="8">
        <v>6112.8</v>
      </c>
      <c r="P1186" s="268">
        <v>0.15629999999999999</v>
      </c>
      <c r="Q1186" s="8">
        <v>370</v>
      </c>
      <c r="R1186" s="8">
        <v>0</v>
      </c>
      <c r="S1186" s="8" t="s">
        <v>7988</v>
      </c>
      <c r="T1186" s="8" t="s">
        <v>7989</v>
      </c>
      <c r="U1186" s="8" t="s">
        <v>7990</v>
      </c>
      <c r="V1186" s="8" t="s">
        <v>7991</v>
      </c>
      <c r="W1186" s="8" t="s">
        <v>7992</v>
      </c>
    </row>
    <row r="1187" spans="1:23" ht="28" customHeight="1" x14ac:dyDescent="0.3">
      <c r="A1187" s="308">
        <v>44512</v>
      </c>
      <c r="B1187" s="302">
        <v>1963.453</v>
      </c>
      <c r="C1187" s="8">
        <v>17.088999999999999</v>
      </c>
      <c r="D1187" s="268">
        <v>8.8000000000000005E-3</v>
      </c>
      <c r="E1187" s="8">
        <v>86.24</v>
      </c>
      <c r="F1187" s="8">
        <v>145.285</v>
      </c>
      <c r="G1187" s="8">
        <v>124.374</v>
      </c>
      <c r="H1187" s="8">
        <v>96.51</v>
      </c>
      <c r="I1187" s="8">
        <v>182.88</v>
      </c>
      <c r="J1187" s="8">
        <v>76.3</v>
      </c>
      <c r="K1187" s="268">
        <v>0.37590000000000001</v>
      </c>
      <c r="L1187" s="268">
        <v>0.26169999999999999</v>
      </c>
      <c r="M1187" s="268">
        <v>-4.4400000000000002E-2</v>
      </c>
      <c r="N1187" s="8">
        <v>1095.6400000000001</v>
      </c>
      <c r="O1187" s="8">
        <v>6114.53</v>
      </c>
      <c r="P1187" s="268">
        <v>0.1792</v>
      </c>
      <c r="Q1187" s="8">
        <v>370</v>
      </c>
      <c r="R1187" s="8">
        <v>0</v>
      </c>
      <c r="S1187" s="8" t="s">
        <v>6086</v>
      </c>
      <c r="T1187" s="8" t="s">
        <v>3864</v>
      </c>
      <c r="U1187" s="8" t="s">
        <v>7993</v>
      </c>
      <c r="V1187" s="8" t="s">
        <v>7994</v>
      </c>
      <c r="W1187" s="8" t="s">
        <v>7995</v>
      </c>
    </row>
    <row r="1188" spans="1:23" ht="28" customHeight="1" x14ac:dyDescent="0.3">
      <c r="A1188" s="308">
        <v>44511</v>
      </c>
      <c r="B1188" s="302">
        <v>1946.364</v>
      </c>
      <c r="C1188" s="8">
        <v>19.5</v>
      </c>
      <c r="D1188" s="268">
        <v>1.01E-2</v>
      </c>
      <c r="E1188" s="8">
        <v>84.28</v>
      </c>
      <c r="F1188" s="8">
        <v>143.851</v>
      </c>
      <c r="G1188" s="8">
        <v>123.87</v>
      </c>
      <c r="H1188" s="8">
        <v>95.13</v>
      </c>
      <c r="I1188" s="8">
        <v>181.9</v>
      </c>
      <c r="J1188" s="8">
        <v>77.12</v>
      </c>
      <c r="K1188" s="268">
        <v>0.3805</v>
      </c>
      <c r="L1188" s="268">
        <v>0.26590000000000003</v>
      </c>
      <c r="M1188" s="268">
        <v>-4.24E-2</v>
      </c>
      <c r="N1188" s="8">
        <v>1120.5</v>
      </c>
      <c r="O1188" s="8">
        <v>6115.35</v>
      </c>
      <c r="P1188" s="268">
        <v>0.1832</v>
      </c>
      <c r="Q1188" s="8">
        <v>370</v>
      </c>
      <c r="R1188" s="8">
        <v>0</v>
      </c>
      <c r="S1188" s="8" t="s">
        <v>7996</v>
      </c>
      <c r="T1188" s="8" t="s">
        <v>7997</v>
      </c>
      <c r="U1188" s="8" t="s">
        <v>7998</v>
      </c>
      <c r="V1188" s="8" t="s">
        <v>3064</v>
      </c>
      <c r="W1188" s="8" t="s">
        <v>7999</v>
      </c>
    </row>
    <row r="1189" spans="1:23" ht="28" customHeight="1" x14ac:dyDescent="0.3">
      <c r="A1189" s="308">
        <v>44510</v>
      </c>
      <c r="B1189" s="302">
        <v>1926.864</v>
      </c>
      <c r="C1189" s="8">
        <v>5.6680000000000001</v>
      </c>
      <c r="D1189" s="268">
        <v>2.8999999999999998E-3</v>
      </c>
      <c r="E1189" s="8">
        <v>80.86</v>
      </c>
      <c r="F1189" s="8">
        <v>142.482</v>
      </c>
      <c r="G1189" s="8">
        <v>122.245</v>
      </c>
      <c r="H1189" s="8">
        <v>94.53</v>
      </c>
      <c r="I1189" s="8">
        <v>180.54</v>
      </c>
      <c r="J1189" s="8">
        <v>78.25</v>
      </c>
      <c r="K1189" s="268">
        <v>0.38059999999999999</v>
      </c>
      <c r="L1189" s="268">
        <v>0.26669999999999999</v>
      </c>
      <c r="M1189" s="268">
        <v>-3.9199999999999999E-2</v>
      </c>
      <c r="N1189" s="8">
        <v>1114.9000000000001</v>
      </c>
      <c r="O1189" s="8">
        <v>6116.27</v>
      </c>
      <c r="P1189" s="268">
        <v>0.18229999999999999</v>
      </c>
      <c r="Q1189" s="8">
        <v>370</v>
      </c>
      <c r="R1189" s="8">
        <v>0</v>
      </c>
      <c r="S1189" s="8" t="s">
        <v>7071</v>
      </c>
      <c r="T1189" s="8" t="s">
        <v>8000</v>
      </c>
      <c r="U1189" s="8" t="s">
        <v>8001</v>
      </c>
      <c r="V1189" s="8" t="s">
        <v>8002</v>
      </c>
      <c r="W1189" s="8" t="s">
        <v>8003</v>
      </c>
    </row>
    <row r="1190" spans="1:23" ht="28" customHeight="1" x14ac:dyDescent="0.3">
      <c r="A1190" s="308">
        <v>44509</v>
      </c>
      <c r="B1190" s="302">
        <v>1921.1959999999999</v>
      </c>
      <c r="C1190" s="8">
        <v>17.137</v>
      </c>
      <c r="D1190" s="268">
        <v>8.9999999999999993E-3</v>
      </c>
      <c r="E1190" s="8">
        <v>80.069999999999993</v>
      </c>
      <c r="F1190" s="8">
        <v>142.126</v>
      </c>
      <c r="G1190" s="8">
        <v>122.098</v>
      </c>
      <c r="H1190" s="8">
        <v>94.92</v>
      </c>
      <c r="I1190" s="8">
        <v>180.6</v>
      </c>
      <c r="J1190" s="8">
        <v>78.95</v>
      </c>
      <c r="K1190" s="268">
        <v>0.38469999999999999</v>
      </c>
      <c r="L1190" s="268">
        <v>0.2676</v>
      </c>
      <c r="M1190" s="268">
        <v>-3.85E-2</v>
      </c>
      <c r="N1190" s="8">
        <v>986.04</v>
      </c>
      <c r="O1190" s="8">
        <v>6118.23</v>
      </c>
      <c r="P1190" s="268">
        <v>0.16120000000000001</v>
      </c>
      <c r="Q1190" s="8">
        <v>370</v>
      </c>
      <c r="R1190" s="8">
        <v>0</v>
      </c>
      <c r="S1190" s="8" t="s">
        <v>3735</v>
      </c>
      <c r="T1190" s="8" t="s">
        <v>8004</v>
      </c>
      <c r="U1190" s="8" t="s">
        <v>8005</v>
      </c>
      <c r="V1190" s="8" t="s">
        <v>8006</v>
      </c>
      <c r="W1190" s="8" t="s">
        <v>8007</v>
      </c>
    </row>
    <row r="1191" spans="1:23" ht="28" customHeight="1" x14ac:dyDescent="0.3">
      <c r="A1191" s="308">
        <v>44508</v>
      </c>
      <c r="B1191" s="302">
        <v>1904.059</v>
      </c>
      <c r="C1191" s="8">
        <v>11.958</v>
      </c>
      <c r="D1191" s="268">
        <v>6.3E-3</v>
      </c>
      <c r="E1191" s="8">
        <v>77.88</v>
      </c>
      <c r="F1191" s="8">
        <v>140.738</v>
      </c>
      <c r="G1191" s="8">
        <v>121.39</v>
      </c>
      <c r="H1191" s="8">
        <v>94.32</v>
      </c>
      <c r="I1191" s="8">
        <v>179.34</v>
      </c>
      <c r="J1191" s="8">
        <v>80.39</v>
      </c>
      <c r="K1191" s="268">
        <v>0.38600000000000001</v>
      </c>
      <c r="L1191" s="268">
        <v>0.2697</v>
      </c>
      <c r="M1191" s="268">
        <v>-3.6600000000000001E-2</v>
      </c>
      <c r="N1191" s="8">
        <v>955.55</v>
      </c>
      <c r="O1191" s="8">
        <v>6119.65</v>
      </c>
      <c r="P1191" s="268">
        <v>0.15609999999999999</v>
      </c>
      <c r="Q1191" s="8">
        <v>370</v>
      </c>
      <c r="R1191" s="8">
        <v>0</v>
      </c>
      <c r="S1191" s="8" t="s">
        <v>8008</v>
      </c>
      <c r="T1191" s="8" t="s">
        <v>8009</v>
      </c>
      <c r="U1191" s="8" t="s">
        <v>8010</v>
      </c>
      <c r="V1191" s="8" t="s">
        <v>3864</v>
      </c>
      <c r="W1191" s="8" t="s">
        <v>8011</v>
      </c>
    </row>
    <row r="1192" spans="1:23" ht="28" customHeight="1" x14ac:dyDescent="0.3">
      <c r="A1192" s="308">
        <v>44505</v>
      </c>
      <c r="B1192" s="302">
        <v>1892.1010000000001</v>
      </c>
      <c r="C1192" s="8">
        <v>-9.6229999999999993</v>
      </c>
      <c r="D1192" s="268">
        <v>-5.1000000000000004E-3</v>
      </c>
      <c r="E1192" s="8">
        <v>76.14</v>
      </c>
      <c r="F1192" s="8">
        <v>139.864</v>
      </c>
      <c r="G1192" s="8">
        <v>120.85899999999999</v>
      </c>
      <c r="H1192" s="8">
        <v>93.83</v>
      </c>
      <c r="I1192" s="8">
        <v>178.14</v>
      </c>
      <c r="J1192" s="8">
        <v>79.37</v>
      </c>
      <c r="K1192" s="268">
        <v>0.38269999999999998</v>
      </c>
      <c r="L1192" s="268">
        <v>0.26879999999999998</v>
      </c>
      <c r="M1192" s="268">
        <v>-3.5000000000000003E-2</v>
      </c>
      <c r="N1192" s="8">
        <v>1083.5999999999999</v>
      </c>
      <c r="O1192" s="8">
        <v>6121.46</v>
      </c>
      <c r="P1192" s="268">
        <v>0.17699999999999999</v>
      </c>
      <c r="Q1192" s="8">
        <v>371</v>
      </c>
      <c r="R1192" s="8">
        <v>0</v>
      </c>
      <c r="S1192" s="8" t="s">
        <v>3026</v>
      </c>
      <c r="T1192" s="8" t="s">
        <v>8012</v>
      </c>
      <c r="U1192" s="8" t="s">
        <v>8013</v>
      </c>
      <c r="V1192" s="8" t="s">
        <v>8014</v>
      </c>
      <c r="W1192" s="8" t="s">
        <v>8015</v>
      </c>
    </row>
    <row r="1193" spans="1:23" ht="28" customHeight="1" x14ac:dyDescent="0.3">
      <c r="A1193" s="308">
        <v>44504</v>
      </c>
      <c r="B1193" s="302">
        <v>1901.7239999999999</v>
      </c>
      <c r="C1193" s="8">
        <v>24.702000000000002</v>
      </c>
      <c r="D1193" s="268">
        <v>1.32E-2</v>
      </c>
      <c r="E1193" s="8">
        <v>76.97</v>
      </c>
      <c r="F1193" s="8">
        <v>140.79400000000001</v>
      </c>
      <c r="G1193" s="8">
        <v>120.98699999999999</v>
      </c>
      <c r="H1193" s="8">
        <v>94.88</v>
      </c>
      <c r="I1193" s="8">
        <v>178.65</v>
      </c>
      <c r="J1193" s="8">
        <v>77.290000000000006</v>
      </c>
      <c r="K1193" s="268">
        <v>0.37859999999999999</v>
      </c>
      <c r="L1193" s="268">
        <v>0.26140000000000002</v>
      </c>
      <c r="M1193" s="268">
        <v>-3.5099999999999999E-2</v>
      </c>
      <c r="N1193" s="8">
        <v>1000.36</v>
      </c>
      <c r="O1193" s="8">
        <v>6123.98</v>
      </c>
      <c r="P1193" s="268">
        <v>0.16339999999999999</v>
      </c>
      <c r="Q1193" s="8">
        <v>373</v>
      </c>
      <c r="R1193" s="8">
        <v>0</v>
      </c>
      <c r="S1193" s="8" t="s">
        <v>3222</v>
      </c>
      <c r="T1193" s="8" t="s">
        <v>8016</v>
      </c>
      <c r="U1193" s="8" t="s">
        <v>8017</v>
      </c>
      <c r="V1193" s="8" t="s">
        <v>8018</v>
      </c>
      <c r="W1193" s="8" t="s">
        <v>8019</v>
      </c>
    </row>
    <row r="1194" spans="1:23" ht="28" customHeight="1" x14ac:dyDescent="0.3">
      <c r="A1194" s="308">
        <v>44503</v>
      </c>
      <c r="B1194" s="302">
        <v>1877.0219999999999</v>
      </c>
      <c r="C1194" s="8">
        <v>5.0540000000000003</v>
      </c>
      <c r="D1194" s="268">
        <v>2.7000000000000001E-3</v>
      </c>
      <c r="E1194" s="8">
        <v>74.34</v>
      </c>
      <c r="F1194" s="8">
        <v>138.62700000000001</v>
      </c>
      <c r="G1194" s="8">
        <v>119.295</v>
      </c>
      <c r="H1194" s="8">
        <v>94.47</v>
      </c>
      <c r="I1194" s="8">
        <v>176.65</v>
      </c>
      <c r="J1194" s="8">
        <v>77.010000000000005</v>
      </c>
      <c r="K1194" s="268">
        <v>0.38019999999999998</v>
      </c>
      <c r="L1194" s="268">
        <v>0.25919999999999999</v>
      </c>
      <c r="M1194" s="268">
        <v>-3.15E-2</v>
      </c>
      <c r="N1194" s="8">
        <v>932.52</v>
      </c>
      <c r="O1194" s="8">
        <v>6114.64</v>
      </c>
      <c r="P1194" s="268">
        <v>0.1525</v>
      </c>
      <c r="Q1194" s="8">
        <v>372</v>
      </c>
      <c r="R1194" s="8">
        <v>0</v>
      </c>
      <c r="S1194" s="8" t="s">
        <v>8020</v>
      </c>
      <c r="T1194" s="8" t="s">
        <v>8021</v>
      </c>
      <c r="U1194" s="8" t="s">
        <v>8022</v>
      </c>
      <c r="V1194" s="8" t="s">
        <v>4851</v>
      </c>
      <c r="W1194" s="8" t="s">
        <v>8023</v>
      </c>
    </row>
    <row r="1195" spans="1:23" ht="28" customHeight="1" x14ac:dyDescent="0.3">
      <c r="A1195" s="308">
        <v>44502</v>
      </c>
      <c r="B1195" s="302">
        <v>1871.9680000000001</v>
      </c>
      <c r="C1195" s="8">
        <v>-7.5369999999999999</v>
      </c>
      <c r="D1195" s="268">
        <v>-4.0000000000000001E-3</v>
      </c>
      <c r="E1195" s="8">
        <v>73.87</v>
      </c>
      <c r="F1195" s="8">
        <v>138.42599999999999</v>
      </c>
      <c r="G1195" s="8">
        <v>118.875</v>
      </c>
      <c r="H1195" s="8">
        <v>93.5</v>
      </c>
      <c r="I1195" s="8">
        <v>177.24</v>
      </c>
      <c r="J1195" s="8">
        <v>79.94</v>
      </c>
      <c r="K1195" s="268">
        <v>0.3881</v>
      </c>
      <c r="L1195" s="268">
        <v>0.26740000000000003</v>
      </c>
      <c r="M1195" s="268">
        <v>-3.0800000000000001E-2</v>
      </c>
      <c r="N1195" s="8">
        <v>866.27</v>
      </c>
      <c r="O1195" s="8">
        <v>6117.23</v>
      </c>
      <c r="P1195" s="268">
        <v>0.1416</v>
      </c>
      <c r="Q1195" s="8">
        <v>372</v>
      </c>
      <c r="R1195" s="8">
        <v>0</v>
      </c>
      <c r="S1195" s="8" t="s">
        <v>8024</v>
      </c>
      <c r="T1195" s="8" t="s">
        <v>8025</v>
      </c>
      <c r="U1195" s="8" t="s">
        <v>8026</v>
      </c>
      <c r="V1195" s="8" t="s">
        <v>8027</v>
      </c>
      <c r="W1195" s="8" t="s">
        <v>8028</v>
      </c>
    </row>
    <row r="1196" spans="1:23" ht="28" customHeight="1" x14ac:dyDescent="0.3">
      <c r="A1196" s="308">
        <v>44501</v>
      </c>
      <c r="B1196" s="302">
        <v>1879.5050000000001</v>
      </c>
      <c r="C1196" s="8">
        <v>21.643999999999998</v>
      </c>
      <c r="D1196" s="268">
        <v>1.17E-2</v>
      </c>
      <c r="E1196" s="8">
        <v>74.31</v>
      </c>
      <c r="F1196" s="8">
        <v>139.25299999999999</v>
      </c>
      <c r="G1196" s="8">
        <v>119.6</v>
      </c>
      <c r="H1196" s="8">
        <v>93.72</v>
      </c>
      <c r="I1196" s="8">
        <v>176.65</v>
      </c>
      <c r="J1196" s="8">
        <v>73.599999999999994</v>
      </c>
      <c r="K1196" s="268">
        <v>0.374</v>
      </c>
      <c r="L1196" s="268">
        <v>0.25659999999999999</v>
      </c>
      <c r="M1196" s="268">
        <v>-3.2000000000000001E-2</v>
      </c>
      <c r="N1196" s="8">
        <v>902.78</v>
      </c>
      <c r="O1196" s="8">
        <v>6121.57</v>
      </c>
      <c r="P1196" s="268">
        <v>0.14749999999999999</v>
      </c>
      <c r="Q1196" s="8">
        <v>372</v>
      </c>
      <c r="R1196" s="8">
        <v>0</v>
      </c>
      <c r="S1196" s="8" t="s">
        <v>4326</v>
      </c>
      <c r="T1196" s="8" t="s">
        <v>4351</v>
      </c>
      <c r="U1196" s="8" t="s">
        <v>8029</v>
      </c>
      <c r="V1196" s="8" t="s">
        <v>8030</v>
      </c>
      <c r="W1196" s="8" t="s">
        <v>8031</v>
      </c>
    </row>
    <row r="1197" spans="1:23" ht="28" customHeight="1" x14ac:dyDescent="0.3">
      <c r="A1197" s="308">
        <v>44498</v>
      </c>
      <c r="B1197" s="302">
        <v>1857.8610000000001</v>
      </c>
      <c r="C1197" s="8">
        <v>10.291</v>
      </c>
      <c r="D1197" s="268">
        <v>5.5999999999999999E-3</v>
      </c>
      <c r="E1197" s="8">
        <v>70.91</v>
      </c>
      <c r="F1197" s="8">
        <v>137.565</v>
      </c>
      <c r="G1197" s="8">
        <v>118.17</v>
      </c>
      <c r="H1197" s="8">
        <v>92.61</v>
      </c>
      <c r="I1197" s="8">
        <v>175.64</v>
      </c>
      <c r="J1197" s="8">
        <v>77.28</v>
      </c>
      <c r="K1197" s="268">
        <v>0.38080000000000003</v>
      </c>
      <c r="L1197" s="268">
        <v>0.27350000000000002</v>
      </c>
      <c r="M1197" s="268">
        <v>-2.9399999999999999E-2</v>
      </c>
      <c r="N1197" s="8">
        <v>954.4</v>
      </c>
      <c r="O1197" s="8">
        <v>6133.4</v>
      </c>
      <c r="P1197" s="268">
        <v>0.15559999999999999</v>
      </c>
      <c r="Q1197" s="8">
        <v>372</v>
      </c>
      <c r="R1197" s="8">
        <v>0</v>
      </c>
      <c r="S1197" s="8" t="s">
        <v>8032</v>
      </c>
      <c r="T1197" s="8" t="s">
        <v>8033</v>
      </c>
      <c r="U1197" s="8" t="s">
        <v>4449</v>
      </c>
      <c r="V1197" s="8" t="s">
        <v>8034</v>
      </c>
      <c r="W1197" s="8" t="s">
        <v>8035</v>
      </c>
    </row>
    <row r="1198" spans="1:23" ht="28" customHeight="1" x14ac:dyDescent="0.3">
      <c r="A1198" s="308">
        <v>44497</v>
      </c>
      <c r="B1198" s="302">
        <v>1847.57</v>
      </c>
      <c r="C1198" s="8">
        <v>-15.238</v>
      </c>
      <c r="D1198" s="268">
        <v>-8.2000000000000007E-3</v>
      </c>
      <c r="E1198" s="8">
        <v>66.650000000000006</v>
      </c>
      <c r="F1198" s="8">
        <v>136.673</v>
      </c>
      <c r="G1198" s="8">
        <v>118.26900000000001</v>
      </c>
      <c r="H1198" s="8">
        <v>90.05</v>
      </c>
      <c r="I1198" s="8">
        <v>176.35</v>
      </c>
      <c r="J1198" s="8">
        <v>79.06</v>
      </c>
      <c r="K1198" s="268">
        <v>0.39679999999999999</v>
      </c>
      <c r="L1198" s="268">
        <v>0.28399999999999997</v>
      </c>
      <c r="M1198" s="268">
        <v>-2.8799999999999999E-2</v>
      </c>
      <c r="N1198" s="8">
        <v>946.69</v>
      </c>
      <c r="O1198" s="8">
        <v>6137.24</v>
      </c>
      <c r="P1198" s="268">
        <v>0.15429999999999999</v>
      </c>
      <c r="Q1198" s="8">
        <v>372</v>
      </c>
      <c r="R1198" s="8">
        <v>0</v>
      </c>
      <c r="S1198" s="8" t="s">
        <v>8036</v>
      </c>
      <c r="T1198" s="8" t="s">
        <v>8037</v>
      </c>
      <c r="U1198" s="8" t="s">
        <v>8038</v>
      </c>
      <c r="V1198" s="8" t="s">
        <v>8039</v>
      </c>
      <c r="W1198" s="8" t="s">
        <v>8040</v>
      </c>
    </row>
    <row r="1199" spans="1:23" ht="28" customHeight="1" x14ac:dyDescent="0.3">
      <c r="A1199" s="308">
        <v>44496</v>
      </c>
      <c r="B1199" s="302">
        <v>1862.808</v>
      </c>
      <c r="C1199" s="8">
        <v>-6.899</v>
      </c>
      <c r="D1199" s="268">
        <v>-3.7000000000000002E-3</v>
      </c>
      <c r="E1199" s="8">
        <v>68.989999999999995</v>
      </c>
      <c r="F1199" s="8">
        <v>138.31100000000001</v>
      </c>
      <c r="G1199" s="8">
        <v>118.8</v>
      </c>
      <c r="H1199" s="8">
        <v>93.19</v>
      </c>
      <c r="I1199" s="8">
        <v>176.4</v>
      </c>
      <c r="J1199" s="8">
        <v>76.12</v>
      </c>
      <c r="K1199" s="268">
        <v>0.38090000000000002</v>
      </c>
      <c r="L1199" s="268">
        <v>0.25829999999999997</v>
      </c>
      <c r="M1199" s="268">
        <v>-3.0800000000000001E-2</v>
      </c>
      <c r="N1199" s="8">
        <v>922.5</v>
      </c>
      <c r="O1199" s="8">
        <v>6133.41</v>
      </c>
      <c r="P1199" s="268">
        <v>0.15040000000000001</v>
      </c>
      <c r="Q1199" s="8">
        <v>372</v>
      </c>
      <c r="R1199" s="8" t="s">
        <v>2852</v>
      </c>
      <c r="S1199" s="8" t="s">
        <v>6330</v>
      </c>
      <c r="T1199" s="8" t="s">
        <v>8041</v>
      </c>
      <c r="U1199" s="8" t="s">
        <v>8042</v>
      </c>
      <c r="V1199" s="8" t="s">
        <v>8043</v>
      </c>
      <c r="W1199" s="8" t="s">
        <v>8044</v>
      </c>
    </row>
    <row r="1200" spans="1:23" ht="28" customHeight="1" x14ac:dyDescent="0.3">
      <c r="A1200" s="308">
        <v>44495</v>
      </c>
      <c r="B1200" s="302">
        <v>1869.7070000000001</v>
      </c>
      <c r="C1200" s="8">
        <v>7.1890000000000001</v>
      </c>
      <c r="D1200" s="268">
        <v>3.8999999999999998E-3</v>
      </c>
      <c r="E1200" s="8">
        <v>73.650000000000006</v>
      </c>
      <c r="F1200" s="8">
        <v>138.64699999999999</v>
      </c>
      <c r="G1200" s="8">
        <v>119.85</v>
      </c>
      <c r="H1200" s="8">
        <v>95.51</v>
      </c>
      <c r="I1200" s="8">
        <v>175.2</v>
      </c>
      <c r="J1200" s="8">
        <v>70.099999999999994</v>
      </c>
      <c r="K1200" s="268">
        <v>0.36549999999999999</v>
      </c>
      <c r="L1200" s="268">
        <v>0.25750000000000001</v>
      </c>
      <c r="M1200" s="268">
        <v>-3.2099999999999997E-2</v>
      </c>
      <c r="N1200" s="8">
        <v>834.56</v>
      </c>
      <c r="O1200" s="8">
        <v>6136.09</v>
      </c>
      <c r="P1200" s="268">
        <v>0.13600000000000001</v>
      </c>
      <c r="Q1200" s="8">
        <v>372</v>
      </c>
      <c r="R1200" s="8" t="s">
        <v>8045</v>
      </c>
      <c r="S1200" s="8" t="s">
        <v>2577</v>
      </c>
      <c r="T1200" s="8" t="s">
        <v>8046</v>
      </c>
      <c r="U1200" s="8" t="s">
        <v>5856</v>
      </c>
      <c r="V1200" s="8" t="s">
        <v>8047</v>
      </c>
      <c r="W1200" s="8" t="s">
        <v>8048</v>
      </c>
    </row>
    <row r="1201" spans="1:23" ht="28" customHeight="1" x14ac:dyDescent="0.3">
      <c r="A1201" s="308">
        <v>44494</v>
      </c>
      <c r="B1201" s="302">
        <v>1862.518</v>
      </c>
      <c r="C1201" s="8">
        <v>13.993</v>
      </c>
      <c r="D1201" s="268">
        <v>7.6E-3</v>
      </c>
      <c r="E1201" s="8">
        <v>70.63</v>
      </c>
      <c r="F1201" s="8">
        <v>138.18799999999999</v>
      </c>
      <c r="G1201" s="8">
        <v>119.23</v>
      </c>
      <c r="H1201" s="8">
        <v>95.41</v>
      </c>
      <c r="I1201" s="8">
        <v>174.02</v>
      </c>
      <c r="J1201" s="8">
        <v>68.38</v>
      </c>
      <c r="K1201" s="268">
        <v>0.3584</v>
      </c>
      <c r="L1201" s="268">
        <v>0.2467</v>
      </c>
      <c r="M1201" s="268">
        <v>-3.1600000000000003E-2</v>
      </c>
      <c r="N1201" s="8">
        <v>770.39</v>
      </c>
      <c r="O1201" s="8">
        <v>6141.66</v>
      </c>
      <c r="P1201" s="268">
        <v>0.12540000000000001</v>
      </c>
      <c r="Q1201" s="8">
        <v>372</v>
      </c>
      <c r="R1201" s="8" t="s">
        <v>3442</v>
      </c>
      <c r="S1201" s="8" t="s">
        <v>8049</v>
      </c>
      <c r="T1201" s="8" t="s">
        <v>8050</v>
      </c>
      <c r="U1201" s="8" t="s">
        <v>8051</v>
      </c>
      <c r="V1201" s="8" t="s">
        <v>8052</v>
      </c>
      <c r="W1201" s="8" t="s">
        <v>8053</v>
      </c>
    </row>
    <row r="1202" spans="1:23" ht="28" customHeight="1" x14ac:dyDescent="0.3">
      <c r="A1202" s="308">
        <v>44491</v>
      </c>
      <c r="B1202" s="302">
        <v>1848.5250000000001</v>
      </c>
      <c r="C1202" s="8">
        <v>-8.7479999999999993</v>
      </c>
      <c r="D1202" s="268">
        <v>-4.7000000000000002E-3</v>
      </c>
      <c r="E1202" s="8">
        <v>70.61</v>
      </c>
      <c r="F1202" s="8">
        <v>136.91499999999999</v>
      </c>
      <c r="G1202" s="8">
        <v>118.994</v>
      </c>
      <c r="H1202" s="8">
        <v>95.57</v>
      </c>
      <c r="I1202" s="8">
        <v>172.98</v>
      </c>
      <c r="J1202" s="8">
        <v>73.22</v>
      </c>
      <c r="K1202" s="268">
        <v>0.36070000000000002</v>
      </c>
      <c r="L1202" s="268">
        <v>0.24859999999999999</v>
      </c>
      <c r="M1202" s="268">
        <v>-2.9700000000000001E-2</v>
      </c>
      <c r="N1202" s="8">
        <v>708.03</v>
      </c>
      <c r="O1202" s="8">
        <v>6142.56</v>
      </c>
      <c r="P1202" s="268">
        <v>0.1153</v>
      </c>
      <c r="Q1202" s="8">
        <v>372</v>
      </c>
      <c r="R1202" s="8" t="s">
        <v>8054</v>
      </c>
      <c r="S1202" s="8" t="s">
        <v>2665</v>
      </c>
      <c r="T1202" s="8" t="s">
        <v>8055</v>
      </c>
      <c r="U1202" s="8" t="s">
        <v>8056</v>
      </c>
      <c r="V1202" s="8" t="s">
        <v>8057</v>
      </c>
      <c r="W1202" s="8" t="s">
        <v>8058</v>
      </c>
    </row>
    <row r="1203" spans="1:23" ht="28" customHeight="1" x14ac:dyDescent="0.3">
      <c r="A1203" s="308">
        <v>44490</v>
      </c>
      <c r="B1203" s="302">
        <v>1857.2729999999999</v>
      </c>
      <c r="C1203" s="8">
        <v>-0.79900000000000004</v>
      </c>
      <c r="D1203" s="268">
        <v>-4.0000000000000002E-4</v>
      </c>
      <c r="E1203" s="8">
        <v>71.87</v>
      </c>
      <c r="F1203" s="8">
        <v>137.89400000000001</v>
      </c>
      <c r="G1203" s="8">
        <v>118.809</v>
      </c>
      <c r="H1203" s="8">
        <v>95.8</v>
      </c>
      <c r="I1203" s="8">
        <v>173.76</v>
      </c>
      <c r="J1203" s="8">
        <v>74.38</v>
      </c>
      <c r="K1203" s="268">
        <v>0.35870000000000002</v>
      </c>
      <c r="L1203" s="268">
        <v>0.24129999999999999</v>
      </c>
      <c r="M1203" s="268">
        <v>-3.1199999999999999E-2</v>
      </c>
      <c r="N1203" s="8">
        <v>641.02</v>
      </c>
      <c r="O1203" s="8">
        <v>6145.86</v>
      </c>
      <c r="P1203" s="268">
        <v>0.1043</v>
      </c>
      <c r="Q1203" s="8">
        <v>372</v>
      </c>
      <c r="R1203" s="8" t="s">
        <v>5832</v>
      </c>
      <c r="S1203" s="8" t="s">
        <v>8059</v>
      </c>
      <c r="T1203" s="8" t="s">
        <v>8060</v>
      </c>
      <c r="U1203" s="8" t="s">
        <v>8061</v>
      </c>
      <c r="V1203" s="8" t="s">
        <v>8062</v>
      </c>
      <c r="W1203" s="8" t="s">
        <v>8063</v>
      </c>
    </row>
    <row r="1204" spans="1:23" ht="28" customHeight="1" x14ac:dyDescent="0.3">
      <c r="A1204" s="308">
        <v>44489</v>
      </c>
      <c r="B1204" s="302">
        <v>1858.0719999999999</v>
      </c>
      <c r="C1204" s="8">
        <v>5.077</v>
      </c>
      <c r="D1204" s="268">
        <v>2.7000000000000001E-3</v>
      </c>
      <c r="E1204" s="8">
        <v>71.569999999999993</v>
      </c>
      <c r="F1204" s="8">
        <v>138.24600000000001</v>
      </c>
      <c r="G1204" s="8">
        <v>119.051</v>
      </c>
      <c r="H1204" s="8">
        <v>96.49</v>
      </c>
      <c r="I1204" s="8">
        <v>173.02</v>
      </c>
      <c r="J1204" s="8">
        <v>71.84</v>
      </c>
      <c r="K1204" s="268">
        <v>0.34770000000000001</v>
      </c>
      <c r="L1204" s="268">
        <v>0.2354</v>
      </c>
      <c r="M1204" s="268">
        <v>-3.1600000000000003E-2</v>
      </c>
      <c r="N1204" s="8">
        <v>670.51</v>
      </c>
      <c r="O1204" s="8">
        <v>6130.86</v>
      </c>
      <c r="P1204" s="268">
        <v>0.1094</v>
      </c>
      <c r="Q1204" s="8">
        <v>372</v>
      </c>
      <c r="R1204" s="8" t="s">
        <v>5441</v>
      </c>
      <c r="S1204" s="8" t="s">
        <v>5889</v>
      </c>
      <c r="T1204" s="8" t="s">
        <v>6887</v>
      </c>
      <c r="U1204" s="8" t="s">
        <v>8064</v>
      </c>
      <c r="V1204" s="8" t="s">
        <v>8065</v>
      </c>
      <c r="W1204" s="8" t="s">
        <v>8066</v>
      </c>
    </row>
    <row r="1205" spans="1:23" ht="28" customHeight="1" x14ac:dyDescent="0.3">
      <c r="A1205" s="308">
        <v>44488</v>
      </c>
      <c r="B1205" s="302">
        <v>1852.9949999999999</v>
      </c>
      <c r="C1205" s="8">
        <v>15.162000000000001</v>
      </c>
      <c r="D1205" s="268">
        <v>8.2000000000000007E-3</v>
      </c>
      <c r="E1205" s="8">
        <v>71.180000000000007</v>
      </c>
      <c r="F1205" s="8">
        <v>137.57900000000001</v>
      </c>
      <c r="G1205" s="8">
        <v>118.84</v>
      </c>
      <c r="H1205" s="8">
        <v>97.15</v>
      </c>
      <c r="I1205" s="8">
        <v>171.69</v>
      </c>
      <c r="J1205" s="8">
        <v>70.569999999999993</v>
      </c>
      <c r="K1205" s="268">
        <v>0.34110000000000001</v>
      </c>
      <c r="L1205" s="268">
        <v>0.2291</v>
      </c>
      <c r="M1205" s="268">
        <v>-3.1E-2</v>
      </c>
      <c r="N1205" s="8">
        <v>635.01</v>
      </c>
      <c r="O1205" s="8">
        <v>6151.1</v>
      </c>
      <c r="P1205" s="268">
        <v>0.1032</v>
      </c>
      <c r="Q1205" s="8">
        <v>373</v>
      </c>
      <c r="R1205" s="8" t="s">
        <v>3885</v>
      </c>
      <c r="S1205" s="8" t="s">
        <v>6991</v>
      </c>
      <c r="T1205" s="8" t="s">
        <v>8067</v>
      </c>
      <c r="U1205" s="8" t="s">
        <v>8068</v>
      </c>
      <c r="V1205" s="8" t="s">
        <v>8069</v>
      </c>
      <c r="W1205" s="8" t="s">
        <v>8070</v>
      </c>
    </row>
    <row r="1206" spans="1:23" ht="28" customHeight="1" x14ac:dyDescent="0.3">
      <c r="A1206" s="308">
        <v>44487</v>
      </c>
      <c r="B1206" s="302">
        <v>1837.8330000000001</v>
      </c>
      <c r="C1206" s="8">
        <v>13.645</v>
      </c>
      <c r="D1206" s="268">
        <v>7.4999999999999997E-3</v>
      </c>
      <c r="E1206" s="8">
        <v>68.91</v>
      </c>
      <c r="F1206" s="8">
        <v>136.298</v>
      </c>
      <c r="G1206" s="8">
        <v>118.014</v>
      </c>
      <c r="H1206" s="8">
        <v>96.83</v>
      </c>
      <c r="I1206" s="8">
        <v>170.31</v>
      </c>
      <c r="J1206" s="8">
        <v>67.989999999999995</v>
      </c>
      <c r="K1206" s="268">
        <v>0.34010000000000001</v>
      </c>
      <c r="L1206" s="268">
        <v>0.22819999999999999</v>
      </c>
      <c r="M1206" s="268">
        <v>-2.92E-2</v>
      </c>
      <c r="N1206" s="8">
        <v>591.34</v>
      </c>
      <c r="O1206" s="8">
        <v>6149.22</v>
      </c>
      <c r="P1206" s="268">
        <v>9.6199999999999994E-2</v>
      </c>
      <c r="Q1206" s="8">
        <v>372</v>
      </c>
      <c r="R1206" s="8" t="s">
        <v>8071</v>
      </c>
      <c r="S1206" s="8" t="s">
        <v>8072</v>
      </c>
      <c r="T1206" s="8" t="s">
        <v>7640</v>
      </c>
      <c r="U1206" s="8" t="s">
        <v>8073</v>
      </c>
      <c r="V1206" s="8" t="s">
        <v>8074</v>
      </c>
      <c r="W1206" s="8" t="s">
        <v>8075</v>
      </c>
    </row>
    <row r="1207" spans="1:23" ht="28" customHeight="1" x14ac:dyDescent="0.3">
      <c r="A1207" s="308">
        <v>44484</v>
      </c>
      <c r="B1207" s="302">
        <v>1824.1880000000001</v>
      </c>
      <c r="C1207" s="8">
        <v>4.6580000000000004</v>
      </c>
      <c r="D1207" s="268">
        <v>2.5999999999999999E-3</v>
      </c>
      <c r="E1207" s="8">
        <v>67.3</v>
      </c>
      <c r="F1207" s="8">
        <v>134.88999999999999</v>
      </c>
      <c r="G1207" s="8">
        <v>117.989</v>
      </c>
      <c r="H1207" s="8">
        <v>96.13</v>
      </c>
      <c r="I1207" s="8">
        <v>169.31</v>
      </c>
      <c r="J1207" s="8">
        <v>68.900000000000006</v>
      </c>
      <c r="K1207" s="268">
        <v>0.34420000000000001</v>
      </c>
      <c r="L1207" s="268">
        <v>0.22220000000000001</v>
      </c>
      <c r="M1207" s="268">
        <v>-2.87E-2</v>
      </c>
      <c r="N1207" s="8">
        <v>630.98</v>
      </c>
      <c r="O1207" s="8">
        <v>6150.15</v>
      </c>
      <c r="P1207" s="268">
        <v>0.1026</v>
      </c>
      <c r="Q1207" s="8">
        <v>372</v>
      </c>
      <c r="R1207" s="8" t="s">
        <v>8076</v>
      </c>
      <c r="S1207" s="8" t="s">
        <v>8077</v>
      </c>
      <c r="T1207" s="8" t="s">
        <v>8078</v>
      </c>
      <c r="U1207" s="8" t="s">
        <v>8079</v>
      </c>
      <c r="V1207" s="8" t="s">
        <v>8080</v>
      </c>
      <c r="W1207" s="8" t="s">
        <v>8081</v>
      </c>
    </row>
    <row r="1208" spans="1:23" ht="28" customHeight="1" x14ac:dyDescent="0.3">
      <c r="A1208" s="308">
        <v>44483</v>
      </c>
      <c r="B1208" s="302">
        <v>1819.53</v>
      </c>
      <c r="C1208" s="8">
        <v>11.553000000000001</v>
      </c>
      <c r="D1208" s="268">
        <v>6.4000000000000003E-3</v>
      </c>
      <c r="E1208" s="8">
        <v>67.709999999999994</v>
      </c>
      <c r="F1208" s="8">
        <v>134.34200000000001</v>
      </c>
      <c r="G1208" s="8">
        <v>117.66</v>
      </c>
      <c r="H1208" s="8">
        <v>96.92</v>
      </c>
      <c r="I1208" s="8">
        <v>167.31</v>
      </c>
      <c r="J1208" s="8">
        <v>66.67</v>
      </c>
      <c r="K1208" s="268">
        <v>0.3296</v>
      </c>
      <c r="L1208" s="268">
        <v>0.21690000000000001</v>
      </c>
      <c r="M1208" s="268">
        <v>-2.81E-2</v>
      </c>
      <c r="N1208" s="8">
        <v>617.58000000000004</v>
      </c>
      <c r="O1208" s="8">
        <v>6152.99</v>
      </c>
      <c r="P1208" s="268">
        <v>0.1004</v>
      </c>
      <c r="Q1208" s="8">
        <v>373</v>
      </c>
      <c r="R1208" s="8" t="s">
        <v>3625</v>
      </c>
      <c r="S1208" s="8" t="s">
        <v>3026</v>
      </c>
      <c r="T1208" s="8" t="s">
        <v>8082</v>
      </c>
      <c r="U1208" s="8" t="s">
        <v>8083</v>
      </c>
      <c r="V1208" s="8" t="s">
        <v>8084</v>
      </c>
      <c r="W1208" s="8" t="s">
        <v>8085</v>
      </c>
    </row>
    <row r="1209" spans="1:23" ht="28" customHeight="1" x14ac:dyDescent="0.3">
      <c r="A1209" s="308">
        <v>44482</v>
      </c>
      <c r="B1209" s="302">
        <v>1807.9770000000001</v>
      </c>
      <c r="C1209" s="8">
        <v>-3.7320000000000002</v>
      </c>
      <c r="D1209" s="268">
        <v>-2.0999999999999999E-3</v>
      </c>
      <c r="E1209" s="8">
        <v>66.33</v>
      </c>
      <c r="F1209" s="8">
        <v>133.304</v>
      </c>
      <c r="G1209" s="8">
        <v>117.72</v>
      </c>
      <c r="H1209" s="8">
        <v>97.02</v>
      </c>
      <c r="I1209" s="8">
        <v>166.3</v>
      </c>
      <c r="J1209" s="8">
        <v>64.44</v>
      </c>
      <c r="K1209" s="268">
        <v>0.33</v>
      </c>
      <c r="L1209" s="268">
        <v>0.21579999999999999</v>
      </c>
      <c r="M1209" s="268">
        <v>-2.6700000000000002E-2</v>
      </c>
      <c r="N1209" s="8">
        <v>578.16999999999996</v>
      </c>
      <c r="O1209" s="8">
        <v>6155.42</v>
      </c>
      <c r="P1209" s="268">
        <v>9.3899999999999997E-2</v>
      </c>
      <c r="Q1209" s="8">
        <v>373</v>
      </c>
      <c r="R1209" s="8" t="s">
        <v>8086</v>
      </c>
      <c r="S1209" s="8" t="s">
        <v>3919</v>
      </c>
      <c r="T1209" s="8" t="s">
        <v>8087</v>
      </c>
      <c r="U1209" s="8" t="s">
        <v>8088</v>
      </c>
      <c r="V1209" s="8" t="s">
        <v>8089</v>
      </c>
      <c r="W1209" s="8" t="s">
        <v>8090</v>
      </c>
    </row>
    <row r="1210" spans="1:23" ht="28" customHeight="1" x14ac:dyDescent="0.3">
      <c r="A1210" s="308">
        <v>44481</v>
      </c>
      <c r="B1210" s="302">
        <v>1811.7090000000001</v>
      </c>
      <c r="C1210" s="8">
        <v>-30.713000000000001</v>
      </c>
      <c r="D1210" s="268">
        <v>-1.67E-2</v>
      </c>
      <c r="E1210" s="8">
        <v>66.59</v>
      </c>
      <c r="F1210" s="8">
        <v>133.34100000000001</v>
      </c>
      <c r="G1210" s="8">
        <v>117.96</v>
      </c>
      <c r="H1210" s="8">
        <v>97.15</v>
      </c>
      <c r="I1210" s="8">
        <v>166.93</v>
      </c>
      <c r="J1210" s="8">
        <v>67.53</v>
      </c>
      <c r="K1210" s="268">
        <v>0.33589999999999998</v>
      </c>
      <c r="L1210" s="268">
        <v>0.22689999999999999</v>
      </c>
      <c r="M1210" s="268">
        <v>-2.7099999999999999E-2</v>
      </c>
      <c r="N1210" s="8">
        <v>662.77</v>
      </c>
      <c r="O1210" s="8">
        <v>6161.79</v>
      </c>
      <c r="P1210" s="268">
        <v>0.1076</v>
      </c>
      <c r="Q1210" s="8">
        <v>373</v>
      </c>
      <c r="R1210" s="8">
        <v>0</v>
      </c>
      <c r="S1210" s="8" t="s">
        <v>8091</v>
      </c>
      <c r="T1210" s="8" t="s">
        <v>8092</v>
      </c>
      <c r="U1210" s="8" t="s">
        <v>8093</v>
      </c>
      <c r="V1210" s="8" t="s">
        <v>8094</v>
      </c>
      <c r="W1210" s="8" t="s">
        <v>8095</v>
      </c>
    </row>
    <row r="1211" spans="1:23" ht="28" customHeight="1" x14ac:dyDescent="0.3">
      <c r="A1211" s="308">
        <v>44480</v>
      </c>
      <c r="B1211" s="302">
        <v>1842.422</v>
      </c>
      <c r="C1211" s="8">
        <v>-2.879</v>
      </c>
      <c r="D1211" s="268">
        <v>-1.6000000000000001E-3</v>
      </c>
      <c r="E1211" s="8">
        <v>72.53</v>
      </c>
      <c r="F1211" s="8">
        <v>136.017</v>
      </c>
      <c r="G1211" s="8">
        <v>119.7</v>
      </c>
      <c r="H1211" s="8">
        <v>99.04</v>
      </c>
      <c r="I1211" s="8">
        <v>169.32</v>
      </c>
      <c r="J1211" s="8">
        <v>68.260000000000005</v>
      </c>
      <c r="K1211" s="268">
        <v>0.33300000000000002</v>
      </c>
      <c r="L1211" s="268">
        <v>0.22700000000000001</v>
      </c>
      <c r="M1211" s="268">
        <v>-3.1199999999999999E-2</v>
      </c>
      <c r="N1211" s="8">
        <v>616.29999999999995</v>
      </c>
      <c r="O1211" s="8">
        <v>6165.45</v>
      </c>
      <c r="P1211" s="268">
        <v>0.1</v>
      </c>
      <c r="Q1211" s="8">
        <v>374</v>
      </c>
      <c r="R1211" s="8">
        <v>0</v>
      </c>
      <c r="S1211" s="8" t="s">
        <v>8096</v>
      </c>
      <c r="T1211" s="8" t="s">
        <v>8097</v>
      </c>
      <c r="U1211" s="8" t="s">
        <v>8098</v>
      </c>
      <c r="V1211" s="8" t="s">
        <v>8099</v>
      </c>
      <c r="W1211" s="8" t="s">
        <v>7316</v>
      </c>
    </row>
    <row r="1212" spans="1:23" ht="28" customHeight="1" x14ac:dyDescent="0.3">
      <c r="A1212" s="308">
        <v>44477</v>
      </c>
      <c r="B1212" s="302">
        <v>1845.3009999999999</v>
      </c>
      <c r="C1212" s="8">
        <v>8.0470000000000006</v>
      </c>
      <c r="D1212" s="268">
        <v>4.4000000000000003E-3</v>
      </c>
      <c r="E1212" s="8">
        <v>73.209999999999994</v>
      </c>
      <c r="F1212" s="8">
        <v>136.232</v>
      </c>
      <c r="G1212" s="8">
        <v>119.545</v>
      </c>
      <c r="H1212" s="8">
        <v>98.41</v>
      </c>
      <c r="I1212" s="8">
        <v>169.82</v>
      </c>
      <c r="J1212" s="8">
        <v>68.290000000000006</v>
      </c>
      <c r="K1212" s="268">
        <v>0.33589999999999998</v>
      </c>
      <c r="L1212" s="268">
        <v>0.23250000000000001</v>
      </c>
      <c r="M1212" s="268">
        <v>-3.1399999999999997E-2</v>
      </c>
      <c r="N1212" s="8">
        <v>572.64</v>
      </c>
      <c r="O1212" s="8">
        <v>6169.37</v>
      </c>
      <c r="P1212" s="268">
        <v>9.2799999999999994E-2</v>
      </c>
      <c r="Q1212" s="8">
        <v>374</v>
      </c>
      <c r="R1212" s="8">
        <v>0</v>
      </c>
      <c r="S1212" s="8" t="s">
        <v>4516</v>
      </c>
      <c r="T1212" s="8" t="s">
        <v>5049</v>
      </c>
      <c r="U1212" s="8" t="s">
        <v>8100</v>
      </c>
      <c r="V1212" s="8" t="s">
        <v>8101</v>
      </c>
      <c r="W1212" s="8" t="s">
        <v>8102</v>
      </c>
    </row>
    <row r="1213" spans="1:23" ht="28" customHeight="1" x14ac:dyDescent="0.3">
      <c r="A1213" s="308">
        <v>44469</v>
      </c>
      <c r="B1213" s="302">
        <v>1837.2539999999999</v>
      </c>
      <c r="C1213" s="8">
        <v>28.346</v>
      </c>
      <c r="D1213" s="268">
        <v>1.5699999999999999E-2</v>
      </c>
      <c r="E1213" s="8">
        <v>70.680000000000007</v>
      </c>
      <c r="F1213" s="8">
        <v>136.03200000000001</v>
      </c>
      <c r="G1213" s="8">
        <v>118.85</v>
      </c>
      <c r="H1213" s="8">
        <v>96.17</v>
      </c>
      <c r="I1213" s="8">
        <v>171.19</v>
      </c>
      <c r="J1213" s="8">
        <v>75.05</v>
      </c>
      <c r="K1213" s="268">
        <v>0.35160000000000002</v>
      </c>
      <c r="L1213" s="268">
        <v>0.23980000000000001</v>
      </c>
      <c r="M1213" s="268">
        <v>-2.9600000000000001E-2</v>
      </c>
      <c r="N1213" s="8">
        <v>832.4</v>
      </c>
      <c r="O1213" s="8">
        <v>6162.65</v>
      </c>
      <c r="P1213" s="268">
        <v>0.1351</v>
      </c>
      <c r="Q1213" s="8">
        <v>373</v>
      </c>
      <c r="R1213" s="8">
        <v>0</v>
      </c>
      <c r="S1213" s="8" t="s">
        <v>8103</v>
      </c>
      <c r="T1213" s="8" t="s">
        <v>8104</v>
      </c>
      <c r="U1213" s="8" t="s">
        <v>8105</v>
      </c>
      <c r="V1213" s="8" t="s">
        <v>8106</v>
      </c>
      <c r="W1213" s="8" t="s">
        <v>8107</v>
      </c>
    </row>
    <row r="1214" spans="1:23" ht="28" customHeight="1" x14ac:dyDescent="0.3">
      <c r="A1214" s="308">
        <v>44468</v>
      </c>
      <c r="B1214" s="302">
        <v>1808.9079999999999</v>
      </c>
      <c r="C1214" s="8">
        <v>-33.231999999999999</v>
      </c>
      <c r="D1214" s="268">
        <v>-1.7999999999999999E-2</v>
      </c>
      <c r="E1214" s="8">
        <v>66.81</v>
      </c>
      <c r="F1214" s="8">
        <v>133.51900000000001</v>
      </c>
      <c r="G1214" s="8">
        <v>117.04</v>
      </c>
      <c r="H1214" s="8">
        <v>95</v>
      </c>
      <c r="I1214" s="8">
        <v>169.69</v>
      </c>
      <c r="J1214" s="8">
        <v>75.319999999999993</v>
      </c>
      <c r="K1214" s="268">
        <v>0.36180000000000001</v>
      </c>
      <c r="L1214" s="268">
        <v>0.25340000000000001</v>
      </c>
      <c r="M1214" s="268">
        <v>-2.6200000000000001E-2</v>
      </c>
      <c r="N1214" s="8">
        <v>730.51</v>
      </c>
      <c r="O1214" s="8">
        <v>6165.94</v>
      </c>
      <c r="P1214" s="268">
        <v>0.11849999999999999</v>
      </c>
      <c r="Q1214" s="8">
        <v>373</v>
      </c>
      <c r="R1214" s="8" t="s">
        <v>3548</v>
      </c>
      <c r="S1214" s="8" t="s">
        <v>6467</v>
      </c>
      <c r="T1214" s="8" t="s">
        <v>8108</v>
      </c>
      <c r="U1214" s="8" t="s">
        <v>8109</v>
      </c>
      <c r="V1214" s="8" t="s">
        <v>8110</v>
      </c>
      <c r="W1214" s="8" t="s">
        <v>8111</v>
      </c>
    </row>
    <row r="1215" spans="1:23" ht="28" customHeight="1" x14ac:dyDescent="0.3">
      <c r="A1215" s="308">
        <v>44467</v>
      </c>
      <c r="B1215" s="302">
        <v>1842.14</v>
      </c>
      <c r="C1215" s="8">
        <v>6.2789999999999999</v>
      </c>
      <c r="D1215" s="268">
        <v>3.3999999999999998E-3</v>
      </c>
      <c r="E1215" s="8">
        <v>69.88</v>
      </c>
      <c r="F1215" s="8">
        <v>136.511</v>
      </c>
      <c r="G1215" s="8">
        <v>119.30800000000001</v>
      </c>
      <c r="H1215" s="8">
        <v>97.13</v>
      </c>
      <c r="I1215" s="8">
        <v>171.12</v>
      </c>
      <c r="J1215" s="8">
        <v>71.91</v>
      </c>
      <c r="K1215" s="268">
        <v>0.34610000000000002</v>
      </c>
      <c r="L1215" s="268">
        <v>0.2422</v>
      </c>
      <c r="M1215" s="268">
        <v>-3.1E-2</v>
      </c>
      <c r="N1215" s="8">
        <v>711.95</v>
      </c>
      <c r="O1215" s="8">
        <v>6169.54</v>
      </c>
      <c r="P1215" s="268">
        <v>0.1154</v>
      </c>
      <c r="Q1215" s="8">
        <v>373</v>
      </c>
      <c r="R1215" s="8">
        <v>0</v>
      </c>
      <c r="S1215" s="8" t="s">
        <v>8112</v>
      </c>
      <c r="T1215" s="8" t="s">
        <v>8113</v>
      </c>
      <c r="U1215" s="8" t="s">
        <v>8114</v>
      </c>
      <c r="V1215" s="8" t="s">
        <v>8115</v>
      </c>
      <c r="W1215" s="8" t="s">
        <v>8116</v>
      </c>
    </row>
    <row r="1216" spans="1:23" ht="28" customHeight="1" x14ac:dyDescent="0.3">
      <c r="A1216" s="308">
        <v>44466</v>
      </c>
      <c r="B1216" s="302">
        <v>1835.8610000000001</v>
      </c>
      <c r="C1216" s="8">
        <v>-41.72</v>
      </c>
      <c r="D1216" s="268">
        <v>-2.2200000000000001E-2</v>
      </c>
      <c r="E1216" s="8">
        <v>69.86</v>
      </c>
      <c r="F1216" s="8">
        <v>136.22200000000001</v>
      </c>
      <c r="G1216" s="8">
        <v>118.87</v>
      </c>
      <c r="H1216" s="8">
        <v>96</v>
      </c>
      <c r="I1216" s="8">
        <v>170.99</v>
      </c>
      <c r="J1216" s="8">
        <v>72.44</v>
      </c>
      <c r="K1216" s="268">
        <v>0.34770000000000001</v>
      </c>
      <c r="L1216" s="268">
        <v>0.24360000000000001</v>
      </c>
      <c r="M1216" s="268">
        <v>-2.98E-2</v>
      </c>
      <c r="N1216" s="8">
        <v>763.07</v>
      </c>
      <c r="O1216" s="8">
        <v>6175.43</v>
      </c>
      <c r="P1216" s="268">
        <v>0.1236</v>
      </c>
      <c r="Q1216" s="8">
        <v>373</v>
      </c>
      <c r="R1216" s="8">
        <v>0</v>
      </c>
      <c r="S1216" s="8" t="s">
        <v>8117</v>
      </c>
      <c r="T1216" s="8" t="s">
        <v>8118</v>
      </c>
      <c r="U1216" s="8" t="s">
        <v>8119</v>
      </c>
      <c r="V1216" s="8" t="s">
        <v>8120</v>
      </c>
      <c r="W1216" s="8" t="s">
        <v>8121</v>
      </c>
    </row>
    <row r="1217" spans="1:23" ht="28" customHeight="1" x14ac:dyDescent="0.3">
      <c r="A1217" s="308">
        <v>44463</v>
      </c>
      <c r="B1217" s="302">
        <v>1877.5809999999999</v>
      </c>
      <c r="C1217" s="8">
        <v>-13.558999999999999</v>
      </c>
      <c r="D1217" s="268">
        <v>-7.1999999999999998E-3</v>
      </c>
      <c r="E1217" s="8">
        <v>76.790000000000006</v>
      </c>
      <c r="F1217" s="8">
        <v>139.96600000000001</v>
      </c>
      <c r="G1217" s="8">
        <v>120.89</v>
      </c>
      <c r="H1217" s="8">
        <v>98.77</v>
      </c>
      <c r="I1217" s="8">
        <v>173.75</v>
      </c>
      <c r="J1217" s="8">
        <v>69.69</v>
      </c>
      <c r="K1217" s="268">
        <v>0.33779999999999999</v>
      </c>
      <c r="L1217" s="268">
        <v>0.23119999999999999</v>
      </c>
      <c r="M1217" s="268">
        <v>-3.49E-2</v>
      </c>
      <c r="N1217" s="8">
        <v>799.96</v>
      </c>
      <c r="O1217" s="8">
        <v>6182.57</v>
      </c>
      <c r="P1217" s="268">
        <v>0.12939999999999999</v>
      </c>
      <c r="Q1217" s="8">
        <v>373</v>
      </c>
      <c r="R1217" s="8">
        <v>0</v>
      </c>
      <c r="S1217" s="8" t="s">
        <v>3768</v>
      </c>
      <c r="T1217" s="8" t="s">
        <v>7790</v>
      </c>
      <c r="U1217" s="8" t="s">
        <v>8122</v>
      </c>
      <c r="V1217" s="8" t="s">
        <v>8123</v>
      </c>
      <c r="W1217" s="8" t="s">
        <v>8124</v>
      </c>
    </row>
    <row r="1218" spans="1:23" ht="28" customHeight="1" x14ac:dyDescent="0.3">
      <c r="A1218" s="308">
        <v>44462</v>
      </c>
      <c r="B1218" s="302">
        <v>1891.14</v>
      </c>
      <c r="C1218" s="8">
        <v>14.003</v>
      </c>
      <c r="D1218" s="268">
        <v>7.4999999999999997E-3</v>
      </c>
      <c r="E1218" s="8">
        <v>78.13</v>
      </c>
      <c r="F1218" s="8">
        <v>141.345</v>
      </c>
      <c r="G1218" s="8">
        <v>121.38</v>
      </c>
      <c r="H1218" s="8">
        <v>101.14</v>
      </c>
      <c r="I1218" s="8">
        <v>173.67</v>
      </c>
      <c r="J1218" s="8">
        <v>64.930000000000007</v>
      </c>
      <c r="K1218" s="268">
        <v>0.32329999999999998</v>
      </c>
      <c r="L1218" s="268">
        <v>0.21560000000000001</v>
      </c>
      <c r="M1218" s="268">
        <v>-3.6999999999999998E-2</v>
      </c>
      <c r="N1218" s="8">
        <v>776.94</v>
      </c>
      <c r="O1218" s="8">
        <v>6177.37</v>
      </c>
      <c r="P1218" s="268">
        <v>0.1258</v>
      </c>
      <c r="Q1218" s="8">
        <v>373</v>
      </c>
      <c r="R1218" s="8">
        <v>0</v>
      </c>
      <c r="S1218" s="8" t="s">
        <v>8125</v>
      </c>
      <c r="T1218" s="8" t="s">
        <v>7972</v>
      </c>
      <c r="U1218" s="8" t="s">
        <v>8126</v>
      </c>
      <c r="V1218" s="8" t="s">
        <v>8127</v>
      </c>
      <c r="W1218" s="8" t="s">
        <v>8128</v>
      </c>
    </row>
    <row r="1219" spans="1:23" ht="28" customHeight="1" x14ac:dyDescent="0.3">
      <c r="A1219" s="308">
        <v>44461</v>
      </c>
      <c r="B1219" s="302">
        <v>1877.1369999999999</v>
      </c>
      <c r="C1219" s="8">
        <v>7.851</v>
      </c>
      <c r="D1219" s="268">
        <v>4.1999999999999997E-3</v>
      </c>
      <c r="E1219" s="8">
        <v>75.37</v>
      </c>
      <c r="F1219" s="8">
        <v>140.79400000000001</v>
      </c>
      <c r="G1219" s="8">
        <v>120.5</v>
      </c>
      <c r="H1219" s="8">
        <v>99.65</v>
      </c>
      <c r="I1219" s="8">
        <v>173.46</v>
      </c>
      <c r="J1219" s="8">
        <v>61.73</v>
      </c>
      <c r="K1219" s="268">
        <v>0.32669999999999999</v>
      </c>
      <c r="L1219" s="268">
        <v>0.20810000000000001</v>
      </c>
      <c r="M1219" s="268">
        <v>-3.4599999999999999E-2</v>
      </c>
      <c r="N1219" s="8">
        <v>749.88</v>
      </c>
      <c r="O1219" s="8">
        <v>6184.36</v>
      </c>
      <c r="P1219" s="268">
        <v>0.12130000000000001</v>
      </c>
      <c r="Q1219" s="8">
        <v>373</v>
      </c>
      <c r="R1219" s="8">
        <v>0</v>
      </c>
      <c r="S1219" s="8" t="s">
        <v>2853</v>
      </c>
      <c r="T1219" s="8" t="s">
        <v>8129</v>
      </c>
      <c r="U1219" s="8" t="s">
        <v>8130</v>
      </c>
      <c r="V1219" s="8" t="s">
        <v>8131</v>
      </c>
      <c r="W1219" s="8" t="s">
        <v>8132</v>
      </c>
    </row>
    <row r="1220" spans="1:23" ht="28" customHeight="1" x14ac:dyDescent="0.3">
      <c r="A1220" s="308">
        <v>44456</v>
      </c>
      <c r="B1220" s="302">
        <v>1869.2860000000001</v>
      </c>
      <c r="C1220" s="8">
        <v>-9.9410000000000007</v>
      </c>
      <c r="D1220" s="268">
        <v>-5.3E-3</v>
      </c>
      <c r="E1220" s="8">
        <v>75.709999999999994</v>
      </c>
      <c r="F1220" s="8">
        <v>140.30699999999999</v>
      </c>
      <c r="G1220" s="8">
        <v>120.05</v>
      </c>
      <c r="H1220" s="8">
        <v>100</v>
      </c>
      <c r="I1220" s="8">
        <v>172.76</v>
      </c>
      <c r="J1220" s="8">
        <v>63.55</v>
      </c>
      <c r="K1220" s="268">
        <v>0.32450000000000001</v>
      </c>
      <c r="L1220" s="268">
        <v>0.21340000000000001</v>
      </c>
      <c r="M1220" s="268">
        <v>-3.39E-2</v>
      </c>
      <c r="N1220" s="8">
        <v>1003.78</v>
      </c>
      <c r="O1220" s="8">
        <v>6187.97</v>
      </c>
      <c r="P1220" s="268">
        <v>0.16220000000000001</v>
      </c>
      <c r="Q1220" s="8">
        <v>373</v>
      </c>
      <c r="R1220" s="8" t="s">
        <v>8133</v>
      </c>
      <c r="S1220" s="8" t="s">
        <v>8134</v>
      </c>
      <c r="T1220" s="8" t="s">
        <v>8135</v>
      </c>
      <c r="U1220" s="8" t="s">
        <v>8136</v>
      </c>
      <c r="V1220" s="8" t="s">
        <v>8137</v>
      </c>
      <c r="W1220" s="8" t="s">
        <v>8138</v>
      </c>
    </row>
    <row r="1221" spans="1:23" ht="28" customHeight="1" x14ac:dyDescent="0.3">
      <c r="A1221" s="308">
        <v>44455</v>
      </c>
      <c r="B1221" s="302">
        <v>1879.2270000000001</v>
      </c>
      <c r="C1221" s="8">
        <v>-38.018999999999998</v>
      </c>
      <c r="D1221" s="268">
        <v>-1.9800000000000002E-2</v>
      </c>
      <c r="E1221" s="8">
        <v>78.22</v>
      </c>
      <c r="F1221" s="8">
        <v>141.298</v>
      </c>
      <c r="G1221" s="8">
        <v>120.47</v>
      </c>
      <c r="H1221" s="8">
        <v>99.86</v>
      </c>
      <c r="I1221" s="8">
        <v>174.22</v>
      </c>
      <c r="J1221" s="8">
        <v>65.2</v>
      </c>
      <c r="K1221" s="268">
        <v>0.32919999999999999</v>
      </c>
      <c r="L1221" s="268">
        <v>0.2218</v>
      </c>
      <c r="M1221" s="268">
        <v>-3.5499999999999997E-2</v>
      </c>
      <c r="N1221" s="8">
        <v>908.7</v>
      </c>
      <c r="O1221" s="8">
        <v>6182.37</v>
      </c>
      <c r="P1221" s="268">
        <v>0.14699999999999999</v>
      </c>
      <c r="Q1221" s="8">
        <v>372</v>
      </c>
      <c r="R1221" s="8">
        <v>0</v>
      </c>
      <c r="S1221" s="8" t="s">
        <v>8139</v>
      </c>
      <c r="T1221" s="8" t="s">
        <v>8140</v>
      </c>
      <c r="U1221" s="8" t="s">
        <v>8141</v>
      </c>
      <c r="V1221" s="8" t="s">
        <v>8142</v>
      </c>
      <c r="W1221" s="8" t="s">
        <v>8143</v>
      </c>
    </row>
    <row r="1222" spans="1:23" ht="28" customHeight="1" x14ac:dyDescent="0.3">
      <c r="A1222" s="308">
        <v>44454</v>
      </c>
      <c r="B1222" s="302">
        <v>1917.2460000000001</v>
      </c>
      <c r="C1222" s="8">
        <v>1.2070000000000001</v>
      </c>
      <c r="D1222" s="268">
        <v>5.9999999999999995E-4</v>
      </c>
      <c r="E1222" s="8">
        <v>83.84</v>
      </c>
      <c r="F1222" s="8">
        <v>144.935</v>
      </c>
      <c r="G1222" s="8">
        <v>121.99299999999999</v>
      </c>
      <c r="H1222" s="8">
        <v>102.14</v>
      </c>
      <c r="I1222" s="8">
        <v>178.22</v>
      </c>
      <c r="J1222" s="8">
        <v>66.05</v>
      </c>
      <c r="K1222" s="268">
        <v>0.33289999999999997</v>
      </c>
      <c r="L1222" s="268">
        <v>0.22500000000000001</v>
      </c>
      <c r="M1222" s="268">
        <v>-4.0500000000000001E-2</v>
      </c>
      <c r="N1222" s="8">
        <v>1075.97</v>
      </c>
      <c r="O1222" s="8">
        <v>6187.58</v>
      </c>
      <c r="P1222" s="268">
        <v>0.1739</v>
      </c>
      <c r="Q1222" s="8">
        <v>372</v>
      </c>
      <c r="R1222" s="8">
        <v>0</v>
      </c>
      <c r="S1222" s="8" t="s">
        <v>7454</v>
      </c>
      <c r="T1222" s="8" t="s">
        <v>8144</v>
      </c>
      <c r="U1222" s="8" t="s">
        <v>8145</v>
      </c>
      <c r="V1222" s="8" t="s">
        <v>8146</v>
      </c>
      <c r="W1222" s="8" t="s">
        <v>8147</v>
      </c>
    </row>
    <row r="1223" spans="1:23" ht="28" customHeight="1" x14ac:dyDescent="0.3">
      <c r="A1223" s="308">
        <v>44453</v>
      </c>
      <c r="B1223" s="302">
        <v>1916.039</v>
      </c>
      <c r="C1223" s="8">
        <v>-11.721</v>
      </c>
      <c r="D1223" s="268">
        <v>-6.1000000000000004E-3</v>
      </c>
      <c r="E1223" s="8">
        <v>83.72</v>
      </c>
      <c r="F1223" s="8">
        <v>144.87100000000001</v>
      </c>
      <c r="G1223" s="8">
        <v>122.65</v>
      </c>
      <c r="H1223" s="8">
        <v>101.83</v>
      </c>
      <c r="I1223" s="8">
        <v>179.23</v>
      </c>
      <c r="J1223" s="8">
        <v>71.37</v>
      </c>
      <c r="K1223" s="268">
        <v>0.34350000000000003</v>
      </c>
      <c r="L1223" s="268">
        <v>0.23449999999999999</v>
      </c>
      <c r="M1223" s="268">
        <v>-4.0800000000000003E-2</v>
      </c>
      <c r="N1223" s="8">
        <v>1055.5999999999999</v>
      </c>
      <c r="O1223" s="8">
        <v>6191.06</v>
      </c>
      <c r="P1223" s="268">
        <v>0.17050000000000001</v>
      </c>
      <c r="Q1223" s="8">
        <v>373</v>
      </c>
      <c r="R1223" s="8">
        <v>0</v>
      </c>
      <c r="S1223" s="8" t="s">
        <v>8148</v>
      </c>
      <c r="T1223" s="8" t="s">
        <v>8149</v>
      </c>
      <c r="U1223" s="8" t="s">
        <v>8150</v>
      </c>
      <c r="V1223" s="8" t="s">
        <v>8151</v>
      </c>
      <c r="W1223" s="8" t="s">
        <v>8152</v>
      </c>
    </row>
    <row r="1224" spans="1:23" ht="28" customHeight="1" x14ac:dyDescent="0.3">
      <c r="A1224" s="308">
        <v>44452</v>
      </c>
      <c r="B1224" s="302">
        <v>1927.76</v>
      </c>
      <c r="C1224" s="8">
        <v>7.9859999999999998</v>
      </c>
      <c r="D1224" s="268">
        <v>4.1999999999999997E-3</v>
      </c>
      <c r="E1224" s="8">
        <v>87.72</v>
      </c>
      <c r="F1224" s="8">
        <v>145.17099999999999</v>
      </c>
      <c r="G1224" s="8">
        <v>123.8</v>
      </c>
      <c r="H1224" s="8">
        <v>103.14</v>
      </c>
      <c r="I1224" s="8">
        <v>178.67</v>
      </c>
      <c r="J1224" s="8">
        <v>67.099999999999994</v>
      </c>
      <c r="K1224" s="268">
        <v>0.33500000000000002</v>
      </c>
      <c r="L1224" s="268">
        <v>0.22239999999999999</v>
      </c>
      <c r="M1224" s="268">
        <v>-4.2999999999999997E-2</v>
      </c>
      <c r="N1224" s="8">
        <v>937.18</v>
      </c>
      <c r="O1224" s="8">
        <v>6194.48</v>
      </c>
      <c r="P1224" s="268">
        <v>0.15129999999999999</v>
      </c>
      <c r="Q1224" s="8">
        <v>373</v>
      </c>
      <c r="R1224" s="8">
        <v>0</v>
      </c>
      <c r="S1224" s="8" t="s">
        <v>8153</v>
      </c>
      <c r="T1224" s="8" t="s">
        <v>8154</v>
      </c>
      <c r="U1224" s="8" t="s">
        <v>8155</v>
      </c>
      <c r="V1224" s="8" t="s">
        <v>8016</v>
      </c>
      <c r="W1224" s="8" t="s">
        <v>8156</v>
      </c>
    </row>
    <row r="1225" spans="1:23" ht="28" customHeight="1" x14ac:dyDescent="0.3">
      <c r="A1225" s="308">
        <v>44449</v>
      </c>
      <c r="B1225" s="302">
        <v>1919.7739999999999</v>
      </c>
      <c r="C1225" s="8">
        <v>-5.7960000000000003</v>
      </c>
      <c r="D1225" s="268">
        <v>-3.0000000000000001E-3</v>
      </c>
      <c r="E1225" s="8">
        <v>88.46</v>
      </c>
      <c r="F1225" s="8">
        <v>144.49600000000001</v>
      </c>
      <c r="G1225" s="8">
        <v>123.29600000000001</v>
      </c>
      <c r="H1225" s="8">
        <v>102.61</v>
      </c>
      <c r="I1225" s="8">
        <v>178.37</v>
      </c>
      <c r="J1225" s="8">
        <v>70.38</v>
      </c>
      <c r="K1225" s="268">
        <v>0.3387</v>
      </c>
      <c r="L1225" s="268">
        <v>0.22700000000000001</v>
      </c>
      <c r="M1225" s="268">
        <v>-4.1700000000000001E-2</v>
      </c>
      <c r="N1225" s="8">
        <v>964.75</v>
      </c>
      <c r="O1225" s="8">
        <v>6100.59</v>
      </c>
      <c r="P1225" s="268">
        <v>0.15809999999999999</v>
      </c>
      <c r="Q1225" s="8">
        <v>372</v>
      </c>
      <c r="R1225" s="8">
        <v>0</v>
      </c>
      <c r="S1225" s="8" t="s">
        <v>8157</v>
      </c>
      <c r="T1225" s="8" t="s">
        <v>8158</v>
      </c>
      <c r="U1225" s="8" t="s">
        <v>8159</v>
      </c>
      <c r="V1225" s="8" t="s">
        <v>8160</v>
      </c>
      <c r="W1225" s="8" t="s">
        <v>6162</v>
      </c>
    </row>
    <row r="1226" spans="1:23" ht="28" customHeight="1" x14ac:dyDescent="0.3">
      <c r="A1226" s="308">
        <v>44448</v>
      </c>
      <c r="B1226" s="302">
        <v>1925.57</v>
      </c>
      <c r="C1226" s="8">
        <v>-1.831</v>
      </c>
      <c r="D1226" s="268">
        <v>-1E-3</v>
      </c>
      <c r="E1226" s="8">
        <v>89.59</v>
      </c>
      <c r="F1226" s="8">
        <v>144.81</v>
      </c>
      <c r="G1226" s="8">
        <v>124.20099999999999</v>
      </c>
      <c r="H1226" s="8">
        <v>102.42</v>
      </c>
      <c r="I1226" s="8">
        <v>178.43</v>
      </c>
      <c r="J1226" s="8">
        <v>69.17</v>
      </c>
      <c r="K1226" s="268">
        <v>0.3362</v>
      </c>
      <c r="L1226" s="268">
        <v>0.2306</v>
      </c>
      <c r="M1226" s="268">
        <v>-4.2700000000000002E-2</v>
      </c>
      <c r="N1226" s="8">
        <v>797.68</v>
      </c>
      <c r="O1226" s="8">
        <v>6104.91</v>
      </c>
      <c r="P1226" s="268">
        <v>0.13070000000000001</v>
      </c>
      <c r="Q1226" s="8">
        <v>373</v>
      </c>
      <c r="R1226" s="8">
        <v>0</v>
      </c>
      <c r="S1226" s="8" t="s">
        <v>8161</v>
      </c>
      <c r="T1226" s="8" t="s">
        <v>8162</v>
      </c>
      <c r="U1226" s="8" t="s">
        <v>8163</v>
      </c>
      <c r="V1226" s="8" t="s">
        <v>8164</v>
      </c>
      <c r="W1226" s="8" t="s">
        <v>8165</v>
      </c>
    </row>
    <row r="1227" spans="1:23" ht="28" customHeight="1" x14ac:dyDescent="0.3">
      <c r="A1227" s="308">
        <v>44447</v>
      </c>
      <c r="B1227" s="302">
        <v>1927.4010000000001</v>
      </c>
      <c r="C1227" s="8">
        <v>8.0419999999999998</v>
      </c>
      <c r="D1227" s="268">
        <v>4.1999999999999997E-3</v>
      </c>
      <c r="E1227" s="8">
        <v>90.91</v>
      </c>
      <c r="F1227" s="8">
        <v>145.398</v>
      </c>
      <c r="G1227" s="8">
        <v>124.27</v>
      </c>
      <c r="H1227" s="8">
        <v>102.53</v>
      </c>
      <c r="I1227" s="8">
        <v>178.79</v>
      </c>
      <c r="J1227" s="8">
        <v>68.95</v>
      </c>
      <c r="K1227" s="268">
        <v>0.33389999999999997</v>
      </c>
      <c r="L1227" s="268">
        <v>0.23319999999999999</v>
      </c>
      <c r="M1227" s="268">
        <v>-4.3099999999999999E-2</v>
      </c>
      <c r="N1227" s="8">
        <v>847.41</v>
      </c>
      <c r="O1227" s="8">
        <v>6100.4</v>
      </c>
      <c r="P1227" s="268">
        <v>0.1389</v>
      </c>
      <c r="Q1227" s="8">
        <v>373</v>
      </c>
      <c r="R1227" s="8">
        <v>0</v>
      </c>
      <c r="S1227" s="8" t="s">
        <v>8166</v>
      </c>
      <c r="T1227" s="8" t="s">
        <v>8167</v>
      </c>
      <c r="U1227" s="8" t="s">
        <v>3878</v>
      </c>
      <c r="V1227" s="8" t="s">
        <v>8168</v>
      </c>
      <c r="W1227" s="8" t="s">
        <v>8169</v>
      </c>
    </row>
    <row r="1228" spans="1:23" ht="28" customHeight="1" x14ac:dyDescent="0.3">
      <c r="A1228" s="308">
        <v>44446</v>
      </c>
      <c r="B1228" s="302">
        <v>1919.3589999999999</v>
      </c>
      <c r="C1228" s="8">
        <v>22.122</v>
      </c>
      <c r="D1228" s="268">
        <v>1.17E-2</v>
      </c>
      <c r="E1228" s="8">
        <v>91.34</v>
      </c>
      <c r="F1228" s="8">
        <v>145.096</v>
      </c>
      <c r="G1228" s="8">
        <v>123.99</v>
      </c>
      <c r="H1228" s="8">
        <v>101.68</v>
      </c>
      <c r="I1228" s="8">
        <v>178.78</v>
      </c>
      <c r="J1228" s="8">
        <v>68.36</v>
      </c>
      <c r="K1228" s="268">
        <v>0.33679999999999999</v>
      </c>
      <c r="L1228" s="268">
        <v>0.2301</v>
      </c>
      <c r="M1228" s="268">
        <v>-4.2299999999999997E-2</v>
      </c>
      <c r="N1228" s="8">
        <v>841.44</v>
      </c>
      <c r="O1228" s="8">
        <v>6103.6</v>
      </c>
      <c r="P1228" s="268">
        <v>0.13789999999999999</v>
      </c>
      <c r="Q1228" s="8">
        <v>373</v>
      </c>
      <c r="R1228" s="8">
        <v>0</v>
      </c>
      <c r="S1228" s="8" t="s">
        <v>8170</v>
      </c>
      <c r="T1228" s="8" t="s">
        <v>8171</v>
      </c>
      <c r="U1228" s="8" t="s">
        <v>8172</v>
      </c>
      <c r="V1228" s="8" t="s">
        <v>8173</v>
      </c>
      <c r="W1228" s="8" t="s">
        <v>8174</v>
      </c>
    </row>
    <row r="1229" spans="1:23" ht="28" customHeight="1" x14ac:dyDescent="0.3">
      <c r="A1229" s="308">
        <v>44445</v>
      </c>
      <c r="B1229" s="302">
        <v>1897.2370000000001</v>
      </c>
      <c r="C1229" s="8">
        <v>13.375</v>
      </c>
      <c r="D1229" s="268">
        <v>7.1000000000000004E-3</v>
      </c>
      <c r="E1229" s="8">
        <v>89.45</v>
      </c>
      <c r="F1229" s="8">
        <v>143.47800000000001</v>
      </c>
      <c r="G1229" s="8">
        <v>122.79</v>
      </c>
      <c r="H1229" s="8">
        <v>100.83</v>
      </c>
      <c r="I1229" s="8">
        <v>177.38</v>
      </c>
      <c r="J1229" s="8">
        <v>68.09</v>
      </c>
      <c r="K1229" s="268">
        <v>0.33900000000000002</v>
      </c>
      <c r="L1229" s="268">
        <v>0.2316</v>
      </c>
      <c r="M1229" s="268">
        <v>-3.9800000000000002E-2</v>
      </c>
      <c r="N1229" s="8">
        <v>758.5</v>
      </c>
      <c r="O1229" s="8">
        <v>6109.16</v>
      </c>
      <c r="P1229" s="268">
        <v>0.1242</v>
      </c>
      <c r="Q1229" s="8">
        <v>374</v>
      </c>
      <c r="R1229" s="8">
        <v>0</v>
      </c>
      <c r="S1229" s="8" t="s">
        <v>2358</v>
      </c>
      <c r="T1229" s="8" t="s">
        <v>8175</v>
      </c>
      <c r="U1229" s="8" t="s">
        <v>8176</v>
      </c>
      <c r="V1229" s="8" t="s">
        <v>8177</v>
      </c>
      <c r="W1229" s="8" t="s">
        <v>8178</v>
      </c>
    </row>
    <row r="1230" spans="1:23" ht="28" customHeight="1" x14ac:dyDescent="0.3">
      <c r="A1230" s="308">
        <v>44442</v>
      </c>
      <c r="B1230" s="302">
        <v>1883.8620000000001</v>
      </c>
      <c r="C1230" s="8">
        <v>-0.81</v>
      </c>
      <c r="D1230" s="268">
        <v>-4.0000000000000002E-4</v>
      </c>
      <c r="E1230" s="8">
        <v>88.19</v>
      </c>
      <c r="F1230" s="8">
        <v>142.48699999999999</v>
      </c>
      <c r="G1230" s="8">
        <v>121.997</v>
      </c>
      <c r="H1230" s="8">
        <v>99.15</v>
      </c>
      <c r="I1230" s="8">
        <v>177.17</v>
      </c>
      <c r="J1230" s="8">
        <v>73.22</v>
      </c>
      <c r="K1230" s="268">
        <v>0.34689999999999999</v>
      </c>
      <c r="L1230" s="268">
        <v>0.24</v>
      </c>
      <c r="M1230" s="268">
        <v>-3.78E-2</v>
      </c>
      <c r="N1230" s="8">
        <v>890.55</v>
      </c>
      <c r="O1230" s="8">
        <v>6112.32</v>
      </c>
      <c r="P1230" s="268">
        <v>0.1457</v>
      </c>
      <c r="Q1230" s="8">
        <v>374</v>
      </c>
      <c r="R1230" s="8">
        <v>0</v>
      </c>
      <c r="S1230" s="8" t="s">
        <v>8179</v>
      </c>
      <c r="T1230" s="8" t="s">
        <v>8180</v>
      </c>
      <c r="U1230" s="8" t="s">
        <v>8181</v>
      </c>
      <c r="V1230" s="8" t="s">
        <v>8182</v>
      </c>
      <c r="W1230" s="8" t="s">
        <v>8183</v>
      </c>
    </row>
    <row r="1231" spans="1:23" ht="28" customHeight="1" x14ac:dyDescent="0.3">
      <c r="A1231" s="308">
        <v>44441</v>
      </c>
      <c r="B1231" s="302">
        <v>1884.672</v>
      </c>
      <c r="C1231" s="8">
        <v>27.56</v>
      </c>
      <c r="D1231" s="268">
        <v>1.4800000000000001E-2</v>
      </c>
      <c r="E1231" s="8">
        <v>88.25</v>
      </c>
      <c r="F1231" s="8">
        <v>142.9</v>
      </c>
      <c r="G1231" s="8">
        <v>121.31</v>
      </c>
      <c r="H1231" s="8">
        <v>99.37</v>
      </c>
      <c r="I1231" s="8">
        <v>178.02</v>
      </c>
      <c r="J1231" s="8">
        <v>73.989999999999995</v>
      </c>
      <c r="K1231" s="268">
        <v>0.35120000000000001</v>
      </c>
      <c r="L1231" s="268">
        <v>0.2369</v>
      </c>
      <c r="M1231" s="268">
        <v>-3.8300000000000001E-2</v>
      </c>
      <c r="N1231" s="8">
        <v>875.62</v>
      </c>
      <c r="O1231" s="8">
        <v>6115.25</v>
      </c>
      <c r="P1231" s="268">
        <v>0.14319999999999999</v>
      </c>
      <c r="Q1231" s="8">
        <v>375</v>
      </c>
      <c r="R1231" s="8" t="s">
        <v>8184</v>
      </c>
      <c r="S1231" s="8" t="s">
        <v>8185</v>
      </c>
      <c r="T1231" s="8" t="s">
        <v>7499</v>
      </c>
      <c r="U1231" s="8" t="s">
        <v>8186</v>
      </c>
      <c r="V1231" s="8" t="s">
        <v>8187</v>
      </c>
      <c r="W1231" s="8" t="s">
        <v>8188</v>
      </c>
    </row>
    <row r="1232" spans="1:23" ht="28" customHeight="1" x14ac:dyDescent="0.3">
      <c r="A1232" s="308">
        <v>44440</v>
      </c>
      <c r="B1232" s="302">
        <v>1857.1120000000001</v>
      </c>
      <c r="C1232" s="8">
        <v>-6.3540000000000001</v>
      </c>
      <c r="D1232" s="268">
        <v>-3.3999999999999998E-3</v>
      </c>
      <c r="E1232" s="8">
        <v>84.56</v>
      </c>
      <c r="F1232" s="8">
        <v>140.56899999999999</v>
      </c>
      <c r="G1232" s="8">
        <v>120.3</v>
      </c>
      <c r="H1232" s="8">
        <v>98</v>
      </c>
      <c r="I1232" s="8">
        <v>175.5</v>
      </c>
      <c r="J1232" s="8">
        <v>75.709999999999994</v>
      </c>
      <c r="K1232" s="268">
        <v>0.3493</v>
      </c>
      <c r="L1232" s="268">
        <v>0.23930000000000001</v>
      </c>
      <c r="M1232" s="268">
        <v>-3.4500000000000003E-2</v>
      </c>
      <c r="N1232" s="8">
        <v>736.07</v>
      </c>
      <c r="O1232" s="8">
        <v>6059.92</v>
      </c>
      <c r="P1232" s="268">
        <v>0.1215</v>
      </c>
      <c r="Q1232" s="8">
        <v>373</v>
      </c>
      <c r="R1232" s="8" t="s">
        <v>8189</v>
      </c>
      <c r="S1232" s="8" t="s">
        <v>8190</v>
      </c>
      <c r="T1232" s="8" t="s">
        <v>8191</v>
      </c>
      <c r="U1232" s="8" t="s">
        <v>8192</v>
      </c>
      <c r="V1232" s="8" t="s">
        <v>8193</v>
      </c>
      <c r="W1232" s="8" t="s">
        <v>7064</v>
      </c>
    </row>
    <row r="1233" spans="1:23" ht="28" customHeight="1" x14ac:dyDescent="0.3">
      <c r="A1233" s="308">
        <v>44439</v>
      </c>
      <c r="B1233" s="302">
        <v>1863.4659999999999</v>
      </c>
      <c r="C1233" s="8">
        <v>-1.6970000000000001</v>
      </c>
      <c r="D1233" s="268">
        <v>-8.9999999999999998E-4</v>
      </c>
      <c r="E1233" s="8">
        <v>84.41</v>
      </c>
      <c r="F1233" s="8">
        <v>141.56700000000001</v>
      </c>
      <c r="G1233" s="8">
        <v>120.131</v>
      </c>
      <c r="H1233" s="8">
        <v>97.64</v>
      </c>
      <c r="I1233" s="8">
        <v>176.39</v>
      </c>
      <c r="J1233" s="8">
        <v>71.53</v>
      </c>
      <c r="K1233" s="268">
        <v>0.34820000000000001</v>
      </c>
      <c r="L1233" s="268">
        <v>0.2298</v>
      </c>
      <c r="M1233" s="268">
        <v>-3.5200000000000002E-2</v>
      </c>
      <c r="N1233" s="8">
        <v>757.02</v>
      </c>
      <c r="O1233" s="8">
        <v>6064.51</v>
      </c>
      <c r="P1233" s="268">
        <v>0.12479999999999999</v>
      </c>
      <c r="Q1233" s="8">
        <v>374</v>
      </c>
      <c r="R1233" s="8" t="s">
        <v>8194</v>
      </c>
      <c r="S1233" s="8" t="s">
        <v>8195</v>
      </c>
      <c r="T1233" s="8" t="s">
        <v>7955</v>
      </c>
      <c r="U1233" s="8" t="s">
        <v>8196</v>
      </c>
      <c r="V1233" s="8" t="s">
        <v>8197</v>
      </c>
      <c r="W1233" s="8" t="s">
        <v>8198</v>
      </c>
    </row>
    <row r="1234" spans="1:23" ht="28" customHeight="1" x14ac:dyDescent="0.3">
      <c r="A1234" s="308">
        <v>44438</v>
      </c>
      <c r="B1234" s="302">
        <v>1865.163</v>
      </c>
      <c r="C1234" s="8">
        <v>13.773999999999999</v>
      </c>
      <c r="D1234" s="268">
        <v>7.4000000000000003E-3</v>
      </c>
      <c r="E1234" s="8">
        <v>84.66</v>
      </c>
      <c r="F1234" s="8">
        <v>141.79599999999999</v>
      </c>
      <c r="G1234" s="8">
        <v>119.9</v>
      </c>
      <c r="H1234" s="8">
        <v>96.82</v>
      </c>
      <c r="I1234" s="8">
        <v>176.68</v>
      </c>
      <c r="J1234" s="8">
        <v>72.650000000000006</v>
      </c>
      <c r="K1234" s="268">
        <v>0.3488</v>
      </c>
      <c r="L1234" s="268">
        <v>0.2341</v>
      </c>
      <c r="M1234" s="268">
        <v>-3.5099999999999999E-2</v>
      </c>
      <c r="N1234" s="8">
        <v>754.94</v>
      </c>
      <c r="O1234" s="8">
        <v>6068.14</v>
      </c>
      <c r="P1234" s="268">
        <v>0.1244</v>
      </c>
      <c r="Q1234" s="8">
        <v>375</v>
      </c>
      <c r="R1234" s="8" t="s">
        <v>8199</v>
      </c>
      <c r="S1234" s="8" t="s">
        <v>3096</v>
      </c>
      <c r="T1234" s="8" t="s">
        <v>8200</v>
      </c>
      <c r="U1234" s="8" t="s">
        <v>8201</v>
      </c>
      <c r="V1234" s="8" t="s">
        <v>8202</v>
      </c>
      <c r="W1234" s="8" t="s">
        <v>8203</v>
      </c>
    </row>
    <row r="1235" spans="1:23" ht="28" customHeight="1" x14ac:dyDescent="0.3">
      <c r="A1235" s="308">
        <v>44435</v>
      </c>
      <c r="B1235" s="302">
        <v>1851.3889999999999</v>
      </c>
      <c r="C1235" s="8">
        <v>3.64</v>
      </c>
      <c r="D1235" s="268">
        <v>2E-3</v>
      </c>
      <c r="E1235" s="8">
        <v>82.73</v>
      </c>
      <c r="F1235" s="8">
        <v>140.547</v>
      </c>
      <c r="G1235" s="8">
        <v>119.18</v>
      </c>
      <c r="H1235" s="8">
        <v>97.4</v>
      </c>
      <c r="I1235" s="8">
        <v>174.87</v>
      </c>
      <c r="J1235" s="8">
        <v>70.77</v>
      </c>
      <c r="K1235" s="268">
        <v>0.34329999999999999</v>
      </c>
      <c r="L1235" s="268">
        <v>0.23</v>
      </c>
      <c r="M1235" s="268">
        <v>-3.3099999999999997E-2</v>
      </c>
      <c r="N1235" s="8">
        <v>743.63</v>
      </c>
      <c r="O1235" s="8">
        <v>6062.77</v>
      </c>
      <c r="P1235" s="268">
        <v>0.1227</v>
      </c>
      <c r="Q1235" s="8">
        <v>374</v>
      </c>
      <c r="R1235" s="8" t="s">
        <v>5429</v>
      </c>
      <c r="S1235" s="8" t="s">
        <v>3181</v>
      </c>
      <c r="T1235" s="8" t="s">
        <v>8204</v>
      </c>
      <c r="U1235" s="8" t="s">
        <v>8205</v>
      </c>
      <c r="V1235" s="8" t="s">
        <v>8206</v>
      </c>
      <c r="W1235" s="8" t="s">
        <v>8207</v>
      </c>
    </row>
    <row r="1236" spans="1:23" ht="28" customHeight="1" x14ac:dyDescent="0.3">
      <c r="A1236" s="308">
        <v>44434</v>
      </c>
      <c r="B1236" s="302">
        <v>1847.749</v>
      </c>
      <c r="C1236" s="8">
        <v>-1.405</v>
      </c>
      <c r="D1236" s="268">
        <v>-8.0000000000000004E-4</v>
      </c>
      <c r="E1236" s="8">
        <v>84.29</v>
      </c>
      <c r="F1236" s="8">
        <v>140.185</v>
      </c>
      <c r="G1236" s="8">
        <v>120.05</v>
      </c>
      <c r="H1236" s="8">
        <v>98.06</v>
      </c>
      <c r="I1236" s="8">
        <v>174.26</v>
      </c>
      <c r="J1236" s="8">
        <v>69.75</v>
      </c>
      <c r="K1236" s="268">
        <v>0.34079999999999999</v>
      </c>
      <c r="L1236" s="268">
        <v>0.2422</v>
      </c>
      <c r="M1236" s="268">
        <v>-3.2500000000000001E-2</v>
      </c>
      <c r="N1236" s="8">
        <v>686</v>
      </c>
      <c r="O1236" s="8">
        <v>6065.58</v>
      </c>
      <c r="P1236" s="268">
        <v>0.11310000000000001</v>
      </c>
      <c r="Q1236" s="8">
        <v>374</v>
      </c>
      <c r="R1236" s="8" t="s">
        <v>8208</v>
      </c>
      <c r="S1236" s="8" t="s">
        <v>5833</v>
      </c>
      <c r="T1236" s="8" t="s">
        <v>8209</v>
      </c>
      <c r="U1236" s="8" t="s">
        <v>8210</v>
      </c>
      <c r="V1236" s="8" t="s">
        <v>3881</v>
      </c>
      <c r="W1236" s="8" t="s">
        <v>7180</v>
      </c>
    </row>
    <row r="1237" spans="1:23" ht="28" customHeight="1" x14ac:dyDescent="0.3">
      <c r="A1237" s="308">
        <v>44433</v>
      </c>
      <c r="B1237" s="302">
        <v>1849.154</v>
      </c>
      <c r="C1237" s="8">
        <v>13.802</v>
      </c>
      <c r="D1237" s="268">
        <v>7.4999999999999997E-3</v>
      </c>
      <c r="E1237" s="8">
        <v>84.22</v>
      </c>
      <c r="F1237" s="8">
        <v>140.429</v>
      </c>
      <c r="G1237" s="8">
        <v>120.39700000000001</v>
      </c>
      <c r="H1237" s="8">
        <v>97.22</v>
      </c>
      <c r="I1237" s="8">
        <v>173.76</v>
      </c>
      <c r="J1237" s="8">
        <v>68.84</v>
      </c>
      <c r="K1237" s="268">
        <v>0.33329999999999999</v>
      </c>
      <c r="L1237" s="268">
        <v>0.23730000000000001</v>
      </c>
      <c r="M1237" s="268">
        <v>-3.27E-2</v>
      </c>
      <c r="N1237" s="8">
        <v>724.77</v>
      </c>
      <c r="O1237" s="8">
        <v>6067.74</v>
      </c>
      <c r="P1237" s="268">
        <v>0.11940000000000001</v>
      </c>
      <c r="Q1237" s="8">
        <v>374</v>
      </c>
      <c r="R1237" s="8" t="s">
        <v>3448</v>
      </c>
      <c r="S1237" s="8" t="s">
        <v>2565</v>
      </c>
      <c r="T1237" s="8" t="s">
        <v>8211</v>
      </c>
      <c r="U1237" s="8" t="s">
        <v>8212</v>
      </c>
      <c r="V1237" s="8" t="s">
        <v>5479</v>
      </c>
      <c r="W1237" s="8" t="s">
        <v>8213</v>
      </c>
    </row>
    <row r="1238" spans="1:23" ht="28" customHeight="1" x14ac:dyDescent="0.3">
      <c r="A1238" s="308">
        <v>44432</v>
      </c>
      <c r="B1238" s="302">
        <v>1835.3520000000001</v>
      </c>
      <c r="C1238" s="8">
        <v>12.849</v>
      </c>
      <c r="D1238" s="268">
        <v>7.0000000000000001E-3</v>
      </c>
      <c r="E1238" s="8">
        <v>82.47</v>
      </c>
      <c r="F1238" s="8">
        <v>139.251</v>
      </c>
      <c r="G1238" s="8">
        <v>119.67400000000001</v>
      </c>
      <c r="H1238" s="8">
        <v>96.83</v>
      </c>
      <c r="I1238" s="8">
        <v>172.51</v>
      </c>
      <c r="J1238" s="8">
        <v>68.180000000000007</v>
      </c>
      <c r="K1238" s="268">
        <v>0.33260000000000001</v>
      </c>
      <c r="L1238" s="268">
        <v>0.2258</v>
      </c>
      <c r="M1238" s="268">
        <v>-3.2000000000000001E-2</v>
      </c>
      <c r="N1238" s="8">
        <v>707.3</v>
      </c>
      <c r="O1238" s="8">
        <v>6063.7</v>
      </c>
      <c r="P1238" s="268">
        <v>0.1166</v>
      </c>
      <c r="Q1238" s="8">
        <v>374</v>
      </c>
      <c r="R1238" s="8" t="s">
        <v>5915</v>
      </c>
      <c r="S1238" s="8" t="s">
        <v>8214</v>
      </c>
      <c r="T1238" s="8" t="s">
        <v>8215</v>
      </c>
      <c r="U1238" s="8" t="s">
        <v>8216</v>
      </c>
      <c r="V1238" s="8" t="s">
        <v>8217</v>
      </c>
      <c r="W1238" s="8" t="s">
        <v>8218</v>
      </c>
    </row>
    <row r="1239" spans="1:23" ht="28" customHeight="1" x14ac:dyDescent="0.3">
      <c r="A1239" s="308">
        <v>44431</v>
      </c>
      <c r="B1239" s="302">
        <v>1822.5029999999999</v>
      </c>
      <c r="C1239" s="8">
        <v>27.516999999999999</v>
      </c>
      <c r="D1239" s="268">
        <v>1.5299999999999999E-2</v>
      </c>
      <c r="E1239" s="8">
        <v>81.42</v>
      </c>
      <c r="F1239" s="8">
        <v>138.196</v>
      </c>
      <c r="G1239" s="8">
        <v>118.83</v>
      </c>
      <c r="H1239" s="8">
        <v>95.69</v>
      </c>
      <c r="I1239" s="8">
        <v>171.42</v>
      </c>
      <c r="J1239" s="8">
        <v>65.760000000000005</v>
      </c>
      <c r="K1239" s="268">
        <v>0.33229999999999998</v>
      </c>
      <c r="L1239" s="268">
        <v>0.23499999999999999</v>
      </c>
      <c r="M1239" s="268">
        <v>-3.0300000000000001E-2</v>
      </c>
      <c r="N1239" s="8">
        <v>748.83</v>
      </c>
      <c r="O1239" s="8">
        <v>6057.89</v>
      </c>
      <c r="P1239" s="268">
        <v>0.1236</v>
      </c>
      <c r="Q1239" s="8">
        <v>373</v>
      </c>
      <c r="R1239" s="8" t="s">
        <v>5435</v>
      </c>
      <c r="S1239" s="8" t="s">
        <v>2653</v>
      </c>
      <c r="T1239" s="8" t="s">
        <v>8219</v>
      </c>
      <c r="U1239" s="8" t="s">
        <v>8220</v>
      </c>
      <c r="V1239" s="8" t="s">
        <v>8221</v>
      </c>
      <c r="W1239" s="8" t="s">
        <v>8222</v>
      </c>
    </row>
    <row r="1240" spans="1:23" ht="28" customHeight="1" x14ac:dyDescent="0.3">
      <c r="A1240" s="308">
        <v>44428</v>
      </c>
      <c r="B1240" s="302">
        <v>1794.9860000000001</v>
      </c>
      <c r="C1240" s="8">
        <v>-5.835</v>
      </c>
      <c r="D1240" s="268">
        <v>-3.2000000000000002E-3</v>
      </c>
      <c r="E1240" s="8">
        <v>76.319999999999993</v>
      </c>
      <c r="F1240" s="8">
        <v>135.774</v>
      </c>
      <c r="G1240" s="8">
        <v>117.258</v>
      </c>
      <c r="H1240" s="8">
        <v>93.97</v>
      </c>
      <c r="I1240" s="8">
        <v>170.17</v>
      </c>
      <c r="J1240" s="8">
        <v>69.42</v>
      </c>
      <c r="K1240" s="268">
        <v>0.34399999999999997</v>
      </c>
      <c r="L1240" s="268">
        <v>0.2379</v>
      </c>
      <c r="M1240" s="268">
        <v>-2.6700000000000002E-2</v>
      </c>
      <c r="N1240" s="8">
        <v>712.81</v>
      </c>
      <c r="O1240" s="8">
        <v>5973.76</v>
      </c>
      <c r="P1240" s="268">
        <v>0.1193</v>
      </c>
      <c r="Q1240" s="8">
        <v>372</v>
      </c>
      <c r="R1240" s="8" t="s">
        <v>2687</v>
      </c>
      <c r="S1240" s="8" t="s">
        <v>6733</v>
      </c>
      <c r="T1240" s="8" t="s">
        <v>8223</v>
      </c>
      <c r="U1240" s="8" t="s">
        <v>8224</v>
      </c>
      <c r="V1240" s="8" t="s">
        <v>8225</v>
      </c>
      <c r="W1240" s="8" t="s">
        <v>8226</v>
      </c>
    </row>
    <row r="1241" spans="1:23" ht="28" customHeight="1" x14ac:dyDescent="0.3">
      <c r="A1241" s="308">
        <v>44427</v>
      </c>
      <c r="B1241" s="302">
        <v>1800.8209999999999</v>
      </c>
      <c r="C1241" s="8">
        <v>1.5649999999999999</v>
      </c>
      <c r="D1241" s="268">
        <v>8.9999999999999998E-4</v>
      </c>
      <c r="E1241" s="8">
        <v>80</v>
      </c>
      <c r="F1241" s="8">
        <v>136.17099999999999</v>
      </c>
      <c r="G1241" s="8">
        <v>118.221</v>
      </c>
      <c r="H1241" s="8">
        <v>94.69</v>
      </c>
      <c r="I1241" s="8">
        <v>170.36</v>
      </c>
      <c r="J1241" s="8">
        <v>71.98</v>
      </c>
      <c r="K1241" s="268">
        <v>0.34189999999999998</v>
      </c>
      <c r="L1241" s="268">
        <v>0.2437</v>
      </c>
      <c r="M1241" s="268">
        <v>-2.76E-2</v>
      </c>
      <c r="N1241" s="8">
        <v>756.95</v>
      </c>
      <c r="O1241" s="8">
        <v>5976.15</v>
      </c>
      <c r="P1241" s="268">
        <v>0.12670000000000001</v>
      </c>
      <c r="Q1241" s="8">
        <v>372</v>
      </c>
      <c r="R1241" s="8" t="s">
        <v>8227</v>
      </c>
      <c r="S1241" s="8" t="s">
        <v>8228</v>
      </c>
      <c r="T1241" s="8" t="s">
        <v>8229</v>
      </c>
      <c r="U1241" s="8" t="s">
        <v>8230</v>
      </c>
      <c r="V1241" s="8" t="s">
        <v>8231</v>
      </c>
      <c r="W1241" s="8" t="s">
        <v>8232</v>
      </c>
    </row>
    <row r="1242" spans="1:23" ht="28" customHeight="1" x14ac:dyDescent="0.3">
      <c r="A1242" s="308">
        <v>44426</v>
      </c>
      <c r="B1242" s="302">
        <v>1799.2560000000001</v>
      </c>
      <c r="C1242" s="8">
        <v>4.1109999999999998</v>
      </c>
      <c r="D1242" s="268">
        <v>2.3E-3</v>
      </c>
      <c r="E1242" s="8">
        <v>79.33</v>
      </c>
      <c r="F1242" s="8">
        <v>135.80199999999999</v>
      </c>
      <c r="G1242" s="8">
        <v>118.68</v>
      </c>
      <c r="H1242" s="8">
        <v>95.06</v>
      </c>
      <c r="I1242" s="8">
        <v>169.41</v>
      </c>
      <c r="J1242" s="8">
        <v>69.790000000000006</v>
      </c>
      <c r="K1242" s="268">
        <v>0.33600000000000002</v>
      </c>
      <c r="L1242" s="268">
        <v>0.2397</v>
      </c>
      <c r="M1242" s="268">
        <v>-2.75E-2</v>
      </c>
      <c r="N1242" s="8">
        <v>770.55</v>
      </c>
      <c r="O1242" s="8">
        <v>5973.23</v>
      </c>
      <c r="P1242" s="268">
        <v>0.129</v>
      </c>
      <c r="Q1242" s="8">
        <v>371</v>
      </c>
      <c r="R1242" s="8" t="s">
        <v>8233</v>
      </c>
      <c r="S1242" s="8" t="s">
        <v>3874</v>
      </c>
      <c r="T1242" s="8" t="s">
        <v>8234</v>
      </c>
      <c r="U1242" s="8" t="s">
        <v>8235</v>
      </c>
      <c r="V1242" s="8" t="s">
        <v>8236</v>
      </c>
      <c r="W1242" s="8" t="s">
        <v>8237</v>
      </c>
    </row>
    <row r="1243" spans="1:23" ht="28" customHeight="1" x14ac:dyDescent="0.3">
      <c r="A1243" s="308">
        <v>44425</v>
      </c>
      <c r="B1243" s="302">
        <v>1795.145</v>
      </c>
      <c r="C1243" s="8">
        <v>-28.077999999999999</v>
      </c>
      <c r="D1243" s="268">
        <v>-1.54E-2</v>
      </c>
      <c r="E1243" s="8">
        <v>76.64</v>
      </c>
      <c r="F1243" s="8">
        <v>135.947</v>
      </c>
      <c r="G1243" s="8">
        <v>118.455</v>
      </c>
      <c r="H1243" s="8">
        <v>94.95</v>
      </c>
      <c r="I1243" s="8">
        <v>170.15</v>
      </c>
      <c r="J1243" s="8">
        <v>75</v>
      </c>
      <c r="K1243" s="268">
        <v>0.34200000000000003</v>
      </c>
      <c r="L1243" s="268">
        <v>0.24349999999999999</v>
      </c>
      <c r="M1243" s="268">
        <v>-2.76E-2</v>
      </c>
      <c r="N1243" s="8">
        <v>769.45</v>
      </c>
      <c r="O1243" s="8">
        <v>5975.31</v>
      </c>
      <c r="P1243" s="268">
        <v>0.1288</v>
      </c>
      <c r="Q1243" s="8">
        <v>372</v>
      </c>
      <c r="R1243" s="8" t="s">
        <v>8238</v>
      </c>
      <c r="S1243" s="8" t="s">
        <v>6871</v>
      </c>
      <c r="T1243" s="8" t="s">
        <v>8239</v>
      </c>
      <c r="U1243" s="8" t="s">
        <v>8240</v>
      </c>
      <c r="V1243" s="8" t="s">
        <v>8241</v>
      </c>
      <c r="W1243" s="8" t="s">
        <v>8242</v>
      </c>
    </row>
    <row r="1244" spans="1:23" ht="28" customHeight="1" x14ac:dyDescent="0.3">
      <c r="A1244" s="308">
        <v>44424</v>
      </c>
      <c r="B1244" s="302">
        <v>1823.223</v>
      </c>
      <c r="C1244" s="8">
        <v>-1.0580000000000001</v>
      </c>
      <c r="D1244" s="268">
        <v>-5.9999999999999995E-4</v>
      </c>
      <c r="E1244" s="8">
        <v>82.54</v>
      </c>
      <c r="F1244" s="8">
        <v>138.494</v>
      </c>
      <c r="G1244" s="8">
        <v>119.37</v>
      </c>
      <c r="H1244" s="8">
        <v>97.04</v>
      </c>
      <c r="I1244" s="8">
        <v>171.72</v>
      </c>
      <c r="J1244" s="8">
        <v>72.260000000000005</v>
      </c>
      <c r="K1244" s="268">
        <v>0.33229999999999998</v>
      </c>
      <c r="L1244" s="268">
        <v>0.23380000000000001</v>
      </c>
      <c r="M1244" s="268">
        <v>-3.1399999999999997E-2</v>
      </c>
      <c r="N1244" s="8">
        <v>731.83</v>
      </c>
      <c r="O1244" s="8">
        <v>5976.98</v>
      </c>
      <c r="P1244" s="268">
        <v>0.12239999999999999</v>
      </c>
      <c r="Q1244" s="8">
        <v>372</v>
      </c>
      <c r="R1244" s="8" t="s">
        <v>8243</v>
      </c>
      <c r="S1244" s="8" t="s">
        <v>8244</v>
      </c>
      <c r="T1244" s="8" t="s">
        <v>8245</v>
      </c>
      <c r="U1244" s="8" t="s">
        <v>8246</v>
      </c>
      <c r="V1244" s="8" t="s">
        <v>4981</v>
      </c>
      <c r="W1244" s="8" t="s">
        <v>8247</v>
      </c>
    </row>
    <row r="1245" spans="1:23" ht="28" customHeight="1" x14ac:dyDescent="0.3">
      <c r="A1245" s="308">
        <v>44421</v>
      </c>
      <c r="B1245" s="302">
        <v>1824.2809999999999</v>
      </c>
      <c r="C1245" s="8">
        <v>4.077</v>
      </c>
      <c r="D1245" s="268">
        <v>2.2000000000000001E-3</v>
      </c>
      <c r="E1245" s="8">
        <v>82.94</v>
      </c>
      <c r="F1245" s="8">
        <v>139.08500000000001</v>
      </c>
      <c r="G1245" s="8">
        <v>119.3</v>
      </c>
      <c r="H1245" s="8">
        <v>97.02</v>
      </c>
      <c r="I1245" s="8">
        <v>172.18</v>
      </c>
      <c r="J1245" s="8">
        <v>70.41</v>
      </c>
      <c r="K1245" s="268">
        <v>0.33090000000000003</v>
      </c>
      <c r="L1245" s="268">
        <v>0.2366</v>
      </c>
      <c r="M1245" s="268">
        <v>-3.1399999999999997E-2</v>
      </c>
      <c r="N1245" s="8">
        <v>858.07</v>
      </c>
      <c r="O1245" s="8">
        <v>5979.26</v>
      </c>
      <c r="P1245" s="268">
        <v>0.14349999999999999</v>
      </c>
      <c r="Q1245" s="8">
        <v>373</v>
      </c>
      <c r="R1245" s="8" t="s">
        <v>5435</v>
      </c>
      <c r="S1245" s="8" t="s">
        <v>8248</v>
      </c>
      <c r="T1245" s="8" t="s">
        <v>8050</v>
      </c>
      <c r="U1245" s="8" t="s">
        <v>8249</v>
      </c>
      <c r="V1245" s="8" t="s">
        <v>8250</v>
      </c>
      <c r="W1245" s="8" t="s">
        <v>8251</v>
      </c>
    </row>
    <row r="1246" spans="1:23" ht="28" customHeight="1" x14ac:dyDescent="0.3">
      <c r="A1246" s="308">
        <v>44420</v>
      </c>
      <c r="B1246" s="302">
        <v>1820.204</v>
      </c>
      <c r="C1246" s="8">
        <v>7.4320000000000004</v>
      </c>
      <c r="D1246" s="268">
        <v>4.1000000000000003E-3</v>
      </c>
      <c r="E1246" s="8">
        <v>82.16</v>
      </c>
      <c r="F1246" s="8">
        <v>138.99199999999999</v>
      </c>
      <c r="G1246" s="8">
        <v>119.53100000000001</v>
      </c>
      <c r="H1246" s="8">
        <v>96.37</v>
      </c>
      <c r="I1246" s="8">
        <v>171.68</v>
      </c>
      <c r="J1246" s="8">
        <v>69.23</v>
      </c>
      <c r="K1246" s="268">
        <v>0.32690000000000002</v>
      </c>
      <c r="L1246" s="268">
        <v>0.23769999999999999</v>
      </c>
      <c r="M1246" s="268">
        <v>-3.15E-2</v>
      </c>
      <c r="N1246" s="8">
        <v>868.87</v>
      </c>
      <c r="O1246" s="8">
        <v>5982.68</v>
      </c>
      <c r="P1246" s="268">
        <v>0.1452</v>
      </c>
      <c r="Q1246" s="8">
        <v>374</v>
      </c>
      <c r="R1246" s="8" t="s">
        <v>2646</v>
      </c>
      <c r="S1246" s="8" t="s">
        <v>8252</v>
      </c>
      <c r="T1246" s="8" t="s">
        <v>8253</v>
      </c>
      <c r="U1246" s="8" t="s">
        <v>8254</v>
      </c>
      <c r="V1246" s="8" t="s">
        <v>8255</v>
      </c>
      <c r="W1246" s="8" t="s">
        <v>8256</v>
      </c>
    </row>
    <row r="1247" spans="1:23" ht="28" customHeight="1" x14ac:dyDescent="0.3">
      <c r="A1247" s="308">
        <v>44419</v>
      </c>
      <c r="B1247" s="302">
        <v>1812.7719999999999</v>
      </c>
      <c r="C1247" s="8">
        <v>12.279</v>
      </c>
      <c r="D1247" s="268">
        <v>6.7999999999999996E-3</v>
      </c>
      <c r="E1247" s="8">
        <v>82.4</v>
      </c>
      <c r="F1247" s="8">
        <v>138.20500000000001</v>
      </c>
      <c r="G1247" s="8">
        <v>119.35</v>
      </c>
      <c r="H1247" s="8">
        <v>96.69</v>
      </c>
      <c r="I1247" s="8">
        <v>170.88</v>
      </c>
      <c r="J1247" s="8">
        <v>68.709999999999994</v>
      </c>
      <c r="K1247" s="268">
        <v>0.32669999999999999</v>
      </c>
      <c r="L1247" s="268">
        <v>0.24199999999999999</v>
      </c>
      <c r="M1247" s="268">
        <v>-3.04E-2</v>
      </c>
      <c r="N1247" s="8">
        <v>882.75</v>
      </c>
      <c r="O1247" s="8">
        <v>5966.57</v>
      </c>
      <c r="P1247" s="268">
        <v>0.1479</v>
      </c>
      <c r="Q1247" s="8">
        <v>373</v>
      </c>
      <c r="R1247" s="8" t="s">
        <v>8257</v>
      </c>
      <c r="S1247" s="8" t="s">
        <v>8248</v>
      </c>
      <c r="T1247" s="8" t="s">
        <v>7858</v>
      </c>
      <c r="U1247" s="8" t="s">
        <v>8258</v>
      </c>
      <c r="V1247" s="8" t="s">
        <v>8259</v>
      </c>
      <c r="W1247" s="8" t="s">
        <v>8260</v>
      </c>
    </row>
    <row r="1248" spans="1:23" ht="28" customHeight="1" x14ac:dyDescent="0.3">
      <c r="A1248" s="308">
        <v>44418</v>
      </c>
      <c r="B1248" s="302">
        <v>1800.4929999999999</v>
      </c>
      <c r="C1248" s="8">
        <v>5.6180000000000003</v>
      </c>
      <c r="D1248" s="268">
        <v>3.0999999999999999E-3</v>
      </c>
      <c r="E1248" s="8">
        <v>80.290000000000006</v>
      </c>
      <c r="F1248" s="8">
        <v>137.042</v>
      </c>
      <c r="G1248" s="8">
        <v>119.24299999999999</v>
      </c>
      <c r="H1248" s="8">
        <v>96.8</v>
      </c>
      <c r="I1248" s="8">
        <v>170.07</v>
      </c>
      <c r="J1248" s="8">
        <v>70.55</v>
      </c>
      <c r="K1248" s="268">
        <v>0.33029999999999998</v>
      </c>
      <c r="L1248" s="268">
        <v>0.2399</v>
      </c>
      <c r="M1248" s="268">
        <v>-2.8899999999999999E-2</v>
      </c>
      <c r="N1248" s="8">
        <v>854.77</v>
      </c>
      <c r="O1248" s="8">
        <v>5917.09</v>
      </c>
      <c r="P1248" s="268">
        <v>0.14449999999999999</v>
      </c>
      <c r="Q1248" s="8">
        <v>371</v>
      </c>
      <c r="R1248" s="8" t="s">
        <v>2558</v>
      </c>
      <c r="S1248" s="8" t="s">
        <v>8261</v>
      </c>
      <c r="T1248" s="8" t="s">
        <v>8262</v>
      </c>
      <c r="U1248" s="8" t="s">
        <v>8263</v>
      </c>
      <c r="V1248" s="8" t="s">
        <v>6406</v>
      </c>
      <c r="W1248" s="8" t="s">
        <v>5929</v>
      </c>
    </row>
    <row r="1249" spans="1:23" ht="28" customHeight="1" x14ac:dyDescent="0.3">
      <c r="A1249" s="308">
        <v>44417</v>
      </c>
      <c r="B1249" s="302">
        <v>1794.875</v>
      </c>
      <c r="C1249" s="8">
        <v>0.39500000000000002</v>
      </c>
      <c r="D1249" s="268">
        <v>2.0000000000000001E-4</v>
      </c>
      <c r="E1249" s="8">
        <v>78.47</v>
      </c>
      <c r="F1249" s="8">
        <v>136.636</v>
      </c>
      <c r="G1249" s="8">
        <v>118.666</v>
      </c>
      <c r="H1249" s="8">
        <v>96.18</v>
      </c>
      <c r="I1249" s="8">
        <v>170.54</v>
      </c>
      <c r="J1249" s="8">
        <v>73.150000000000006</v>
      </c>
      <c r="K1249" s="268">
        <v>0.33900000000000002</v>
      </c>
      <c r="L1249" s="268">
        <v>0.24690000000000001</v>
      </c>
      <c r="M1249" s="268">
        <v>-2.81E-2</v>
      </c>
      <c r="N1249" s="8">
        <v>785.61</v>
      </c>
      <c r="O1249" s="8">
        <v>5918.99</v>
      </c>
      <c r="P1249" s="268">
        <v>0.13270000000000001</v>
      </c>
      <c r="Q1249" s="8">
        <v>371</v>
      </c>
      <c r="R1249" s="8" t="s">
        <v>3891</v>
      </c>
      <c r="S1249" s="8" t="s">
        <v>8264</v>
      </c>
      <c r="T1249" s="8" t="s">
        <v>8265</v>
      </c>
      <c r="U1249" s="8" t="s">
        <v>8266</v>
      </c>
      <c r="V1249" s="8" t="s">
        <v>8267</v>
      </c>
      <c r="W1249" s="8" t="s">
        <v>8268</v>
      </c>
    </row>
    <row r="1250" spans="1:23" ht="28" customHeight="1" x14ac:dyDescent="0.3">
      <c r="A1250" s="308">
        <v>44414</v>
      </c>
      <c r="B1250" s="302">
        <v>1794.48</v>
      </c>
      <c r="C1250" s="8">
        <v>7.0069999999999997</v>
      </c>
      <c r="D1250" s="268">
        <v>3.8999999999999998E-3</v>
      </c>
      <c r="E1250" s="8">
        <v>80.12</v>
      </c>
      <c r="F1250" s="8">
        <v>136.77799999999999</v>
      </c>
      <c r="G1250" s="8">
        <v>118.125</v>
      </c>
      <c r="H1250" s="8">
        <v>94.17</v>
      </c>
      <c r="I1250" s="8">
        <v>171.75</v>
      </c>
      <c r="J1250" s="8">
        <v>76.599999999999994</v>
      </c>
      <c r="K1250" s="268">
        <v>0.34970000000000001</v>
      </c>
      <c r="L1250" s="268">
        <v>0.2576</v>
      </c>
      <c r="M1250" s="268">
        <v>-2.7799999999999998E-2</v>
      </c>
      <c r="N1250" s="8">
        <v>821.27</v>
      </c>
      <c r="O1250" s="8">
        <v>5913.12</v>
      </c>
      <c r="P1250" s="268">
        <v>0.1389</v>
      </c>
      <c r="Q1250" s="8">
        <v>370</v>
      </c>
      <c r="R1250" s="8" t="s">
        <v>5804</v>
      </c>
      <c r="S1250" s="8" t="s">
        <v>8269</v>
      </c>
      <c r="T1250" s="8" t="s">
        <v>7234</v>
      </c>
      <c r="U1250" s="8" t="s">
        <v>8270</v>
      </c>
      <c r="V1250" s="8" t="s">
        <v>8271</v>
      </c>
      <c r="W1250" s="8" t="s">
        <v>8272</v>
      </c>
    </row>
    <row r="1251" spans="1:23" ht="28" customHeight="1" x14ac:dyDescent="0.3">
      <c r="A1251" s="308">
        <v>44413</v>
      </c>
      <c r="B1251" s="302">
        <v>1787.473</v>
      </c>
      <c r="C1251" s="8">
        <v>-4.0670000000000002</v>
      </c>
      <c r="D1251" s="268">
        <v>-2.3E-3</v>
      </c>
      <c r="E1251" s="8">
        <v>79.36</v>
      </c>
      <c r="F1251" s="8">
        <v>136.23400000000001</v>
      </c>
      <c r="G1251" s="8">
        <v>118</v>
      </c>
      <c r="H1251" s="8">
        <v>95.02</v>
      </c>
      <c r="I1251" s="8">
        <v>170.87</v>
      </c>
      <c r="J1251" s="8">
        <v>75.760000000000005</v>
      </c>
      <c r="K1251" s="268">
        <v>0.3463</v>
      </c>
      <c r="L1251" s="268">
        <v>0.2422</v>
      </c>
      <c r="M1251" s="268">
        <v>-2.69E-2</v>
      </c>
      <c r="N1251" s="8">
        <v>819.05</v>
      </c>
      <c r="O1251" s="8">
        <v>5896.67</v>
      </c>
      <c r="P1251" s="268">
        <v>0.1389</v>
      </c>
      <c r="Q1251" s="8">
        <v>369</v>
      </c>
      <c r="R1251" s="8" t="s">
        <v>8273</v>
      </c>
      <c r="S1251" s="8" t="s">
        <v>8261</v>
      </c>
      <c r="T1251" s="8" t="s">
        <v>8274</v>
      </c>
      <c r="U1251" s="8" t="s">
        <v>8275</v>
      </c>
      <c r="V1251" s="8" t="s">
        <v>8276</v>
      </c>
      <c r="W1251" s="8" t="s">
        <v>8277</v>
      </c>
    </row>
    <row r="1252" spans="1:23" ht="28" customHeight="1" x14ac:dyDescent="0.3">
      <c r="A1252" s="308">
        <v>44412</v>
      </c>
      <c r="B1252" s="302">
        <v>1791.54</v>
      </c>
      <c r="C1252" s="8">
        <v>23.829000000000001</v>
      </c>
      <c r="D1252" s="268">
        <v>1.35E-2</v>
      </c>
      <c r="E1252" s="8">
        <v>80.81</v>
      </c>
      <c r="F1252" s="8">
        <v>136.65700000000001</v>
      </c>
      <c r="G1252" s="8">
        <v>117.616</v>
      </c>
      <c r="H1252" s="8">
        <v>95.09</v>
      </c>
      <c r="I1252" s="8">
        <v>170.23</v>
      </c>
      <c r="J1252" s="8">
        <v>72.989999999999995</v>
      </c>
      <c r="K1252" s="268">
        <v>0.3357</v>
      </c>
      <c r="L1252" s="268">
        <v>0.22320000000000001</v>
      </c>
      <c r="M1252" s="268">
        <v>-2.7400000000000001E-2</v>
      </c>
      <c r="N1252" s="8">
        <v>852.89</v>
      </c>
      <c r="O1252" s="8">
        <v>5917.69</v>
      </c>
      <c r="P1252" s="268">
        <v>0.14410000000000001</v>
      </c>
      <c r="Q1252" s="8">
        <v>370</v>
      </c>
      <c r="R1252" s="8" t="s">
        <v>8257</v>
      </c>
      <c r="S1252" s="8" t="s">
        <v>8264</v>
      </c>
      <c r="T1252" s="8" t="s">
        <v>8278</v>
      </c>
      <c r="U1252" s="8" t="s">
        <v>8172</v>
      </c>
      <c r="V1252" s="8" t="s">
        <v>8279</v>
      </c>
      <c r="W1252" s="8" t="s">
        <v>8280</v>
      </c>
    </row>
    <row r="1253" spans="1:23" ht="28" customHeight="1" x14ac:dyDescent="0.3">
      <c r="A1253" s="308">
        <v>44411</v>
      </c>
      <c r="B1253" s="302">
        <v>1767.711</v>
      </c>
      <c r="C1253" s="8">
        <v>-9.2040000000000006</v>
      </c>
      <c r="D1253" s="268">
        <v>-5.1999999999999998E-3</v>
      </c>
      <c r="E1253" s="8">
        <v>78.05</v>
      </c>
      <c r="F1253" s="8">
        <v>134.22800000000001</v>
      </c>
      <c r="G1253" s="8">
        <v>116.45</v>
      </c>
      <c r="H1253" s="8">
        <v>94.23</v>
      </c>
      <c r="I1253" s="8">
        <v>167.64</v>
      </c>
      <c r="J1253" s="8">
        <v>72.989999999999995</v>
      </c>
      <c r="K1253" s="268">
        <v>0.33410000000000001</v>
      </c>
      <c r="L1253" s="268">
        <v>0.22550000000000001</v>
      </c>
      <c r="M1253" s="268">
        <v>-2.4400000000000002E-2</v>
      </c>
      <c r="N1253" s="8">
        <v>770.86</v>
      </c>
      <c r="O1253" s="8">
        <v>5920.98</v>
      </c>
      <c r="P1253" s="268">
        <v>0.13020000000000001</v>
      </c>
      <c r="Q1253" s="8">
        <v>370</v>
      </c>
      <c r="R1253" s="8" t="s">
        <v>7866</v>
      </c>
      <c r="S1253" s="8" t="s">
        <v>8281</v>
      </c>
      <c r="T1253" s="8" t="s">
        <v>8282</v>
      </c>
      <c r="U1253" s="8" t="s">
        <v>5875</v>
      </c>
      <c r="V1253" s="8" t="s">
        <v>8283</v>
      </c>
      <c r="W1253" s="8" t="s">
        <v>8284</v>
      </c>
    </row>
    <row r="1254" spans="1:23" ht="28" customHeight="1" x14ac:dyDescent="0.3">
      <c r="A1254" s="308">
        <v>44410</v>
      </c>
      <c r="B1254" s="302">
        <v>1776.915</v>
      </c>
      <c r="C1254" s="8">
        <v>24.084</v>
      </c>
      <c r="D1254" s="268">
        <v>1.37E-2</v>
      </c>
      <c r="E1254" s="8">
        <v>78.25</v>
      </c>
      <c r="F1254" s="8">
        <v>135.56100000000001</v>
      </c>
      <c r="G1254" s="8">
        <v>116.7</v>
      </c>
      <c r="H1254" s="8">
        <v>94.88</v>
      </c>
      <c r="I1254" s="8">
        <v>168.81</v>
      </c>
      <c r="J1254" s="8">
        <v>73.95</v>
      </c>
      <c r="K1254" s="268">
        <v>0.33250000000000002</v>
      </c>
      <c r="L1254" s="268">
        <v>0.22819999999999999</v>
      </c>
      <c r="M1254" s="268">
        <v>-2.5700000000000001E-2</v>
      </c>
      <c r="N1254" s="8">
        <v>858.05</v>
      </c>
      <c r="O1254" s="8">
        <v>5926.46</v>
      </c>
      <c r="P1254" s="268">
        <v>0.14480000000000001</v>
      </c>
      <c r="Q1254" s="8">
        <v>371</v>
      </c>
      <c r="R1254" s="8" t="s">
        <v>8285</v>
      </c>
      <c r="S1254" s="8" t="s">
        <v>8286</v>
      </c>
      <c r="T1254" s="8" t="s">
        <v>8105</v>
      </c>
      <c r="U1254" s="8" t="s">
        <v>8287</v>
      </c>
      <c r="V1254" s="8" t="s">
        <v>8288</v>
      </c>
      <c r="W1254" s="8" t="s">
        <v>8289</v>
      </c>
    </row>
    <row r="1255" spans="1:23" ht="28" customHeight="1" x14ac:dyDescent="0.3">
      <c r="A1255" s="308">
        <v>44407</v>
      </c>
      <c r="B1255" s="302">
        <v>1752.8309999999999</v>
      </c>
      <c r="C1255" s="8">
        <v>11.666</v>
      </c>
      <c r="D1255" s="268">
        <v>6.7000000000000002E-3</v>
      </c>
      <c r="E1255" s="8">
        <v>71.42</v>
      </c>
      <c r="F1255" s="8">
        <v>133.78200000000001</v>
      </c>
      <c r="G1255" s="8">
        <v>114.82</v>
      </c>
      <c r="H1255" s="8">
        <v>93.14</v>
      </c>
      <c r="I1255" s="8">
        <v>168.11</v>
      </c>
      <c r="J1255" s="8">
        <v>75.45</v>
      </c>
      <c r="K1255" s="268">
        <v>0.34329999999999999</v>
      </c>
      <c r="L1255" s="268">
        <v>0.2424</v>
      </c>
      <c r="M1255" s="268">
        <v>-2.2499999999999999E-2</v>
      </c>
      <c r="N1255" s="8">
        <v>909.32</v>
      </c>
      <c r="O1255" s="8">
        <v>5930.18</v>
      </c>
      <c r="P1255" s="268">
        <v>0.15329999999999999</v>
      </c>
      <c r="Q1255" s="8">
        <v>371</v>
      </c>
      <c r="R1255" s="8" t="s">
        <v>2624</v>
      </c>
      <c r="S1255" s="8" t="s">
        <v>8290</v>
      </c>
      <c r="T1255" s="8" t="s">
        <v>8291</v>
      </c>
      <c r="U1255" s="8" t="s">
        <v>8292</v>
      </c>
      <c r="V1255" s="8" t="s">
        <v>8293</v>
      </c>
      <c r="W1255" s="8" t="s">
        <v>8294</v>
      </c>
    </row>
    <row r="1256" spans="1:23" ht="28" customHeight="1" x14ac:dyDescent="0.3">
      <c r="A1256" s="308">
        <v>44406</v>
      </c>
      <c r="B1256" s="302">
        <v>1741.165</v>
      </c>
      <c r="C1256" s="8">
        <v>35.094000000000001</v>
      </c>
      <c r="D1256" s="268">
        <v>2.06E-2</v>
      </c>
      <c r="E1256" s="8">
        <v>65.81</v>
      </c>
      <c r="F1256" s="8">
        <v>132.82</v>
      </c>
      <c r="G1256" s="8">
        <v>114.59</v>
      </c>
      <c r="H1256" s="8">
        <v>92.69</v>
      </c>
      <c r="I1256" s="8">
        <v>167.68</v>
      </c>
      <c r="J1256" s="8">
        <v>79.95</v>
      </c>
      <c r="K1256" s="268">
        <v>0.34860000000000002</v>
      </c>
      <c r="L1256" s="268">
        <v>0.25080000000000002</v>
      </c>
      <c r="M1256" s="268">
        <v>-2.1000000000000001E-2</v>
      </c>
      <c r="N1256" s="8">
        <v>931.71</v>
      </c>
      <c r="O1256" s="8">
        <v>5935.49</v>
      </c>
      <c r="P1256" s="268">
        <v>0.157</v>
      </c>
      <c r="Q1256" s="8">
        <v>371</v>
      </c>
      <c r="R1256" s="8" t="s">
        <v>7899</v>
      </c>
      <c r="S1256" s="8" t="s">
        <v>8295</v>
      </c>
      <c r="T1256" s="8" t="s">
        <v>8296</v>
      </c>
      <c r="U1256" s="8" t="s">
        <v>8297</v>
      </c>
      <c r="V1256" s="8" t="s">
        <v>8298</v>
      </c>
      <c r="W1256" s="8" t="s">
        <v>8299</v>
      </c>
    </row>
    <row r="1257" spans="1:23" ht="28" customHeight="1" x14ac:dyDescent="0.3">
      <c r="A1257" s="308">
        <v>44405</v>
      </c>
      <c r="B1257" s="302">
        <v>1706.0709999999999</v>
      </c>
      <c r="C1257" s="8">
        <v>-20.126999999999999</v>
      </c>
      <c r="D1257" s="268">
        <v>-1.17E-2</v>
      </c>
      <c r="E1257" s="8">
        <v>59.33</v>
      </c>
      <c r="F1257" s="8">
        <v>129.67599999999999</v>
      </c>
      <c r="G1257" s="8">
        <v>113.446</v>
      </c>
      <c r="H1257" s="8">
        <v>90.92</v>
      </c>
      <c r="I1257" s="8">
        <v>165.17</v>
      </c>
      <c r="J1257" s="8">
        <v>80.77</v>
      </c>
      <c r="K1257" s="268">
        <v>0.35489999999999999</v>
      </c>
      <c r="L1257" s="268">
        <v>0.24990000000000001</v>
      </c>
      <c r="M1257" s="268">
        <v>-1.6799999999999999E-2</v>
      </c>
      <c r="N1257" s="8">
        <v>887.94</v>
      </c>
      <c r="O1257" s="8">
        <v>5941.05</v>
      </c>
      <c r="P1257" s="268">
        <v>0.14949999999999999</v>
      </c>
      <c r="Q1257" s="8">
        <v>372</v>
      </c>
      <c r="R1257" s="8" t="s">
        <v>7923</v>
      </c>
      <c r="S1257" s="8" t="s">
        <v>8300</v>
      </c>
      <c r="T1257" s="8" t="s">
        <v>8301</v>
      </c>
      <c r="U1257" s="8" t="s">
        <v>8302</v>
      </c>
      <c r="V1257" s="8" t="s">
        <v>8303</v>
      </c>
      <c r="W1257" s="8" t="s">
        <v>8304</v>
      </c>
    </row>
    <row r="1258" spans="1:23" ht="28" customHeight="1" x14ac:dyDescent="0.3">
      <c r="A1258" s="308">
        <v>44404</v>
      </c>
      <c r="B1258" s="302">
        <v>1726.1980000000001</v>
      </c>
      <c r="C1258" s="8">
        <v>-21.513999999999999</v>
      </c>
      <c r="D1258" s="268">
        <v>-1.23E-2</v>
      </c>
      <c r="E1258" s="8">
        <v>65.59</v>
      </c>
      <c r="F1258" s="8">
        <v>131.42400000000001</v>
      </c>
      <c r="G1258" s="8">
        <v>114.7</v>
      </c>
      <c r="H1258" s="8">
        <v>92.98</v>
      </c>
      <c r="I1258" s="8">
        <v>165.44</v>
      </c>
      <c r="J1258" s="8">
        <v>75.34</v>
      </c>
      <c r="K1258" s="268">
        <v>0.34010000000000001</v>
      </c>
      <c r="L1258" s="268">
        <v>0.2341</v>
      </c>
      <c r="M1258" s="268">
        <v>-2.0199999999999999E-2</v>
      </c>
      <c r="N1258" s="8">
        <v>818.46</v>
      </c>
      <c r="O1258" s="8">
        <v>5946.63</v>
      </c>
      <c r="P1258" s="268">
        <v>0.1376</v>
      </c>
      <c r="Q1258" s="8">
        <v>373</v>
      </c>
      <c r="R1258" s="8" t="s">
        <v>8305</v>
      </c>
      <c r="S1258" s="8" t="s">
        <v>8306</v>
      </c>
      <c r="T1258" s="8" t="s">
        <v>8307</v>
      </c>
      <c r="U1258" s="8" t="s">
        <v>8308</v>
      </c>
      <c r="V1258" s="8" t="s">
        <v>8309</v>
      </c>
      <c r="W1258" s="8" t="s">
        <v>8310</v>
      </c>
    </row>
    <row r="1259" spans="1:23" ht="28" customHeight="1" x14ac:dyDescent="0.3">
      <c r="A1259" s="308">
        <v>44403</v>
      </c>
      <c r="B1259" s="302">
        <v>1747.712</v>
      </c>
      <c r="C1259" s="8">
        <v>-11.398999999999999</v>
      </c>
      <c r="D1259" s="268">
        <v>-6.4999999999999997E-3</v>
      </c>
      <c r="E1259" s="8">
        <v>72.739999999999995</v>
      </c>
      <c r="F1259" s="8">
        <v>133.375</v>
      </c>
      <c r="G1259" s="8">
        <v>116.08</v>
      </c>
      <c r="H1259" s="8">
        <v>95.16</v>
      </c>
      <c r="I1259" s="8">
        <v>166.3</v>
      </c>
      <c r="J1259" s="8">
        <v>71.22</v>
      </c>
      <c r="K1259" s="268">
        <v>0.32919999999999999</v>
      </c>
      <c r="L1259" s="268">
        <v>0.22650000000000001</v>
      </c>
      <c r="M1259" s="268">
        <v>-2.3400000000000001E-2</v>
      </c>
      <c r="N1259" s="8">
        <v>768.25</v>
      </c>
      <c r="O1259" s="8">
        <v>5947.28</v>
      </c>
      <c r="P1259" s="268">
        <v>0.12920000000000001</v>
      </c>
      <c r="Q1259" s="8">
        <v>372</v>
      </c>
      <c r="R1259" s="8" t="s">
        <v>8311</v>
      </c>
      <c r="S1259" s="8" t="s">
        <v>5714</v>
      </c>
      <c r="T1259" s="8" t="s">
        <v>8312</v>
      </c>
      <c r="U1259" s="8" t="s">
        <v>8313</v>
      </c>
      <c r="V1259" s="8" t="s">
        <v>8314</v>
      </c>
      <c r="W1259" s="8" t="s">
        <v>8315</v>
      </c>
    </row>
    <row r="1260" spans="1:23" ht="28" customHeight="1" x14ac:dyDescent="0.3">
      <c r="A1260" s="308">
        <v>44400</v>
      </c>
      <c r="B1260" s="302">
        <v>1759.1110000000001</v>
      </c>
      <c r="C1260" s="8">
        <v>-1.7430000000000001</v>
      </c>
      <c r="D1260" s="268">
        <v>-1E-3</v>
      </c>
      <c r="E1260" s="8">
        <v>77.78</v>
      </c>
      <c r="F1260" s="8">
        <v>134.25299999999999</v>
      </c>
      <c r="G1260" s="8">
        <v>117.215</v>
      </c>
      <c r="H1260" s="8">
        <v>96.69</v>
      </c>
      <c r="I1260" s="8">
        <v>165.9</v>
      </c>
      <c r="J1260" s="8">
        <v>67.55</v>
      </c>
      <c r="K1260" s="268">
        <v>0.3165</v>
      </c>
      <c r="L1260" s="268">
        <v>0.21079999999999999</v>
      </c>
      <c r="M1260" s="268">
        <v>-2.5499999999999998E-2</v>
      </c>
      <c r="N1260" s="8">
        <v>794.32</v>
      </c>
      <c r="O1260" s="8">
        <v>5911.74</v>
      </c>
      <c r="P1260" s="268">
        <v>0.13439999999999999</v>
      </c>
      <c r="Q1260" s="8">
        <v>370</v>
      </c>
      <c r="R1260" s="8" t="s">
        <v>8316</v>
      </c>
      <c r="S1260" s="8" t="s">
        <v>8317</v>
      </c>
      <c r="T1260" s="8" t="s">
        <v>8318</v>
      </c>
      <c r="U1260" s="8" t="s">
        <v>8319</v>
      </c>
      <c r="V1260" s="8" t="s">
        <v>8320</v>
      </c>
      <c r="W1260" s="8" t="s">
        <v>8321</v>
      </c>
    </row>
    <row r="1261" spans="1:23" ht="28" customHeight="1" x14ac:dyDescent="0.3">
      <c r="A1261" s="308">
        <v>44399</v>
      </c>
      <c r="B1261" s="302">
        <v>1760.854</v>
      </c>
      <c r="C1261" s="8">
        <v>13.766999999999999</v>
      </c>
      <c r="D1261" s="268">
        <v>7.9000000000000008E-3</v>
      </c>
      <c r="E1261" s="8">
        <v>78.39</v>
      </c>
      <c r="F1261" s="8">
        <v>134.69</v>
      </c>
      <c r="G1261" s="8">
        <v>116.899</v>
      </c>
      <c r="H1261" s="8">
        <v>97.8</v>
      </c>
      <c r="I1261" s="8">
        <v>165.11</v>
      </c>
      <c r="J1261" s="8">
        <v>60.84</v>
      </c>
      <c r="K1261" s="268">
        <v>0.30420000000000003</v>
      </c>
      <c r="L1261" s="268">
        <v>0.20569999999999999</v>
      </c>
      <c r="M1261" s="268">
        <v>-2.58E-2</v>
      </c>
      <c r="N1261" s="8">
        <v>947.84</v>
      </c>
      <c r="O1261" s="8">
        <v>5886.41</v>
      </c>
      <c r="P1261" s="268">
        <v>0.161</v>
      </c>
      <c r="Q1261" s="8">
        <v>369</v>
      </c>
      <c r="R1261" s="8" t="s">
        <v>7187</v>
      </c>
      <c r="S1261" s="8" t="s">
        <v>8322</v>
      </c>
      <c r="T1261" s="8" t="s">
        <v>8323</v>
      </c>
      <c r="U1261" s="8" t="s">
        <v>8324</v>
      </c>
      <c r="V1261" s="8" t="s">
        <v>8325</v>
      </c>
      <c r="W1261" s="8" t="s">
        <v>8326</v>
      </c>
    </row>
    <row r="1262" spans="1:23" ht="28" customHeight="1" x14ac:dyDescent="0.3">
      <c r="A1262" s="308">
        <v>44398</v>
      </c>
      <c r="B1262" s="302">
        <v>1747.087</v>
      </c>
      <c r="C1262" s="8">
        <v>24.291</v>
      </c>
      <c r="D1262" s="268">
        <v>1.41E-2</v>
      </c>
      <c r="E1262" s="8">
        <v>77.27</v>
      </c>
      <c r="F1262" s="8">
        <v>133.52199999999999</v>
      </c>
      <c r="G1262" s="8">
        <v>116.45</v>
      </c>
      <c r="H1262" s="8">
        <v>97.13</v>
      </c>
      <c r="I1262" s="8">
        <v>163.87</v>
      </c>
      <c r="J1262" s="8">
        <v>65.569999999999993</v>
      </c>
      <c r="K1262" s="268">
        <v>0.30349999999999999</v>
      </c>
      <c r="L1262" s="268">
        <v>0.2036</v>
      </c>
      <c r="M1262" s="268">
        <v>-2.2800000000000001E-2</v>
      </c>
      <c r="N1262" s="8">
        <v>760.49</v>
      </c>
      <c r="O1262" s="8">
        <v>5881.85</v>
      </c>
      <c r="P1262" s="268">
        <v>0.1293</v>
      </c>
      <c r="Q1262" s="8">
        <v>368</v>
      </c>
      <c r="R1262" s="8" t="s">
        <v>7426</v>
      </c>
      <c r="S1262" s="8" t="s">
        <v>8264</v>
      </c>
      <c r="T1262" s="8" t="s">
        <v>5112</v>
      </c>
      <c r="U1262" s="8" t="s">
        <v>7883</v>
      </c>
      <c r="V1262" s="8" t="s">
        <v>8327</v>
      </c>
      <c r="W1262" s="8" t="s">
        <v>8328</v>
      </c>
    </row>
    <row r="1263" spans="1:23" ht="28" customHeight="1" x14ac:dyDescent="0.3">
      <c r="A1263" s="308">
        <v>44397</v>
      </c>
      <c r="B1263" s="302">
        <v>1722.796</v>
      </c>
      <c r="C1263" s="8">
        <v>0.63700000000000001</v>
      </c>
      <c r="D1263" s="268">
        <v>4.0000000000000002E-4</v>
      </c>
      <c r="E1263" s="8">
        <v>71.900000000000006</v>
      </c>
      <c r="F1263" s="8">
        <v>131.101</v>
      </c>
      <c r="G1263" s="8">
        <v>115.375</v>
      </c>
      <c r="H1263" s="8">
        <v>97.04</v>
      </c>
      <c r="I1263" s="8">
        <v>161.59</v>
      </c>
      <c r="J1263" s="8">
        <v>60.43</v>
      </c>
      <c r="K1263" s="268">
        <v>0.30480000000000002</v>
      </c>
      <c r="L1263" s="268">
        <v>0.20810000000000001</v>
      </c>
      <c r="M1263" s="268">
        <v>-1.9900000000000001E-2</v>
      </c>
      <c r="N1263" s="8">
        <v>649.34</v>
      </c>
      <c r="O1263" s="8">
        <v>5884.35</v>
      </c>
      <c r="P1263" s="268">
        <v>0.1104</v>
      </c>
      <c r="Q1263" s="8">
        <v>368</v>
      </c>
      <c r="R1263" s="8" t="s">
        <v>8329</v>
      </c>
      <c r="S1263" s="8" t="s">
        <v>8330</v>
      </c>
      <c r="T1263" s="8" t="s">
        <v>6017</v>
      </c>
      <c r="U1263" s="8" t="s">
        <v>8331</v>
      </c>
      <c r="V1263" s="8" t="s">
        <v>8332</v>
      </c>
      <c r="W1263" s="8" t="s">
        <v>8333</v>
      </c>
    </row>
    <row r="1264" spans="1:23" ht="28" customHeight="1" x14ac:dyDescent="0.3">
      <c r="A1264" s="308">
        <v>44396</v>
      </c>
      <c r="B1264" s="302">
        <v>1722.1590000000001</v>
      </c>
      <c r="C1264" s="8">
        <v>-3.14</v>
      </c>
      <c r="D1264" s="268">
        <v>-1.8E-3</v>
      </c>
      <c r="E1264" s="8">
        <v>72.459999999999994</v>
      </c>
      <c r="F1264" s="8">
        <v>131.03700000000001</v>
      </c>
      <c r="G1264" s="8">
        <v>115.23699999999999</v>
      </c>
      <c r="H1264" s="8">
        <v>96.95</v>
      </c>
      <c r="I1264" s="8">
        <v>161.99</v>
      </c>
      <c r="J1264" s="8">
        <v>62.91</v>
      </c>
      <c r="K1264" s="268">
        <v>0.3095</v>
      </c>
      <c r="L1264" s="268">
        <v>0.20219999999999999</v>
      </c>
      <c r="M1264" s="268">
        <v>-2.1000000000000001E-2</v>
      </c>
      <c r="N1264" s="8">
        <v>620.98</v>
      </c>
      <c r="O1264" s="8">
        <v>5896.53</v>
      </c>
      <c r="P1264" s="268">
        <v>0.1053</v>
      </c>
      <c r="Q1264" s="8">
        <v>369</v>
      </c>
      <c r="R1264" s="8" t="s">
        <v>8334</v>
      </c>
      <c r="S1264" s="8" t="s">
        <v>8335</v>
      </c>
      <c r="T1264" s="8" t="s">
        <v>8336</v>
      </c>
      <c r="U1264" s="8" t="s">
        <v>8337</v>
      </c>
      <c r="V1264" s="8" t="s">
        <v>8338</v>
      </c>
      <c r="W1264" s="8" t="s">
        <v>8339</v>
      </c>
    </row>
    <row r="1265" spans="1:23" ht="28" customHeight="1" x14ac:dyDescent="0.3">
      <c r="A1265" s="308">
        <v>44393</v>
      </c>
      <c r="B1265" s="302">
        <v>1725.299</v>
      </c>
      <c r="C1265" s="8">
        <v>2.2570000000000001</v>
      </c>
      <c r="D1265" s="268">
        <v>1.2999999999999999E-3</v>
      </c>
      <c r="E1265" s="8">
        <v>72.930000000000007</v>
      </c>
      <c r="F1265" s="8">
        <v>131.38399999999999</v>
      </c>
      <c r="G1265" s="8">
        <v>115.735</v>
      </c>
      <c r="H1265" s="8">
        <v>95.76</v>
      </c>
      <c r="I1265" s="8">
        <v>162.05000000000001</v>
      </c>
      <c r="J1265" s="8">
        <v>65.3</v>
      </c>
      <c r="K1265" s="268">
        <v>0.30659999999999998</v>
      </c>
      <c r="L1265" s="268">
        <v>0.21110000000000001</v>
      </c>
      <c r="M1265" s="268">
        <v>-2.0400000000000001E-2</v>
      </c>
      <c r="N1265" s="8">
        <v>756.64</v>
      </c>
      <c r="O1265" s="8">
        <v>5900.96</v>
      </c>
      <c r="P1265" s="268">
        <v>0.12820000000000001</v>
      </c>
      <c r="Q1265" s="8">
        <v>369</v>
      </c>
      <c r="R1265" s="8" t="s">
        <v>8340</v>
      </c>
      <c r="S1265" s="8" t="s">
        <v>8341</v>
      </c>
      <c r="T1265" s="8" t="s">
        <v>8342</v>
      </c>
      <c r="U1265" s="8" t="s">
        <v>8343</v>
      </c>
      <c r="V1265" s="8" t="s">
        <v>8344</v>
      </c>
      <c r="W1265" s="8" t="s">
        <v>8345</v>
      </c>
    </row>
    <row r="1266" spans="1:23" ht="28" customHeight="1" x14ac:dyDescent="0.3">
      <c r="A1266" s="308">
        <v>44392</v>
      </c>
      <c r="B1266" s="302">
        <v>1723.0419999999999</v>
      </c>
      <c r="C1266" s="8">
        <v>-7.1980000000000004</v>
      </c>
      <c r="D1266" s="268">
        <v>-4.1999999999999997E-3</v>
      </c>
      <c r="E1266" s="8">
        <v>71.2</v>
      </c>
      <c r="F1266" s="8">
        <v>131.41399999999999</v>
      </c>
      <c r="G1266" s="8">
        <v>115.411</v>
      </c>
      <c r="H1266" s="8">
        <v>96.1</v>
      </c>
      <c r="I1266" s="8">
        <v>161.54</v>
      </c>
      <c r="J1266" s="8">
        <v>63.49</v>
      </c>
      <c r="K1266" s="268">
        <v>0.30130000000000001</v>
      </c>
      <c r="L1266" s="268">
        <v>0.19719999999999999</v>
      </c>
      <c r="M1266" s="268">
        <v>-0.02</v>
      </c>
      <c r="N1266" s="8">
        <v>922.97</v>
      </c>
      <c r="O1266" s="8">
        <v>5906.73</v>
      </c>
      <c r="P1266" s="268">
        <v>0.15629999999999999</v>
      </c>
      <c r="Q1266" s="8">
        <v>370</v>
      </c>
      <c r="R1266" s="8" t="s">
        <v>8346</v>
      </c>
      <c r="S1266" s="8" t="s">
        <v>8347</v>
      </c>
      <c r="T1266" s="8" t="s">
        <v>6436</v>
      </c>
      <c r="U1266" s="8" t="s">
        <v>8348</v>
      </c>
      <c r="V1266" s="8" t="s">
        <v>8349</v>
      </c>
      <c r="W1266" s="8" t="s">
        <v>8350</v>
      </c>
    </row>
    <row r="1267" spans="1:23" ht="28" customHeight="1" x14ac:dyDescent="0.3">
      <c r="A1267" s="308">
        <v>44391</v>
      </c>
      <c r="B1267" s="302">
        <v>1730.24</v>
      </c>
      <c r="C1267" s="8">
        <v>0.72599999999999998</v>
      </c>
      <c r="D1267" s="268">
        <v>4.0000000000000002E-4</v>
      </c>
      <c r="E1267" s="8">
        <v>74.16</v>
      </c>
      <c r="F1267" s="8">
        <v>132.28200000000001</v>
      </c>
      <c r="G1267" s="8">
        <v>115.95</v>
      </c>
      <c r="H1267" s="8">
        <v>96.69</v>
      </c>
      <c r="I1267" s="8">
        <v>162.77000000000001</v>
      </c>
      <c r="J1267" s="8">
        <v>63.82</v>
      </c>
      <c r="K1267" s="268">
        <v>0.30480000000000002</v>
      </c>
      <c r="L1267" s="268">
        <v>0.19989999999999999</v>
      </c>
      <c r="M1267" s="268">
        <v>-2.1000000000000001E-2</v>
      </c>
      <c r="N1267" s="8">
        <v>860.75</v>
      </c>
      <c r="O1267" s="8">
        <v>5896.84</v>
      </c>
      <c r="P1267" s="268">
        <v>0.14599999999999999</v>
      </c>
      <c r="Q1267" s="8">
        <v>369</v>
      </c>
      <c r="R1267" s="8" t="s">
        <v>8351</v>
      </c>
      <c r="S1267" s="8" t="s">
        <v>5940</v>
      </c>
      <c r="T1267" s="8" t="s">
        <v>8352</v>
      </c>
      <c r="U1267" s="8" t="s">
        <v>8353</v>
      </c>
      <c r="V1267" s="8" t="s">
        <v>8354</v>
      </c>
      <c r="W1267" s="8" t="s">
        <v>8355</v>
      </c>
    </row>
    <row r="1268" spans="1:23" ht="28" customHeight="1" x14ac:dyDescent="0.3">
      <c r="A1268" s="308">
        <v>44390</v>
      </c>
      <c r="B1268" s="302">
        <v>1729.5139999999999</v>
      </c>
      <c r="C1268" s="8">
        <v>17.395</v>
      </c>
      <c r="D1268" s="268">
        <v>1.0200000000000001E-2</v>
      </c>
      <c r="E1268" s="8">
        <v>74.87</v>
      </c>
      <c r="F1268" s="8">
        <v>132.07</v>
      </c>
      <c r="G1268" s="8">
        <v>115.639</v>
      </c>
      <c r="H1268" s="8">
        <v>97.07</v>
      </c>
      <c r="I1268" s="8">
        <v>160.72</v>
      </c>
      <c r="J1268" s="8">
        <v>57.65</v>
      </c>
      <c r="K1268" s="268">
        <v>0.28649999999999998</v>
      </c>
      <c r="L1268" s="268">
        <v>0.1905</v>
      </c>
      <c r="M1268" s="268">
        <v>-2.0899999999999998E-2</v>
      </c>
      <c r="N1268" s="8">
        <v>796.77</v>
      </c>
      <c r="O1268" s="8">
        <v>5902.48</v>
      </c>
      <c r="P1268" s="268">
        <v>0.13500000000000001</v>
      </c>
      <c r="Q1268" s="8">
        <v>369</v>
      </c>
      <c r="R1268" s="8" t="s">
        <v>3969</v>
      </c>
      <c r="S1268" s="8" t="s">
        <v>8356</v>
      </c>
      <c r="T1268" s="8" t="s">
        <v>8357</v>
      </c>
      <c r="U1268" s="8" t="s">
        <v>8358</v>
      </c>
      <c r="V1268" s="8" t="s">
        <v>8359</v>
      </c>
      <c r="W1268" s="8" t="s">
        <v>8360</v>
      </c>
    </row>
    <row r="1269" spans="1:23" ht="28" customHeight="1" x14ac:dyDescent="0.3">
      <c r="A1269" s="308">
        <v>44389</v>
      </c>
      <c r="B1269" s="302">
        <v>1712.1189999999999</v>
      </c>
      <c r="C1269" s="8">
        <v>21.655000000000001</v>
      </c>
      <c r="D1269" s="268">
        <v>1.2800000000000001E-2</v>
      </c>
      <c r="E1269" s="8">
        <v>73.2</v>
      </c>
      <c r="F1269" s="8">
        <v>130.749</v>
      </c>
      <c r="G1269" s="8">
        <v>114.87</v>
      </c>
      <c r="H1269" s="8">
        <v>95.74</v>
      </c>
      <c r="I1269" s="8">
        <v>159.22</v>
      </c>
      <c r="J1269" s="8">
        <v>56.28</v>
      </c>
      <c r="K1269" s="268">
        <v>0.2848</v>
      </c>
      <c r="L1269" s="268">
        <v>0.1923</v>
      </c>
      <c r="M1269" s="268">
        <v>-1.8499999999999999E-2</v>
      </c>
      <c r="N1269" s="8">
        <v>706.01</v>
      </c>
      <c r="O1269" s="8">
        <v>5897.71</v>
      </c>
      <c r="P1269" s="268">
        <v>0.1197</v>
      </c>
      <c r="Q1269" s="8">
        <v>368</v>
      </c>
      <c r="R1269" s="8" t="s">
        <v>3486</v>
      </c>
      <c r="S1269" s="8" t="s">
        <v>6250</v>
      </c>
      <c r="T1269" s="8" t="s">
        <v>8361</v>
      </c>
      <c r="U1269" s="8" t="s">
        <v>8362</v>
      </c>
      <c r="V1269" s="8" t="s">
        <v>8363</v>
      </c>
      <c r="W1269" s="8" t="s">
        <v>8364</v>
      </c>
    </row>
    <row r="1270" spans="1:23" ht="28" customHeight="1" x14ac:dyDescent="0.3">
      <c r="A1270" s="308">
        <v>44386</v>
      </c>
      <c r="B1270" s="302">
        <v>1690.4639999999999</v>
      </c>
      <c r="C1270" s="8">
        <v>10.233000000000001</v>
      </c>
      <c r="D1270" s="268">
        <v>6.1000000000000004E-3</v>
      </c>
      <c r="E1270" s="8">
        <v>66.67</v>
      </c>
      <c r="F1270" s="8">
        <v>128.905</v>
      </c>
      <c r="G1270" s="8">
        <v>114.27800000000001</v>
      </c>
      <c r="H1270" s="8">
        <v>95.35</v>
      </c>
      <c r="I1270" s="8">
        <v>157.19</v>
      </c>
      <c r="J1270" s="8">
        <v>59.27</v>
      </c>
      <c r="K1270" s="268">
        <v>0.28289999999999998</v>
      </c>
      <c r="L1270" s="268">
        <v>0.1883</v>
      </c>
      <c r="M1270" s="268">
        <v>-1.5900000000000001E-2</v>
      </c>
      <c r="N1270" s="8">
        <v>706.07</v>
      </c>
      <c r="O1270" s="8">
        <v>5896.73</v>
      </c>
      <c r="P1270" s="268">
        <v>0.1197</v>
      </c>
      <c r="Q1270" s="8">
        <v>368</v>
      </c>
      <c r="R1270" s="8" t="s">
        <v>4121</v>
      </c>
      <c r="S1270" s="8" t="s">
        <v>8365</v>
      </c>
      <c r="T1270" s="8" t="s">
        <v>6808</v>
      </c>
      <c r="U1270" s="8" t="s">
        <v>8366</v>
      </c>
      <c r="V1270" s="8" t="s">
        <v>8367</v>
      </c>
      <c r="W1270" s="8" t="s">
        <v>8368</v>
      </c>
    </row>
    <row r="1271" spans="1:23" ht="28" customHeight="1" x14ac:dyDescent="0.3">
      <c r="A1271" s="308">
        <v>44385</v>
      </c>
      <c r="B1271" s="302">
        <v>1680.231</v>
      </c>
      <c r="C1271" s="8">
        <v>6.327</v>
      </c>
      <c r="D1271" s="268">
        <v>3.8E-3</v>
      </c>
      <c r="E1271" s="8">
        <v>63.79</v>
      </c>
      <c r="F1271" s="8">
        <v>127.92100000000001</v>
      </c>
      <c r="G1271" s="8">
        <v>113.17</v>
      </c>
      <c r="H1271" s="8">
        <v>94.46</v>
      </c>
      <c r="I1271" s="8">
        <v>156.47</v>
      </c>
      <c r="J1271" s="8">
        <v>59.06</v>
      </c>
      <c r="K1271" s="268">
        <v>0.28549999999999998</v>
      </c>
      <c r="L1271" s="268">
        <v>0.191</v>
      </c>
      <c r="M1271" s="268">
        <v>-1.43E-2</v>
      </c>
      <c r="N1271" s="8">
        <v>683.34</v>
      </c>
      <c r="O1271" s="8">
        <v>5865.1</v>
      </c>
      <c r="P1271" s="268">
        <v>0.11650000000000001</v>
      </c>
      <c r="Q1271" s="8">
        <v>367</v>
      </c>
      <c r="R1271" s="8" t="s">
        <v>8369</v>
      </c>
      <c r="S1271" s="8" t="s">
        <v>8370</v>
      </c>
      <c r="T1271" s="8" t="s">
        <v>8371</v>
      </c>
      <c r="U1271" s="8" t="s">
        <v>8372</v>
      </c>
      <c r="V1271" s="8" t="s">
        <v>8373</v>
      </c>
      <c r="W1271" s="8" t="s">
        <v>8374</v>
      </c>
    </row>
    <row r="1272" spans="1:23" ht="28" customHeight="1" x14ac:dyDescent="0.3">
      <c r="A1272" s="308">
        <v>44384</v>
      </c>
      <c r="B1272" s="302">
        <v>1673.904</v>
      </c>
      <c r="C1272" s="8">
        <v>17.786999999999999</v>
      </c>
      <c r="D1272" s="268">
        <v>1.0699999999999999E-2</v>
      </c>
      <c r="E1272" s="8">
        <v>62.81</v>
      </c>
      <c r="F1272" s="8">
        <v>127.41800000000001</v>
      </c>
      <c r="G1272" s="8">
        <v>113.578</v>
      </c>
      <c r="H1272" s="8">
        <v>95.48</v>
      </c>
      <c r="I1272" s="8">
        <v>154.97</v>
      </c>
      <c r="J1272" s="8">
        <v>54.12</v>
      </c>
      <c r="K1272" s="268">
        <v>0.27560000000000001</v>
      </c>
      <c r="L1272" s="268">
        <v>0.17630000000000001</v>
      </c>
      <c r="M1272" s="268">
        <v>-1.3599999999999999E-2</v>
      </c>
      <c r="N1272" s="8">
        <v>649.88</v>
      </c>
      <c r="O1272" s="8">
        <v>5868.86</v>
      </c>
      <c r="P1272" s="268">
        <v>0.11070000000000001</v>
      </c>
      <c r="Q1272" s="8">
        <v>367</v>
      </c>
      <c r="R1272" s="8" t="s">
        <v>7275</v>
      </c>
      <c r="S1272" s="8" t="s">
        <v>8375</v>
      </c>
      <c r="T1272" s="8" t="s">
        <v>8376</v>
      </c>
      <c r="U1272" s="8" t="s">
        <v>5478</v>
      </c>
      <c r="V1272" s="8" t="s">
        <v>8377</v>
      </c>
      <c r="W1272" s="8" t="s">
        <v>8378</v>
      </c>
    </row>
    <row r="1273" spans="1:23" ht="28" customHeight="1" x14ac:dyDescent="0.3">
      <c r="A1273" s="308">
        <v>44383</v>
      </c>
      <c r="B1273" s="302">
        <v>1656.117</v>
      </c>
      <c r="C1273" s="8">
        <v>1.125</v>
      </c>
      <c r="D1273" s="268">
        <v>6.9999999999999999E-4</v>
      </c>
      <c r="E1273" s="8">
        <v>59.24</v>
      </c>
      <c r="F1273" s="8">
        <v>125.752</v>
      </c>
      <c r="G1273" s="8">
        <v>112.3</v>
      </c>
      <c r="H1273" s="8">
        <v>94.89</v>
      </c>
      <c r="I1273" s="8">
        <v>153.36000000000001</v>
      </c>
      <c r="J1273" s="8">
        <v>55.74</v>
      </c>
      <c r="K1273" s="268">
        <v>0.27610000000000001</v>
      </c>
      <c r="L1273" s="268">
        <v>0.18740000000000001</v>
      </c>
      <c r="M1273" s="268">
        <v>-1.11E-2</v>
      </c>
      <c r="N1273" s="8">
        <v>598.07000000000005</v>
      </c>
      <c r="O1273" s="8">
        <v>5873.36</v>
      </c>
      <c r="P1273" s="268">
        <v>0.1018</v>
      </c>
      <c r="Q1273" s="8">
        <v>367</v>
      </c>
      <c r="R1273" s="8" t="s">
        <v>7956</v>
      </c>
      <c r="S1273" s="8" t="s">
        <v>8379</v>
      </c>
      <c r="T1273" s="8" t="s">
        <v>8380</v>
      </c>
      <c r="U1273" s="8" t="s">
        <v>8381</v>
      </c>
      <c r="V1273" s="8" t="s">
        <v>3146</v>
      </c>
      <c r="W1273" s="8" t="s">
        <v>8382</v>
      </c>
    </row>
    <row r="1274" spans="1:23" ht="28" customHeight="1" x14ac:dyDescent="0.3">
      <c r="A1274" s="308">
        <v>44382</v>
      </c>
      <c r="B1274" s="302">
        <v>1654.992</v>
      </c>
      <c r="C1274" s="8">
        <v>10.116</v>
      </c>
      <c r="D1274" s="268">
        <v>6.1000000000000004E-3</v>
      </c>
      <c r="E1274" s="8">
        <v>58.82</v>
      </c>
      <c r="F1274" s="8">
        <v>125.78100000000001</v>
      </c>
      <c r="G1274" s="8">
        <v>111.976</v>
      </c>
      <c r="H1274" s="8">
        <v>95.04</v>
      </c>
      <c r="I1274" s="8">
        <v>153.51</v>
      </c>
      <c r="J1274" s="8">
        <v>56.85</v>
      </c>
      <c r="K1274" s="268">
        <v>0.27729999999999999</v>
      </c>
      <c r="L1274" s="268">
        <v>0.18629999999999999</v>
      </c>
      <c r="M1274" s="268">
        <v>-1.0999999999999999E-2</v>
      </c>
      <c r="N1274" s="8">
        <v>573.04999999999995</v>
      </c>
      <c r="O1274" s="8">
        <v>5877.94</v>
      </c>
      <c r="P1274" s="268">
        <v>9.7500000000000003E-2</v>
      </c>
      <c r="Q1274" s="8">
        <v>368</v>
      </c>
      <c r="R1274" s="8" t="s">
        <v>5366</v>
      </c>
      <c r="S1274" s="8" t="s">
        <v>8383</v>
      </c>
      <c r="T1274" s="8" t="s">
        <v>8384</v>
      </c>
      <c r="U1274" s="8" t="s">
        <v>8385</v>
      </c>
      <c r="V1274" s="8" t="s">
        <v>8386</v>
      </c>
      <c r="W1274" s="8" t="s">
        <v>8387</v>
      </c>
    </row>
    <row r="1275" spans="1:23" ht="28" customHeight="1" x14ac:dyDescent="0.3">
      <c r="A1275" s="308">
        <v>44379</v>
      </c>
      <c r="B1275" s="302">
        <v>1644.876</v>
      </c>
      <c r="C1275" s="8">
        <v>-5.81</v>
      </c>
      <c r="D1275" s="268">
        <v>-3.5000000000000001E-3</v>
      </c>
      <c r="E1275" s="8">
        <v>55.2</v>
      </c>
      <c r="F1275" s="8">
        <v>124.877</v>
      </c>
      <c r="G1275" s="8">
        <v>112.026</v>
      </c>
      <c r="H1275" s="8">
        <v>93.93</v>
      </c>
      <c r="I1275" s="8">
        <v>153.47999999999999</v>
      </c>
      <c r="J1275" s="8">
        <v>61.29</v>
      </c>
      <c r="K1275" s="268">
        <v>0.28599999999999998</v>
      </c>
      <c r="L1275" s="268">
        <v>0.18859999999999999</v>
      </c>
      <c r="M1275" s="268">
        <v>-9.5999999999999992E-3</v>
      </c>
      <c r="N1275" s="8">
        <v>567.62</v>
      </c>
      <c r="O1275" s="8">
        <v>5881.97</v>
      </c>
      <c r="P1275" s="268">
        <v>9.6500000000000002E-2</v>
      </c>
      <c r="Q1275" s="8">
        <v>368</v>
      </c>
      <c r="R1275" s="8" t="s">
        <v>7175</v>
      </c>
      <c r="S1275" s="8" t="s">
        <v>8388</v>
      </c>
      <c r="T1275" s="8" t="s">
        <v>8389</v>
      </c>
      <c r="U1275" s="8" t="s">
        <v>8390</v>
      </c>
      <c r="V1275" s="8" t="s">
        <v>8391</v>
      </c>
      <c r="W1275" s="8" t="s">
        <v>8392</v>
      </c>
    </row>
    <row r="1276" spans="1:23" ht="28" customHeight="1" x14ac:dyDescent="0.3">
      <c r="A1276" s="308">
        <v>44378</v>
      </c>
      <c r="B1276" s="302">
        <v>1650.6859999999999</v>
      </c>
      <c r="C1276" s="8">
        <v>-7.0449999999999999</v>
      </c>
      <c r="D1276" s="268">
        <v>-4.1999999999999997E-3</v>
      </c>
      <c r="E1276" s="8">
        <v>59.09</v>
      </c>
      <c r="F1276" s="8">
        <v>125.449</v>
      </c>
      <c r="G1276" s="8">
        <v>112.419</v>
      </c>
      <c r="H1276" s="8">
        <v>94.55</v>
      </c>
      <c r="I1276" s="8">
        <v>153.88</v>
      </c>
      <c r="J1276" s="8">
        <v>60</v>
      </c>
      <c r="K1276" s="268">
        <v>0.2843</v>
      </c>
      <c r="L1276" s="268">
        <v>0.19070000000000001</v>
      </c>
      <c r="M1276" s="268">
        <v>-1.06E-2</v>
      </c>
      <c r="N1276" s="8">
        <v>505.54</v>
      </c>
      <c r="O1276" s="8">
        <v>5679.22</v>
      </c>
      <c r="P1276" s="268">
        <v>8.8999999999999996E-2</v>
      </c>
      <c r="Q1276" s="8">
        <v>366</v>
      </c>
      <c r="R1276" s="8" t="s">
        <v>8393</v>
      </c>
      <c r="S1276" s="8" t="s">
        <v>8394</v>
      </c>
      <c r="T1276" s="8" t="s">
        <v>7066</v>
      </c>
      <c r="U1276" s="8" t="s">
        <v>8395</v>
      </c>
      <c r="V1276" s="8" t="s">
        <v>8396</v>
      </c>
      <c r="W1276" s="8" t="s">
        <v>8397</v>
      </c>
    </row>
    <row r="1277" spans="1:23" ht="28" customHeight="1" x14ac:dyDescent="0.3">
      <c r="A1277" s="308">
        <v>44377</v>
      </c>
      <c r="B1277" s="302">
        <v>1657.731</v>
      </c>
      <c r="C1277" s="8">
        <v>1.954</v>
      </c>
      <c r="D1277" s="268">
        <v>1.1999999999999999E-3</v>
      </c>
      <c r="E1277" s="8">
        <v>62.09</v>
      </c>
      <c r="F1277" s="8">
        <v>125.98</v>
      </c>
      <c r="G1277" s="8">
        <v>112.41</v>
      </c>
      <c r="H1277" s="8">
        <v>95.91</v>
      </c>
      <c r="I1277" s="8">
        <v>153.13</v>
      </c>
      <c r="J1277" s="8">
        <v>52.99</v>
      </c>
      <c r="K1277" s="268">
        <v>0.27150000000000002</v>
      </c>
      <c r="L1277" s="268">
        <v>0.1736</v>
      </c>
      <c r="M1277" s="268">
        <v>-1.1599999999999999E-2</v>
      </c>
      <c r="N1277" s="8">
        <v>496.19</v>
      </c>
      <c r="O1277" s="8">
        <v>5653.49</v>
      </c>
      <c r="P1277" s="268">
        <v>8.7800000000000003E-2</v>
      </c>
      <c r="Q1277" s="8">
        <v>365</v>
      </c>
      <c r="R1277" s="8" t="s">
        <v>3982</v>
      </c>
      <c r="S1277" s="8" t="s">
        <v>8398</v>
      </c>
      <c r="T1277" s="8" t="s">
        <v>8399</v>
      </c>
      <c r="U1277" s="8" t="s">
        <v>8400</v>
      </c>
      <c r="V1277" s="8" t="s">
        <v>8401</v>
      </c>
      <c r="W1277" s="8" t="s">
        <v>8402</v>
      </c>
    </row>
    <row r="1278" spans="1:23" ht="28" customHeight="1" x14ac:dyDescent="0.3">
      <c r="A1278" s="308">
        <v>44376</v>
      </c>
      <c r="B1278" s="302">
        <v>1655.777</v>
      </c>
      <c r="C1278" s="8">
        <v>-7.5350000000000001</v>
      </c>
      <c r="D1278" s="268">
        <v>-4.4999999999999997E-3</v>
      </c>
      <c r="E1278" s="8">
        <v>60.19</v>
      </c>
      <c r="F1278" s="8">
        <v>125.72499999999999</v>
      </c>
      <c r="G1278" s="8">
        <v>112.1</v>
      </c>
      <c r="H1278" s="8">
        <v>94.78</v>
      </c>
      <c r="I1278" s="8">
        <v>153.65</v>
      </c>
      <c r="J1278" s="8">
        <v>58.33</v>
      </c>
      <c r="K1278" s="268">
        <v>0.27929999999999999</v>
      </c>
      <c r="L1278" s="268">
        <v>0.18490000000000001</v>
      </c>
      <c r="M1278" s="268">
        <v>-1.15E-2</v>
      </c>
      <c r="N1278" s="8">
        <v>483.54</v>
      </c>
      <c r="O1278" s="8">
        <v>5646.84</v>
      </c>
      <c r="P1278" s="268">
        <v>8.5599999999999996E-2</v>
      </c>
      <c r="Q1278" s="8">
        <v>364</v>
      </c>
      <c r="R1278" s="8" t="s">
        <v>8403</v>
      </c>
      <c r="S1278" s="8" t="s">
        <v>8404</v>
      </c>
      <c r="T1278" s="8" t="s">
        <v>8405</v>
      </c>
      <c r="U1278" s="8" t="s">
        <v>8406</v>
      </c>
      <c r="V1278" s="8" t="s">
        <v>8407</v>
      </c>
      <c r="W1278" s="8" t="s">
        <v>8408</v>
      </c>
    </row>
    <row r="1279" spans="1:23" ht="28" customHeight="1" x14ac:dyDescent="0.3">
      <c r="A1279" s="308">
        <v>44375</v>
      </c>
      <c r="B1279" s="302">
        <v>1663.3119999999999</v>
      </c>
      <c r="C1279" s="8">
        <v>8.5549999999999997</v>
      </c>
      <c r="D1279" s="268">
        <v>5.1999999999999998E-3</v>
      </c>
      <c r="E1279" s="8">
        <v>65.760000000000005</v>
      </c>
      <c r="F1279" s="8">
        <v>129.80000000000001</v>
      </c>
      <c r="G1279" s="8">
        <v>112.795</v>
      </c>
      <c r="H1279" s="8">
        <v>95.8</v>
      </c>
      <c r="I1279" s="8">
        <v>157.31</v>
      </c>
      <c r="J1279" s="8">
        <v>56.63</v>
      </c>
      <c r="K1279" s="268">
        <v>0.27510000000000001</v>
      </c>
      <c r="L1279" s="268">
        <v>0.1767</v>
      </c>
      <c r="M1279" s="268">
        <v>-1.2699999999999999E-2</v>
      </c>
      <c r="N1279" s="8">
        <v>491.8</v>
      </c>
      <c r="O1279" s="8">
        <v>5647.11</v>
      </c>
      <c r="P1279" s="268">
        <v>8.7099999999999997E-2</v>
      </c>
      <c r="Q1279" s="8">
        <v>364</v>
      </c>
      <c r="R1279" s="8" t="s">
        <v>2669</v>
      </c>
      <c r="S1279" s="8" t="s">
        <v>8409</v>
      </c>
      <c r="T1279" s="8" t="s">
        <v>8410</v>
      </c>
      <c r="U1279" s="8" t="s">
        <v>8411</v>
      </c>
      <c r="V1279" s="8" t="s">
        <v>8412</v>
      </c>
      <c r="W1279" s="8" t="s">
        <v>8413</v>
      </c>
    </row>
    <row r="1280" spans="1:23" ht="28" customHeight="1" x14ac:dyDescent="0.3">
      <c r="A1280" s="308">
        <v>44372</v>
      </c>
      <c r="B1280" s="302">
        <v>1654.7570000000001</v>
      </c>
      <c r="C1280" s="8">
        <v>4.1100000000000003</v>
      </c>
      <c r="D1280" s="268">
        <v>2.5000000000000001E-3</v>
      </c>
      <c r="E1280" s="8">
        <v>64.69</v>
      </c>
      <c r="F1280" s="8">
        <v>128.85900000000001</v>
      </c>
      <c r="G1280" s="8">
        <v>112.825</v>
      </c>
      <c r="H1280" s="8">
        <v>95.52</v>
      </c>
      <c r="I1280" s="8">
        <v>156.97999999999999</v>
      </c>
      <c r="J1280" s="8">
        <v>56.06</v>
      </c>
      <c r="K1280" s="268">
        <v>0.28120000000000001</v>
      </c>
      <c r="L1280" s="268">
        <v>0.1822</v>
      </c>
      <c r="M1280" s="268">
        <v>-1.18E-2</v>
      </c>
      <c r="N1280" s="8">
        <v>534.75</v>
      </c>
      <c r="O1280" s="8">
        <v>5660.52</v>
      </c>
      <c r="P1280" s="268">
        <v>9.4500000000000001E-2</v>
      </c>
      <c r="Q1280" s="8">
        <v>366</v>
      </c>
      <c r="R1280" s="8" t="s">
        <v>7953</v>
      </c>
      <c r="S1280" s="8" t="s">
        <v>8414</v>
      </c>
      <c r="T1280" s="8" t="s">
        <v>8415</v>
      </c>
      <c r="U1280" s="8" t="s">
        <v>8416</v>
      </c>
      <c r="V1280" s="8" t="s">
        <v>8417</v>
      </c>
      <c r="W1280" s="8" t="s">
        <v>8418</v>
      </c>
    </row>
    <row r="1281" spans="1:23" ht="28" customHeight="1" x14ac:dyDescent="0.3">
      <c r="A1281" s="308">
        <v>44371</v>
      </c>
      <c r="B1281" s="302">
        <v>1650.6469999999999</v>
      </c>
      <c r="C1281" s="8">
        <v>2.62</v>
      </c>
      <c r="D1281" s="268">
        <v>1.6000000000000001E-3</v>
      </c>
      <c r="E1281" s="8">
        <v>64.2</v>
      </c>
      <c r="F1281" s="8">
        <v>128.559</v>
      </c>
      <c r="G1281" s="8">
        <v>112.771</v>
      </c>
      <c r="H1281" s="8">
        <v>95.73</v>
      </c>
      <c r="I1281" s="8">
        <v>156.47</v>
      </c>
      <c r="J1281" s="8">
        <v>56.03</v>
      </c>
      <c r="K1281" s="268">
        <v>0.27910000000000001</v>
      </c>
      <c r="L1281" s="268">
        <v>0.18609999999999999</v>
      </c>
      <c r="M1281" s="268">
        <v>-1.1299999999999999E-2</v>
      </c>
      <c r="N1281" s="8">
        <v>578.94000000000005</v>
      </c>
      <c r="O1281" s="8">
        <v>5673.29</v>
      </c>
      <c r="P1281" s="268">
        <v>0.10199999999999999</v>
      </c>
      <c r="Q1281" s="8">
        <v>366</v>
      </c>
      <c r="R1281" s="8" t="s">
        <v>8419</v>
      </c>
      <c r="S1281" s="8" t="s">
        <v>8420</v>
      </c>
      <c r="T1281" s="8" t="s">
        <v>8421</v>
      </c>
      <c r="U1281" s="8" t="s">
        <v>7488</v>
      </c>
      <c r="V1281" s="8" t="s">
        <v>8422</v>
      </c>
      <c r="W1281" s="8" t="s">
        <v>8423</v>
      </c>
    </row>
    <row r="1282" spans="1:23" ht="28" customHeight="1" x14ac:dyDescent="0.3">
      <c r="A1282" s="308">
        <v>44370</v>
      </c>
      <c r="B1282" s="302">
        <v>1648.027</v>
      </c>
      <c r="C1282" s="8">
        <v>11.44</v>
      </c>
      <c r="D1282" s="268">
        <v>7.0000000000000001E-3</v>
      </c>
      <c r="E1282" s="8">
        <v>64.25</v>
      </c>
      <c r="F1282" s="8">
        <v>128.369</v>
      </c>
      <c r="G1282" s="8">
        <v>113.078</v>
      </c>
      <c r="H1282" s="8">
        <v>95.79</v>
      </c>
      <c r="I1282" s="8">
        <v>156.01</v>
      </c>
      <c r="J1282" s="8">
        <v>57.05</v>
      </c>
      <c r="K1282" s="268">
        <v>0.27639999999999998</v>
      </c>
      <c r="L1282" s="268">
        <v>0.18190000000000001</v>
      </c>
      <c r="M1282" s="268">
        <v>-1.06E-2</v>
      </c>
      <c r="N1282" s="8">
        <v>607.23</v>
      </c>
      <c r="O1282" s="8">
        <v>5686.03</v>
      </c>
      <c r="P1282" s="268">
        <v>0.10680000000000001</v>
      </c>
      <c r="Q1282" s="8">
        <v>366</v>
      </c>
      <c r="R1282" s="8" t="s">
        <v>8424</v>
      </c>
      <c r="S1282" s="8" t="s">
        <v>8425</v>
      </c>
      <c r="T1282" s="8" t="s">
        <v>8426</v>
      </c>
      <c r="U1282" s="8" t="s">
        <v>7880</v>
      </c>
      <c r="V1282" s="8" t="s">
        <v>8427</v>
      </c>
      <c r="W1282" s="8" t="s">
        <v>8428</v>
      </c>
    </row>
    <row r="1283" spans="1:23" ht="28" customHeight="1" x14ac:dyDescent="0.3">
      <c r="A1283" s="308">
        <v>44369</v>
      </c>
      <c r="B1283" s="302">
        <v>1636.587</v>
      </c>
      <c r="C1283" s="8">
        <v>11.973000000000001</v>
      </c>
      <c r="D1283" s="268">
        <v>7.4000000000000003E-3</v>
      </c>
      <c r="E1283" s="8">
        <v>60.38</v>
      </c>
      <c r="F1283" s="8">
        <v>126.935</v>
      </c>
      <c r="G1283" s="8">
        <v>112.81</v>
      </c>
      <c r="H1283" s="8">
        <v>94.89</v>
      </c>
      <c r="I1283" s="8">
        <v>154.75</v>
      </c>
      <c r="J1283" s="8">
        <v>56.63</v>
      </c>
      <c r="K1283" s="268">
        <v>0.2782</v>
      </c>
      <c r="L1283" s="268">
        <v>0.18640000000000001</v>
      </c>
      <c r="M1283" s="268">
        <v>-8.6E-3</v>
      </c>
      <c r="N1283" s="8">
        <v>573.4</v>
      </c>
      <c r="O1283" s="8">
        <v>5687.97</v>
      </c>
      <c r="P1283" s="268">
        <v>0.1008</v>
      </c>
      <c r="Q1283" s="8">
        <v>365</v>
      </c>
      <c r="R1283" s="8" t="s">
        <v>3997</v>
      </c>
      <c r="S1283" s="8" t="s">
        <v>8429</v>
      </c>
      <c r="T1283" s="8" t="s">
        <v>8430</v>
      </c>
      <c r="U1283" s="8" t="s">
        <v>8431</v>
      </c>
      <c r="V1283" s="8" t="s">
        <v>8432</v>
      </c>
      <c r="W1283" s="8" t="s">
        <v>8433</v>
      </c>
    </row>
    <row r="1284" spans="1:23" ht="28" customHeight="1" x14ac:dyDescent="0.3">
      <c r="A1284" s="308">
        <v>44368</v>
      </c>
      <c r="B1284" s="302">
        <v>1624.614</v>
      </c>
      <c r="C1284" s="8">
        <v>13.118</v>
      </c>
      <c r="D1284" s="268">
        <v>8.0999999999999996E-3</v>
      </c>
      <c r="E1284" s="8">
        <v>56.17</v>
      </c>
      <c r="F1284" s="8">
        <v>126.087</v>
      </c>
      <c r="G1284" s="8">
        <v>111.38</v>
      </c>
      <c r="H1284" s="8">
        <v>94.89</v>
      </c>
      <c r="I1284" s="8">
        <v>154.06</v>
      </c>
      <c r="J1284" s="8">
        <v>55.26</v>
      </c>
      <c r="K1284" s="268">
        <v>0.27979999999999999</v>
      </c>
      <c r="L1284" s="268">
        <v>0.1857</v>
      </c>
      <c r="M1284" s="268">
        <v>-6.8999999999999999E-3</v>
      </c>
      <c r="N1284" s="8">
        <v>526.91999999999996</v>
      </c>
      <c r="O1284" s="8">
        <v>5796.36</v>
      </c>
      <c r="P1284" s="268">
        <v>9.0899999999999995E-2</v>
      </c>
      <c r="Q1284" s="8">
        <v>365</v>
      </c>
      <c r="R1284" s="8" t="s">
        <v>7282</v>
      </c>
      <c r="S1284" s="8" t="s">
        <v>8434</v>
      </c>
      <c r="T1284" s="8" t="s">
        <v>8435</v>
      </c>
      <c r="U1284" s="8" t="s">
        <v>8436</v>
      </c>
      <c r="V1284" s="8" t="s">
        <v>8437</v>
      </c>
      <c r="W1284" s="8" t="s">
        <v>8438</v>
      </c>
    </row>
    <row r="1285" spans="1:23" ht="28" customHeight="1" x14ac:dyDescent="0.3">
      <c r="A1285" s="308">
        <v>44365</v>
      </c>
      <c r="B1285" s="302">
        <v>1611.4960000000001</v>
      </c>
      <c r="C1285" s="8">
        <v>7.06</v>
      </c>
      <c r="D1285" s="268">
        <v>4.4000000000000003E-3</v>
      </c>
      <c r="E1285" s="8">
        <v>53.09</v>
      </c>
      <c r="F1285" s="8">
        <v>124.962</v>
      </c>
      <c r="G1285" s="8">
        <v>110.77500000000001</v>
      </c>
      <c r="H1285" s="8">
        <v>93.61</v>
      </c>
      <c r="I1285" s="8">
        <v>153.28</v>
      </c>
      <c r="J1285" s="8">
        <v>55.2</v>
      </c>
      <c r="K1285" s="268">
        <v>0.28320000000000001</v>
      </c>
      <c r="L1285" s="268">
        <v>0.1913</v>
      </c>
      <c r="M1285" s="268">
        <v>-5.0000000000000001E-3</v>
      </c>
      <c r="N1285" s="8">
        <v>510.5</v>
      </c>
      <c r="O1285" s="8">
        <v>5797.85</v>
      </c>
      <c r="P1285" s="268">
        <v>8.8099999999999998E-2</v>
      </c>
      <c r="Q1285" s="8">
        <v>364</v>
      </c>
      <c r="R1285" s="8" t="s">
        <v>2466</v>
      </c>
      <c r="S1285" s="8" t="s">
        <v>4998</v>
      </c>
      <c r="T1285" s="8" t="s">
        <v>8439</v>
      </c>
      <c r="U1285" s="8" t="s">
        <v>8440</v>
      </c>
      <c r="V1285" s="8" t="s">
        <v>8441</v>
      </c>
      <c r="W1285" s="8" t="s">
        <v>8442</v>
      </c>
    </row>
    <row r="1286" spans="1:23" ht="28" customHeight="1" x14ac:dyDescent="0.3">
      <c r="A1286" s="308">
        <v>44364</v>
      </c>
      <c r="B1286" s="302">
        <v>1604.4359999999999</v>
      </c>
      <c r="C1286" s="8">
        <v>-1.2849999999999999</v>
      </c>
      <c r="D1286" s="268">
        <v>-8.0000000000000004E-4</v>
      </c>
      <c r="E1286" s="8">
        <v>50.45</v>
      </c>
      <c r="F1286" s="8">
        <v>124.27800000000001</v>
      </c>
      <c r="G1286" s="8">
        <v>110.79</v>
      </c>
      <c r="H1286" s="8">
        <v>93.29</v>
      </c>
      <c r="I1286" s="8">
        <v>153.31</v>
      </c>
      <c r="J1286" s="8">
        <v>56.07</v>
      </c>
      <c r="K1286" s="268">
        <v>0.2903</v>
      </c>
      <c r="L1286" s="268">
        <v>0.19739999999999999</v>
      </c>
      <c r="M1286" s="268">
        <v>-5.4999999999999997E-3</v>
      </c>
      <c r="N1286" s="8">
        <v>506.49</v>
      </c>
      <c r="O1286" s="8">
        <v>5794.99</v>
      </c>
      <c r="P1286" s="268">
        <v>8.7400000000000005E-2</v>
      </c>
      <c r="Q1286" s="8">
        <v>363</v>
      </c>
      <c r="R1286" s="8" t="s">
        <v>4028</v>
      </c>
      <c r="S1286" s="8" t="s">
        <v>8443</v>
      </c>
      <c r="T1286" s="8" t="s">
        <v>8444</v>
      </c>
      <c r="U1286" s="8" t="s">
        <v>8445</v>
      </c>
      <c r="V1286" s="8" t="s">
        <v>8446</v>
      </c>
      <c r="W1286" s="8" t="s">
        <v>8447</v>
      </c>
    </row>
    <row r="1287" spans="1:23" ht="28" customHeight="1" x14ac:dyDescent="0.3">
      <c r="A1287" s="308">
        <v>44363</v>
      </c>
      <c r="B1287" s="302">
        <v>1605.721</v>
      </c>
      <c r="C1287" s="8">
        <v>-18.648</v>
      </c>
      <c r="D1287" s="268">
        <v>-1.15E-2</v>
      </c>
      <c r="E1287" s="8">
        <v>52</v>
      </c>
      <c r="F1287" s="8">
        <v>124.35</v>
      </c>
      <c r="G1287" s="8">
        <v>111.6</v>
      </c>
      <c r="H1287" s="8">
        <v>92.77</v>
      </c>
      <c r="I1287" s="8">
        <v>154.13999999999999</v>
      </c>
      <c r="J1287" s="8">
        <v>62.67</v>
      </c>
      <c r="K1287" s="268">
        <v>0.2979</v>
      </c>
      <c r="L1287" s="268">
        <v>0.20200000000000001</v>
      </c>
      <c r="M1287" s="268">
        <v>-5.7999999999999996E-3</v>
      </c>
      <c r="N1287" s="8">
        <v>498.86</v>
      </c>
      <c r="O1287" s="8">
        <v>5802.25</v>
      </c>
      <c r="P1287" s="268">
        <v>8.5999999999999993E-2</v>
      </c>
      <c r="Q1287" s="8">
        <v>363</v>
      </c>
      <c r="R1287" s="8" t="s">
        <v>8448</v>
      </c>
      <c r="S1287" s="8" t="s">
        <v>8449</v>
      </c>
      <c r="T1287" s="8" t="s">
        <v>3220</v>
      </c>
      <c r="U1287" s="8" t="s">
        <v>8450</v>
      </c>
      <c r="V1287" s="8" t="s">
        <v>4763</v>
      </c>
      <c r="W1287" s="8" t="s">
        <v>8451</v>
      </c>
    </row>
    <row r="1288" spans="1:23" ht="28" customHeight="1" x14ac:dyDescent="0.3">
      <c r="A1288" s="308">
        <v>44362</v>
      </c>
      <c r="B1288" s="302">
        <v>1624.3689999999999</v>
      </c>
      <c r="C1288" s="8">
        <v>-11.83</v>
      </c>
      <c r="D1288" s="268">
        <v>-7.1999999999999998E-3</v>
      </c>
      <c r="E1288" s="8">
        <v>57.22</v>
      </c>
      <c r="F1288" s="8">
        <v>126.455</v>
      </c>
      <c r="G1288" s="8">
        <v>111.902</v>
      </c>
      <c r="H1288" s="8">
        <v>94.06</v>
      </c>
      <c r="I1288" s="8">
        <v>155.94</v>
      </c>
      <c r="J1288" s="8">
        <v>61.38</v>
      </c>
      <c r="K1288" s="268">
        <v>0.29480000000000001</v>
      </c>
      <c r="L1288" s="268">
        <v>0.19650000000000001</v>
      </c>
      <c r="M1288" s="268">
        <v>-7.9000000000000008E-3</v>
      </c>
      <c r="N1288" s="8">
        <v>476.19</v>
      </c>
      <c r="O1288" s="8">
        <v>5815.92</v>
      </c>
      <c r="P1288" s="268">
        <v>8.1900000000000001E-2</v>
      </c>
      <c r="Q1288" s="8">
        <v>364</v>
      </c>
      <c r="R1288" s="8" t="s">
        <v>8452</v>
      </c>
      <c r="S1288" s="8" t="s">
        <v>8453</v>
      </c>
      <c r="T1288" s="8" t="s">
        <v>8454</v>
      </c>
      <c r="U1288" s="8" t="s">
        <v>8455</v>
      </c>
      <c r="V1288" s="8" t="s">
        <v>8456</v>
      </c>
      <c r="W1288" s="8" t="s">
        <v>8457</v>
      </c>
    </row>
    <row r="1289" spans="1:23" ht="28" customHeight="1" x14ac:dyDescent="0.3">
      <c r="A1289" s="308">
        <v>44358</v>
      </c>
      <c r="B1289" s="302">
        <v>1636.1990000000001</v>
      </c>
      <c r="C1289" s="8">
        <v>-0.999</v>
      </c>
      <c r="D1289" s="268">
        <v>-5.9999999999999995E-4</v>
      </c>
      <c r="E1289" s="8">
        <v>63.04</v>
      </c>
      <c r="F1289" s="8">
        <v>127.39700000000001</v>
      </c>
      <c r="G1289" s="8">
        <v>113.032</v>
      </c>
      <c r="H1289" s="8">
        <v>93.3</v>
      </c>
      <c r="I1289" s="8">
        <v>156.59</v>
      </c>
      <c r="J1289" s="8">
        <v>59.79</v>
      </c>
      <c r="K1289" s="268">
        <v>0.29199999999999998</v>
      </c>
      <c r="L1289" s="268">
        <v>0.20730000000000001</v>
      </c>
      <c r="M1289" s="268">
        <v>-9.4000000000000004E-3</v>
      </c>
      <c r="N1289" s="8">
        <v>562.15</v>
      </c>
      <c r="O1289" s="8">
        <v>5815.4</v>
      </c>
      <c r="P1289" s="268">
        <v>9.6699999999999994E-2</v>
      </c>
      <c r="Q1289" s="8">
        <v>364</v>
      </c>
      <c r="R1289" s="8" t="s">
        <v>8458</v>
      </c>
      <c r="S1289" s="8" t="s">
        <v>8459</v>
      </c>
      <c r="T1289" s="8" t="s">
        <v>8460</v>
      </c>
      <c r="U1289" s="8" t="s">
        <v>8461</v>
      </c>
      <c r="V1289" s="8" t="s">
        <v>8462</v>
      </c>
      <c r="W1289" s="8" t="s">
        <v>8463</v>
      </c>
    </row>
    <row r="1290" spans="1:23" ht="28" customHeight="1" x14ac:dyDescent="0.3">
      <c r="A1290" s="308">
        <v>44357</v>
      </c>
      <c r="B1290" s="302">
        <v>1637.1980000000001</v>
      </c>
      <c r="C1290" s="8">
        <v>7.9349999999999996</v>
      </c>
      <c r="D1290" s="268">
        <v>4.8999999999999998E-3</v>
      </c>
      <c r="E1290" s="8">
        <v>64.540000000000006</v>
      </c>
      <c r="F1290" s="8">
        <v>127.40300000000001</v>
      </c>
      <c r="G1290" s="8">
        <v>112.771</v>
      </c>
      <c r="H1290" s="8">
        <v>93.73</v>
      </c>
      <c r="I1290" s="8">
        <v>155.72999999999999</v>
      </c>
      <c r="J1290" s="8">
        <v>54.66</v>
      </c>
      <c r="K1290" s="268">
        <v>0.2833</v>
      </c>
      <c r="L1290" s="268">
        <v>0.19839999999999999</v>
      </c>
      <c r="M1290" s="268">
        <v>-1.0500000000000001E-2</v>
      </c>
      <c r="N1290" s="8">
        <v>419.29</v>
      </c>
      <c r="O1290" s="8">
        <v>5821.88</v>
      </c>
      <c r="P1290" s="268">
        <v>7.1999999999999995E-2</v>
      </c>
      <c r="Q1290" s="8">
        <v>364</v>
      </c>
      <c r="R1290" s="8" t="s">
        <v>8393</v>
      </c>
      <c r="S1290" s="8" t="s">
        <v>8464</v>
      </c>
      <c r="T1290" s="8" t="s">
        <v>8465</v>
      </c>
      <c r="U1290" s="8" t="s">
        <v>8466</v>
      </c>
      <c r="V1290" s="8" t="s">
        <v>8467</v>
      </c>
      <c r="W1290" s="8" t="s">
        <v>8468</v>
      </c>
    </row>
    <row r="1291" spans="1:23" ht="28" customHeight="1" x14ac:dyDescent="0.3">
      <c r="A1291" s="308">
        <v>44356</v>
      </c>
      <c r="B1291" s="302">
        <v>1629.2629999999999</v>
      </c>
      <c r="C1291" s="8">
        <v>-0.24399999999999999</v>
      </c>
      <c r="D1291" s="268">
        <v>-1E-4</v>
      </c>
      <c r="E1291" s="8">
        <v>61.89</v>
      </c>
      <c r="F1291" s="8">
        <v>126.849</v>
      </c>
      <c r="G1291" s="8">
        <v>112.61</v>
      </c>
      <c r="H1291" s="8">
        <v>94.18</v>
      </c>
      <c r="I1291" s="8">
        <v>155.41999999999999</v>
      </c>
      <c r="J1291" s="8">
        <v>56.11</v>
      </c>
      <c r="K1291" s="268">
        <v>0.28570000000000001</v>
      </c>
      <c r="L1291" s="268">
        <v>0.1958</v>
      </c>
      <c r="M1291" s="268">
        <v>-9.5999999999999992E-3</v>
      </c>
      <c r="N1291" s="8">
        <v>405.46</v>
      </c>
      <c r="O1291" s="8">
        <v>5799.61</v>
      </c>
      <c r="P1291" s="268">
        <v>6.9900000000000004E-2</v>
      </c>
      <c r="Q1291" s="8">
        <v>363</v>
      </c>
      <c r="R1291" s="8" t="s">
        <v>6334</v>
      </c>
      <c r="S1291" s="8" t="s">
        <v>8469</v>
      </c>
      <c r="T1291" s="8" t="s">
        <v>8470</v>
      </c>
      <c r="U1291" s="8" t="s">
        <v>8471</v>
      </c>
      <c r="V1291" s="8" t="s">
        <v>8472</v>
      </c>
      <c r="W1291" s="8" t="s">
        <v>8473</v>
      </c>
    </row>
    <row r="1292" spans="1:23" ht="28" customHeight="1" x14ac:dyDescent="0.3">
      <c r="A1292" s="308">
        <v>44355</v>
      </c>
      <c r="B1292" s="302">
        <v>1629.5070000000001</v>
      </c>
      <c r="C1292" s="8">
        <v>-2.4809999999999999</v>
      </c>
      <c r="D1292" s="268">
        <v>-1.5E-3</v>
      </c>
      <c r="E1292" s="8">
        <v>60.7</v>
      </c>
      <c r="F1292" s="8">
        <v>126.99</v>
      </c>
      <c r="G1292" s="8">
        <v>112.5</v>
      </c>
      <c r="H1292" s="8">
        <v>93.28</v>
      </c>
      <c r="I1292" s="8">
        <v>156.13999999999999</v>
      </c>
      <c r="J1292" s="8">
        <v>57.57</v>
      </c>
      <c r="K1292" s="268">
        <v>0.29149999999999998</v>
      </c>
      <c r="L1292" s="268">
        <v>0.1991</v>
      </c>
      <c r="M1292" s="268">
        <v>-9.7000000000000003E-3</v>
      </c>
      <c r="N1292" s="8">
        <v>418.36</v>
      </c>
      <c r="O1292" s="8">
        <v>5803.81</v>
      </c>
      <c r="P1292" s="268">
        <v>7.2099999999999997E-2</v>
      </c>
      <c r="Q1292" s="8">
        <v>363</v>
      </c>
      <c r="R1292" s="8" t="s">
        <v>8474</v>
      </c>
      <c r="S1292" s="8" t="s">
        <v>8475</v>
      </c>
      <c r="T1292" s="8" t="s">
        <v>8476</v>
      </c>
      <c r="U1292" s="8" t="s">
        <v>8477</v>
      </c>
      <c r="V1292" s="8" t="s">
        <v>8478</v>
      </c>
      <c r="W1292" s="8" t="s">
        <v>8479</v>
      </c>
    </row>
    <row r="1293" spans="1:23" ht="28" customHeight="1" x14ac:dyDescent="0.3">
      <c r="A1293" s="308">
        <v>44354</v>
      </c>
      <c r="B1293" s="302">
        <v>1631.9880000000001</v>
      </c>
      <c r="C1293" s="8">
        <v>1.4019999999999999</v>
      </c>
      <c r="D1293" s="268">
        <v>8.9999999999999998E-4</v>
      </c>
      <c r="E1293" s="8">
        <v>63.8</v>
      </c>
      <c r="F1293" s="8">
        <v>127.402</v>
      </c>
      <c r="G1293" s="8">
        <v>112.13</v>
      </c>
      <c r="H1293" s="8">
        <v>93.79</v>
      </c>
      <c r="I1293" s="8">
        <v>156.55000000000001</v>
      </c>
      <c r="J1293" s="8">
        <v>57.09</v>
      </c>
      <c r="K1293" s="268">
        <v>0.29149999999999998</v>
      </c>
      <c r="L1293" s="268">
        <v>0.20319999999999999</v>
      </c>
      <c r="M1293" s="268">
        <v>-1.01E-2</v>
      </c>
      <c r="N1293" s="8">
        <v>414.57</v>
      </c>
      <c r="O1293" s="8">
        <v>5806.93</v>
      </c>
      <c r="P1293" s="268">
        <v>7.1400000000000005E-2</v>
      </c>
      <c r="Q1293" s="8">
        <v>363</v>
      </c>
      <c r="R1293" s="8" t="s">
        <v>8480</v>
      </c>
      <c r="S1293" s="8" t="s">
        <v>8481</v>
      </c>
      <c r="T1293" s="8" t="s">
        <v>8482</v>
      </c>
      <c r="U1293" s="8" t="s">
        <v>8483</v>
      </c>
      <c r="V1293" s="8" t="s">
        <v>6468</v>
      </c>
      <c r="W1293" s="8" t="s">
        <v>8484</v>
      </c>
    </row>
    <row r="1294" spans="1:23" ht="28" customHeight="1" x14ac:dyDescent="0.3">
      <c r="A1294" s="308">
        <v>44351</v>
      </c>
      <c r="B1294" s="302">
        <v>1630.586</v>
      </c>
      <c r="C1294" s="8">
        <v>0.57099999999999995</v>
      </c>
      <c r="D1294" s="268">
        <v>4.0000000000000002E-4</v>
      </c>
      <c r="E1294" s="8">
        <v>61.89</v>
      </c>
      <c r="F1294" s="8">
        <v>127.27</v>
      </c>
      <c r="G1294" s="8">
        <v>112.49</v>
      </c>
      <c r="H1294" s="8">
        <v>93.69</v>
      </c>
      <c r="I1294" s="8">
        <v>157.22999999999999</v>
      </c>
      <c r="J1294" s="8">
        <v>61.17</v>
      </c>
      <c r="K1294" s="268">
        <v>0.29959999999999998</v>
      </c>
      <c r="L1294" s="268">
        <v>0.2107</v>
      </c>
      <c r="M1294" s="268">
        <v>-9.7999999999999997E-3</v>
      </c>
      <c r="N1294" s="8">
        <v>500.84</v>
      </c>
      <c r="O1294" s="8">
        <v>5809.56</v>
      </c>
      <c r="P1294" s="268">
        <v>8.6199999999999999E-2</v>
      </c>
      <c r="Q1294" s="8">
        <v>363</v>
      </c>
      <c r="R1294" s="8" t="s">
        <v>8369</v>
      </c>
      <c r="S1294" s="8" t="s">
        <v>8485</v>
      </c>
      <c r="T1294" s="8" t="s">
        <v>8486</v>
      </c>
      <c r="U1294" s="8" t="s">
        <v>8487</v>
      </c>
      <c r="V1294" s="8" t="s">
        <v>8488</v>
      </c>
      <c r="W1294" s="8" t="s">
        <v>4234</v>
      </c>
    </row>
    <row r="1295" spans="1:23" ht="28" customHeight="1" x14ac:dyDescent="0.3">
      <c r="A1295" s="308">
        <v>44350</v>
      </c>
      <c r="B1295" s="302">
        <v>1630.0150000000001</v>
      </c>
      <c r="C1295" s="8">
        <v>1.3360000000000001</v>
      </c>
      <c r="D1295" s="268">
        <v>8.0000000000000004E-4</v>
      </c>
      <c r="E1295" s="8">
        <v>64.02</v>
      </c>
      <c r="F1295" s="8">
        <v>127.318</v>
      </c>
      <c r="G1295" s="8">
        <v>112.48</v>
      </c>
      <c r="H1295" s="8">
        <v>93.88</v>
      </c>
      <c r="I1295" s="8">
        <v>157.75</v>
      </c>
      <c r="J1295" s="8">
        <v>65.930000000000007</v>
      </c>
      <c r="K1295" s="268">
        <v>0.30430000000000001</v>
      </c>
      <c r="L1295" s="268">
        <v>0.2172</v>
      </c>
      <c r="M1295" s="268">
        <v>-9.7999999999999997E-3</v>
      </c>
      <c r="N1295" s="8">
        <v>444.91</v>
      </c>
      <c r="O1295" s="8">
        <v>5810</v>
      </c>
      <c r="P1295" s="268">
        <v>7.6600000000000001E-2</v>
      </c>
      <c r="Q1295" s="8">
        <v>363</v>
      </c>
      <c r="R1295" s="8" t="s">
        <v>7125</v>
      </c>
      <c r="S1295" s="8" t="s">
        <v>8489</v>
      </c>
      <c r="T1295" s="8" t="s">
        <v>8490</v>
      </c>
      <c r="U1295" s="8" t="s">
        <v>8491</v>
      </c>
      <c r="V1295" s="8" t="s">
        <v>8492</v>
      </c>
      <c r="W1295" s="8" t="s">
        <v>8493</v>
      </c>
    </row>
    <row r="1296" spans="1:23" ht="28" customHeight="1" x14ac:dyDescent="0.3">
      <c r="A1296" s="308">
        <v>44349</v>
      </c>
      <c r="B1296" s="302">
        <v>1628.6790000000001</v>
      </c>
      <c r="C1296" s="8">
        <v>-5.2450000000000001</v>
      </c>
      <c r="D1296" s="268">
        <v>-3.2000000000000002E-3</v>
      </c>
      <c r="E1296" s="8">
        <v>62.25</v>
      </c>
      <c r="F1296" s="8">
        <v>127.465</v>
      </c>
      <c r="G1296" s="8">
        <v>112.071</v>
      </c>
      <c r="H1296" s="8">
        <v>92.42</v>
      </c>
      <c r="I1296" s="8">
        <v>157.66</v>
      </c>
      <c r="J1296" s="8">
        <v>61.19</v>
      </c>
      <c r="K1296" s="268">
        <v>0.3019</v>
      </c>
      <c r="L1296" s="268">
        <v>0.21310000000000001</v>
      </c>
      <c r="M1296" s="268">
        <v>-9.7000000000000003E-3</v>
      </c>
      <c r="N1296" s="8">
        <v>482.59</v>
      </c>
      <c r="O1296" s="8">
        <v>5805.87</v>
      </c>
      <c r="P1296" s="268">
        <v>8.3099999999999993E-2</v>
      </c>
      <c r="Q1296" s="8">
        <v>362</v>
      </c>
      <c r="R1296" s="8" t="s">
        <v>8494</v>
      </c>
      <c r="S1296" s="8" t="s">
        <v>8495</v>
      </c>
      <c r="T1296" s="8" t="s">
        <v>8496</v>
      </c>
      <c r="U1296" s="8" t="s">
        <v>8497</v>
      </c>
      <c r="V1296" s="8" t="s">
        <v>6668</v>
      </c>
      <c r="W1296" s="8" t="s">
        <v>8498</v>
      </c>
    </row>
    <row r="1297" spans="1:23" ht="28" customHeight="1" x14ac:dyDescent="0.3">
      <c r="A1297" s="308">
        <v>44348</v>
      </c>
      <c r="B1297" s="302">
        <v>1633.924</v>
      </c>
      <c r="C1297" s="8">
        <v>2.7240000000000002</v>
      </c>
      <c r="D1297" s="268">
        <v>1.6999999999999999E-3</v>
      </c>
      <c r="E1297" s="8">
        <v>65.2</v>
      </c>
      <c r="F1297" s="8">
        <v>128.98400000000001</v>
      </c>
      <c r="G1297" s="8">
        <v>111.586</v>
      </c>
      <c r="H1297" s="8">
        <v>93.9</v>
      </c>
      <c r="I1297" s="8">
        <v>158.78</v>
      </c>
      <c r="J1297" s="8">
        <v>57.65</v>
      </c>
      <c r="K1297" s="268">
        <v>0.29799999999999999</v>
      </c>
      <c r="L1297" s="268">
        <v>0.2099</v>
      </c>
      <c r="M1297" s="268">
        <v>-1.03E-2</v>
      </c>
      <c r="N1297" s="8">
        <v>549.45000000000005</v>
      </c>
      <c r="O1297" s="8">
        <v>5833.38</v>
      </c>
      <c r="P1297" s="268">
        <v>9.4200000000000006E-2</v>
      </c>
      <c r="Q1297" s="8">
        <v>362</v>
      </c>
      <c r="R1297" s="8" t="s">
        <v>7287</v>
      </c>
      <c r="S1297" s="8" t="s">
        <v>8499</v>
      </c>
      <c r="T1297" s="8" t="s">
        <v>8500</v>
      </c>
      <c r="U1297" s="8" t="s">
        <v>8501</v>
      </c>
      <c r="V1297" s="8" t="s">
        <v>8502</v>
      </c>
      <c r="W1297" s="8" t="s">
        <v>8503</v>
      </c>
    </row>
    <row r="1298" spans="1:23" ht="28" customHeight="1" x14ac:dyDescent="0.3">
      <c r="A1298" s="308">
        <v>44347</v>
      </c>
      <c r="B1298" s="302">
        <v>1631.2</v>
      </c>
      <c r="C1298" s="8">
        <v>9.1159999999999997</v>
      </c>
      <c r="D1298" s="268">
        <v>5.5999999999999999E-3</v>
      </c>
      <c r="E1298" s="8">
        <v>64.510000000000005</v>
      </c>
      <c r="F1298" s="8">
        <v>128.78</v>
      </c>
      <c r="G1298" s="8">
        <v>111.7</v>
      </c>
      <c r="H1298" s="8">
        <v>93.98</v>
      </c>
      <c r="I1298" s="8">
        <v>159.16999999999999</v>
      </c>
      <c r="J1298" s="8">
        <v>61.25</v>
      </c>
      <c r="K1298" s="268">
        <v>0.3039</v>
      </c>
      <c r="L1298" s="268">
        <v>0.21310000000000001</v>
      </c>
      <c r="M1298" s="268">
        <v>-1.01E-2</v>
      </c>
      <c r="N1298" s="8">
        <v>525</v>
      </c>
      <c r="O1298" s="8">
        <v>5804.68</v>
      </c>
      <c r="P1298" s="268">
        <v>9.0399999999999994E-2</v>
      </c>
      <c r="Q1298" s="8">
        <v>361</v>
      </c>
      <c r="R1298" s="8" t="s">
        <v>8504</v>
      </c>
      <c r="S1298" s="8" t="s">
        <v>8505</v>
      </c>
      <c r="T1298" s="8" t="s">
        <v>8506</v>
      </c>
      <c r="U1298" s="8" t="s">
        <v>8507</v>
      </c>
      <c r="V1298" s="8" t="s">
        <v>8508</v>
      </c>
      <c r="W1298" s="8" t="s">
        <v>8509</v>
      </c>
    </row>
    <row r="1299" spans="1:23" ht="28" customHeight="1" x14ac:dyDescent="0.3">
      <c r="A1299" s="308">
        <v>44344</v>
      </c>
      <c r="B1299" s="302">
        <v>1622.0840000000001</v>
      </c>
      <c r="C1299" s="8">
        <v>-1.9</v>
      </c>
      <c r="D1299" s="268">
        <v>-1.1999999999999999E-3</v>
      </c>
      <c r="E1299" s="8">
        <v>62.05</v>
      </c>
      <c r="F1299" s="8">
        <v>127.85899999999999</v>
      </c>
      <c r="G1299" s="8">
        <v>111.11</v>
      </c>
      <c r="H1299" s="8">
        <v>92.59</v>
      </c>
      <c r="I1299" s="8">
        <v>159.08000000000001</v>
      </c>
      <c r="J1299" s="8">
        <v>64.540000000000006</v>
      </c>
      <c r="K1299" s="268">
        <v>0.31219999999999998</v>
      </c>
      <c r="L1299" s="268">
        <v>0.21859999999999999</v>
      </c>
      <c r="M1299" s="268">
        <v>-8.8000000000000005E-3</v>
      </c>
      <c r="N1299" s="8">
        <v>572.79999999999995</v>
      </c>
      <c r="O1299" s="8">
        <v>5822.6</v>
      </c>
      <c r="P1299" s="268">
        <v>9.8400000000000001E-2</v>
      </c>
      <c r="Q1299" s="8">
        <v>361</v>
      </c>
      <c r="R1299" s="8" t="s">
        <v>8504</v>
      </c>
      <c r="S1299" s="8" t="s">
        <v>8510</v>
      </c>
      <c r="T1299" s="8" t="s">
        <v>5664</v>
      </c>
      <c r="U1299" s="8" t="s">
        <v>8511</v>
      </c>
      <c r="V1299" s="8" t="s">
        <v>8512</v>
      </c>
      <c r="W1299" s="8" t="s">
        <v>8513</v>
      </c>
    </row>
    <row r="1300" spans="1:23" ht="28" customHeight="1" x14ac:dyDescent="0.3">
      <c r="A1300" s="308">
        <v>44343</v>
      </c>
      <c r="B1300" s="302">
        <v>1623.9839999999999</v>
      </c>
      <c r="C1300" s="8">
        <v>8.1440000000000001</v>
      </c>
      <c r="D1300" s="268">
        <v>5.0000000000000001E-3</v>
      </c>
      <c r="E1300" s="8">
        <v>63.47</v>
      </c>
      <c r="F1300" s="8">
        <v>128.08199999999999</v>
      </c>
      <c r="G1300" s="8">
        <v>111.721</v>
      </c>
      <c r="H1300" s="8">
        <v>92.62</v>
      </c>
      <c r="I1300" s="8">
        <v>159.1</v>
      </c>
      <c r="J1300" s="8">
        <v>62.4</v>
      </c>
      <c r="K1300" s="268">
        <v>0.31019999999999998</v>
      </c>
      <c r="L1300" s="268">
        <v>0.21920000000000001</v>
      </c>
      <c r="M1300" s="268">
        <v>-9.1999999999999998E-3</v>
      </c>
      <c r="N1300" s="8">
        <v>625.63</v>
      </c>
      <c r="O1300" s="8">
        <v>5824.09</v>
      </c>
      <c r="P1300" s="268">
        <v>0.1074</v>
      </c>
      <c r="Q1300" s="8">
        <v>361</v>
      </c>
      <c r="R1300" s="8" t="s">
        <v>8514</v>
      </c>
      <c r="S1300" s="8" t="s">
        <v>8515</v>
      </c>
      <c r="T1300" s="8" t="s">
        <v>8516</v>
      </c>
      <c r="U1300" s="8" t="s">
        <v>8517</v>
      </c>
      <c r="V1300" s="8" t="s">
        <v>8518</v>
      </c>
      <c r="W1300" s="8" t="s">
        <v>7845</v>
      </c>
    </row>
    <row r="1301" spans="1:23" ht="28" customHeight="1" x14ac:dyDescent="0.3">
      <c r="A1301" s="308">
        <v>44342</v>
      </c>
      <c r="B1301" s="302">
        <v>1615.84</v>
      </c>
      <c r="C1301" s="8">
        <v>7.6070000000000002</v>
      </c>
      <c r="D1301" s="268">
        <v>4.7000000000000002E-3</v>
      </c>
      <c r="E1301" s="8">
        <v>61.99</v>
      </c>
      <c r="F1301" s="8">
        <v>127.408</v>
      </c>
      <c r="G1301" s="8">
        <v>111.3</v>
      </c>
      <c r="H1301" s="8">
        <v>92.44</v>
      </c>
      <c r="I1301" s="8">
        <v>158.65</v>
      </c>
      <c r="J1301" s="8">
        <v>62.15</v>
      </c>
      <c r="K1301" s="268">
        <v>0.31240000000000001</v>
      </c>
      <c r="L1301" s="268">
        <v>0.2137</v>
      </c>
      <c r="M1301" s="268">
        <v>-8.0999999999999996E-3</v>
      </c>
      <c r="N1301" s="8">
        <v>697.9</v>
      </c>
      <c r="O1301" s="8">
        <v>5825.75</v>
      </c>
      <c r="P1301" s="268">
        <v>0.1198</v>
      </c>
      <c r="Q1301" s="8">
        <v>361</v>
      </c>
      <c r="R1301" s="8" t="s">
        <v>8519</v>
      </c>
      <c r="S1301" s="8" t="s">
        <v>8520</v>
      </c>
      <c r="T1301" s="8" t="s">
        <v>8521</v>
      </c>
      <c r="U1301" s="8" t="s">
        <v>8522</v>
      </c>
      <c r="V1301" s="8" t="s">
        <v>8523</v>
      </c>
      <c r="W1301" s="8" t="s">
        <v>8101</v>
      </c>
    </row>
    <row r="1302" spans="1:23" ht="28" customHeight="1" x14ac:dyDescent="0.3">
      <c r="A1302" s="308">
        <v>44341</v>
      </c>
      <c r="B1302" s="302">
        <v>1608.2329999999999</v>
      </c>
      <c r="C1302" s="8">
        <v>5.258</v>
      </c>
      <c r="D1302" s="268">
        <v>3.3E-3</v>
      </c>
      <c r="E1302" s="8">
        <v>58.33</v>
      </c>
      <c r="F1302" s="8">
        <v>126.693</v>
      </c>
      <c r="G1302" s="8">
        <v>110.79</v>
      </c>
      <c r="H1302" s="8">
        <v>92.22</v>
      </c>
      <c r="I1302" s="8">
        <v>158.29</v>
      </c>
      <c r="J1302" s="8">
        <v>62.95</v>
      </c>
      <c r="K1302" s="268">
        <v>0.31590000000000001</v>
      </c>
      <c r="L1302" s="268">
        <v>0.214</v>
      </c>
      <c r="M1302" s="268">
        <v>-7.0000000000000001E-3</v>
      </c>
      <c r="N1302" s="8">
        <v>684.67</v>
      </c>
      <c r="O1302" s="8">
        <v>5826.21</v>
      </c>
      <c r="P1302" s="268">
        <v>0.11749999999999999</v>
      </c>
      <c r="Q1302" s="8">
        <v>361</v>
      </c>
      <c r="R1302" s="8" t="s">
        <v>8524</v>
      </c>
      <c r="S1302" s="8" t="s">
        <v>8525</v>
      </c>
      <c r="T1302" s="8" t="s">
        <v>8526</v>
      </c>
      <c r="U1302" s="8" t="s">
        <v>8527</v>
      </c>
      <c r="V1302" s="8" t="s">
        <v>8528</v>
      </c>
      <c r="W1302" s="8" t="s">
        <v>8529</v>
      </c>
    </row>
    <row r="1303" spans="1:23" ht="28" customHeight="1" x14ac:dyDescent="0.3">
      <c r="A1303" s="308">
        <v>44340</v>
      </c>
      <c r="B1303" s="302">
        <v>1602.9749999999999</v>
      </c>
      <c r="C1303" s="8">
        <v>7.0380000000000003</v>
      </c>
      <c r="D1303" s="268">
        <v>4.4000000000000003E-3</v>
      </c>
      <c r="E1303" s="8">
        <v>54.05</v>
      </c>
      <c r="F1303" s="8">
        <v>126.373</v>
      </c>
      <c r="G1303" s="8">
        <v>110.33199999999999</v>
      </c>
      <c r="H1303" s="8">
        <v>90.89</v>
      </c>
      <c r="I1303" s="8">
        <v>158.62</v>
      </c>
      <c r="J1303" s="8">
        <v>67.89</v>
      </c>
      <c r="K1303" s="268">
        <v>0.32250000000000001</v>
      </c>
      <c r="L1303" s="268">
        <v>0.2238</v>
      </c>
      <c r="M1303" s="268">
        <v>-6.3E-3</v>
      </c>
      <c r="N1303" s="8">
        <v>611</v>
      </c>
      <c r="O1303" s="8">
        <v>5820.54</v>
      </c>
      <c r="P1303" s="268">
        <v>0.105</v>
      </c>
      <c r="Q1303" s="8">
        <v>361</v>
      </c>
      <c r="R1303" s="8" t="s">
        <v>4051</v>
      </c>
      <c r="S1303" s="8" t="s">
        <v>8530</v>
      </c>
      <c r="T1303" s="8" t="s">
        <v>8531</v>
      </c>
      <c r="U1303" s="8" t="s">
        <v>8532</v>
      </c>
      <c r="V1303" s="8" t="s">
        <v>3284</v>
      </c>
      <c r="W1303" s="8" t="s">
        <v>8533</v>
      </c>
    </row>
    <row r="1304" spans="1:23" ht="28" customHeight="1" x14ac:dyDescent="0.3">
      <c r="A1304" s="308">
        <v>44337</v>
      </c>
      <c r="B1304" s="302">
        <v>1595.9369999999999</v>
      </c>
      <c r="C1304" s="8">
        <v>4.1230000000000002</v>
      </c>
      <c r="D1304" s="268">
        <v>2.5999999999999999E-3</v>
      </c>
      <c r="E1304" s="8">
        <v>52.42</v>
      </c>
      <c r="F1304" s="8">
        <v>125.94499999999999</v>
      </c>
      <c r="G1304" s="8">
        <v>109.86</v>
      </c>
      <c r="H1304" s="8">
        <v>90.49</v>
      </c>
      <c r="I1304" s="8">
        <v>158.62</v>
      </c>
      <c r="J1304" s="8">
        <v>70.19</v>
      </c>
      <c r="K1304" s="268">
        <v>0.32679999999999998</v>
      </c>
      <c r="L1304" s="268">
        <v>0.22309999999999999</v>
      </c>
      <c r="M1304" s="268">
        <v>-5.3E-3</v>
      </c>
      <c r="N1304" s="8">
        <v>738.45</v>
      </c>
      <c r="O1304" s="8">
        <v>5820.83</v>
      </c>
      <c r="P1304" s="268">
        <v>0.12690000000000001</v>
      </c>
      <c r="Q1304" s="8">
        <v>361</v>
      </c>
      <c r="R1304" s="8" t="s">
        <v>8534</v>
      </c>
      <c r="S1304" s="8" t="s">
        <v>8535</v>
      </c>
      <c r="T1304" s="8" t="s">
        <v>6941</v>
      </c>
      <c r="U1304" s="8" t="s">
        <v>2360</v>
      </c>
      <c r="V1304" s="8" t="s">
        <v>8536</v>
      </c>
      <c r="W1304" s="8" t="s">
        <v>8537</v>
      </c>
    </row>
    <row r="1305" spans="1:23" ht="28" customHeight="1" x14ac:dyDescent="0.3">
      <c r="A1305" s="308">
        <v>44336</v>
      </c>
      <c r="B1305" s="302">
        <v>1591.8140000000001</v>
      </c>
      <c r="C1305" s="8">
        <v>-4.6779999999999999</v>
      </c>
      <c r="D1305" s="268">
        <v>-2.8999999999999998E-3</v>
      </c>
      <c r="E1305" s="8">
        <v>52.56</v>
      </c>
      <c r="F1305" s="8">
        <v>125.70699999999999</v>
      </c>
      <c r="G1305" s="8">
        <v>109.88</v>
      </c>
      <c r="H1305" s="8">
        <v>91.29</v>
      </c>
      <c r="I1305" s="8">
        <v>158.08000000000001</v>
      </c>
      <c r="J1305" s="8">
        <v>67.349999999999994</v>
      </c>
      <c r="K1305" s="268">
        <v>0.32369999999999999</v>
      </c>
      <c r="L1305" s="268">
        <v>0.22</v>
      </c>
      <c r="M1305" s="268">
        <v>-4.7999999999999996E-3</v>
      </c>
      <c r="N1305" s="8">
        <v>784.79</v>
      </c>
      <c r="O1305" s="8">
        <v>5821.52</v>
      </c>
      <c r="P1305" s="268">
        <v>0.1348</v>
      </c>
      <c r="Q1305" s="8">
        <v>361</v>
      </c>
      <c r="R1305" s="8" t="s">
        <v>2471</v>
      </c>
      <c r="S1305" s="8" t="s">
        <v>8538</v>
      </c>
      <c r="T1305" s="8" t="s">
        <v>8539</v>
      </c>
      <c r="U1305" s="8" t="s">
        <v>3507</v>
      </c>
      <c r="V1305" s="8" t="s">
        <v>8540</v>
      </c>
      <c r="W1305" s="8" t="s">
        <v>8541</v>
      </c>
    </row>
    <row r="1306" spans="1:23" ht="28" customHeight="1" x14ac:dyDescent="0.3">
      <c r="A1306" s="308">
        <v>44335</v>
      </c>
      <c r="B1306" s="302">
        <v>1596.492</v>
      </c>
      <c r="C1306" s="8">
        <v>2.6459999999999999</v>
      </c>
      <c r="D1306" s="268">
        <v>1.6999999999999999E-3</v>
      </c>
      <c r="E1306" s="8">
        <v>51.25</v>
      </c>
      <c r="F1306" s="8">
        <v>126.367</v>
      </c>
      <c r="G1306" s="8">
        <v>109.66</v>
      </c>
      <c r="H1306" s="8">
        <v>90.88</v>
      </c>
      <c r="I1306" s="8">
        <v>159.02000000000001</v>
      </c>
      <c r="J1306" s="8">
        <v>69.42</v>
      </c>
      <c r="K1306" s="268">
        <v>0.3266</v>
      </c>
      <c r="L1306" s="268">
        <v>0.222</v>
      </c>
      <c r="M1306" s="268">
        <v>-5.5999999999999999E-3</v>
      </c>
      <c r="N1306" s="8">
        <v>816.26</v>
      </c>
      <c r="O1306" s="8">
        <v>5822.52</v>
      </c>
      <c r="P1306" s="268">
        <v>0.14019999999999999</v>
      </c>
      <c r="Q1306" s="8">
        <v>361</v>
      </c>
      <c r="R1306" s="8" t="s">
        <v>8542</v>
      </c>
      <c r="S1306" s="8" t="s">
        <v>8543</v>
      </c>
      <c r="T1306" s="8" t="s">
        <v>8544</v>
      </c>
      <c r="U1306" s="8" t="s">
        <v>5427</v>
      </c>
      <c r="V1306" s="8" t="s">
        <v>8545</v>
      </c>
      <c r="W1306" s="8" t="s">
        <v>8187</v>
      </c>
    </row>
    <row r="1307" spans="1:23" ht="28" customHeight="1" x14ac:dyDescent="0.3">
      <c r="A1307" s="308">
        <v>44334</v>
      </c>
      <c r="B1307" s="302">
        <v>1593.846</v>
      </c>
      <c r="C1307" s="8">
        <v>7.6139999999999999</v>
      </c>
      <c r="D1307" s="268">
        <v>4.7999999999999996E-3</v>
      </c>
      <c r="E1307" s="8">
        <v>51.53</v>
      </c>
      <c r="F1307" s="8">
        <v>126.19</v>
      </c>
      <c r="G1307" s="8">
        <v>109.595</v>
      </c>
      <c r="H1307" s="8">
        <v>90.99</v>
      </c>
      <c r="I1307" s="8">
        <v>158.59</v>
      </c>
      <c r="J1307" s="8">
        <v>66.67</v>
      </c>
      <c r="K1307" s="268">
        <v>0.32400000000000001</v>
      </c>
      <c r="L1307" s="268">
        <v>0.21590000000000001</v>
      </c>
      <c r="M1307" s="268">
        <v>-3.8E-3</v>
      </c>
      <c r="N1307" s="8">
        <v>803.28</v>
      </c>
      <c r="O1307" s="8">
        <v>5825.72</v>
      </c>
      <c r="P1307" s="268">
        <v>0.13789999999999999</v>
      </c>
      <c r="Q1307" s="8">
        <v>362</v>
      </c>
      <c r="R1307" s="8" t="s">
        <v>8546</v>
      </c>
      <c r="S1307" s="8" t="s">
        <v>8547</v>
      </c>
      <c r="T1307" s="8" t="s">
        <v>8548</v>
      </c>
      <c r="U1307" s="8" t="s">
        <v>8549</v>
      </c>
      <c r="V1307" s="8" t="s">
        <v>8550</v>
      </c>
      <c r="W1307" s="8" t="s">
        <v>8551</v>
      </c>
    </row>
    <row r="1308" spans="1:23" ht="28" customHeight="1" x14ac:dyDescent="0.3">
      <c r="A1308" s="308">
        <v>44333</v>
      </c>
      <c r="B1308" s="302">
        <v>1586.232</v>
      </c>
      <c r="C1308" s="8">
        <v>-5.1239999999999997</v>
      </c>
      <c r="D1308" s="268">
        <v>-3.2000000000000002E-3</v>
      </c>
      <c r="E1308" s="8">
        <v>49.59</v>
      </c>
      <c r="F1308" s="8">
        <v>125.69499999999999</v>
      </c>
      <c r="G1308" s="8">
        <v>109.289</v>
      </c>
      <c r="H1308" s="8">
        <v>91.13</v>
      </c>
      <c r="I1308" s="8">
        <v>157.69999999999999</v>
      </c>
      <c r="J1308" s="8">
        <v>62.46</v>
      </c>
      <c r="K1308" s="268">
        <v>0.32</v>
      </c>
      <c r="L1308" s="268">
        <v>0.20760000000000001</v>
      </c>
      <c r="M1308" s="268">
        <v>-3.8E-3</v>
      </c>
      <c r="N1308" s="8">
        <v>717.97</v>
      </c>
      <c r="O1308" s="8">
        <v>5826.26</v>
      </c>
      <c r="P1308" s="268">
        <v>0.1232</v>
      </c>
      <c r="Q1308" s="8">
        <v>362</v>
      </c>
      <c r="R1308" s="8" t="s">
        <v>8552</v>
      </c>
      <c r="S1308" s="8" t="s">
        <v>8553</v>
      </c>
      <c r="T1308" s="8" t="s">
        <v>8554</v>
      </c>
      <c r="U1308" s="8" t="s">
        <v>8555</v>
      </c>
      <c r="V1308" s="8" t="s">
        <v>8556</v>
      </c>
      <c r="W1308" s="8" t="s">
        <v>5032</v>
      </c>
    </row>
    <row r="1309" spans="1:23" ht="28" customHeight="1" x14ac:dyDescent="0.3">
      <c r="A1309" s="308">
        <v>44330</v>
      </c>
      <c r="B1309" s="302">
        <v>1591.356</v>
      </c>
      <c r="C1309" s="8">
        <v>6.0720000000000001</v>
      </c>
      <c r="D1309" s="268">
        <v>3.8E-3</v>
      </c>
      <c r="E1309" s="8">
        <v>51.85</v>
      </c>
      <c r="F1309" s="8">
        <v>125.913</v>
      </c>
      <c r="G1309" s="8">
        <v>109.328</v>
      </c>
      <c r="H1309" s="8">
        <v>92.16</v>
      </c>
      <c r="I1309" s="8">
        <v>157.19</v>
      </c>
      <c r="J1309" s="8">
        <v>59.42</v>
      </c>
      <c r="K1309" s="268">
        <v>0.31269999999999998</v>
      </c>
      <c r="L1309" s="268">
        <v>0.2026</v>
      </c>
      <c r="M1309" s="268">
        <v>-4.7999999999999996E-3</v>
      </c>
      <c r="N1309" s="8">
        <v>831.29</v>
      </c>
      <c r="O1309" s="8">
        <v>5818</v>
      </c>
      <c r="P1309" s="268">
        <v>0.1429</v>
      </c>
      <c r="Q1309" s="8">
        <v>361</v>
      </c>
      <c r="R1309" s="8" t="s">
        <v>8557</v>
      </c>
      <c r="S1309" s="8" t="s">
        <v>8558</v>
      </c>
      <c r="T1309" s="8" t="s">
        <v>8559</v>
      </c>
      <c r="U1309" s="8" t="s">
        <v>8560</v>
      </c>
      <c r="V1309" s="8" t="s">
        <v>8561</v>
      </c>
      <c r="W1309" s="8" t="s">
        <v>8562</v>
      </c>
    </row>
    <row r="1310" spans="1:23" ht="28" customHeight="1" x14ac:dyDescent="0.3">
      <c r="A1310" s="308">
        <v>44329</v>
      </c>
      <c r="B1310" s="302">
        <v>1585.2840000000001</v>
      </c>
      <c r="C1310" s="8">
        <v>-5.2009999999999996</v>
      </c>
      <c r="D1310" s="268">
        <v>-3.3E-3</v>
      </c>
      <c r="E1310" s="8">
        <v>50.38</v>
      </c>
      <c r="F1310" s="8">
        <v>125.506</v>
      </c>
      <c r="G1310" s="8">
        <v>109.3</v>
      </c>
      <c r="H1310" s="8">
        <v>91.44</v>
      </c>
      <c r="I1310" s="8">
        <v>158.13999999999999</v>
      </c>
      <c r="J1310" s="8">
        <v>68.540000000000006</v>
      </c>
      <c r="K1310" s="268">
        <v>0.32629999999999998</v>
      </c>
      <c r="L1310" s="268">
        <v>0.21709999999999999</v>
      </c>
      <c r="M1310" s="268">
        <v>-4.0000000000000001E-3</v>
      </c>
      <c r="N1310" s="8">
        <v>835.57</v>
      </c>
      <c r="O1310" s="8">
        <v>5820.6</v>
      </c>
      <c r="P1310" s="268">
        <v>0.14360000000000001</v>
      </c>
      <c r="Q1310" s="8">
        <v>361</v>
      </c>
      <c r="R1310" s="8" t="s">
        <v>8563</v>
      </c>
      <c r="S1310" s="8" t="s">
        <v>8564</v>
      </c>
      <c r="T1310" s="8" t="s">
        <v>8565</v>
      </c>
      <c r="U1310" s="8" t="s">
        <v>4863</v>
      </c>
      <c r="V1310" s="8" t="s">
        <v>8566</v>
      </c>
      <c r="W1310" s="8" t="s">
        <v>8567</v>
      </c>
    </row>
    <row r="1311" spans="1:23" ht="28" customHeight="1" x14ac:dyDescent="0.3">
      <c r="A1311" s="308">
        <v>44328</v>
      </c>
      <c r="B1311" s="302">
        <v>1590.4849999999999</v>
      </c>
      <c r="C1311" s="8">
        <v>2.9049999999999998</v>
      </c>
      <c r="D1311" s="268">
        <v>1.8E-3</v>
      </c>
      <c r="E1311" s="8">
        <v>49.67</v>
      </c>
      <c r="F1311" s="8">
        <v>126.319</v>
      </c>
      <c r="G1311" s="8">
        <v>109.34</v>
      </c>
      <c r="H1311" s="8">
        <v>91.3</v>
      </c>
      <c r="I1311" s="8">
        <v>158.72999999999999</v>
      </c>
      <c r="J1311" s="8">
        <v>65.010000000000005</v>
      </c>
      <c r="K1311" s="268">
        <v>0.3241</v>
      </c>
      <c r="L1311" s="268">
        <v>0.20899999999999999</v>
      </c>
      <c r="M1311" s="268">
        <v>-4.8999999999999998E-3</v>
      </c>
      <c r="N1311" s="8">
        <v>877.79</v>
      </c>
      <c r="O1311" s="8">
        <v>5707.4</v>
      </c>
      <c r="P1311" s="268">
        <v>0.15379999999999999</v>
      </c>
      <c r="Q1311" s="8">
        <v>358</v>
      </c>
      <c r="R1311" s="8" t="s">
        <v>8568</v>
      </c>
      <c r="S1311" s="8" t="s">
        <v>8569</v>
      </c>
      <c r="T1311" s="8" t="s">
        <v>8570</v>
      </c>
      <c r="U1311" s="8" t="s">
        <v>8571</v>
      </c>
      <c r="V1311" s="8" t="s">
        <v>8572</v>
      </c>
      <c r="W1311" s="8" t="s">
        <v>8573</v>
      </c>
    </row>
    <row r="1312" spans="1:23" ht="28" customHeight="1" x14ac:dyDescent="0.3">
      <c r="A1312" s="308">
        <v>44327</v>
      </c>
      <c r="B1312" s="302">
        <v>1587.58</v>
      </c>
      <c r="C1312" s="8">
        <v>9.4060000000000006</v>
      </c>
      <c r="D1312" s="268">
        <v>6.0000000000000001E-3</v>
      </c>
      <c r="E1312" s="8">
        <v>49.68</v>
      </c>
      <c r="F1312" s="8">
        <v>125.97</v>
      </c>
      <c r="G1312" s="8">
        <v>109.44199999999999</v>
      </c>
      <c r="H1312" s="8">
        <v>90.39</v>
      </c>
      <c r="I1312" s="8">
        <v>159.5</v>
      </c>
      <c r="J1312" s="8">
        <v>69.349999999999994</v>
      </c>
      <c r="K1312" s="268">
        <v>0.33529999999999999</v>
      </c>
      <c r="L1312" s="268">
        <v>0.21759999999999999</v>
      </c>
      <c r="M1312" s="268">
        <v>-4.7000000000000002E-3</v>
      </c>
      <c r="N1312" s="8">
        <v>1120.57</v>
      </c>
      <c r="O1312" s="8">
        <v>5720.19</v>
      </c>
      <c r="P1312" s="268">
        <v>0.19589999999999999</v>
      </c>
      <c r="Q1312" s="8">
        <v>358</v>
      </c>
      <c r="R1312" s="8" t="s">
        <v>8574</v>
      </c>
      <c r="S1312" s="8" t="s">
        <v>8575</v>
      </c>
      <c r="T1312" s="8" t="s">
        <v>8576</v>
      </c>
      <c r="U1312" s="8" t="s">
        <v>8577</v>
      </c>
      <c r="V1312" s="8" t="s">
        <v>8578</v>
      </c>
      <c r="W1312" s="8" t="s">
        <v>8579</v>
      </c>
    </row>
    <row r="1313" spans="1:23" ht="28" customHeight="1" x14ac:dyDescent="0.3">
      <c r="A1313" s="308">
        <v>44326</v>
      </c>
      <c r="B1313" s="302">
        <v>1578.174</v>
      </c>
      <c r="C1313" s="8">
        <v>23.353000000000002</v>
      </c>
      <c r="D1313" s="268">
        <v>1.4999999999999999E-2</v>
      </c>
      <c r="E1313" s="8">
        <v>44.65</v>
      </c>
      <c r="F1313" s="8">
        <v>125.667</v>
      </c>
      <c r="G1313" s="8">
        <v>108.18899999999999</v>
      </c>
      <c r="H1313" s="8">
        <v>90.34</v>
      </c>
      <c r="I1313" s="8">
        <v>158.56</v>
      </c>
      <c r="J1313" s="8">
        <v>69.510000000000005</v>
      </c>
      <c r="K1313" s="268">
        <v>0.32900000000000001</v>
      </c>
      <c r="L1313" s="268">
        <v>0.2175</v>
      </c>
      <c r="M1313" s="268">
        <v>-3.3E-3</v>
      </c>
      <c r="N1313" s="8">
        <v>860.62</v>
      </c>
      <c r="O1313" s="8">
        <v>5731.45</v>
      </c>
      <c r="P1313" s="268">
        <v>0.1502</v>
      </c>
      <c r="Q1313" s="8">
        <v>358</v>
      </c>
      <c r="R1313" s="8" t="s">
        <v>8574</v>
      </c>
      <c r="S1313" s="8" t="s">
        <v>8580</v>
      </c>
      <c r="T1313" s="8" t="s">
        <v>8581</v>
      </c>
      <c r="U1313" s="8" t="s">
        <v>8582</v>
      </c>
      <c r="V1313" s="8" t="s">
        <v>8583</v>
      </c>
      <c r="W1313" s="8" t="s">
        <v>8584</v>
      </c>
    </row>
    <row r="1314" spans="1:23" ht="28" customHeight="1" x14ac:dyDescent="0.3">
      <c r="A1314" s="308">
        <v>44323</v>
      </c>
      <c r="B1314" s="302">
        <v>1554.8209999999999</v>
      </c>
      <c r="C1314" s="8">
        <v>1.0880000000000001</v>
      </c>
      <c r="D1314" s="268">
        <v>6.9999999999999999E-4</v>
      </c>
      <c r="E1314" s="8">
        <v>41.07</v>
      </c>
      <c r="F1314" s="8">
        <v>123.461</v>
      </c>
      <c r="G1314" s="8">
        <v>107.759</v>
      </c>
      <c r="H1314" s="8">
        <v>90.53</v>
      </c>
      <c r="I1314" s="8">
        <v>154.32</v>
      </c>
      <c r="J1314" s="8">
        <v>64.540000000000006</v>
      </c>
      <c r="K1314" s="268">
        <v>0.30859999999999999</v>
      </c>
      <c r="L1314" s="268">
        <v>0.20480000000000001</v>
      </c>
      <c r="M1314" s="268">
        <v>1E-4</v>
      </c>
      <c r="N1314" s="8">
        <v>804.42</v>
      </c>
      <c r="O1314" s="8">
        <v>5697.41</v>
      </c>
      <c r="P1314" s="268">
        <v>0.14119999999999999</v>
      </c>
      <c r="Q1314" s="8">
        <v>356</v>
      </c>
      <c r="R1314" s="8" t="s">
        <v>8585</v>
      </c>
      <c r="S1314" s="8" t="s">
        <v>8586</v>
      </c>
      <c r="T1314" s="8" t="s">
        <v>8587</v>
      </c>
      <c r="U1314" s="8" t="s">
        <v>8588</v>
      </c>
      <c r="V1314" s="8" t="s">
        <v>8589</v>
      </c>
      <c r="W1314" s="8" t="s">
        <v>8590</v>
      </c>
    </row>
    <row r="1315" spans="1:23" ht="28" customHeight="1" x14ac:dyDescent="0.3">
      <c r="A1315" s="308">
        <v>44322</v>
      </c>
      <c r="B1315" s="302">
        <v>1553.7329999999999</v>
      </c>
      <c r="C1315" s="8">
        <v>9.9730000000000008</v>
      </c>
      <c r="D1315" s="268">
        <v>6.4999999999999997E-3</v>
      </c>
      <c r="E1315" s="8">
        <v>42</v>
      </c>
      <c r="F1315" s="8">
        <v>123.876</v>
      </c>
      <c r="G1315" s="8">
        <v>108.131</v>
      </c>
      <c r="H1315" s="8">
        <v>90.08</v>
      </c>
      <c r="I1315" s="8">
        <v>153.62</v>
      </c>
      <c r="J1315" s="8">
        <v>57.07</v>
      </c>
      <c r="K1315" s="268">
        <v>0.29749999999999999</v>
      </c>
      <c r="L1315" s="268">
        <v>0.19570000000000001</v>
      </c>
      <c r="M1315" s="268">
        <v>1E-4</v>
      </c>
      <c r="N1315" s="8">
        <v>618.13</v>
      </c>
      <c r="O1315" s="8">
        <v>5711.34</v>
      </c>
      <c r="P1315" s="268">
        <v>0.1082</v>
      </c>
      <c r="Q1315" s="8">
        <v>357</v>
      </c>
      <c r="R1315" s="8" t="s">
        <v>8591</v>
      </c>
      <c r="S1315" s="8" t="s">
        <v>8592</v>
      </c>
      <c r="T1315" s="8" t="s">
        <v>8593</v>
      </c>
      <c r="U1315" s="8" t="s">
        <v>8579</v>
      </c>
      <c r="V1315" s="8" t="s">
        <v>8594</v>
      </c>
      <c r="W1315" s="8" t="s">
        <v>8595</v>
      </c>
    </row>
    <row r="1316" spans="1:23" ht="28" customHeight="1" x14ac:dyDescent="0.3">
      <c r="A1316" s="308">
        <v>44316</v>
      </c>
      <c r="B1316" s="302">
        <v>1543.76</v>
      </c>
      <c r="C1316" s="8">
        <v>-1.7769999999999999</v>
      </c>
      <c r="D1316" s="268">
        <v>-1.1999999999999999E-3</v>
      </c>
      <c r="E1316" s="8">
        <v>40.44</v>
      </c>
      <c r="F1316" s="8">
        <v>123.223</v>
      </c>
      <c r="G1316" s="8">
        <v>107.896</v>
      </c>
      <c r="H1316" s="8">
        <v>89.75</v>
      </c>
      <c r="I1316" s="8">
        <v>152.51</v>
      </c>
      <c r="J1316" s="8">
        <v>52.19</v>
      </c>
      <c r="K1316" s="268">
        <v>0.2928</v>
      </c>
      <c r="L1316" s="268">
        <v>0.19239999999999999</v>
      </c>
      <c r="M1316" s="268">
        <v>1.6000000000000001E-3</v>
      </c>
      <c r="N1316" s="8">
        <v>702.58</v>
      </c>
      <c r="O1316" s="8">
        <v>5716.56</v>
      </c>
      <c r="P1316" s="268">
        <v>0.1229</v>
      </c>
      <c r="Q1316" s="8">
        <v>357</v>
      </c>
      <c r="R1316" s="8" t="s">
        <v>2348</v>
      </c>
      <c r="S1316" s="8" t="s">
        <v>6882</v>
      </c>
      <c r="T1316" s="8" t="s">
        <v>8596</v>
      </c>
      <c r="U1316" s="8" t="s">
        <v>8597</v>
      </c>
      <c r="V1316" s="8" t="s">
        <v>8598</v>
      </c>
      <c r="W1316" s="8" t="s">
        <v>8599</v>
      </c>
    </row>
    <row r="1317" spans="1:23" ht="28" customHeight="1" x14ac:dyDescent="0.3">
      <c r="A1317" s="308">
        <v>44315</v>
      </c>
      <c r="B1317" s="302">
        <v>1545.537</v>
      </c>
      <c r="C1317" s="8">
        <v>2.0219999999999998</v>
      </c>
      <c r="D1317" s="268">
        <v>1.2999999999999999E-3</v>
      </c>
      <c r="E1317" s="8">
        <v>42.73</v>
      </c>
      <c r="F1317" s="8">
        <v>123.318</v>
      </c>
      <c r="G1317" s="8">
        <v>107.655</v>
      </c>
      <c r="H1317" s="8">
        <v>91.03</v>
      </c>
      <c r="I1317" s="8">
        <v>151.85</v>
      </c>
      <c r="J1317" s="8">
        <v>50.87</v>
      </c>
      <c r="K1317" s="268">
        <v>0.28539999999999999</v>
      </c>
      <c r="L1317" s="268">
        <v>0.19109999999999999</v>
      </c>
      <c r="M1317" s="268">
        <v>8.0000000000000004E-4</v>
      </c>
      <c r="N1317" s="8">
        <v>707.16</v>
      </c>
      <c r="O1317" s="8">
        <v>5727.69</v>
      </c>
      <c r="P1317" s="268">
        <v>0.1235</v>
      </c>
      <c r="Q1317" s="8">
        <v>358</v>
      </c>
      <c r="R1317" s="8" t="s">
        <v>4081</v>
      </c>
      <c r="S1317" s="8" t="s">
        <v>8600</v>
      </c>
      <c r="T1317" s="8" t="s">
        <v>3468</v>
      </c>
      <c r="U1317" s="8" t="s">
        <v>8601</v>
      </c>
      <c r="V1317" s="8" t="s">
        <v>8602</v>
      </c>
      <c r="W1317" s="8" t="s">
        <v>8603</v>
      </c>
    </row>
    <row r="1318" spans="1:23" ht="28" customHeight="1" x14ac:dyDescent="0.3">
      <c r="A1318" s="308">
        <v>44314</v>
      </c>
      <c r="B1318" s="302">
        <v>1543.5150000000001</v>
      </c>
      <c r="C1318" s="8">
        <v>3.9569999999999999</v>
      </c>
      <c r="D1318" s="268">
        <v>2.5999999999999999E-3</v>
      </c>
      <c r="E1318" s="8">
        <v>39.659999999999997</v>
      </c>
      <c r="F1318" s="8">
        <v>123.126</v>
      </c>
      <c r="G1318" s="8">
        <v>108.05</v>
      </c>
      <c r="H1318" s="8">
        <v>91.61</v>
      </c>
      <c r="I1318" s="8">
        <v>151.37</v>
      </c>
      <c r="J1318" s="8">
        <v>50</v>
      </c>
      <c r="K1318" s="268">
        <v>0.28239999999999998</v>
      </c>
      <c r="L1318" s="268">
        <v>0.18490000000000001</v>
      </c>
      <c r="M1318" s="268">
        <v>1.1000000000000001E-3</v>
      </c>
      <c r="N1318" s="8">
        <v>655.36</v>
      </c>
      <c r="O1318" s="8">
        <v>5729.78</v>
      </c>
      <c r="P1318" s="268">
        <v>0.1144</v>
      </c>
      <c r="Q1318" s="8">
        <v>358</v>
      </c>
      <c r="R1318" s="8" t="s">
        <v>3433</v>
      </c>
      <c r="S1318" s="8" t="s">
        <v>6032</v>
      </c>
      <c r="T1318" s="8" t="s">
        <v>8604</v>
      </c>
      <c r="U1318" s="8" t="s">
        <v>8605</v>
      </c>
      <c r="V1318" s="8" t="s">
        <v>8606</v>
      </c>
      <c r="W1318" s="8" t="s">
        <v>8607</v>
      </c>
    </row>
    <row r="1319" spans="1:23" ht="28" customHeight="1" x14ac:dyDescent="0.3">
      <c r="A1319" s="308">
        <v>44313</v>
      </c>
      <c r="B1319" s="302">
        <v>1539.558</v>
      </c>
      <c r="C1319" s="8">
        <v>-3.2709999999999999</v>
      </c>
      <c r="D1319" s="268">
        <v>-2.0999999999999999E-3</v>
      </c>
      <c r="E1319" s="8">
        <v>39.229999999999997</v>
      </c>
      <c r="F1319" s="8">
        <v>123.083</v>
      </c>
      <c r="G1319" s="8">
        <v>107.86499999999999</v>
      </c>
      <c r="H1319" s="8">
        <v>91.99</v>
      </c>
      <c r="I1319" s="8">
        <v>151.41</v>
      </c>
      <c r="J1319" s="8">
        <v>52.47</v>
      </c>
      <c r="K1319" s="268">
        <v>0.28320000000000001</v>
      </c>
      <c r="L1319" s="268">
        <v>0.18029999999999999</v>
      </c>
      <c r="M1319" s="268">
        <v>1.6000000000000001E-3</v>
      </c>
      <c r="N1319" s="8">
        <v>687.96</v>
      </c>
      <c r="O1319" s="8">
        <v>5723.74</v>
      </c>
      <c r="P1319" s="268">
        <v>0.1202</v>
      </c>
      <c r="Q1319" s="8">
        <v>358</v>
      </c>
      <c r="R1319" s="8" t="s">
        <v>8608</v>
      </c>
      <c r="S1319" s="8" t="s">
        <v>8609</v>
      </c>
      <c r="T1319" s="8" t="s">
        <v>8610</v>
      </c>
      <c r="U1319" s="8" t="s">
        <v>8611</v>
      </c>
      <c r="V1319" s="8" t="s">
        <v>8612</v>
      </c>
      <c r="W1319" s="8" t="s">
        <v>8613</v>
      </c>
    </row>
    <row r="1320" spans="1:23" ht="28" customHeight="1" x14ac:dyDescent="0.3">
      <c r="A1320" s="308">
        <v>44312</v>
      </c>
      <c r="B1320" s="302">
        <v>1542.829</v>
      </c>
      <c r="C1320" s="8">
        <v>-1.0029999999999999</v>
      </c>
      <c r="D1320" s="268">
        <v>-6.9999999999999999E-4</v>
      </c>
      <c r="E1320" s="8">
        <v>44.97</v>
      </c>
      <c r="F1320" s="8">
        <v>123.611</v>
      </c>
      <c r="G1320" s="8">
        <v>108.238</v>
      </c>
      <c r="H1320" s="8">
        <v>92.08</v>
      </c>
      <c r="I1320" s="8">
        <v>151.61000000000001</v>
      </c>
      <c r="J1320" s="8">
        <v>52</v>
      </c>
      <c r="K1320" s="268">
        <v>0.27989999999999998</v>
      </c>
      <c r="L1320" s="268">
        <v>0.18540000000000001</v>
      </c>
      <c r="M1320" s="268">
        <v>1.1000000000000001E-3</v>
      </c>
      <c r="N1320" s="8">
        <v>630.87</v>
      </c>
      <c r="O1320" s="8">
        <v>5725.58</v>
      </c>
      <c r="P1320" s="268">
        <v>0.11020000000000001</v>
      </c>
      <c r="Q1320" s="8">
        <v>358</v>
      </c>
      <c r="R1320" s="8" t="s">
        <v>8614</v>
      </c>
      <c r="S1320" s="8" t="s">
        <v>8615</v>
      </c>
      <c r="T1320" s="8" t="s">
        <v>5799</v>
      </c>
      <c r="U1320" s="8" t="s">
        <v>8616</v>
      </c>
      <c r="V1320" s="8" t="s">
        <v>8617</v>
      </c>
      <c r="W1320" s="8" t="s">
        <v>8618</v>
      </c>
    </row>
    <row r="1321" spans="1:23" ht="28" customHeight="1" x14ac:dyDescent="0.3">
      <c r="A1321" s="308">
        <v>44309</v>
      </c>
      <c r="B1321" s="302">
        <v>1543.8320000000001</v>
      </c>
      <c r="C1321" s="8">
        <v>-2.8460000000000001</v>
      </c>
      <c r="D1321" s="268">
        <v>-1.8E-3</v>
      </c>
      <c r="E1321" s="8">
        <v>45.45</v>
      </c>
      <c r="F1321" s="8">
        <v>123.642</v>
      </c>
      <c r="G1321" s="8">
        <v>108.199</v>
      </c>
      <c r="H1321" s="8">
        <v>93.26</v>
      </c>
      <c r="I1321" s="8">
        <v>151.51</v>
      </c>
      <c r="J1321" s="8">
        <v>50</v>
      </c>
      <c r="K1321" s="268">
        <v>0.2787</v>
      </c>
      <c r="L1321" s="268">
        <v>0.18790000000000001</v>
      </c>
      <c r="M1321" s="268">
        <v>8.0000000000000004E-4</v>
      </c>
      <c r="N1321" s="8">
        <v>419.61</v>
      </c>
      <c r="O1321" s="8">
        <v>5444.86</v>
      </c>
      <c r="P1321" s="268">
        <v>7.7100000000000002E-2</v>
      </c>
      <c r="Q1321" s="8">
        <v>353</v>
      </c>
      <c r="R1321" s="8" t="s">
        <v>3723</v>
      </c>
      <c r="S1321" s="8" t="s">
        <v>8619</v>
      </c>
      <c r="T1321" s="8" t="s">
        <v>8620</v>
      </c>
      <c r="U1321" s="8" t="s">
        <v>8621</v>
      </c>
      <c r="V1321" s="8" t="s">
        <v>8622</v>
      </c>
      <c r="W1321" s="8" t="s">
        <v>8623</v>
      </c>
    </row>
    <row r="1322" spans="1:23" ht="28" customHeight="1" x14ac:dyDescent="0.3">
      <c r="A1322" s="308">
        <v>44308</v>
      </c>
      <c r="B1322" s="302">
        <v>1546.6780000000001</v>
      </c>
      <c r="C1322" s="8">
        <v>2.2549999999999999</v>
      </c>
      <c r="D1322" s="268">
        <v>1.5E-3</v>
      </c>
      <c r="E1322" s="8">
        <v>48.04</v>
      </c>
      <c r="F1322" s="8">
        <v>123.3</v>
      </c>
      <c r="G1322" s="8">
        <v>108.49</v>
      </c>
      <c r="H1322" s="8">
        <v>93.88</v>
      </c>
      <c r="I1322" s="8">
        <v>150.69999999999999</v>
      </c>
      <c r="J1322" s="8">
        <v>48.92</v>
      </c>
      <c r="K1322" s="268">
        <v>0.27400000000000002</v>
      </c>
      <c r="L1322" s="268">
        <v>0.182</v>
      </c>
      <c r="M1322" s="268">
        <v>2.9999999999999997E-4</v>
      </c>
      <c r="N1322" s="8">
        <v>411.3</v>
      </c>
      <c r="O1322" s="8">
        <v>5446.95</v>
      </c>
      <c r="P1322" s="268">
        <v>7.5499999999999998E-2</v>
      </c>
      <c r="Q1322" s="8">
        <v>353</v>
      </c>
      <c r="R1322" s="8" t="s">
        <v>5668</v>
      </c>
      <c r="S1322" s="8" t="s">
        <v>8624</v>
      </c>
      <c r="T1322" s="8" t="s">
        <v>6559</v>
      </c>
      <c r="U1322" s="8" t="s">
        <v>8625</v>
      </c>
      <c r="V1322" s="8" t="s">
        <v>8626</v>
      </c>
      <c r="W1322" s="8" t="s">
        <v>6165</v>
      </c>
    </row>
    <row r="1323" spans="1:23" ht="28" customHeight="1" x14ac:dyDescent="0.3">
      <c r="A1323" s="308">
        <v>44307</v>
      </c>
      <c r="B1323" s="302">
        <v>1544.423</v>
      </c>
      <c r="C1323" s="8">
        <v>-2.7850000000000001</v>
      </c>
      <c r="D1323" s="268">
        <v>-1.8E-3</v>
      </c>
      <c r="E1323" s="8">
        <v>48.7</v>
      </c>
      <c r="F1323" s="8">
        <v>123.274</v>
      </c>
      <c r="G1323" s="8">
        <v>108.51</v>
      </c>
      <c r="H1323" s="8">
        <v>93.56</v>
      </c>
      <c r="I1323" s="8">
        <v>151.06</v>
      </c>
      <c r="J1323" s="8">
        <v>48.59</v>
      </c>
      <c r="K1323" s="268">
        <v>0.27789999999999998</v>
      </c>
      <c r="L1323" s="268">
        <v>0.18310000000000001</v>
      </c>
      <c r="M1323" s="268">
        <v>5.9999999999999995E-4</v>
      </c>
      <c r="N1323" s="8">
        <v>359.64</v>
      </c>
      <c r="O1323" s="8">
        <v>5305.39</v>
      </c>
      <c r="P1323" s="268">
        <v>6.7799999999999999E-2</v>
      </c>
      <c r="Q1323" s="8">
        <v>351</v>
      </c>
      <c r="R1323" s="8" t="s">
        <v>8153</v>
      </c>
      <c r="S1323" s="8" t="s">
        <v>8627</v>
      </c>
      <c r="T1323" s="8" t="s">
        <v>8628</v>
      </c>
      <c r="U1323" s="8" t="s">
        <v>8629</v>
      </c>
      <c r="V1323" s="8" t="s">
        <v>8630</v>
      </c>
      <c r="W1323" s="8" t="s">
        <v>8631</v>
      </c>
    </row>
    <row r="1324" spans="1:23" ht="28" customHeight="1" x14ac:dyDescent="0.3">
      <c r="A1324" s="308">
        <v>44306</v>
      </c>
      <c r="B1324" s="302">
        <v>1547.2080000000001</v>
      </c>
      <c r="C1324" s="8">
        <v>3.7970000000000002</v>
      </c>
      <c r="D1324" s="268">
        <v>2.5000000000000001E-3</v>
      </c>
      <c r="E1324" s="8">
        <v>48.36</v>
      </c>
      <c r="F1324" s="8">
        <v>123.367</v>
      </c>
      <c r="G1324" s="8">
        <v>108.607</v>
      </c>
      <c r="H1324" s="8">
        <v>93.02</v>
      </c>
      <c r="I1324" s="8">
        <v>151.09</v>
      </c>
      <c r="J1324" s="8">
        <v>49.61</v>
      </c>
      <c r="K1324" s="268">
        <v>0.2772</v>
      </c>
      <c r="L1324" s="268">
        <v>0.18190000000000001</v>
      </c>
      <c r="M1324" s="268">
        <v>-1E-4</v>
      </c>
      <c r="N1324" s="8">
        <v>386.24</v>
      </c>
      <c r="O1324" s="8">
        <v>5303.48</v>
      </c>
      <c r="P1324" s="268">
        <v>7.2800000000000004E-2</v>
      </c>
      <c r="Q1324" s="8">
        <v>350</v>
      </c>
      <c r="R1324" s="8" t="s">
        <v>8632</v>
      </c>
      <c r="S1324" s="8" t="s">
        <v>4618</v>
      </c>
      <c r="T1324" s="8" t="s">
        <v>8633</v>
      </c>
      <c r="U1324" s="8" t="s">
        <v>8634</v>
      </c>
      <c r="V1324" s="8" t="s">
        <v>2364</v>
      </c>
      <c r="W1324" s="8" t="s">
        <v>8502</v>
      </c>
    </row>
    <row r="1325" spans="1:23" ht="28" customHeight="1" x14ac:dyDescent="0.3">
      <c r="A1325" s="308">
        <v>44305</v>
      </c>
      <c r="B1325" s="302">
        <v>1543.4110000000001</v>
      </c>
      <c r="C1325" s="8">
        <v>20.257999999999999</v>
      </c>
      <c r="D1325" s="268">
        <v>1.3299999999999999E-2</v>
      </c>
      <c r="E1325" s="8">
        <v>48.73</v>
      </c>
      <c r="F1325" s="8">
        <v>123.05500000000001</v>
      </c>
      <c r="G1325" s="8">
        <v>108.413</v>
      </c>
      <c r="H1325" s="8">
        <v>93.72</v>
      </c>
      <c r="I1325" s="8">
        <v>150.19999999999999</v>
      </c>
      <c r="J1325" s="8">
        <v>45.04</v>
      </c>
      <c r="K1325" s="268">
        <v>0.27150000000000002</v>
      </c>
      <c r="L1325" s="268">
        <v>0.1762</v>
      </c>
      <c r="M1325" s="268">
        <v>4.0000000000000002E-4</v>
      </c>
      <c r="N1325" s="8">
        <v>319.31</v>
      </c>
      <c r="O1325" s="8">
        <v>5284.65</v>
      </c>
      <c r="P1325" s="268">
        <v>6.0400000000000002E-2</v>
      </c>
      <c r="Q1325" s="8">
        <v>348</v>
      </c>
      <c r="R1325" s="8" t="s">
        <v>8635</v>
      </c>
      <c r="S1325" s="8" t="s">
        <v>8636</v>
      </c>
      <c r="T1325" s="8" t="s">
        <v>4566</v>
      </c>
      <c r="U1325" s="8" t="s">
        <v>8637</v>
      </c>
      <c r="V1325" s="8" t="s">
        <v>8638</v>
      </c>
      <c r="W1325" s="8" t="s">
        <v>8639</v>
      </c>
    </row>
    <row r="1326" spans="1:23" ht="28" customHeight="1" x14ac:dyDescent="0.3">
      <c r="A1326" s="308">
        <v>44302</v>
      </c>
      <c r="B1326" s="302">
        <v>1523.153</v>
      </c>
      <c r="C1326" s="8">
        <v>8.1059999999999999</v>
      </c>
      <c r="D1326" s="268">
        <v>5.4000000000000003E-3</v>
      </c>
      <c r="E1326" s="8">
        <v>39.549999999999997</v>
      </c>
      <c r="F1326" s="8">
        <v>121.21899999999999</v>
      </c>
      <c r="G1326" s="8">
        <v>107.45</v>
      </c>
      <c r="H1326" s="8">
        <v>92.82</v>
      </c>
      <c r="I1326" s="8">
        <v>148.86000000000001</v>
      </c>
      <c r="J1326" s="8">
        <v>46.15</v>
      </c>
      <c r="K1326" s="268">
        <v>0.27639999999999998</v>
      </c>
      <c r="L1326" s="268">
        <v>0.17399999999999999</v>
      </c>
      <c r="M1326" s="268">
        <v>3.3999999999999998E-3</v>
      </c>
      <c r="N1326" s="8">
        <v>247.07</v>
      </c>
      <c r="O1326" s="8">
        <v>5282.13</v>
      </c>
      <c r="P1326" s="268">
        <v>4.6800000000000001E-2</v>
      </c>
      <c r="Q1326" s="8">
        <v>347</v>
      </c>
      <c r="R1326" s="8" t="s">
        <v>8640</v>
      </c>
      <c r="S1326" s="8" t="s">
        <v>8503</v>
      </c>
      <c r="T1326" s="8" t="s">
        <v>8641</v>
      </c>
      <c r="U1326" s="8" t="s">
        <v>8642</v>
      </c>
      <c r="V1326" s="8" t="s">
        <v>8643</v>
      </c>
      <c r="W1326" s="8" t="s">
        <v>8644</v>
      </c>
    </row>
    <row r="1327" spans="1:23" ht="28" customHeight="1" x14ac:dyDescent="0.3">
      <c r="A1327" s="308">
        <v>44301</v>
      </c>
      <c r="B1327" s="302">
        <v>1515.047</v>
      </c>
      <c r="C1327" s="8">
        <v>-4.5739999999999998</v>
      </c>
      <c r="D1327" s="268">
        <v>-3.0000000000000001E-3</v>
      </c>
      <c r="E1327" s="8">
        <v>36</v>
      </c>
      <c r="F1327" s="8">
        <v>120.867</v>
      </c>
      <c r="G1327" s="8">
        <v>107.125</v>
      </c>
      <c r="H1327" s="8">
        <v>91.96</v>
      </c>
      <c r="I1327" s="8">
        <v>149.96</v>
      </c>
      <c r="J1327" s="8">
        <v>53.55</v>
      </c>
      <c r="K1327" s="268">
        <v>0.29089999999999999</v>
      </c>
      <c r="L1327" s="268">
        <v>0.18640000000000001</v>
      </c>
      <c r="M1327" s="268">
        <v>4.4999999999999997E-3</v>
      </c>
      <c r="N1327" s="8">
        <v>272.58999999999997</v>
      </c>
      <c r="O1327" s="8">
        <v>5217.09</v>
      </c>
      <c r="P1327" s="268">
        <v>5.2200000000000003E-2</v>
      </c>
      <c r="Q1327" s="8">
        <v>346</v>
      </c>
      <c r="R1327" s="8" t="s">
        <v>8645</v>
      </c>
      <c r="S1327" s="8" t="s">
        <v>8646</v>
      </c>
      <c r="T1327" s="8" t="s">
        <v>8647</v>
      </c>
      <c r="U1327" s="8" t="s">
        <v>2697</v>
      </c>
      <c r="V1327" s="8" t="s">
        <v>3694</v>
      </c>
      <c r="W1327" s="8" t="s">
        <v>8648</v>
      </c>
    </row>
    <row r="1328" spans="1:23" ht="28" customHeight="1" x14ac:dyDescent="0.3">
      <c r="A1328" s="308">
        <v>44300</v>
      </c>
      <c r="B1328" s="302">
        <v>1519.6210000000001</v>
      </c>
      <c r="C1328" s="8">
        <v>6.5519999999999996</v>
      </c>
      <c r="D1328" s="268">
        <v>4.3E-3</v>
      </c>
      <c r="E1328" s="8">
        <v>35.35</v>
      </c>
      <c r="F1328" s="8">
        <v>121.008</v>
      </c>
      <c r="G1328" s="8">
        <v>107.035</v>
      </c>
      <c r="H1328" s="8">
        <v>91.89</v>
      </c>
      <c r="I1328" s="8">
        <v>149.94</v>
      </c>
      <c r="J1328" s="8">
        <v>51.95</v>
      </c>
      <c r="K1328" s="268">
        <v>0.28939999999999999</v>
      </c>
      <c r="L1328" s="268">
        <v>0.1893</v>
      </c>
      <c r="M1328" s="268">
        <v>3.8999999999999998E-3</v>
      </c>
      <c r="N1328" s="8">
        <v>320.74</v>
      </c>
      <c r="O1328" s="8">
        <v>5277.31</v>
      </c>
      <c r="P1328" s="268">
        <v>6.08E-2</v>
      </c>
      <c r="Q1328" s="8">
        <v>346</v>
      </c>
      <c r="R1328" s="8" t="s">
        <v>6096</v>
      </c>
      <c r="S1328" s="8" t="s">
        <v>8649</v>
      </c>
      <c r="T1328" s="8" t="s">
        <v>8650</v>
      </c>
      <c r="U1328" s="8" t="s">
        <v>8651</v>
      </c>
      <c r="V1328" s="8" t="s">
        <v>8652</v>
      </c>
      <c r="W1328" s="8" t="s">
        <v>8653</v>
      </c>
    </row>
    <row r="1329" spans="1:23" ht="28" customHeight="1" x14ac:dyDescent="0.3">
      <c r="A1329" s="308">
        <v>44299</v>
      </c>
      <c r="B1329" s="302">
        <v>1513.069</v>
      </c>
      <c r="C1329" s="8">
        <v>-1.621</v>
      </c>
      <c r="D1329" s="268">
        <v>-1.1000000000000001E-3</v>
      </c>
      <c r="E1329" s="8">
        <v>33.33</v>
      </c>
      <c r="F1329" s="8">
        <v>120.58799999999999</v>
      </c>
      <c r="G1329" s="8">
        <v>106.858</v>
      </c>
      <c r="H1329" s="8">
        <v>90.75</v>
      </c>
      <c r="I1329" s="8">
        <v>150.66</v>
      </c>
      <c r="J1329" s="8">
        <v>55.75</v>
      </c>
      <c r="K1329" s="268">
        <v>0.30070000000000002</v>
      </c>
      <c r="L1329" s="268">
        <v>0.20449999999999999</v>
      </c>
      <c r="M1329" s="268">
        <v>4.8999999999999998E-3</v>
      </c>
      <c r="N1329" s="8">
        <v>252.15</v>
      </c>
      <c r="O1329" s="8">
        <v>5279.46</v>
      </c>
      <c r="P1329" s="268">
        <v>4.7800000000000002E-2</v>
      </c>
      <c r="Q1329" s="8">
        <v>346</v>
      </c>
      <c r="R1329" s="8" t="s">
        <v>8654</v>
      </c>
      <c r="S1329" s="8" t="s">
        <v>3007</v>
      </c>
      <c r="T1329" s="8" t="s">
        <v>8655</v>
      </c>
      <c r="U1329" s="8" t="s">
        <v>8656</v>
      </c>
      <c r="V1329" s="8" t="s">
        <v>8657</v>
      </c>
      <c r="W1329" s="8" t="s">
        <v>8658</v>
      </c>
    </row>
    <row r="1330" spans="1:23" ht="28" customHeight="1" x14ac:dyDescent="0.3">
      <c r="A1330" s="308">
        <v>44298</v>
      </c>
      <c r="B1330" s="302">
        <v>1514.69</v>
      </c>
      <c r="C1330" s="8">
        <v>-12.015000000000001</v>
      </c>
      <c r="D1330" s="268">
        <v>-7.9000000000000008E-3</v>
      </c>
      <c r="E1330" s="8">
        <v>36.090000000000003</v>
      </c>
      <c r="F1330" s="8">
        <v>120.63500000000001</v>
      </c>
      <c r="G1330" s="8">
        <v>107.206</v>
      </c>
      <c r="H1330" s="8">
        <v>91.71</v>
      </c>
      <c r="I1330" s="8">
        <v>149.94</v>
      </c>
      <c r="J1330" s="8">
        <v>57.97</v>
      </c>
      <c r="K1330" s="268">
        <v>0.29299999999999998</v>
      </c>
      <c r="L1330" s="268">
        <v>0.19470000000000001</v>
      </c>
      <c r="M1330" s="268">
        <v>4.5999999999999999E-3</v>
      </c>
      <c r="N1330" s="8">
        <v>231.31</v>
      </c>
      <c r="O1330" s="8">
        <v>5266</v>
      </c>
      <c r="P1330" s="268">
        <v>4.3900000000000002E-2</v>
      </c>
      <c r="Q1330" s="8">
        <v>345</v>
      </c>
      <c r="R1330" s="8" t="s">
        <v>8659</v>
      </c>
      <c r="S1330" s="8" t="s">
        <v>8193</v>
      </c>
      <c r="T1330" s="8" t="s">
        <v>8660</v>
      </c>
      <c r="U1330" s="8" t="s">
        <v>8661</v>
      </c>
      <c r="V1330" s="8" t="s">
        <v>8662</v>
      </c>
      <c r="W1330" s="8" t="s">
        <v>8663</v>
      </c>
    </row>
    <row r="1331" spans="1:23" ht="28" customHeight="1" x14ac:dyDescent="0.3">
      <c r="A1331" s="308">
        <v>44295</v>
      </c>
      <c r="B1331" s="302">
        <v>1526.7049999999999</v>
      </c>
      <c r="C1331" s="8">
        <v>0.36599999999999999</v>
      </c>
      <c r="D1331" s="268">
        <v>2.0000000000000001E-4</v>
      </c>
      <c r="E1331" s="8">
        <v>41.32</v>
      </c>
      <c r="F1331" s="8">
        <v>122.512</v>
      </c>
      <c r="G1331" s="8">
        <v>107.82</v>
      </c>
      <c r="H1331" s="8">
        <v>92.06</v>
      </c>
      <c r="I1331" s="8">
        <v>151.13999999999999</v>
      </c>
      <c r="J1331" s="8">
        <v>53.52</v>
      </c>
      <c r="K1331" s="268">
        <v>0.2863</v>
      </c>
      <c r="L1331" s="268">
        <v>0.19040000000000001</v>
      </c>
      <c r="M1331" s="268">
        <v>2.8E-3</v>
      </c>
      <c r="N1331" s="8">
        <v>255.14</v>
      </c>
      <c r="O1331" s="8">
        <v>5272.42</v>
      </c>
      <c r="P1331" s="268">
        <v>4.8399999999999999E-2</v>
      </c>
      <c r="Q1331" s="8">
        <v>345</v>
      </c>
      <c r="R1331" s="8" t="s">
        <v>8664</v>
      </c>
      <c r="S1331" s="8" t="s">
        <v>8665</v>
      </c>
      <c r="T1331" s="8" t="s">
        <v>6442</v>
      </c>
      <c r="U1331" s="8" t="s">
        <v>8666</v>
      </c>
      <c r="V1331" s="8" t="s">
        <v>8667</v>
      </c>
      <c r="W1331" s="8" t="s">
        <v>8668</v>
      </c>
    </row>
    <row r="1332" spans="1:23" ht="28" customHeight="1" x14ac:dyDescent="0.3">
      <c r="A1332" s="308">
        <v>44294</v>
      </c>
      <c r="B1332" s="302">
        <v>1526.3389999999999</v>
      </c>
      <c r="C1332" s="8">
        <v>2.1949999999999998</v>
      </c>
      <c r="D1332" s="268">
        <v>1.4E-3</v>
      </c>
      <c r="E1332" s="8">
        <v>39.869999999999997</v>
      </c>
      <c r="F1332" s="8">
        <v>122.527</v>
      </c>
      <c r="G1332" s="8">
        <v>107.851</v>
      </c>
      <c r="H1332" s="8">
        <v>91.3</v>
      </c>
      <c r="I1332" s="8">
        <v>151.28</v>
      </c>
      <c r="J1332" s="8">
        <v>53.7</v>
      </c>
      <c r="K1332" s="268">
        <v>0.28760000000000002</v>
      </c>
      <c r="L1332" s="268">
        <v>0.189</v>
      </c>
      <c r="M1332" s="268">
        <v>2.8E-3</v>
      </c>
      <c r="N1332" s="8">
        <v>286.76</v>
      </c>
      <c r="O1332" s="8">
        <v>5273.92</v>
      </c>
      <c r="P1332" s="268">
        <v>5.4399999999999997E-2</v>
      </c>
      <c r="Q1332" s="8">
        <v>345</v>
      </c>
      <c r="R1332" s="8" t="s">
        <v>8669</v>
      </c>
      <c r="S1332" s="8" t="s">
        <v>8670</v>
      </c>
      <c r="T1332" s="8" t="s">
        <v>8671</v>
      </c>
      <c r="U1332" s="8" t="s">
        <v>2360</v>
      </c>
      <c r="V1332" s="8" t="s">
        <v>3454</v>
      </c>
      <c r="W1332" s="8" t="s">
        <v>8672</v>
      </c>
    </row>
    <row r="1333" spans="1:23" ht="28" customHeight="1" x14ac:dyDescent="0.3">
      <c r="A1333" s="308">
        <v>44293</v>
      </c>
      <c r="B1333" s="302">
        <v>1524.144</v>
      </c>
      <c r="C1333" s="8">
        <v>1.2789999999999999</v>
      </c>
      <c r="D1333" s="268">
        <v>8.0000000000000004E-4</v>
      </c>
      <c r="E1333" s="8">
        <v>39.520000000000003</v>
      </c>
      <c r="F1333" s="8">
        <v>122.246</v>
      </c>
      <c r="G1333" s="8">
        <v>108.02</v>
      </c>
      <c r="H1333" s="8">
        <v>92.15</v>
      </c>
      <c r="I1333" s="8">
        <v>149.83000000000001</v>
      </c>
      <c r="J1333" s="8">
        <v>50.66</v>
      </c>
      <c r="K1333" s="268">
        <v>0.27589999999999998</v>
      </c>
      <c r="L1333" s="268">
        <v>0.1832</v>
      </c>
      <c r="M1333" s="268">
        <v>3.2000000000000002E-3</v>
      </c>
      <c r="N1333" s="8">
        <v>265.08999999999997</v>
      </c>
      <c r="O1333" s="8">
        <v>5275.89</v>
      </c>
      <c r="P1333" s="268">
        <v>5.0200000000000002E-2</v>
      </c>
      <c r="Q1333" s="8">
        <v>345</v>
      </c>
      <c r="R1333" s="8" t="s">
        <v>8673</v>
      </c>
      <c r="S1333" s="8" t="s">
        <v>8674</v>
      </c>
      <c r="T1333" s="8" t="s">
        <v>5680</v>
      </c>
      <c r="U1333" s="8" t="s">
        <v>8675</v>
      </c>
      <c r="V1333" s="8" t="s">
        <v>8676</v>
      </c>
      <c r="W1333" s="8" t="s">
        <v>8677</v>
      </c>
    </row>
    <row r="1334" spans="1:23" ht="28" customHeight="1" x14ac:dyDescent="0.3">
      <c r="A1334" s="308">
        <v>44292</v>
      </c>
      <c r="B1334" s="302">
        <v>1522.865</v>
      </c>
      <c r="C1334" s="8">
        <v>5.5229999999999997</v>
      </c>
      <c r="D1334" s="268">
        <v>3.5999999999999999E-3</v>
      </c>
      <c r="E1334" s="8">
        <v>40.74</v>
      </c>
      <c r="F1334" s="8">
        <v>122.175</v>
      </c>
      <c r="G1334" s="8">
        <v>107.75</v>
      </c>
      <c r="H1334" s="8">
        <v>91.99</v>
      </c>
      <c r="I1334" s="8">
        <v>150.21</v>
      </c>
      <c r="J1334" s="8">
        <v>50.63</v>
      </c>
      <c r="K1334" s="268">
        <v>0.28039999999999998</v>
      </c>
      <c r="L1334" s="268">
        <v>0.18640000000000001</v>
      </c>
      <c r="M1334" s="268">
        <v>3.3999999999999998E-3</v>
      </c>
      <c r="N1334" s="8">
        <v>252.89</v>
      </c>
      <c r="O1334" s="8">
        <v>5278.67</v>
      </c>
      <c r="P1334" s="268">
        <v>4.7899999999999998E-2</v>
      </c>
      <c r="Q1334" s="8">
        <v>345</v>
      </c>
      <c r="R1334" s="8" t="s">
        <v>6461</v>
      </c>
      <c r="S1334" s="8" t="s">
        <v>8678</v>
      </c>
      <c r="T1334" s="8" t="s">
        <v>8679</v>
      </c>
      <c r="U1334" s="8" t="s">
        <v>8680</v>
      </c>
      <c r="V1334" s="8" t="s">
        <v>8681</v>
      </c>
      <c r="W1334" s="8" t="s">
        <v>8682</v>
      </c>
    </row>
    <row r="1335" spans="1:23" ht="28" customHeight="1" x14ac:dyDescent="0.3">
      <c r="A1335" s="308">
        <v>44288</v>
      </c>
      <c r="B1335" s="302">
        <v>1517.3420000000001</v>
      </c>
      <c r="C1335" s="8">
        <v>1.728</v>
      </c>
      <c r="D1335" s="268">
        <v>1.1000000000000001E-3</v>
      </c>
      <c r="E1335" s="8">
        <v>39.6</v>
      </c>
      <c r="F1335" s="8">
        <v>121.774</v>
      </c>
      <c r="G1335" s="8">
        <v>107</v>
      </c>
      <c r="H1335" s="8">
        <v>90.72</v>
      </c>
      <c r="I1335" s="8">
        <v>150.74</v>
      </c>
      <c r="J1335" s="8">
        <v>54.71</v>
      </c>
      <c r="K1335" s="268">
        <v>0.28960000000000002</v>
      </c>
      <c r="L1335" s="268">
        <v>0.19739999999999999</v>
      </c>
      <c r="M1335" s="268">
        <v>4.1999999999999997E-3</v>
      </c>
      <c r="N1335" s="8">
        <v>283.87</v>
      </c>
      <c r="O1335" s="8">
        <v>5238.1400000000003</v>
      </c>
      <c r="P1335" s="268">
        <v>5.4199999999999998E-2</v>
      </c>
      <c r="Q1335" s="8">
        <v>343</v>
      </c>
      <c r="R1335" s="8" t="s">
        <v>2732</v>
      </c>
      <c r="S1335" s="8" t="s">
        <v>8683</v>
      </c>
      <c r="T1335" s="8" t="s">
        <v>8684</v>
      </c>
      <c r="U1335" s="8" t="s">
        <v>8685</v>
      </c>
      <c r="V1335" s="8" t="s">
        <v>8686</v>
      </c>
      <c r="W1335" s="8" t="s">
        <v>8687</v>
      </c>
    </row>
    <row r="1336" spans="1:23" ht="28" customHeight="1" x14ac:dyDescent="0.3">
      <c r="A1336" s="308">
        <v>44287</v>
      </c>
      <c r="B1336" s="302">
        <v>1515.614</v>
      </c>
      <c r="C1336" s="8">
        <v>2.028</v>
      </c>
      <c r="D1336" s="268">
        <v>1.2999999999999999E-3</v>
      </c>
      <c r="E1336" s="8">
        <v>39.18</v>
      </c>
      <c r="F1336" s="8">
        <v>121.676</v>
      </c>
      <c r="G1336" s="8">
        <v>107.47499999999999</v>
      </c>
      <c r="H1336" s="8">
        <v>90.02</v>
      </c>
      <c r="I1336" s="8">
        <v>150.66</v>
      </c>
      <c r="J1336" s="8">
        <v>53.33</v>
      </c>
      <c r="K1336" s="268">
        <v>0.28989999999999999</v>
      </c>
      <c r="L1336" s="268">
        <v>0.19439999999999999</v>
      </c>
      <c r="M1336" s="268">
        <v>4.3E-3</v>
      </c>
      <c r="N1336" s="8">
        <v>324.20999999999998</v>
      </c>
      <c r="O1336" s="8">
        <v>5232.76</v>
      </c>
      <c r="P1336" s="268">
        <v>6.2E-2</v>
      </c>
      <c r="Q1336" s="8">
        <v>342</v>
      </c>
      <c r="R1336" s="8" t="s">
        <v>8688</v>
      </c>
      <c r="S1336" s="8" t="s">
        <v>8689</v>
      </c>
      <c r="T1336" s="8" t="s">
        <v>6824</v>
      </c>
      <c r="U1336" s="8" t="s">
        <v>8690</v>
      </c>
      <c r="V1336" s="8" t="s">
        <v>4034</v>
      </c>
      <c r="W1336" s="8" t="s">
        <v>8691</v>
      </c>
    </row>
    <row r="1337" spans="1:23" ht="28" customHeight="1" x14ac:dyDescent="0.3">
      <c r="A1337" s="308">
        <v>44286</v>
      </c>
      <c r="B1337" s="302">
        <v>1513.586</v>
      </c>
      <c r="C1337" s="8">
        <v>-3.0640000000000001</v>
      </c>
      <c r="D1337" s="268">
        <v>-2E-3</v>
      </c>
      <c r="E1337" s="8">
        <v>33.85</v>
      </c>
      <c r="F1337" s="8">
        <v>121.4</v>
      </c>
      <c r="G1337" s="8">
        <v>106.77</v>
      </c>
      <c r="H1337" s="8">
        <v>89.61</v>
      </c>
      <c r="I1337" s="8">
        <v>150.74</v>
      </c>
      <c r="J1337" s="8">
        <v>53.96</v>
      </c>
      <c r="K1337" s="268">
        <v>0.29339999999999999</v>
      </c>
      <c r="L1337" s="268">
        <v>0.1913</v>
      </c>
      <c r="M1337" s="268">
        <v>4.4000000000000003E-3</v>
      </c>
      <c r="N1337" s="8">
        <v>318.7</v>
      </c>
      <c r="O1337" s="8">
        <v>5184.33</v>
      </c>
      <c r="P1337" s="268">
        <v>6.1499999999999999E-2</v>
      </c>
      <c r="Q1337" s="8">
        <v>338</v>
      </c>
      <c r="R1337" s="8" t="s">
        <v>8692</v>
      </c>
      <c r="S1337" s="8" t="s">
        <v>8693</v>
      </c>
      <c r="T1337" s="8" t="s">
        <v>8694</v>
      </c>
      <c r="U1337" s="8" t="s">
        <v>8695</v>
      </c>
      <c r="V1337" s="8" t="s">
        <v>8696</v>
      </c>
      <c r="W1337" s="8" t="s">
        <v>8697</v>
      </c>
    </row>
    <row r="1338" spans="1:23" ht="28" customHeight="1" x14ac:dyDescent="0.3">
      <c r="A1338" s="308">
        <v>44285</v>
      </c>
      <c r="B1338" s="302">
        <v>1516.65</v>
      </c>
      <c r="C1338" s="8">
        <v>-4.3499999999999996</v>
      </c>
      <c r="D1338" s="268">
        <v>-2.8999999999999998E-3</v>
      </c>
      <c r="E1338" s="8">
        <v>36.19</v>
      </c>
      <c r="F1338" s="8">
        <v>121.724</v>
      </c>
      <c r="G1338" s="8">
        <v>106.502</v>
      </c>
      <c r="H1338" s="8">
        <v>89.95</v>
      </c>
      <c r="I1338" s="8">
        <v>151.74</v>
      </c>
      <c r="J1338" s="8">
        <v>55.48</v>
      </c>
      <c r="K1338" s="268">
        <v>0.30020000000000002</v>
      </c>
      <c r="L1338" s="268">
        <v>0.19689999999999999</v>
      </c>
      <c r="M1338" s="268">
        <v>3.8E-3</v>
      </c>
      <c r="N1338" s="8">
        <v>335.1</v>
      </c>
      <c r="O1338" s="8">
        <v>5189.6899999999996</v>
      </c>
      <c r="P1338" s="268">
        <v>6.4600000000000005E-2</v>
      </c>
      <c r="Q1338" s="8">
        <v>339</v>
      </c>
      <c r="R1338" s="8" t="s">
        <v>6713</v>
      </c>
      <c r="S1338" s="8" t="s">
        <v>8698</v>
      </c>
      <c r="T1338" s="8" t="s">
        <v>8699</v>
      </c>
      <c r="U1338" s="8" t="s">
        <v>2745</v>
      </c>
      <c r="V1338" s="8" t="s">
        <v>8700</v>
      </c>
      <c r="W1338" s="8" t="s">
        <v>8701</v>
      </c>
    </row>
    <row r="1339" spans="1:23" ht="28" customHeight="1" x14ac:dyDescent="0.3">
      <c r="A1339" s="308">
        <v>44284</v>
      </c>
      <c r="B1339" s="302">
        <v>1521</v>
      </c>
      <c r="C1339" s="8">
        <v>5.2140000000000004</v>
      </c>
      <c r="D1339" s="268">
        <v>3.3999999999999998E-3</v>
      </c>
      <c r="E1339" s="8">
        <v>35.97</v>
      </c>
      <c r="F1339" s="8">
        <v>122.155</v>
      </c>
      <c r="G1339" s="8">
        <v>107.02500000000001</v>
      </c>
      <c r="H1339" s="8">
        <v>91.31</v>
      </c>
      <c r="I1339" s="8">
        <v>151.36000000000001</v>
      </c>
      <c r="J1339" s="8">
        <v>51.14</v>
      </c>
      <c r="K1339" s="268">
        <v>0.29210000000000003</v>
      </c>
      <c r="L1339" s="268">
        <v>0.18909999999999999</v>
      </c>
      <c r="M1339" s="268">
        <v>4.0000000000000001E-3</v>
      </c>
      <c r="N1339" s="8">
        <v>303.06</v>
      </c>
      <c r="O1339" s="8">
        <v>5189.28</v>
      </c>
      <c r="P1339" s="268">
        <v>5.8400000000000001E-2</v>
      </c>
      <c r="Q1339" s="8">
        <v>338</v>
      </c>
      <c r="R1339" s="8" t="s">
        <v>6202</v>
      </c>
      <c r="S1339" s="8" t="s">
        <v>8702</v>
      </c>
      <c r="T1339" s="8" t="s">
        <v>8703</v>
      </c>
      <c r="U1339" s="8" t="s">
        <v>8704</v>
      </c>
      <c r="V1339" s="8" t="s">
        <v>8705</v>
      </c>
      <c r="W1339" s="8" t="s">
        <v>8706</v>
      </c>
    </row>
    <row r="1340" spans="1:23" ht="28" customHeight="1" x14ac:dyDescent="0.3">
      <c r="A1340" s="308">
        <v>44281</v>
      </c>
      <c r="B1340" s="302">
        <v>1515.7860000000001</v>
      </c>
      <c r="C1340" s="8">
        <v>10.670999999999999</v>
      </c>
      <c r="D1340" s="268">
        <v>7.1000000000000004E-3</v>
      </c>
      <c r="E1340" s="8">
        <v>36.11</v>
      </c>
      <c r="F1340" s="8">
        <v>121.608</v>
      </c>
      <c r="G1340" s="8">
        <v>107.05</v>
      </c>
      <c r="H1340" s="8">
        <v>91.92</v>
      </c>
      <c r="I1340" s="8">
        <v>150.41999999999999</v>
      </c>
      <c r="J1340" s="8">
        <v>50.32</v>
      </c>
      <c r="K1340" s="268">
        <v>0.28810000000000002</v>
      </c>
      <c r="L1340" s="268">
        <v>0.193</v>
      </c>
      <c r="M1340" s="268">
        <v>4.7999999999999996E-3</v>
      </c>
      <c r="N1340" s="8">
        <v>323.67</v>
      </c>
      <c r="O1340" s="8">
        <v>5193.4399999999996</v>
      </c>
      <c r="P1340" s="268">
        <v>6.2300000000000001E-2</v>
      </c>
      <c r="Q1340" s="8">
        <v>338</v>
      </c>
      <c r="R1340" s="8" t="s">
        <v>8707</v>
      </c>
      <c r="S1340" s="8" t="s">
        <v>8708</v>
      </c>
      <c r="T1340" s="8" t="s">
        <v>6415</v>
      </c>
      <c r="U1340" s="8" t="s">
        <v>8709</v>
      </c>
      <c r="V1340" s="8" t="s">
        <v>8710</v>
      </c>
      <c r="W1340" s="8" t="s">
        <v>8711</v>
      </c>
    </row>
    <row r="1341" spans="1:23" ht="28" customHeight="1" x14ac:dyDescent="0.3">
      <c r="A1341" s="308">
        <v>44280</v>
      </c>
      <c r="B1341" s="302">
        <v>1505.115</v>
      </c>
      <c r="C1341" s="8">
        <v>-4.68</v>
      </c>
      <c r="D1341" s="268">
        <v>-3.0999999999999999E-3</v>
      </c>
      <c r="E1341" s="8">
        <v>32.75</v>
      </c>
      <c r="F1341" s="8">
        <v>120.572</v>
      </c>
      <c r="G1341" s="8">
        <v>106.655</v>
      </c>
      <c r="H1341" s="8">
        <v>90.93</v>
      </c>
      <c r="I1341" s="8">
        <v>150.31</v>
      </c>
      <c r="J1341" s="8">
        <v>54.63</v>
      </c>
      <c r="K1341" s="268">
        <v>0.29730000000000001</v>
      </c>
      <c r="L1341" s="268">
        <v>0.19800000000000001</v>
      </c>
      <c r="M1341" s="268">
        <v>6.4000000000000003E-3</v>
      </c>
      <c r="N1341" s="8">
        <v>317.8</v>
      </c>
      <c r="O1341" s="8">
        <v>5197.53</v>
      </c>
      <c r="P1341" s="268">
        <v>6.1100000000000002E-2</v>
      </c>
      <c r="Q1341" s="8">
        <v>338</v>
      </c>
      <c r="R1341" s="8" t="s">
        <v>2889</v>
      </c>
      <c r="S1341" s="8" t="s">
        <v>8712</v>
      </c>
      <c r="T1341" s="8" t="s">
        <v>7425</v>
      </c>
      <c r="U1341" s="8" t="s">
        <v>8713</v>
      </c>
      <c r="V1341" s="8" t="s">
        <v>8714</v>
      </c>
      <c r="W1341" s="8" t="s">
        <v>8715</v>
      </c>
    </row>
    <row r="1342" spans="1:23" ht="28" customHeight="1" x14ac:dyDescent="0.3">
      <c r="A1342" s="308">
        <v>44279</v>
      </c>
      <c r="B1342" s="302">
        <v>1509.7950000000001</v>
      </c>
      <c r="C1342" s="8">
        <v>-15.851000000000001</v>
      </c>
      <c r="D1342" s="268">
        <v>-1.04E-2</v>
      </c>
      <c r="E1342" s="8">
        <v>35.97</v>
      </c>
      <c r="F1342" s="8">
        <v>121.262</v>
      </c>
      <c r="G1342" s="8">
        <v>107.01</v>
      </c>
      <c r="H1342" s="8">
        <v>91.46</v>
      </c>
      <c r="I1342" s="8">
        <v>151.01</v>
      </c>
      <c r="J1342" s="8">
        <v>56.86</v>
      </c>
      <c r="K1342" s="268">
        <v>0.29749999999999999</v>
      </c>
      <c r="L1342" s="268">
        <v>0.2056</v>
      </c>
      <c r="M1342" s="268">
        <v>5.4999999999999997E-3</v>
      </c>
      <c r="N1342" s="8">
        <v>382.47</v>
      </c>
      <c r="O1342" s="8">
        <v>5191.74</v>
      </c>
      <c r="P1342" s="268">
        <v>7.3700000000000002E-2</v>
      </c>
      <c r="Q1342" s="8">
        <v>337</v>
      </c>
      <c r="R1342" s="8" t="s">
        <v>8716</v>
      </c>
      <c r="S1342" s="8" t="s">
        <v>8717</v>
      </c>
      <c r="T1342" s="8" t="s">
        <v>8718</v>
      </c>
      <c r="U1342" s="8" t="s">
        <v>8719</v>
      </c>
      <c r="V1342" s="8" t="s">
        <v>8720</v>
      </c>
      <c r="W1342" s="8" t="s">
        <v>8721</v>
      </c>
    </row>
    <row r="1343" spans="1:23" ht="28" customHeight="1" x14ac:dyDescent="0.3">
      <c r="A1343" s="308">
        <v>44278</v>
      </c>
      <c r="B1343" s="302">
        <v>1525.646</v>
      </c>
      <c r="C1343" s="8">
        <v>-8.484</v>
      </c>
      <c r="D1343" s="268">
        <v>-5.4999999999999997E-3</v>
      </c>
      <c r="E1343" s="8">
        <v>40.909999999999997</v>
      </c>
      <c r="F1343" s="8">
        <v>122.997</v>
      </c>
      <c r="G1343" s="8">
        <v>107.63</v>
      </c>
      <c r="H1343" s="8">
        <v>91.53</v>
      </c>
      <c r="I1343" s="8">
        <v>152.77000000000001</v>
      </c>
      <c r="J1343" s="8">
        <v>59.23</v>
      </c>
      <c r="K1343" s="268">
        <v>0.29770000000000002</v>
      </c>
      <c r="L1343" s="268">
        <v>0.19819999999999999</v>
      </c>
      <c r="M1343" s="268">
        <v>3.0000000000000001E-3</v>
      </c>
      <c r="N1343" s="8">
        <v>384.64</v>
      </c>
      <c r="O1343" s="8">
        <v>5195.0600000000004</v>
      </c>
      <c r="P1343" s="268">
        <v>7.3999999999999996E-2</v>
      </c>
      <c r="Q1343" s="8">
        <v>338</v>
      </c>
      <c r="R1343" s="8" t="s">
        <v>8722</v>
      </c>
      <c r="S1343" s="8" t="s">
        <v>8723</v>
      </c>
      <c r="T1343" s="8" t="s">
        <v>8724</v>
      </c>
      <c r="U1343" s="8" t="s">
        <v>8725</v>
      </c>
      <c r="V1343" s="8" t="s">
        <v>8726</v>
      </c>
      <c r="W1343" s="8" t="s">
        <v>8727</v>
      </c>
    </row>
    <row r="1344" spans="1:23" ht="28" customHeight="1" x14ac:dyDescent="0.3">
      <c r="A1344" s="308">
        <v>44277</v>
      </c>
      <c r="B1344" s="302">
        <v>1534.13</v>
      </c>
      <c r="C1344" s="8">
        <v>13.728999999999999</v>
      </c>
      <c r="D1344" s="268">
        <v>8.9999999999999993E-3</v>
      </c>
      <c r="E1344" s="8">
        <v>43.67</v>
      </c>
      <c r="F1344" s="8">
        <v>123.836</v>
      </c>
      <c r="G1344" s="8">
        <v>108.44</v>
      </c>
      <c r="H1344" s="8">
        <v>92.53</v>
      </c>
      <c r="I1344" s="8">
        <v>152.66</v>
      </c>
      <c r="J1344" s="8">
        <v>52.97</v>
      </c>
      <c r="K1344" s="268">
        <v>0.2883</v>
      </c>
      <c r="L1344" s="268">
        <v>0.1983</v>
      </c>
      <c r="M1344" s="268">
        <v>1.6000000000000001E-3</v>
      </c>
      <c r="N1344" s="8">
        <v>344.02</v>
      </c>
      <c r="O1344" s="8">
        <v>5197.55</v>
      </c>
      <c r="P1344" s="268">
        <v>6.6199999999999995E-2</v>
      </c>
      <c r="Q1344" s="8">
        <v>338</v>
      </c>
      <c r="R1344" s="8" t="s">
        <v>8728</v>
      </c>
      <c r="S1344" s="8" t="s">
        <v>8729</v>
      </c>
      <c r="T1344" s="8" t="s">
        <v>8730</v>
      </c>
      <c r="U1344" s="8" t="s">
        <v>8731</v>
      </c>
      <c r="V1344" s="8" t="s">
        <v>8732</v>
      </c>
      <c r="W1344" s="8" t="s">
        <v>8733</v>
      </c>
    </row>
    <row r="1345" spans="1:23" ht="28" customHeight="1" x14ac:dyDescent="0.3">
      <c r="A1345" s="308">
        <v>44274</v>
      </c>
      <c r="B1345" s="302">
        <v>1520.4010000000001</v>
      </c>
      <c r="C1345" s="8">
        <v>-3.52</v>
      </c>
      <c r="D1345" s="268">
        <v>-2.3E-3</v>
      </c>
      <c r="E1345" s="8">
        <v>37.450000000000003</v>
      </c>
      <c r="F1345" s="8">
        <v>122.904</v>
      </c>
      <c r="G1345" s="8">
        <v>107.5</v>
      </c>
      <c r="H1345" s="8">
        <v>91.32</v>
      </c>
      <c r="I1345" s="8">
        <v>152.71</v>
      </c>
      <c r="J1345" s="8">
        <v>59.12</v>
      </c>
      <c r="K1345" s="268">
        <v>0.29809999999999998</v>
      </c>
      <c r="L1345" s="268">
        <v>0.19819999999999999</v>
      </c>
      <c r="M1345" s="268">
        <v>3.7000000000000002E-3</v>
      </c>
      <c r="N1345" s="8">
        <v>358.67</v>
      </c>
      <c r="O1345" s="8">
        <v>5199.8100000000004</v>
      </c>
      <c r="P1345" s="268">
        <v>6.9000000000000006E-2</v>
      </c>
      <c r="Q1345" s="8">
        <v>338</v>
      </c>
      <c r="R1345" s="8" t="s">
        <v>4326</v>
      </c>
      <c r="S1345" s="8" t="s">
        <v>8734</v>
      </c>
      <c r="T1345" s="8" t="s">
        <v>8735</v>
      </c>
      <c r="U1345" s="8" t="s">
        <v>8736</v>
      </c>
      <c r="V1345" s="8" t="s">
        <v>8737</v>
      </c>
      <c r="W1345" s="8" t="s">
        <v>8738</v>
      </c>
    </row>
    <row r="1346" spans="1:23" ht="28" customHeight="1" x14ac:dyDescent="0.3">
      <c r="A1346" s="308">
        <v>44273</v>
      </c>
      <c r="B1346" s="302">
        <v>1523.921</v>
      </c>
      <c r="C1346" s="8">
        <v>-0.73199999999999998</v>
      </c>
      <c r="D1346" s="268">
        <v>-5.0000000000000001E-4</v>
      </c>
      <c r="E1346" s="8">
        <v>37.99</v>
      </c>
      <c r="F1346" s="8">
        <v>122.78</v>
      </c>
      <c r="G1346" s="8">
        <v>107.43</v>
      </c>
      <c r="H1346" s="8">
        <v>91.1</v>
      </c>
      <c r="I1346" s="8">
        <v>151.79</v>
      </c>
      <c r="J1346" s="8">
        <v>55.53</v>
      </c>
      <c r="K1346" s="268">
        <v>0.29010000000000002</v>
      </c>
      <c r="L1346" s="268">
        <v>0.1973</v>
      </c>
      <c r="M1346" s="268">
        <v>3.8E-3</v>
      </c>
      <c r="N1346" s="8">
        <v>339.04</v>
      </c>
      <c r="O1346" s="8">
        <v>5201.03</v>
      </c>
      <c r="P1346" s="268">
        <v>6.5199999999999994E-2</v>
      </c>
      <c r="Q1346" s="8">
        <v>338</v>
      </c>
      <c r="R1346" s="8" t="s">
        <v>8739</v>
      </c>
      <c r="S1346" s="8" t="s">
        <v>4213</v>
      </c>
      <c r="T1346" s="8" t="s">
        <v>8740</v>
      </c>
      <c r="U1346" s="8" t="s">
        <v>8741</v>
      </c>
      <c r="V1346" s="8" t="s">
        <v>8742</v>
      </c>
      <c r="W1346" s="8" t="s">
        <v>5011</v>
      </c>
    </row>
    <row r="1347" spans="1:23" ht="28" customHeight="1" x14ac:dyDescent="0.3">
      <c r="A1347" s="308">
        <v>44272</v>
      </c>
      <c r="B1347" s="302">
        <v>1524.653</v>
      </c>
      <c r="C1347" s="8">
        <v>4.0140000000000002</v>
      </c>
      <c r="D1347" s="268">
        <v>2.5999999999999999E-3</v>
      </c>
      <c r="E1347" s="8">
        <v>39.47</v>
      </c>
      <c r="F1347" s="8">
        <v>123.03</v>
      </c>
      <c r="G1347" s="8">
        <v>107.71</v>
      </c>
      <c r="H1347" s="8">
        <v>91.19</v>
      </c>
      <c r="I1347" s="8">
        <v>152.05000000000001</v>
      </c>
      <c r="J1347" s="8">
        <v>52.68</v>
      </c>
      <c r="K1347" s="268">
        <v>0.29020000000000001</v>
      </c>
      <c r="L1347" s="268">
        <v>0.19900000000000001</v>
      </c>
      <c r="M1347" s="268">
        <v>3.5999999999999999E-3</v>
      </c>
      <c r="N1347" s="8">
        <v>393.76</v>
      </c>
      <c r="O1347" s="8">
        <v>5231.72</v>
      </c>
      <c r="P1347" s="268">
        <v>7.5300000000000006E-2</v>
      </c>
      <c r="Q1347" s="8">
        <v>339</v>
      </c>
      <c r="R1347" s="8" t="s">
        <v>4338</v>
      </c>
      <c r="S1347" s="8" t="s">
        <v>8743</v>
      </c>
      <c r="T1347" s="8" t="s">
        <v>3445</v>
      </c>
      <c r="U1347" s="8" t="s">
        <v>7536</v>
      </c>
      <c r="V1347" s="8" t="s">
        <v>8744</v>
      </c>
      <c r="W1347" s="8" t="s">
        <v>8745</v>
      </c>
    </row>
    <row r="1348" spans="1:23" ht="28" customHeight="1" x14ac:dyDescent="0.3">
      <c r="A1348" s="308">
        <v>44271</v>
      </c>
      <c r="B1348" s="302">
        <v>1520.6389999999999</v>
      </c>
      <c r="C1348" s="8">
        <v>4.5330000000000004</v>
      </c>
      <c r="D1348" s="268">
        <v>3.0000000000000001E-3</v>
      </c>
      <c r="E1348" s="8">
        <v>37.909999999999997</v>
      </c>
      <c r="F1348" s="8">
        <v>122.663</v>
      </c>
      <c r="G1348" s="8">
        <v>107.76300000000001</v>
      </c>
      <c r="H1348" s="8">
        <v>90.7</v>
      </c>
      <c r="I1348" s="8">
        <v>152</v>
      </c>
      <c r="J1348" s="8">
        <v>52.73</v>
      </c>
      <c r="K1348" s="268">
        <v>0.29339999999999999</v>
      </c>
      <c r="L1348" s="268">
        <v>0.1966</v>
      </c>
      <c r="M1348" s="268">
        <v>4.0000000000000001E-3</v>
      </c>
      <c r="N1348" s="8">
        <v>383.47</v>
      </c>
      <c r="O1348" s="8">
        <v>5230.88</v>
      </c>
      <c r="P1348" s="268">
        <v>7.3300000000000004E-2</v>
      </c>
      <c r="Q1348" s="8">
        <v>338</v>
      </c>
      <c r="R1348" s="8" t="s">
        <v>8746</v>
      </c>
      <c r="S1348" s="8" t="s">
        <v>8747</v>
      </c>
      <c r="T1348" s="8" t="s">
        <v>8748</v>
      </c>
      <c r="U1348" s="8" t="s">
        <v>8702</v>
      </c>
      <c r="V1348" s="8" t="s">
        <v>8749</v>
      </c>
      <c r="W1348" s="8" t="s">
        <v>8750</v>
      </c>
    </row>
    <row r="1349" spans="1:23" ht="28" customHeight="1" x14ac:dyDescent="0.3">
      <c r="A1349" s="308">
        <v>44270</v>
      </c>
      <c r="B1349" s="302">
        <v>1516.106</v>
      </c>
      <c r="C1349" s="8">
        <v>3.66</v>
      </c>
      <c r="D1349" s="268">
        <v>2.3999999999999998E-3</v>
      </c>
      <c r="E1349" s="8">
        <v>35</v>
      </c>
      <c r="F1349" s="8">
        <v>123.983</v>
      </c>
      <c r="G1349" s="8">
        <v>107.425</v>
      </c>
      <c r="H1349" s="8">
        <v>89.98</v>
      </c>
      <c r="I1349" s="8">
        <v>155.03</v>
      </c>
      <c r="J1349" s="8">
        <v>59.08</v>
      </c>
      <c r="K1349" s="268">
        <v>0.3105</v>
      </c>
      <c r="L1349" s="268">
        <v>0.20949999999999999</v>
      </c>
      <c r="M1349" s="268">
        <v>4.0000000000000001E-3</v>
      </c>
      <c r="N1349" s="8">
        <v>399.34</v>
      </c>
      <c r="O1349" s="8">
        <v>5225.0600000000004</v>
      </c>
      <c r="P1349" s="268">
        <v>7.6399999999999996E-2</v>
      </c>
      <c r="Q1349" s="8">
        <v>338</v>
      </c>
      <c r="R1349" s="8" t="s">
        <v>8751</v>
      </c>
      <c r="S1349" s="8" t="s">
        <v>8752</v>
      </c>
      <c r="T1349" s="8" t="s">
        <v>8753</v>
      </c>
      <c r="U1349" s="8" t="s">
        <v>8754</v>
      </c>
      <c r="V1349" s="8" t="s">
        <v>7173</v>
      </c>
      <c r="W1349" s="8" t="s">
        <v>8755</v>
      </c>
    </row>
    <row r="1350" spans="1:23" ht="28" customHeight="1" x14ac:dyDescent="0.3">
      <c r="A1350" s="308">
        <v>44267</v>
      </c>
      <c r="B1350" s="302">
        <v>1512.4459999999999</v>
      </c>
      <c r="C1350" s="8">
        <v>4.7190000000000003</v>
      </c>
      <c r="D1350" s="268">
        <v>3.0999999999999999E-3</v>
      </c>
      <c r="E1350" s="8">
        <v>35.01</v>
      </c>
      <c r="F1350" s="8">
        <v>124.36499999999999</v>
      </c>
      <c r="G1350" s="8">
        <v>107</v>
      </c>
      <c r="H1350" s="8">
        <v>90.28</v>
      </c>
      <c r="I1350" s="8">
        <v>154.59</v>
      </c>
      <c r="J1350" s="8">
        <v>60.54</v>
      </c>
      <c r="K1350" s="268">
        <v>0.30230000000000001</v>
      </c>
      <c r="L1350" s="268">
        <v>0.2044</v>
      </c>
      <c r="M1350" s="268">
        <v>4.7000000000000002E-3</v>
      </c>
      <c r="N1350" s="8">
        <v>459.58</v>
      </c>
      <c r="O1350" s="8">
        <v>5228.74</v>
      </c>
      <c r="P1350" s="268">
        <v>8.7900000000000006E-2</v>
      </c>
      <c r="Q1350" s="8">
        <v>338</v>
      </c>
      <c r="R1350" s="8" t="s">
        <v>8248</v>
      </c>
      <c r="S1350" s="8" t="s">
        <v>8756</v>
      </c>
      <c r="T1350" s="8" t="s">
        <v>8757</v>
      </c>
      <c r="U1350" s="8" t="s">
        <v>8758</v>
      </c>
      <c r="V1350" s="8" t="s">
        <v>8759</v>
      </c>
      <c r="W1350" s="8" t="s">
        <v>8760</v>
      </c>
    </row>
    <row r="1351" spans="1:23" ht="28" customHeight="1" x14ac:dyDescent="0.3">
      <c r="A1351" s="308">
        <v>44266</v>
      </c>
      <c r="B1351" s="302">
        <v>1507.7270000000001</v>
      </c>
      <c r="C1351" s="8">
        <v>11.891999999999999</v>
      </c>
      <c r="D1351" s="268">
        <v>8.0000000000000002E-3</v>
      </c>
      <c r="E1351" s="8">
        <v>33.03</v>
      </c>
      <c r="F1351" s="8">
        <v>124.113</v>
      </c>
      <c r="G1351" s="8">
        <v>106.557</v>
      </c>
      <c r="H1351" s="8">
        <v>90.09</v>
      </c>
      <c r="I1351" s="8">
        <v>154.07</v>
      </c>
      <c r="J1351" s="8">
        <v>57.26</v>
      </c>
      <c r="K1351" s="268">
        <v>0.29949999999999999</v>
      </c>
      <c r="L1351" s="268">
        <v>0.20749999999999999</v>
      </c>
      <c r="M1351" s="268">
        <v>5.4999999999999997E-3</v>
      </c>
      <c r="N1351" s="8">
        <v>569.66</v>
      </c>
      <c r="O1351" s="8">
        <v>5233.26</v>
      </c>
      <c r="P1351" s="268">
        <v>0.1089</v>
      </c>
      <c r="Q1351" s="8">
        <v>338</v>
      </c>
      <c r="R1351" s="8" t="s">
        <v>8761</v>
      </c>
      <c r="S1351" s="8" t="s">
        <v>8762</v>
      </c>
      <c r="T1351" s="8" t="s">
        <v>8763</v>
      </c>
      <c r="U1351" s="8" t="s">
        <v>8764</v>
      </c>
      <c r="V1351" s="8" t="s">
        <v>8765</v>
      </c>
      <c r="W1351" s="8" t="s">
        <v>8766</v>
      </c>
    </row>
    <row r="1352" spans="1:23" ht="28" customHeight="1" x14ac:dyDescent="0.3">
      <c r="A1352" s="308">
        <v>44265</v>
      </c>
      <c r="B1352" s="302">
        <v>1495.835</v>
      </c>
      <c r="C1352" s="8">
        <v>14.282</v>
      </c>
      <c r="D1352" s="268">
        <v>9.5999999999999992E-3</v>
      </c>
      <c r="E1352" s="8">
        <v>25</v>
      </c>
      <c r="F1352" s="8">
        <v>123.755</v>
      </c>
      <c r="G1352" s="8">
        <v>105.88</v>
      </c>
      <c r="H1352" s="8">
        <v>88.11</v>
      </c>
      <c r="I1352" s="8">
        <v>155.72</v>
      </c>
      <c r="J1352" s="8">
        <v>65.34</v>
      </c>
      <c r="K1352" s="268">
        <v>0.3196</v>
      </c>
      <c r="L1352" s="268">
        <v>0.2147</v>
      </c>
      <c r="M1352" s="268">
        <v>7.1999999999999998E-3</v>
      </c>
      <c r="N1352" s="8">
        <v>514.04</v>
      </c>
      <c r="O1352" s="8">
        <v>5230.78</v>
      </c>
      <c r="P1352" s="268">
        <v>9.8299999999999998E-2</v>
      </c>
      <c r="Q1352" s="8">
        <v>337</v>
      </c>
      <c r="R1352" s="8" t="s">
        <v>8767</v>
      </c>
      <c r="S1352" s="8" t="s">
        <v>8768</v>
      </c>
      <c r="T1352" s="8" t="s">
        <v>8769</v>
      </c>
      <c r="U1352" s="8" t="s">
        <v>8770</v>
      </c>
      <c r="V1352" s="8" t="s">
        <v>8771</v>
      </c>
      <c r="W1352" s="8" t="s">
        <v>8772</v>
      </c>
    </row>
    <row r="1353" spans="1:23" ht="28" customHeight="1" x14ac:dyDescent="0.3">
      <c r="A1353" s="308">
        <v>44264</v>
      </c>
      <c r="B1353" s="302">
        <v>1481.5530000000001</v>
      </c>
      <c r="C1353" s="8">
        <v>-7.2210000000000001</v>
      </c>
      <c r="D1353" s="268">
        <v>-4.7999999999999996E-3</v>
      </c>
      <c r="E1353" s="8">
        <v>27.78</v>
      </c>
      <c r="F1353" s="8">
        <v>122.01900000000001</v>
      </c>
      <c r="G1353" s="8">
        <v>105.322</v>
      </c>
      <c r="H1353" s="8">
        <v>89.1</v>
      </c>
      <c r="I1353" s="8">
        <v>150.91</v>
      </c>
      <c r="J1353" s="8">
        <v>55.34</v>
      </c>
      <c r="K1353" s="268">
        <v>0.28889999999999999</v>
      </c>
      <c r="L1353" s="268">
        <v>0.20130000000000001</v>
      </c>
      <c r="M1353" s="268">
        <v>9.1999999999999998E-3</v>
      </c>
      <c r="N1353" s="8">
        <v>395.9</v>
      </c>
      <c r="O1353" s="8">
        <v>5234.54</v>
      </c>
      <c r="P1353" s="268">
        <v>7.5600000000000001E-2</v>
      </c>
      <c r="Q1353" s="8">
        <v>337</v>
      </c>
      <c r="R1353" s="8" t="s">
        <v>8773</v>
      </c>
      <c r="S1353" s="8" t="s">
        <v>8774</v>
      </c>
      <c r="T1353" s="8" t="s">
        <v>8775</v>
      </c>
      <c r="U1353" s="8" t="s">
        <v>8776</v>
      </c>
      <c r="V1353" s="8" t="s">
        <v>8777</v>
      </c>
      <c r="W1353" s="8" t="s">
        <v>8778</v>
      </c>
    </row>
    <row r="1354" spans="1:23" ht="28" customHeight="1" x14ac:dyDescent="0.3">
      <c r="A1354" s="308">
        <v>44263</v>
      </c>
      <c r="B1354" s="302">
        <v>1488.7739999999999</v>
      </c>
      <c r="C1354" s="8">
        <v>-7.8120000000000003</v>
      </c>
      <c r="D1354" s="268">
        <v>-5.1999999999999998E-3</v>
      </c>
      <c r="E1354" s="8">
        <v>30.3</v>
      </c>
      <c r="F1354" s="8">
        <v>122.488</v>
      </c>
      <c r="G1354" s="8">
        <v>106.02800000000001</v>
      </c>
      <c r="H1354" s="8">
        <v>90.95</v>
      </c>
      <c r="I1354" s="8">
        <v>148.75</v>
      </c>
      <c r="J1354" s="8">
        <v>47.96</v>
      </c>
      <c r="K1354" s="268">
        <v>0.26269999999999999</v>
      </c>
      <c r="L1354" s="268">
        <v>0.18190000000000001</v>
      </c>
      <c r="M1354" s="268">
        <v>7.7999999999999996E-3</v>
      </c>
      <c r="N1354" s="8">
        <v>316.27999999999997</v>
      </c>
      <c r="O1354" s="8">
        <v>5227.91</v>
      </c>
      <c r="P1354" s="268">
        <v>6.0499999999999998E-2</v>
      </c>
      <c r="Q1354" s="8">
        <v>336</v>
      </c>
      <c r="R1354" s="8" t="s">
        <v>8779</v>
      </c>
      <c r="S1354" s="8" t="s">
        <v>8416</v>
      </c>
      <c r="T1354" s="8" t="s">
        <v>8780</v>
      </c>
      <c r="U1354" s="8" t="s">
        <v>8781</v>
      </c>
      <c r="V1354" s="8" t="s">
        <v>8782</v>
      </c>
      <c r="W1354" s="8" t="s">
        <v>8783</v>
      </c>
    </row>
    <row r="1355" spans="1:23" ht="28" customHeight="1" x14ac:dyDescent="0.3">
      <c r="A1355" s="308">
        <v>44260</v>
      </c>
      <c r="B1355" s="302">
        <v>1496.586</v>
      </c>
      <c r="C1355" s="8">
        <v>4.9080000000000004</v>
      </c>
      <c r="D1355" s="268">
        <v>3.3E-3</v>
      </c>
      <c r="E1355" s="8">
        <v>29.14</v>
      </c>
      <c r="F1355" s="8">
        <v>123.92700000000001</v>
      </c>
      <c r="G1355" s="8">
        <v>106.33</v>
      </c>
      <c r="H1355" s="8">
        <v>92.09</v>
      </c>
      <c r="I1355" s="8">
        <v>149.26</v>
      </c>
      <c r="J1355" s="8">
        <v>44.44</v>
      </c>
      <c r="K1355" s="268">
        <v>0.25340000000000001</v>
      </c>
      <c r="L1355" s="268">
        <v>0.1734</v>
      </c>
      <c r="M1355" s="268">
        <v>5.4999999999999997E-3</v>
      </c>
      <c r="N1355" s="8">
        <v>318.95</v>
      </c>
      <c r="O1355" s="8">
        <v>5230.5600000000004</v>
      </c>
      <c r="P1355" s="268">
        <v>6.0999999999999999E-2</v>
      </c>
      <c r="Q1355" s="8">
        <v>339</v>
      </c>
      <c r="R1355" s="8" t="s">
        <v>2900</v>
      </c>
      <c r="S1355" s="8" t="s">
        <v>8784</v>
      </c>
      <c r="T1355" s="8" t="s">
        <v>8785</v>
      </c>
      <c r="U1355" s="8" t="s">
        <v>8786</v>
      </c>
      <c r="V1355" s="8" t="s">
        <v>7368</v>
      </c>
      <c r="W1355" s="8" t="s">
        <v>8787</v>
      </c>
    </row>
    <row r="1356" spans="1:23" ht="28" customHeight="1" x14ac:dyDescent="0.3">
      <c r="A1356" s="308">
        <v>44259</v>
      </c>
      <c r="B1356" s="302">
        <v>1491.6780000000001</v>
      </c>
      <c r="C1356" s="8">
        <v>-10.682</v>
      </c>
      <c r="D1356" s="268">
        <v>-7.1000000000000004E-3</v>
      </c>
      <c r="E1356" s="8">
        <v>29.1</v>
      </c>
      <c r="F1356" s="8">
        <v>123.77200000000001</v>
      </c>
      <c r="G1356" s="8">
        <v>105.955</v>
      </c>
      <c r="H1356" s="8">
        <v>90.69</v>
      </c>
      <c r="I1356" s="8">
        <v>149.71</v>
      </c>
      <c r="J1356" s="8">
        <v>45.35</v>
      </c>
      <c r="K1356" s="268">
        <v>0.25940000000000002</v>
      </c>
      <c r="L1356" s="268">
        <v>0.1769</v>
      </c>
      <c r="M1356" s="268">
        <v>5.8999999999999999E-3</v>
      </c>
      <c r="N1356" s="8">
        <v>316.52</v>
      </c>
      <c r="O1356" s="8">
        <v>5228.29</v>
      </c>
      <c r="P1356" s="268">
        <v>6.0499999999999998E-2</v>
      </c>
      <c r="Q1356" s="8">
        <v>340</v>
      </c>
      <c r="R1356" s="8" t="s">
        <v>3070</v>
      </c>
      <c r="S1356" s="8" t="s">
        <v>8788</v>
      </c>
      <c r="T1356" s="8" t="s">
        <v>8789</v>
      </c>
      <c r="U1356" s="8" t="s">
        <v>8790</v>
      </c>
      <c r="V1356" s="8" t="s">
        <v>8791</v>
      </c>
      <c r="W1356" s="8" t="s">
        <v>8792</v>
      </c>
    </row>
    <row r="1357" spans="1:23" ht="28" customHeight="1" x14ac:dyDescent="0.3">
      <c r="A1357" s="308">
        <v>44258</v>
      </c>
      <c r="B1357" s="302">
        <v>1502.36</v>
      </c>
      <c r="C1357" s="8">
        <v>14.271000000000001</v>
      </c>
      <c r="D1357" s="268">
        <v>9.5999999999999992E-3</v>
      </c>
      <c r="E1357" s="8">
        <v>31.5</v>
      </c>
      <c r="F1357" s="8">
        <v>125.372</v>
      </c>
      <c r="G1357" s="8">
        <v>106.5</v>
      </c>
      <c r="H1357" s="8">
        <v>91.3</v>
      </c>
      <c r="I1357" s="8">
        <v>150.94999999999999</v>
      </c>
      <c r="J1357" s="8">
        <v>45.28</v>
      </c>
      <c r="K1357" s="268">
        <v>0.25569999999999998</v>
      </c>
      <c r="L1357" s="268">
        <v>0.1716</v>
      </c>
      <c r="M1357" s="268">
        <v>4.4999999999999997E-3</v>
      </c>
      <c r="N1357" s="8">
        <v>325.82</v>
      </c>
      <c r="O1357" s="8">
        <v>5238.59</v>
      </c>
      <c r="P1357" s="268">
        <v>6.2199999999999998E-2</v>
      </c>
      <c r="Q1357" s="8">
        <v>340</v>
      </c>
      <c r="R1357" s="8" t="s">
        <v>8793</v>
      </c>
      <c r="S1357" s="8" t="s">
        <v>8794</v>
      </c>
      <c r="T1357" s="8" t="s">
        <v>8795</v>
      </c>
      <c r="U1357" s="8" t="s">
        <v>8796</v>
      </c>
      <c r="V1357" s="8" t="s">
        <v>8797</v>
      </c>
      <c r="W1357" s="8" t="s">
        <v>8798</v>
      </c>
    </row>
    <row r="1358" spans="1:23" ht="28" customHeight="1" x14ac:dyDescent="0.3">
      <c r="A1358" s="308">
        <v>44257</v>
      </c>
      <c r="B1358" s="302">
        <v>1488.0889999999999</v>
      </c>
      <c r="C1358" s="8">
        <v>-0.372</v>
      </c>
      <c r="D1358" s="268">
        <v>-2.9999999999999997E-4</v>
      </c>
      <c r="E1358" s="8">
        <v>27.71</v>
      </c>
      <c r="F1358" s="8">
        <v>124.242</v>
      </c>
      <c r="G1358" s="8">
        <v>105.39400000000001</v>
      </c>
      <c r="H1358" s="8">
        <v>89.79</v>
      </c>
      <c r="I1358" s="8">
        <v>150.27000000000001</v>
      </c>
      <c r="J1358" s="8">
        <v>50</v>
      </c>
      <c r="K1358" s="268">
        <v>0.26019999999999999</v>
      </c>
      <c r="L1358" s="268">
        <v>0.17630000000000001</v>
      </c>
      <c r="M1358" s="268">
        <v>6.4999999999999997E-3</v>
      </c>
      <c r="N1358" s="8">
        <v>335.56</v>
      </c>
      <c r="O1358" s="8">
        <v>5246.94</v>
      </c>
      <c r="P1358" s="268">
        <v>6.4000000000000001E-2</v>
      </c>
      <c r="Q1358" s="8">
        <v>341</v>
      </c>
      <c r="R1358" s="8" t="s">
        <v>8799</v>
      </c>
      <c r="S1358" s="8" t="s">
        <v>8800</v>
      </c>
      <c r="T1358" s="8" t="s">
        <v>8801</v>
      </c>
      <c r="U1358" s="8" t="s">
        <v>8802</v>
      </c>
      <c r="V1358" s="8" t="s">
        <v>8803</v>
      </c>
      <c r="W1358" s="8" t="s">
        <v>8804</v>
      </c>
    </row>
    <row r="1359" spans="1:23" ht="28" customHeight="1" x14ac:dyDescent="0.3">
      <c r="A1359" s="308">
        <v>44256</v>
      </c>
      <c r="B1359" s="302">
        <v>1488.461</v>
      </c>
      <c r="C1359" s="8">
        <v>17.925999999999998</v>
      </c>
      <c r="D1359" s="268">
        <v>1.2200000000000001E-2</v>
      </c>
      <c r="E1359" s="8">
        <v>27.38</v>
      </c>
      <c r="F1359" s="8">
        <v>124.13500000000001</v>
      </c>
      <c r="G1359" s="8">
        <v>106.24</v>
      </c>
      <c r="H1359" s="8">
        <v>90.29</v>
      </c>
      <c r="I1359" s="8">
        <v>149.59</v>
      </c>
      <c r="J1359" s="8">
        <v>47.73</v>
      </c>
      <c r="K1359" s="268">
        <v>0.2545</v>
      </c>
      <c r="L1359" s="268">
        <v>0.18099999999999999</v>
      </c>
      <c r="M1359" s="268">
        <v>5.7999999999999996E-3</v>
      </c>
      <c r="N1359" s="8">
        <v>314.08999999999997</v>
      </c>
      <c r="O1359" s="8">
        <v>5250.97</v>
      </c>
      <c r="P1359" s="268">
        <v>5.9799999999999999E-2</v>
      </c>
      <c r="Q1359" s="8">
        <v>341</v>
      </c>
      <c r="R1359" s="8" t="s">
        <v>8805</v>
      </c>
      <c r="S1359" s="8" t="s">
        <v>8806</v>
      </c>
      <c r="T1359" s="8" t="s">
        <v>8807</v>
      </c>
      <c r="U1359" s="8" t="s">
        <v>8808</v>
      </c>
      <c r="V1359" s="8" t="s">
        <v>8809</v>
      </c>
      <c r="W1359" s="8" t="s">
        <v>8810</v>
      </c>
    </row>
    <row r="1360" spans="1:23" ht="28" customHeight="1" x14ac:dyDescent="0.3">
      <c r="A1360" s="308">
        <v>44253</v>
      </c>
      <c r="B1360" s="302">
        <v>1470.5350000000001</v>
      </c>
      <c r="C1360" s="8">
        <v>-3.7149999999999999</v>
      </c>
      <c r="D1360" s="268">
        <v>-2.5000000000000001E-3</v>
      </c>
      <c r="E1360" s="8">
        <v>22.05</v>
      </c>
      <c r="F1360" s="8">
        <v>122.215</v>
      </c>
      <c r="G1360" s="8">
        <v>105.371</v>
      </c>
      <c r="H1360" s="8">
        <v>88.54</v>
      </c>
      <c r="I1360" s="8">
        <v>149</v>
      </c>
      <c r="J1360" s="8">
        <v>52.34</v>
      </c>
      <c r="K1360" s="268">
        <v>0.26790000000000003</v>
      </c>
      <c r="L1360" s="268">
        <v>0.19400000000000001</v>
      </c>
      <c r="M1360" s="268">
        <v>8.3999999999999995E-3</v>
      </c>
      <c r="N1360" s="8">
        <v>326.77999999999997</v>
      </c>
      <c r="O1360" s="8">
        <v>5266.85</v>
      </c>
      <c r="P1360" s="268">
        <v>6.2E-2</v>
      </c>
      <c r="Q1360" s="8">
        <v>343</v>
      </c>
      <c r="R1360" s="8" t="s">
        <v>8811</v>
      </c>
      <c r="S1360" s="8" t="s">
        <v>8073</v>
      </c>
      <c r="T1360" s="8" t="s">
        <v>8812</v>
      </c>
      <c r="U1360" s="8" t="s">
        <v>8813</v>
      </c>
      <c r="V1360" s="8" t="s">
        <v>8814</v>
      </c>
      <c r="W1360" s="8" t="s">
        <v>8815</v>
      </c>
    </row>
    <row r="1361" spans="1:23" ht="28" customHeight="1" x14ac:dyDescent="0.3">
      <c r="A1361" s="308">
        <v>44252</v>
      </c>
      <c r="B1361" s="302">
        <v>1474.25</v>
      </c>
      <c r="C1361" s="8">
        <v>-9.3770000000000007</v>
      </c>
      <c r="D1361" s="268">
        <v>-6.3E-3</v>
      </c>
      <c r="E1361" s="8">
        <v>23.08</v>
      </c>
      <c r="F1361" s="8">
        <v>122.511</v>
      </c>
      <c r="G1361" s="8">
        <v>105.5</v>
      </c>
      <c r="H1361" s="8">
        <v>88.85</v>
      </c>
      <c r="I1361" s="8">
        <v>149.11000000000001</v>
      </c>
      <c r="J1361" s="8">
        <v>51.47</v>
      </c>
      <c r="K1361" s="268">
        <v>0.26600000000000001</v>
      </c>
      <c r="L1361" s="268">
        <v>0.18240000000000001</v>
      </c>
      <c r="M1361" s="268">
        <v>7.7999999999999996E-3</v>
      </c>
      <c r="N1361" s="8">
        <v>310.7</v>
      </c>
      <c r="O1361" s="8">
        <v>5273.38</v>
      </c>
      <c r="P1361" s="268">
        <v>5.8900000000000001E-2</v>
      </c>
      <c r="Q1361" s="8">
        <v>343</v>
      </c>
      <c r="R1361" s="8" t="s">
        <v>8816</v>
      </c>
      <c r="S1361" s="8" t="s">
        <v>8817</v>
      </c>
      <c r="T1361" s="8" t="s">
        <v>8818</v>
      </c>
      <c r="U1361" s="8" t="s">
        <v>8819</v>
      </c>
      <c r="V1361" s="8" t="s">
        <v>8820</v>
      </c>
      <c r="W1361" s="8" t="s">
        <v>8821</v>
      </c>
    </row>
    <row r="1362" spans="1:23" ht="28" customHeight="1" x14ac:dyDescent="0.3">
      <c r="A1362" s="308">
        <v>44251</v>
      </c>
      <c r="B1362" s="302">
        <v>1483.627</v>
      </c>
      <c r="C1362" s="8">
        <v>-11.528</v>
      </c>
      <c r="D1362" s="268">
        <v>-7.7000000000000002E-3</v>
      </c>
      <c r="E1362" s="8">
        <v>26.35</v>
      </c>
      <c r="F1362" s="8">
        <v>123.274</v>
      </c>
      <c r="G1362" s="8">
        <v>106.32</v>
      </c>
      <c r="H1362" s="8">
        <v>89.81</v>
      </c>
      <c r="I1362" s="8">
        <v>149.38999999999999</v>
      </c>
      <c r="J1362" s="8">
        <v>48.52</v>
      </c>
      <c r="K1362" s="268">
        <v>0.26119999999999999</v>
      </c>
      <c r="L1362" s="268">
        <v>0.17860000000000001</v>
      </c>
      <c r="M1362" s="268">
        <v>6.1000000000000004E-3</v>
      </c>
      <c r="N1362" s="8">
        <v>355.32</v>
      </c>
      <c r="O1362" s="8">
        <v>5275.58</v>
      </c>
      <c r="P1362" s="268">
        <v>6.7400000000000002E-2</v>
      </c>
      <c r="Q1362" s="8">
        <v>343</v>
      </c>
      <c r="R1362" s="8" t="s">
        <v>8822</v>
      </c>
      <c r="S1362" s="8" t="s">
        <v>8823</v>
      </c>
      <c r="T1362" s="8" t="s">
        <v>8824</v>
      </c>
      <c r="U1362" s="8" t="s">
        <v>8825</v>
      </c>
      <c r="V1362" s="8" t="s">
        <v>8826</v>
      </c>
      <c r="W1362" s="8" t="s">
        <v>8827</v>
      </c>
    </row>
    <row r="1363" spans="1:23" ht="28" customHeight="1" x14ac:dyDescent="0.3">
      <c r="A1363" s="308">
        <v>44250</v>
      </c>
      <c r="B1363" s="302">
        <v>1495.155</v>
      </c>
      <c r="C1363" s="8">
        <v>-10.585000000000001</v>
      </c>
      <c r="D1363" s="268">
        <v>-7.0000000000000001E-3</v>
      </c>
      <c r="E1363" s="8">
        <v>27.71</v>
      </c>
      <c r="F1363" s="8">
        <v>125.336</v>
      </c>
      <c r="G1363" s="8">
        <v>106.63500000000001</v>
      </c>
      <c r="H1363" s="8">
        <v>89.47</v>
      </c>
      <c r="I1363" s="8">
        <v>152.22999999999999</v>
      </c>
      <c r="J1363" s="8">
        <v>50.48</v>
      </c>
      <c r="K1363" s="268">
        <v>0.26889999999999997</v>
      </c>
      <c r="L1363" s="268">
        <v>0.19220000000000001</v>
      </c>
      <c r="M1363" s="268">
        <v>3.5000000000000001E-3</v>
      </c>
      <c r="N1363" s="8">
        <v>336.89</v>
      </c>
      <c r="O1363" s="8">
        <v>5279.11</v>
      </c>
      <c r="P1363" s="268">
        <v>6.3799999999999996E-2</v>
      </c>
      <c r="Q1363" s="8">
        <v>344</v>
      </c>
      <c r="R1363" s="8" t="s">
        <v>8828</v>
      </c>
      <c r="S1363" s="8" t="s">
        <v>8829</v>
      </c>
      <c r="T1363" s="8" t="s">
        <v>8830</v>
      </c>
      <c r="U1363" s="8" t="s">
        <v>3196</v>
      </c>
      <c r="V1363" s="8" t="s">
        <v>8831</v>
      </c>
      <c r="W1363" s="8" t="s">
        <v>8832</v>
      </c>
    </row>
    <row r="1364" spans="1:23" ht="28" customHeight="1" x14ac:dyDescent="0.3">
      <c r="A1364" s="308">
        <v>44249</v>
      </c>
      <c r="B1364" s="302">
        <v>1505.74</v>
      </c>
      <c r="C1364" s="8">
        <v>18.149000000000001</v>
      </c>
      <c r="D1364" s="268">
        <v>1.2200000000000001E-2</v>
      </c>
      <c r="E1364" s="8">
        <v>29.36</v>
      </c>
      <c r="F1364" s="8">
        <v>126.736</v>
      </c>
      <c r="G1364" s="8">
        <v>106.77</v>
      </c>
      <c r="H1364" s="8">
        <v>89.86</v>
      </c>
      <c r="I1364" s="8">
        <v>153.35</v>
      </c>
      <c r="J1364" s="8">
        <v>50</v>
      </c>
      <c r="K1364" s="268">
        <v>0.2661</v>
      </c>
      <c r="L1364" s="268">
        <v>0.18890000000000001</v>
      </c>
      <c r="M1364" s="268">
        <v>1.2999999999999999E-3</v>
      </c>
      <c r="N1364" s="8">
        <v>426.99</v>
      </c>
      <c r="O1364" s="8">
        <v>5278.66</v>
      </c>
      <c r="P1364" s="268">
        <v>8.09E-2</v>
      </c>
      <c r="Q1364" s="8">
        <v>345</v>
      </c>
      <c r="R1364" s="8" t="s">
        <v>8833</v>
      </c>
      <c r="S1364" s="8" t="s">
        <v>8834</v>
      </c>
      <c r="T1364" s="8" t="s">
        <v>8835</v>
      </c>
      <c r="U1364" s="8" t="s">
        <v>8836</v>
      </c>
      <c r="V1364" s="8" t="s">
        <v>8837</v>
      </c>
      <c r="W1364" s="8" t="s">
        <v>8838</v>
      </c>
    </row>
    <row r="1365" spans="1:23" ht="28" customHeight="1" x14ac:dyDescent="0.3">
      <c r="A1365" s="308">
        <v>44246</v>
      </c>
      <c r="B1365" s="302">
        <v>1487.5909999999999</v>
      </c>
      <c r="C1365" s="8">
        <v>22.157</v>
      </c>
      <c r="D1365" s="268">
        <v>1.5100000000000001E-2</v>
      </c>
      <c r="E1365" s="8">
        <v>25.98</v>
      </c>
      <c r="F1365" s="8">
        <v>125.422</v>
      </c>
      <c r="G1365" s="8">
        <v>106.10299999999999</v>
      </c>
      <c r="H1365" s="8">
        <v>88.45</v>
      </c>
      <c r="I1365" s="8">
        <v>152.19999999999999</v>
      </c>
      <c r="J1365" s="8">
        <v>49.81</v>
      </c>
      <c r="K1365" s="268">
        <v>0.26779999999999998</v>
      </c>
      <c r="L1365" s="268">
        <v>0.18729999999999999</v>
      </c>
      <c r="M1365" s="268">
        <v>3.0999999999999999E-3</v>
      </c>
      <c r="N1365" s="8">
        <v>333.08</v>
      </c>
      <c r="O1365" s="8">
        <v>5274.61</v>
      </c>
      <c r="P1365" s="268">
        <v>6.3100000000000003E-2</v>
      </c>
      <c r="Q1365" s="8">
        <v>344</v>
      </c>
      <c r="R1365" s="8" t="s">
        <v>8839</v>
      </c>
      <c r="S1365" s="8" t="s">
        <v>8840</v>
      </c>
      <c r="T1365" s="8" t="s">
        <v>8841</v>
      </c>
      <c r="U1365" s="8" t="s">
        <v>8842</v>
      </c>
      <c r="V1365" s="8" t="s">
        <v>8843</v>
      </c>
      <c r="W1365" s="8" t="s">
        <v>8844</v>
      </c>
    </row>
    <row r="1366" spans="1:23" ht="28" customHeight="1" x14ac:dyDescent="0.3">
      <c r="A1366" s="308">
        <v>44245</v>
      </c>
      <c r="B1366" s="302">
        <v>1465.434</v>
      </c>
      <c r="C1366" s="8">
        <v>19.762</v>
      </c>
      <c r="D1366" s="268">
        <v>1.37E-2</v>
      </c>
      <c r="E1366" s="8">
        <v>17.07</v>
      </c>
      <c r="F1366" s="8">
        <v>123.848</v>
      </c>
      <c r="G1366" s="8">
        <v>104.517</v>
      </c>
      <c r="H1366" s="8">
        <v>86</v>
      </c>
      <c r="I1366" s="8">
        <v>152.5</v>
      </c>
      <c r="J1366" s="8">
        <v>56.52</v>
      </c>
      <c r="K1366" s="268">
        <v>0.28649999999999998</v>
      </c>
      <c r="L1366" s="268">
        <v>0.20150000000000001</v>
      </c>
      <c r="M1366" s="268">
        <v>7.4000000000000003E-3</v>
      </c>
      <c r="N1366" s="8">
        <v>318.05</v>
      </c>
      <c r="O1366" s="8">
        <v>5278.55</v>
      </c>
      <c r="P1366" s="268">
        <v>6.0299999999999999E-2</v>
      </c>
      <c r="Q1366" s="8">
        <v>343</v>
      </c>
      <c r="R1366" s="8" t="s">
        <v>8845</v>
      </c>
      <c r="S1366" s="8" t="s">
        <v>8846</v>
      </c>
      <c r="T1366" s="8" t="s">
        <v>8847</v>
      </c>
      <c r="U1366" s="8" t="s">
        <v>8848</v>
      </c>
      <c r="V1366" s="8" t="s">
        <v>8849</v>
      </c>
      <c r="W1366" s="8" t="s">
        <v>8850</v>
      </c>
    </row>
    <row r="1367" spans="1:23" ht="28" customHeight="1" x14ac:dyDescent="0.3">
      <c r="A1367" s="308">
        <v>44237</v>
      </c>
      <c r="B1367" s="302">
        <v>1445.672</v>
      </c>
      <c r="C1367" s="8">
        <v>10.946999999999999</v>
      </c>
      <c r="D1367" s="268">
        <v>7.6E-3</v>
      </c>
      <c r="E1367" s="8">
        <v>13.3</v>
      </c>
      <c r="F1367" s="8">
        <v>123.08</v>
      </c>
      <c r="G1367" s="8">
        <v>103.07</v>
      </c>
      <c r="H1367" s="8">
        <v>84.28</v>
      </c>
      <c r="I1367" s="8">
        <v>153.13</v>
      </c>
      <c r="J1367" s="8">
        <v>62.39</v>
      </c>
      <c r="K1367" s="268">
        <v>0.30049999999999999</v>
      </c>
      <c r="L1367" s="268">
        <v>0.21340000000000001</v>
      </c>
      <c r="M1367" s="268">
        <v>9.7000000000000003E-3</v>
      </c>
      <c r="N1367" s="8">
        <v>314.29000000000002</v>
      </c>
      <c r="O1367" s="8">
        <v>5081.3100000000004</v>
      </c>
      <c r="P1367" s="268">
        <v>6.1899999999999997E-2</v>
      </c>
      <c r="Q1367" s="8">
        <v>342</v>
      </c>
      <c r="R1367" s="8" t="s">
        <v>8851</v>
      </c>
      <c r="S1367" s="8" t="s">
        <v>8852</v>
      </c>
      <c r="T1367" s="8" t="s">
        <v>8853</v>
      </c>
      <c r="U1367" s="8" t="s">
        <v>2349</v>
      </c>
      <c r="V1367" s="8" t="s">
        <v>8854</v>
      </c>
      <c r="W1367" s="8" t="s">
        <v>8855</v>
      </c>
    </row>
    <row r="1368" spans="1:23" ht="28" customHeight="1" x14ac:dyDescent="0.3">
      <c r="A1368" s="308">
        <v>44236</v>
      </c>
      <c r="B1368" s="302">
        <v>1434.7249999999999</v>
      </c>
      <c r="C1368" s="8">
        <v>26.254000000000001</v>
      </c>
      <c r="D1368" s="268">
        <v>1.8599999999999998E-2</v>
      </c>
      <c r="E1368" s="8">
        <v>8.93</v>
      </c>
      <c r="F1368" s="8">
        <v>122.4</v>
      </c>
      <c r="G1368" s="8">
        <v>101.985</v>
      </c>
      <c r="H1368" s="8">
        <v>83.8</v>
      </c>
      <c r="I1368" s="8">
        <v>152.34</v>
      </c>
      <c r="J1368" s="8">
        <v>58.14</v>
      </c>
      <c r="K1368" s="268">
        <v>0.29930000000000001</v>
      </c>
      <c r="L1368" s="268">
        <v>0.21540000000000001</v>
      </c>
      <c r="M1368" s="268">
        <v>1.14E-2</v>
      </c>
      <c r="N1368" s="8">
        <v>354.09</v>
      </c>
      <c r="O1368" s="8">
        <v>5092.8500000000004</v>
      </c>
      <c r="P1368" s="268">
        <v>6.9500000000000006E-2</v>
      </c>
      <c r="Q1368" s="8">
        <v>342</v>
      </c>
      <c r="R1368" s="8" t="s">
        <v>8856</v>
      </c>
      <c r="S1368" s="8" t="s">
        <v>8857</v>
      </c>
      <c r="T1368" s="8" t="s">
        <v>8858</v>
      </c>
      <c r="U1368" s="8" t="s">
        <v>8859</v>
      </c>
      <c r="V1368" s="8" t="s">
        <v>8860</v>
      </c>
      <c r="W1368" s="8" t="s">
        <v>8861</v>
      </c>
    </row>
    <row r="1369" spans="1:23" ht="28" customHeight="1" x14ac:dyDescent="0.3">
      <c r="A1369" s="308">
        <v>44235</v>
      </c>
      <c r="B1369" s="302">
        <v>1408.471</v>
      </c>
      <c r="C1369" s="8">
        <v>1.21</v>
      </c>
      <c r="D1369" s="268">
        <v>8.9999999999999998E-4</v>
      </c>
      <c r="E1369" s="8">
        <v>4.17</v>
      </c>
      <c r="F1369" s="8">
        <v>119.95399999999999</v>
      </c>
      <c r="G1369" s="8">
        <v>100.56</v>
      </c>
      <c r="H1369" s="8">
        <v>82.55</v>
      </c>
      <c r="I1369" s="8">
        <v>150.19</v>
      </c>
      <c r="J1369" s="8">
        <v>59.38</v>
      </c>
      <c r="K1369" s="268">
        <v>0.30230000000000001</v>
      </c>
      <c r="L1369" s="268">
        <v>0.20449999999999999</v>
      </c>
      <c r="M1369" s="268">
        <v>1.5299999999999999E-2</v>
      </c>
      <c r="N1369" s="8">
        <v>352.49</v>
      </c>
      <c r="O1369" s="8">
        <v>5088.95</v>
      </c>
      <c r="P1369" s="268">
        <v>6.93E-2</v>
      </c>
      <c r="Q1369" s="8">
        <v>341</v>
      </c>
      <c r="R1369" s="8" t="s">
        <v>8862</v>
      </c>
      <c r="S1369" s="8" t="s">
        <v>8863</v>
      </c>
      <c r="T1369" s="8" t="s">
        <v>8864</v>
      </c>
      <c r="U1369" s="8" t="s">
        <v>8865</v>
      </c>
      <c r="V1369" s="8" t="s">
        <v>8866</v>
      </c>
      <c r="W1369" s="8" t="s">
        <v>8867</v>
      </c>
    </row>
    <row r="1370" spans="1:23" ht="28" customHeight="1" x14ac:dyDescent="0.3">
      <c r="A1370" s="308">
        <v>44232</v>
      </c>
      <c r="B1370" s="302">
        <v>1407.261</v>
      </c>
      <c r="C1370" s="8">
        <v>-22.969000000000001</v>
      </c>
      <c r="D1370" s="268">
        <v>-1.61E-2</v>
      </c>
      <c r="E1370" s="8">
        <v>3.45</v>
      </c>
      <c r="F1370" s="8">
        <v>119.38800000000001</v>
      </c>
      <c r="G1370" s="8">
        <v>100.69</v>
      </c>
      <c r="H1370" s="8">
        <v>82.83</v>
      </c>
      <c r="I1370" s="8">
        <v>149.69</v>
      </c>
      <c r="J1370" s="8">
        <v>61.29</v>
      </c>
      <c r="K1370" s="268">
        <v>0.30299999999999999</v>
      </c>
      <c r="L1370" s="268">
        <v>0.20610000000000001</v>
      </c>
      <c r="M1370" s="268">
        <v>1.5299999999999999E-2</v>
      </c>
      <c r="N1370" s="8">
        <v>410.64</v>
      </c>
      <c r="O1370" s="8">
        <v>5092.24</v>
      </c>
      <c r="P1370" s="268">
        <v>8.0600000000000005E-2</v>
      </c>
      <c r="Q1370" s="8">
        <v>341</v>
      </c>
      <c r="R1370" s="8" t="s">
        <v>8868</v>
      </c>
      <c r="S1370" s="8" t="s">
        <v>8869</v>
      </c>
      <c r="T1370" s="8" t="s">
        <v>8870</v>
      </c>
      <c r="U1370" s="8" t="s">
        <v>8871</v>
      </c>
      <c r="V1370" s="8" t="s">
        <v>8872</v>
      </c>
      <c r="W1370" s="8" t="s">
        <v>8873</v>
      </c>
    </row>
    <row r="1371" spans="1:23" ht="28" customHeight="1" x14ac:dyDescent="0.3">
      <c r="A1371" s="308">
        <v>44231</v>
      </c>
      <c r="B1371" s="302">
        <v>1430.23</v>
      </c>
      <c r="C1371" s="8">
        <v>-25.978999999999999</v>
      </c>
      <c r="D1371" s="268">
        <v>-1.78E-2</v>
      </c>
      <c r="E1371" s="8">
        <v>3.64</v>
      </c>
      <c r="F1371" s="8">
        <v>122.01900000000001</v>
      </c>
      <c r="G1371" s="8">
        <v>101.58499999999999</v>
      </c>
      <c r="H1371" s="8">
        <v>83.04</v>
      </c>
      <c r="I1371" s="8">
        <v>153.15</v>
      </c>
      <c r="J1371" s="8">
        <v>64.73</v>
      </c>
      <c r="K1371" s="268">
        <v>0.31130000000000002</v>
      </c>
      <c r="L1371" s="268">
        <v>0.21290000000000001</v>
      </c>
      <c r="M1371" s="268">
        <v>1.2699999999999999E-2</v>
      </c>
      <c r="N1371" s="8">
        <v>395.87</v>
      </c>
      <c r="O1371" s="8">
        <v>5089.7299999999996</v>
      </c>
      <c r="P1371" s="268">
        <v>7.7799999999999994E-2</v>
      </c>
      <c r="Q1371" s="8">
        <v>340</v>
      </c>
      <c r="R1371" s="8" t="s">
        <v>8874</v>
      </c>
      <c r="S1371" s="8" t="s">
        <v>8875</v>
      </c>
      <c r="T1371" s="8" t="s">
        <v>8876</v>
      </c>
      <c r="U1371" s="8" t="s">
        <v>8877</v>
      </c>
      <c r="V1371" s="8" t="s">
        <v>8878</v>
      </c>
      <c r="W1371" s="8" t="s">
        <v>8879</v>
      </c>
    </row>
    <row r="1372" spans="1:23" ht="28" customHeight="1" x14ac:dyDescent="0.3">
      <c r="A1372" s="308">
        <v>44230</v>
      </c>
      <c r="B1372" s="302">
        <v>1456.2090000000001</v>
      </c>
      <c r="C1372" s="8">
        <v>-10.989000000000001</v>
      </c>
      <c r="D1372" s="268">
        <v>-7.4999999999999997E-3</v>
      </c>
      <c r="E1372" s="8">
        <v>6.89</v>
      </c>
      <c r="F1372" s="8">
        <v>124.825</v>
      </c>
      <c r="G1372" s="8">
        <v>103</v>
      </c>
      <c r="H1372" s="8">
        <v>84.52</v>
      </c>
      <c r="I1372" s="8">
        <v>155.54</v>
      </c>
      <c r="J1372" s="8">
        <v>63.27</v>
      </c>
      <c r="K1372" s="268">
        <v>0.30709999999999998</v>
      </c>
      <c r="L1372" s="268">
        <v>0.2069</v>
      </c>
      <c r="M1372" s="268">
        <v>8.5000000000000006E-3</v>
      </c>
      <c r="N1372" s="8">
        <v>401.52</v>
      </c>
      <c r="O1372" s="8">
        <v>5094.46</v>
      </c>
      <c r="P1372" s="268">
        <v>7.8799999999999995E-2</v>
      </c>
      <c r="Q1372" s="8">
        <v>340</v>
      </c>
      <c r="R1372" s="8" t="s">
        <v>8880</v>
      </c>
      <c r="S1372" s="8" t="s">
        <v>8881</v>
      </c>
      <c r="T1372" s="8" t="s">
        <v>8882</v>
      </c>
      <c r="U1372" s="8" t="s">
        <v>8883</v>
      </c>
      <c r="V1372" s="8" t="s">
        <v>8884</v>
      </c>
      <c r="W1372" s="8" t="s">
        <v>8885</v>
      </c>
    </row>
    <row r="1373" spans="1:23" ht="28" customHeight="1" x14ac:dyDescent="0.3">
      <c r="A1373" s="308">
        <v>44229</v>
      </c>
      <c r="B1373" s="302">
        <v>1467.1980000000001</v>
      </c>
      <c r="C1373" s="8">
        <v>3.8050000000000002</v>
      </c>
      <c r="D1373" s="268">
        <v>2.5999999999999999E-3</v>
      </c>
      <c r="E1373" s="8">
        <v>8.52</v>
      </c>
      <c r="F1373" s="8">
        <v>125.545</v>
      </c>
      <c r="G1373" s="8">
        <v>103.995</v>
      </c>
      <c r="H1373" s="8">
        <v>85.12</v>
      </c>
      <c r="I1373" s="8">
        <v>155.19999999999999</v>
      </c>
      <c r="J1373" s="8">
        <v>60.55</v>
      </c>
      <c r="K1373" s="268">
        <v>0.29649999999999999</v>
      </c>
      <c r="L1373" s="268">
        <v>0.1993</v>
      </c>
      <c r="M1373" s="268">
        <v>6.7999999999999996E-3</v>
      </c>
      <c r="N1373" s="8">
        <v>443.1</v>
      </c>
      <c r="O1373" s="8">
        <v>5102.75</v>
      </c>
      <c r="P1373" s="268">
        <v>8.6800000000000002E-2</v>
      </c>
      <c r="Q1373" s="8">
        <v>340</v>
      </c>
      <c r="R1373" s="8" t="s">
        <v>8886</v>
      </c>
      <c r="S1373" s="8" t="s">
        <v>8887</v>
      </c>
      <c r="T1373" s="8" t="s">
        <v>8888</v>
      </c>
      <c r="U1373" s="8" t="s">
        <v>8889</v>
      </c>
      <c r="V1373" s="8" t="s">
        <v>8890</v>
      </c>
      <c r="W1373" s="8" t="s">
        <v>8891</v>
      </c>
    </row>
    <row r="1374" spans="1:23" ht="28" customHeight="1" x14ac:dyDescent="0.3">
      <c r="A1374" s="308">
        <v>44228</v>
      </c>
      <c r="B1374" s="302">
        <v>1463.393</v>
      </c>
      <c r="C1374" s="8">
        <v>3.0960000000000001</v>
      </c>
      <c r="D1374" s="268">
        <v>2.0999999999999999E-3</v>
      </c>
      <c r="E1374" s="8">
        <v>10</v>
      </c>
      <c r="F1374" s="8">
        <v>124.985</v>
      </c>
      <c r="G1374" s="8">
        <v>104.04</v>
      </c>
      <c r="H1374" s="8">
        <v>85.38</v>
      </c>
      <c r="I1374" s="8">
        <v>154.21</v>
      </c>
      <c r="J1374" s="8">
        <v>62.16</v>
      </c>
      <c r="K1374" s="268">
        <v>0.29220000000000002</v>
      </c>
      <c r="L1374" s="268">
        <v>0.20430000000000001</v>
      </c>
      <c r="M1374" s="268">
        <v>6.3E-3</v>
      </c>
      <c r="N1374" s="8">
        <v>355.23</v>
      </c>
      <c r="O1374" s="8">
        <v>5109.53</v>
      </c>
      <c r="P1374" s="268">
        <v>6.9500000000000006E-2</v>
      </c>
      <c r="Q1374" s="8">
        <v>340</v>
      </c>
      <c r="R1374" s="8" t="s">
        <v>8892</v>
      </c>
      <c r="S1374" s="8" t="s">
        <v>8893</v>
      </c>
      <c r="T1374" s="8" t="s">
        <v>8894</v>
      </c>
      <c r="U1374" s="8" t="s">
        <v>4734</v>
      </c>
      <c r="V1374" s="8" t="s">
        <v>8895</v>
      </c>
      <c r="W1374" s="8" t="s">
        <v>8896</v>
      </c>
    </row>
    <row r="1375" spans="1:23" ht="28" customHeight="1" x14ac:dyDescent="0.3">
      <c r="A1375" s="308">
        <v>44225</v>
      </c>
      <c r="B1375" s="302">
        <v>1460.297</v>
      </c>
      <c r="C1375" s="8">
        <v>-31.888000000000002</v>
      </c>
      <c r="D1375" s="268">
        <v>-2.1399999999999999E-2</v>
      </c>
      <c r="E1375" s="8">
        <v>9.4</v>
      </c>
      <c r="F1375" s="8">
        <v>124.917</v>
      </c>
      <c r="G1375" s="8">
        <v>104.521</v>
      </c>
      <c r="H1375" s="8">
        <v>85.95</v>
      </c>
      <c r="I1375" s="8">
        <v>154.54</v>
      </c>
      <c r="J1375" s="8">
        <v>67</v>
      </c>
      <c r="K1375" s="268">
        <v>0.29630000000000001</v>
      </c>
      <c r="L1375" s="268">
        <v>0.21959999999999999</v>
      </c>
      <c r="M1375" s="268">
        <v>5.7999999999999996E-3</v>
      </c>
      <c r="N1375" s="8">
        <v>431.1</v>
      </c>
      <c r="O1375" s="8">
        <v>5095.3900000000003</v>
      </c>
      <c r="P1375" s="268">
        <v>8.4599999999999995E-2</v>
      </c>
      <c r="Q1375" s="8">
        <v>339</v>
      </c>
      <c r="R1375" s="8" t="s">
        <v>8897</v>
      </c>
      <c r="S1375" s="8" t="s">
        <v>8898</v>
      </c>
      <c r="T1375" s="8" t="s">
        <v>8899</v>
      </c>
      <c r="U1375" s="8" t="s">
        <v>8900</v>
      </c>
      <c r="V1375" s="8" t="s">
        <v>8901</v>
      </c>
      <c r="W1375" s="8" t="s">
        <v>8902</v>
      </c>
    </row>
    <row r="1376" spans="1:23" ht="28" customHeight="1" x14ac:dyDescent="0.3">
      <c r="A1376" s="308">
        <v>44224</v>
      </c>
      <c r="B1376" s="302">
        <v>1492.1849999999999</v>
      </c>
      <c r="C1376" s="8">
        <v>-19.026</v>
      </c>
      <c r="D1376" s="268">
        <v>-1.26E-2</v>
      </c>
      <c r="E1376" s="8">
        <v>13.46</v>
      </c>
      <c r="F1376" s="8">
        <v>128.38800000000001</v>
      </c>
      <c r="G1376" s="8">
        <v>106.32</v>
      </c>
      <c r="H1376" s="8">
        <v>86.81</v>
      </c>
      <c r="I1376" s="8">
        <v>158.82</v>
      </c>
      <c r="J1376" s="8">
        <v>69.09</v>
      </c>
      <c r="K1376" s="268">
        <v>0.30430000000000001</v>
      </c>
      <c r="L1376" s="268">
        <v>0.21779999999999999</v>
      </c>
      <c r="M1376" s="268">
        <v>1.6000000000000001E-3</v>
      </c>
      <c r="N1376" s="8">
        <v>492.62</v>
      </c>
      <c r="O1376" s="8">
        <v>5098.99</v>
      </c>
      <c r="P1376" s="268">
        <v>9.6600000000000005E-2</v>
      </c>
      <c r="Q1376" s="8">
        <v>339</v>
      </c>
      <c r="R1376" s="8" t="s">
        <v>8903</v>
      </c>
      <c r="S1376" s="8" t="s">
        <v>8904</v>
      </c>
      <c r="T1376" s="8" t="s">
        <v>8905</v>
      </c>
      <c r="U1376" s="8" t="s">
        <v>8906</v>
      </c>
      <c r="V1376" s="8" t="s">
        <v>8907</v>
      </c>
      <c r="W1376" s="8" t="s">
        <v>8908</v>
      </c>
    </row>
    <row r="1377" spans="1:23" ht="28" customHeight="1" x14ac:dyDescent="0.3">
      <c r="A1377" s="308">
        <v>44223</v>
      </c>
      <c r="B1377" s="302">
        <v>1511.211</v>
      </c>
      <c r="C1377" s="8">
        <v>-17.396000000000001</v>
      </c>
      <c r="D1377" s="268">
        <v>-1.14E-2</v>
      </c>
      <c r="E1377" s="8">
        <v>19.16</v>
      </c>
      <c r="F1377" s="8">
        <v>131.297</v>
      </c>
      <c r="G1377" s="8">
        <v>107.01</v>
      </c>
      <c r="H1377" s="8">
        <v>87.36</v>
      </c>
      <c r="I1377" s="8">
        <v>161.4</v>
      </c>
      <c r="J1377" s="8">
        <v>66.930000000000007</v>
      </c>
      <c r="K1377" s="268">
        <v>0.30099999999999999</v>
      </c>
      <c r="L1377" s="268">
        <v>0.21990000000000001</v>
      </c>
      <c r="M1377" s="268">
        <v>-1.1999999999999999E-3</v>
      </c>
      <c r="N1377" s="8">
        <v>487.69</v>
      </c>
      <c r="O1377" s="8">
        <v>5103.05</v>
      </c>
      <c r="P1377" s="268">
        <v>9.5600000000000004E-2</v>
      </c>
      <c r="Q1377" s="8">
        <v>339</v>
      </c>
      <c r="R1377" s="8" t="s">
        <v>8909</v>
      </c>
      <c r="S1377" s="8" t="s">
        <v>7098</v>
      </c>
      <c r="T1377" s="8" t="s">
        <v>8910</v>
      </c>
      <c r="U1377" s="8" t="s">
        <v>8911</v>
      </c>
      <c r="V1377" s="8" t="s">
        <v>8912</v>
      </c>
      <c r="W1377" s="8" t="s">
        <v>8913</v>
      </c>
    </row>
    <row r="1378" spans="1:23" ht="28" customHeight="1" x14ac:dyDescent="0.3">
      <c r="A1378" s="308">
        <v>44222</v>
      </c>
      <c r="B1378" s="302">
        <v>1528.607</v>
      </c>
      <c r="C1378" s="8">
        <v>-14.038</v>
      </c>
      <c r="D1378" s="268">
        <v>-9.1000000000000004E-3</v>
      </c>
      <c r="E1378" s="8">
        <v>20.64</v>
      </c>
      <c r="F1378" s="8">
        <v>133.631</v>
      </c>
      <c r="G1378" s="8">
        <v>108.1</v>
      </c>
      <c r="H1378" s="8">
        <v>87.41</v>
      </c>
      <c r="I1378" s="8">
        <v>166.05</v>
      </c>
      <c r="J1378" s="8">
        <v>72.89</v>
      </c>
      <c r="K1378" s="268">
        <v>0.32419999999999999</v>
      </c>
      <c r="L1378" s="268">
        <v>0.2336</v>
      </c>
      <c r="M1378" s="268">
        <v>-3.5000000000000001E-3</v>
      </c>
      <c r="N1378" s="8">
        <v>435.47</v>
      </c>
      <c r="O1378" s="8">
        <v>5106.6000000000004</v>
      </c>
      <c r="P1378" s="268">
        <v>8.5300000000000001E-2</v>
      </c>
      <c r="Q1378" s="8">
        <v>339</v>
      </c>
      <c r="R1378" s="8" t="s">
        <v>8914</v>
      </c>
      <c r="S1378" s="8" t="s">
        <v>8915</v>
      </c>
      <c r="T1378" s="8" t="s">
        <v>8916</v>
      </c>
      <c r="U1378" s="8" t="s">
        <v>8917</v>
      </c>
      <c r="V1378" s="8" t="s">
        <v>8918</v>
      </c>
      <c r="W1378" s="8" t="s">
        <v>8919</v>
      </c>
    </row>
    <row r="1379" spans="1:23" ht="28" customHeight="1" x14ac:dyDescent="0.3">
      <c r="A1379" s="308">
        <v>44221</v>
      </c>
      <c r="B1379" s="302">
        <v>1542.645</v>
      </c>
      <c r="C1379" s="8">
        <v>-5.9160000000000004</v>
      </c>
      <c r="D1379" s="268">
        <v>-3.8E-3</v>
      </c>
      <c r="E1379" s="8">
        <v>27.76</v>
      </c>
      <c r="F1379" s="8">
        <v>135.107</v>
      </c>
      <c r="G1379" s="8">
        <v>109.075</v>
      </c>
      <c r="H1379" s="8">
        <v>89.04</v>
      </c>
      <c r="I1379" s="8">
        <v>167.28</v>
      </c>
      <c r="J1379" s="8">
        <v>72.459999999999994</v>
      </c>
      <c r="K1379" s="268">
        <v>0.32169999999999999</v>
      </c>
      <c r="L1379" s="268">
        <v>0.2243</v>
      </c>
      <c r="M1379" s="268">
        <v>-5.7000000000000002E-3</v>
      </c>
      <c r="N1379" s="8">
        <v>534.86</v>
      </c>
      <c r="O1379" s="8">
        <v>5110.3599999999997</v>
      </c>
      <c r="P1379" s="268">
        <v>0.1047</v>
      </c>
      <c r="Q1379" s="8">
        <v>340</v>
      </c>
      <c r="R1379" s="8" t="s">
        <v>8920</v>
      </c>
      <c r="S1379" s="8" t="s">
        <v>8921</v>
      </c>
      <c r="T1379" s="8" t="s">
        <v>8922</v>
      </c>
      <c r="U1379" s="8" t="s">
        <v>8923</v>
      </c>
      <c r="V1379" s="8" t="s">
        <v>8924</v>
      </c>
      <c r="W1379" s="8" t="s">
        <v>8925</v>
      </c>
    </row>
    <row r="1380" spans="1:23" ht="28" customHeight="1" x14ac:dyDescent="0.3">
      <c r="A1380" s="308">
        <v>44218</v>
      </c>
      <c r="B1380" s="302">
        <v>1548.5609999999999</v>
      </c>
      <c r="C1380" s="8">
        <v>-4.1769999999999996</v>
      </c>
      <c r="D1380" s="268">
        <v>-2.7000000000000001E-3</v>
      </c>
      <c r="E1380" s="8">
        <v>33.83</v>
      </c>
      <c r="F1380" s="8">
        <v>135.53800000000001</v>
      </c>
      <c r="G1380" s="8">
        <v>110.14</v>
      </c>
      <c r="H1380" s="8">
        <v>90.16</v>
      </c>
      <c r="I1380" s="8">
        <v>166.3</v>
      </c>
      <c r="J1380" s="8">
        <v>67.64</v>
      </c>
      <c r="K1380" s="268">
        <v>0.30769999999999997</v>
      </c>
      <c r="L1380" s="268">
        <v>0.21940000000000001</v>
      </c>
      <c r="M1380" s="268">
        <v>-6.6E-3</v>
      </c>
      <c r="N1380" s="8">
        <v>463.64</v>
      </c>
      <c r="O1380" s="8">
        <v>5079.33</v>
      </c>
      <c r="P1380" s="268">
        <v>9.1300000000000006E-2</v>
      </c>
      <c r="Q1380" s="8">
        <v>339</v>
      </c>
      <c r="R1380" s="8" t="s">
        <v>8926</v>
      </c>
      <c r="S1380" s="8" t="s">
        <v>8927</v>
      </c>
      <c r="T1380" s="8" t="s">
        <v>8928</v>
      </c>
      <c r="U1380" s="8" t="s">
        <v>8929</v>
      </c>
      <c r="V1380" s="8" t="s">
        <v>8930</v>
      </c>
      <c r="W1380" s="8" t="s">
        <v>8931</v>
      </c>
    </row>
    <row r="1381" spans="1:23" ht="28" customHeight="1" x14ac:dyDescent="0.3">
      <c r="A1381" s="308">
        <v>44217</v>
      </c>
      <c r="B1381" s="302">
        <v>1552.7380000000001</v>
      </c>
      <c r="C1381" s="8">
        <v>7.218</v>
      </c>
      <c r="D1381" s="268">
        <v>4.7000000000000002E-3</v>
      </c>
      <c r="E1381" s="8">
        <v>42.52</v>
      </c>
      <c r="F1381" s="8">
        <v>134.703</v>
      </c>
      <c r="G1381" s="8">
        <v>110.75</v>
      </c>
      <c r="H1381" s="8">
        <v>91.38</v>
      </c>
      <c r="I1381" s="8">
        <v>164.73</v>
      </c>
      <c r="J1381" s="8">
        <v>64</v>
      </c>
      <c r="K1381" s="268">
        <v>0.30020000000000002</v>
      </c>
      <c r="L1381" s="268">
        <v>0.21049999999999999</v>
      </c>
      <c r="M1381" s="268">
        <v>-7.3000000000000001E-3</v>
      </c>
      <c r="N1381" s="8">
        <v>448.39</v>
      </c>
      <c r="O1381" s="8">
        <v>5080.84</v>
      </c>
      <c r="P1381" s="268">
        <v>8.8300000000000003E-2</v>
      </c>
      <c r="Q1381" s="8">
        <v>339</v>
      </c>
      <c r="R1381" s="8" t="s">
        <v>4228</v>
      </c>
      <c r="S1381" s="8" t="s">
        <v>8932</v>
      </c>
      <c r="T1381" s="8" t="s">
        <v>8933</v>
      </c>
      <c r="U1381" s="8" t="s">
        <v>8934</v>
      </c>
      <c r="V1381" s="8" t="s">
        <v>8935</v>
      </c>
      <c r="W1381" s="8" t="s">
        <v>8936</v>
      </c>
    </row>
    <row r="1382" spans="1:23" ht="28" customHeight="1" x14ac:dyDescent="0.3">
      <c r="A1382" s="308">
        <v>44216</v>
      </c>
      <c r="B1382" s="302">
        <v>1545.52</v>
      </c>
      <c r="C1382" s="8">
        <v>2.8540000000000001</v>
      </c>
      <c r="D1382" s="268">
        <v>1.8E-3</v>
      </c>
      <c r="E1382" s="8">
        <v>38.43</v>
      </c>
      <c r="F1382" s="8">
        <v>133.72800000000001</v>
      </c>
      <c r="G1382" s="8">
        <v>110.127</v>
      </c>
      <c r="H1382" s="8">
        <v>91.1</v>
      </c>
      <c r="I1382" s="8">
        <v>164.32</v>
      </c>
      <c r="J1382" s="8">
        <v>69.86</v>
      </c>
      <c r="K1382" s="268">
        <v>0.30590000000000001</v>
      </c>
      <c r="L1382" s="268">
        <v>0.22009999999999999</v>
      </c>
      <c r="M1382" s="268">
        <v>-6.4000000000000003E-3</v>
      </c>
      <c r="N1382" s="8">
        <v>429.25</v>
      </c>
      <c r="O1382" s="8">
        <v>5082.71</v>
      </c>
      <c r="P1382" s="268">
        <v>8.4500000000000006E-2</v>
      </c>
      <c r="Q1382" s="8">
        <v>339</v>
      </c>
      <c r="R1382" s="8" t="s">
        <v>8937</v>
      </c>
      <c r="S1382" s="8" t="s">
        <v>8713</v>
      </c>
      <c r="T1382" s="8" t="s">
        <v>8938</v>
      </c>
      <c r="U1382" s="8" t="s">
        <v>8939</v>
      </c>
      <c r="V1382" s="8" t="s">
        <v>3825</v>
      </c>
      <c r="W1382" s="8" t="s">
        <v>8940</v>
      </c>
    </row>
    <row r="1383" spans="1:23" ht="28" customHeight="1" x14ac:dyDescent="0.3">
      <c r="A1383" s="308">
        <v>44215</v>
      </c>
      <c r="B1383" s="302">
        <v>1542.6659999999999</v>
      </c>
      <c r="C1383" s="8">
        <v>-0.108</v>
      </c>
      <c r="D1383" s="268">
        <v>-1E-4</v>
      </c>
      <c r="E1383" s="8">
        <v>38.89</v>
      </c>
      <c r="F1383" s="8">
        <v>133.76900000000001</v>
      </c>
      <c r="G1383" s="8">
        <v>110.3</v>
      </c>
      <c r="H1383" s="8">
        <v>90.87</v>
      </c>
      <c r="I1383" s="8">
        <v>164.49</v>
      </c>
      <c r="J1383" s="8">
        <v>68.739999999999995</v>
      </c>
      <c r="K1383" s="268">
        <v>0.30719999999999997</v>
      </c>
      <c r="L1383" s="268">
        <v>0.21560000000000001</v>
      </c>
      <c r="M1383" s="268">
        <v>-6.7000000000000002E-3</v>
      </c>
      <c r="N1383" s="8">
        <v>483.04</v>
      </c>
      <c r="O1383" s="8">
        <v>5077.51</v>
      </c>
      <c r="P1383" s="268">
        <v>9.5100000000000004E-2</v>
      </c>
      <c r="Q1383" s="8">
        <v>339</v>
      </c>
      <c r="R1383" s="8" t="s">
        <v>8941</v>
      </c>
      <c r="S1383" s="8" t="s">
        <v>8942</v>
      </c>
      <c r="T1383" s="8" t="s">
        <v>8082</v>
      </c>
      <c r="U1383" s="8" t="s">
        <v>8943</v>
      </c>
      <c r="V1383" s="8" t="s">
        <v>8944</v>
      </c>
      <c r="W1383" s="8" t="s">
        <v>8945</v>
      </c>
    </row>
    <row r="1384" spans="1:23" ht="28" customHeight="1" x14ac:dyDescent="0.3">
      <c r="A1384" s="308">
        <v>44214</v>
      </c>
      <c r="B1384" s="302">
        <v>1542.7739999999999</v>
      </c>
      <c r="C1384" s="8">
        <v>13.837</v>
      </c>
      <c r="D1384" s="268">
        <v>9.1000000000000004E-3</v>
      </c>
      <c r="E1384" s="8">
        <v>40.020000000000003</v>
      </c>
      <c r="F1384" s="8">
        <v>134.68899999999999</v>
      </c>
      <c r="G1384" s="8">
        <v>110.31</v>
      </c>
      <c r="H1384" s="8">
        <v>91.04</v>
      </c>
      <c r="I1384" s="8">
        <v>165.35</v>
      </c>
      <c r="J1384" s="8">
        <v>68.16</v>
      </c>
      <c r="K1384" s="268">
        <v>0.30659999999999998</v>
      </c>
      <c r="L1384" s="268">
        <v>0.2087</v>
      </c>
      <c r="M1384" s="268">
        <v>-6.6E-3</v>
      </c>
      <c r="N1384" s="8">
        <v>478.92</v>
      </c>
      <c r="O1384" s="8">
        <v>5081.96</v>
      </c>
      <c r="P1384" s="268">
        <v>9.4200000000000006E-2</v>
      </c>
      <c r="Q1384" s="8">
        <v>338</v>
      </c>
      <c r="R1384" s="8" t="s">
        <v>8946</v>
      </c>
      <c r="S1384" s="8" t="s">
        <v>8947</v>
      </c>
      <c r="T1384" s="8" t="s">
        <v>8948</v>
      </c>
      <c r="U1384" s="8" t="s">
        <v>8018</v>
      </c>
      <c r="V1384" s="8" t="s">
        <v>8949</v>
      </c>
      <c r="W1384" s="8" t="s">
        <v>8950</v>
      </c>
    </row>
    <row r="1385" spans="1:23" ht="28" customHeight="1" x14ac:dyDescent="0.3">
      <c r="A1385" s="308">
        <v>44211</v>
      </c>
      <c r="B1385" s="302">
        <v>1528.9369999999999</v>
      </c>
      <c r="C1385" s="8">
        <v>7.9240000000000004</v>
      </c>
      <c r="D1385" s="268">
        <v>5.1999999999999998E-3</v>
      </c>
      <c r="E1385" s="8">
        <v>33.93</v>
      </c>
      <c r="F1385" s="8">
        <v>133.23599999999999</v>
      </c>
      <c r="G1385" s="8">
        <v>109.235</v>
      </c>
      <c r="H1385" s="8">
        <v>89.87</v>
      </c>
      <c r="I1385" s="8">
        <v>165.04</v>
      </c>
      <c r="J1385" s="8">
        <v>71.099999999999994</v>
      </c>
      <c r="K1385" s="268">
        <v>0.318</v>
      </c>
      <c r="L1385" s="268">
        <v>0.22869999999999999</v>
      </c>
      <c r="M1385" s="268">
        <v>-5.1999999999999998E-3</v>
      </c>
      <c r="N1385" s="8">
        <v>535.23</v>
      </c>
      <c r="O1385" s="8">
        <v>4753.91</v>
      </c>
      <c r="P1385" s="268">
        <v>0.11260000000000001</v>
      </c>
      <c r="Q1385" s="8">
        <v>334</v>
      </c>
      <c r="R1385" s="8" t="s">
        <v>8951</v>
      </c>
      <c r="S1385" s="8" t="s">
        <v>8952</v>
      </c>
      <c r="T1385" s="8" t="s">
        <v>4506</v>
      </c>
      <c r="U1385" s="8" t="s">
        <v>8953</v>
      </c>
      <c r="V1385" s="8" t="s">
        <v>8954</v>
      </c>
      <c r="W1385" s="8" t="s">
        <v>7947</v>
      </c>
    </row>
    <row r="1386" spans="1:23" ht="28" customHeight="1" x14ac:dyDescent="0.3">
      <c r="A1386" s="308">
        <v>44210</v>
      </c>
      <c r="B1386" s="302">
        <v>1521.0129999999999</v>
      </c>
      <c r="C1386" s="8">
        <v>4.58</v>
      </c>
      <c r="D1386" s="268">
        <v>3.0000000000000001E-3</v>
      </c>
      <c r="E1386" s="8">
        <v>27.27</v>
      </c>
      <c r="F1386" s="8">
        <v>133.20599999999999</v>
      </c>
      <c r="G1386" s="8">
        <v>108.634</v>
      </c>
      <c r="H1386" s="8">
        <v>88.88</v>
      </c>
      <c r="I1386" s="8">
        <v>166.16</v>
      </c>
      <c r="J1386" s="8">
        <v>71.099999999999994</v>
      </c>
      <c r="K1386" s="268">
        <v>0.3296</v>
      </c>
      <c r="L1386" s="268">
        <v>0.23019999999999999</v>
      </c>
      <c r="M1386" s="268">
        <v>-4.1000000000000003E-3</v>
      </c>
      <c r="N1386" s="8">
        <v>578.64</v>
      </c>
      <c r="O1386" s="8">
        <v>4740</v>
      </c>
      <c r="P1386" s="268">
        <v>0.1221</v>
      </c>
      <c r="Q1386" s="8">
        <v>332</v>
      </c>
      <c r="R1386" s="8" t="s">
        <v>8955</v>
      </c>
      <c r="S1386" s="8" t="s">
        <v>8956</v>
      </c>
      <c r="T1386" s="8" t="s">
        <v>8957</v>
      </c>
      <c r="U1386" s="8" t="s">
        <v>8958</v>
      </c>
      <c r="V1386" s="8" t="s">
        <v>8959</v>
      </c>
      <c r="W1386" s="8" t="s">
        <v>8960</v>
      </c>
    </row>
    <row r="1387" spans="1:23" ht="28" customHeight="1" x14ac:dyDescent="0.3">
      <c r="A1387" s="308">
        <v>44209</v>
      </c>
      <c r="B1387" s="302">
        <v>1516.433</v>
      </c>
      <c r="C1387" s="8">
        <v>-16.122</v>
      </c>
      <c r="D1387" s="268">
        <v>-1.0500000000000001E-2</v>
      </c>
      <c r="E1387" s="8">
        <v>23.13</v>
      </c>
      <c r="F1387" s="8">
        <v>133.59100000000001</v>
      </c>
      <c r="G1387" s="8">
        <v>107.98699999999999</v>
      </c>
      <c r="H1387" s="8">
        <v>89.59</v>
      </c>
      <c r="I1387" s="8">
        <v>166.65</v>
      </c>
      <c r="J1387" s="8">
        <v>72.83</v>
      </c>
      <c r="K1387" s="268">
        <v>0.3306</v>
      </c>
      <c r="L1387" s="268">
        <v>0.22600000000000001</v>
      </c>
      <c r="M1387" s="268">
        <v>-3.7000000000000002E-3</v>
      </c>
      <c r="N1387" s="8">
        <v>593.02</v>
      </c>
      <c r="O1387" s="8">
        <v>4742.9399999999996</v>
      </c>
      <c r="P1387" s="268">
        <v>0.125</v>
      </c>
      <c r="Q1387" s="8">
        <v>333</v>
      </c>
      <c r="R1387" s="8" t="s">
        <v>8961</v>
      </c>
      <c r="S1387" s="8" t="s">
        <v>8962</v>
      </c>
      <c r="T1387" s="8" t="s">
        <v>8963</v>
      </c>
      <c r="U1387" s="8" t="s">
        <v>8964</v>
      </c>
      <c r="V1387" s="8" t="s">
        <v>8965</v>
      </c>
      <c r="W1387" s="8" t="s">
        <v>8164</v>
      </c>
    </row>
    <row r="1388" spans="1:23" ht="28" customHeight="1" x14ac:dyDescent="0.3">
      <c r="A1388" s="308">
        <v>44208</v>
      </c>
      <c r="B1388" s="302">
        <v>1532.5550000000001</v>
      </c>
      <c r="C1388" s="8">
        <v>6.1509999999999998</v>
      </c>
      <c r="D1388" s="268">
        <v>4.0000000000000001E-3</v>
      </c>
      <c r="E1388" s="8">
        <v>30.26</v>
      </c>
      <c r="F1388" s="8">
        <v>134.22</v>
      </c>
      <c r="G1388" s="8">
        <v>108.905</v>
      </c>
      <c r="H1388" s="8">
        <v>89.99</v>
      </c>
      <c r="I1388" s="8">
        <v>166.47</v>
      </c>
      <c r="J1388" s="8">
        <v>72.13</v>
      </c>
      <c r="K1388" s="268">
        <v>0.32250000000000001</v>
      </c>
      <c r="L1388" s="268">
        <v>0.21990000000000001</v>
      </c>
      <c r="M1388" s="268">
        <v>-6.0000000000000001E-3</v>
      </c>
      <c r="N1388" s="8">
        <v>539.37</v>
      </c>
      <c r="O1388" s="8">
        <v>4745.1400000000003</v>
      </c>
      <c r="P1388" s="268">
        <v>0.1137</v>
      </c>
      <c r="Q1388" s="8">
        <v>332</v>
      </c>
      <c r="R1388" s="8" t="s">
        <v>8966</v>
      </c>
      <c r="S1388" s="8" t="s">
        <v>2345</v>
      </c>
      <c r="T1388" s="8" t="s">
        <v>8967</v>
      </c>
      <c r="U1388" s="8" t="s">
        <v>8968</v>
      </c>
      <c r="V1388" s="8" t="s">
        <v>8969</v>
      </c>
      <c r="W1388" s="8" t="s">
        <v>8970</v>
      </c>
    </row>
    <row r="1389" spans="1:23" ht="28" customHeight="1" x14ac:dyDescent="0.3">
      <c r="A1389" s="308">
        <v>44207</v>
      </c>
      <c r="B1389" s="302">
        <v>1526.404</v>
      </c>
      <c r="C1389" s="8">
        <v>-9.5380000000000003</v>
      </c>
      <c r="D1389" s="268">
        <v>-6.1999999999999998E-3</v>
      </c>
      <c r="E1389" s="8">
        <v>28.45</v>
      </c>
      <c r="F1389" s="8">
        <v>133.13399999999999</v>
      </c>
      <c r="G1389" s="8">
        <v>108.405</v>
      </c>
      <c r="H1389" s="8">
        <v>89.97</v>
      </c>
      <c r="I1389" s="8">
        <v>165.94</v>
      </c>
      <c r="J1389" s="8">
        <v>73</v>
      </c>
      <c r="K1389" s="268">
        <v>0.3281</v>
      </c>
      <c r="L1389" s="268">
        <v>0.22</v>
      </c>
      <c r="M1389" s="268">
        <v>-5.8999999999999999E-3</v>
      </c>
      <c r="N1389" s="8">
        <v>574.77</v>
      </c>
      <c r="O1389" s="8">
        <v>4764.8100000000004</v>
      </c>
      <c r="P1389" s="268">
        <v>0.1206</v>
      </c>
      <c r="Q1389" s="8">
        <v>332</v>
      </c>
      <c r="R1389" s="8" t="s">
        <v>8971</v>
      </c>
      <c r="S1389" s="8" t="s">
        <v>8972</v>
      </c>
      <c r="T1389" s="8" t="s">
        <v>8973</v>
      </c>
      <c r="U1389" s="8" t="s">
        <v>8974</v>
      </c>
      <c r="V1389" s="8" t="s">
        <v>8975</v>
      </c>
      <c r="W1389" s="8" t="s">
        <v>8976</v>
      </c>
    </row>
    <row r="1390" spans="1:23" ht="28" customHeight="1" x14ac:dyDescent="0.3">
      <c r="A1390" s="308">
        <v>44204</v>
      </c>
      <c r="B1390" s="302">
        <v>1535.942</v>
      </c>
      <c r="C1390" s="8">
        <v>-8.0289999999999999</v>
      </c>
      <c r="D1390" s="268">
        <v>-5.1999999999999998E-3</v>
      </c>
      <c r="E1390" s="8">
        <v>33.33</v>
      </c>
      <c r="F1390" s="8">
        <v>133.11600000000001</v>
      </c>
      <c r="G1390" s="8">
        <v>109.43</v>
      </c>
      <c r="H1390" s="8">
        <v>91.47</v>
      </c>
      <c r="I1390" s="8">
        <v>163.98</v>
      </c>
      <c r="J1390" s="8">
        <v>69</v>
      </c>
      <c r="K1390" s="268">
        <v>0.30859999999999999</v>
      </c>
      <c r="L1390" s="268">
        <v>0.2094</v>
      </c>
      <c r="M1390" s="268">
        <v>-1.0699999999999999E-2</v>
      </c>
      <c r="N1390" s="8">
        <v>730.67</v>
      </c>
      <c r="O1390" s="8">
        <v>4762.17</v>
      </c>
      <c r="P1390" s="268">
        <v>0.15340000000000001</v>
      </c>
      <c r="Q1390" s="8">
        <v>331</v>
      </c>
      <c r="R1390" s="8" t="s">
        <v>2683</v>
      </c>
      <c r="S1390" s="8" t="s">
        <v>8977</v>
      </c>
      <c r="T1390" s="8" t="s">
        <v>8894</v>
      </c>
      <c r="U1390" s="8" t="s">
        <v>8978</v>
      </c>
      <c r="V1390" s="8" t="s">
        <v>8979</v>
      </c>
      <c r="W1390" s="8" t="s">
        <v>8980</v>
      </c>
    </row>
    <row r="1391" spans="1:23" ht="28" customHeight="1" x14ac:dyDescent="0.3">
      <c r="A1391" s="308">
        <v>44203</v>
      </c>
      <c r="B1391" s="302">
        <v>1543.971</v>
      </c>
      <c r="C1391" s="8">
        <v>-14.384</v>
      </c>
      <c r="D1391" s="268">
        <v>-9.1999999999999998E-3</v>
      </c>
      <c r="E1391" s="8">
        <v>32.700000000000003</v>
      </c>
      <c r="F1391" s="8">
        <v>133.90299999999999</v>
      </c>
      <c r="G1391" s="8">
        <v>109.16</v>
      </c>
      <c r="H1391" s="8">
        <v>91.62</v>
      </c>
      <c r="I1391" s="8">
        <v>165.63</v>
      </c>
      <c r="J1391" s="8">
        <v>72.95</v>
      </c>
      <c r="K1391" s="268">
        <v>0.31730000000000003</v>
      </c>
      <c r="L1391" s="268">
        <v>0.2157</v>
      </c>
      <c r="M1391" s="268">
        <v>-8.5000000000000006E-3</v>
      </c>
      <c r="N1391" s="8">
        <v>780.89</v>
      </c>
      <c r="O1391" s="8">
        <v>4759.0600000000004</v>
      </c>
      <c r="P1391" s="268">
        <v>0.1641</v>
      </c>
      <c r="Q1391" s="8">
        <v>330</v>
      </c>
      <c r="R1391" s="8" t="s">
        <v>8981</v>
      </c>
      <c r="S1391" s="8" t="s">
        <v>8982</v>
      </c>
      <c r="T1391" s="8" t="s">
        <v>8983</v>
      </c>
      <c r="U1391" s="8" t="s">
        <v>8984</v>
      </c>
      <c r="V1391" s="8" t="s">
        <v>8985</v>
      </c>
      <c r="W1391" s="8" t="s">
        <v>8986</v>
      </c>
    </row>
    <row r="1392" spans="1:23" ht="28" customHeight="1" x14ac:dyDescent="0.3">
      <c r="A1392" s="308">
        <v>44202</v>
      </c>
      <c r="B1392" s="302">
        <v>1558.355</v>
      </c>
      <c r="C1392" s="8">
        <v>-5.52</v>
      </c>
      <c r="D1392" s="268">
        <v>-3.5000000000000001E-3</v>
      </c>
      <c r="E1392" s="8">
        <v>44.44</v>
      </c>
      <c r="F1392" s="8">
        <v>135.21700000000001</v>
      </c>
      <c r="G1392" s="8">
        <v>111.605</v>
      </c>
      <c r="H1392" s="8">
        <v>93.34</v>
      </c>
      <c r="I1392" s="8">
        <v>164.74</v>
      </c>
      <c r="J1392" s="8">
        <v>66.95</v>
      </c>
      <c r="K1392" s="268">
        <v>0.29520000000000002</v>
      </c>
      <c r="L1392" s="268">
        <v>0.20300000000000001</v>
      </c>
      <c r="M1392" s="268">
        <v>-1.2E-2</v>
      </c>
      <c r="N1392" s="8">
        <v>693.51</v>
      </c>
      <c r="O1392" s="8">
        <v>4750.97</v>
      </c>
      <c r="P1392" s="268">
        <v>0.14599999999999999</v>
      </c>
      <c r="Q1392" s="8">
        <v>330</v>
      </c>
      <c r="R1392" s="8" t="s">
        <v>5895</v>
      </c>
      <c r="S1392" s="8" t="s">
        <v>8987</v>
      </c>
      <c r="T1392" s="8" t="s">
        <v>8988</v>
      </c>
      <c r="U1392" s="8" t="s">
        <v>4639</v>
      </c>
      <c r="V1392" s="8" t="s">
        <v>8989</v>
      </c>
      <c r="W1392" s="8" t="s">
        <v>8990</v>
      </c>
    </row>
    <row r="1393" spans="1:23" ht="28" customHeight="1" x14ac:dyDescent="0.3">
      <c r="A1393" s="308">
        <v>44201</v>
      </c>
      <c r="B1393" s="302">
        <v>1563.875</v>
      </c>
      <c r="C1393" s="8">
        <v>11.025</v>
      </c>
      <c r="D1393" s="268">
        <v>7.1000000000000004E-3</v>
      </c>
      <c r="E1393" s="8">
        <v>44.21</v>
      </c>
      <c r="F1393" s="8">
        <v>135.25800000000001</v>
      </c>
      <c r="G1393" s="8">
        <v>112</v>
      </c>
      <c r="H1393" s="8">
        <v>94.12</v>
      </c>
      <c r="I1393" s="8">
        <v>163.69999999999999</v>
      </c>
      <c r="J1393" s="8">
        <v>65.44</v>
      </c>
      <c r="K1393" s="268">
        <v>0.28439999999999999</v>
      </c>
      <c r="L1393" s="268">
        <v>0.19570000000000001</v>
      </c>
      <c r="M1393" s="268">
        <v>-1.3100000000000001E-2</v>
      </c>
      <c r="N1393" s="8">
        <v>646.27</v>
      </c>
      <c r="O1393" s="8">
        <v>4748.55</v>
      </c>
      <c r="P1393" s="268">
        <v>0.1361</v>
      </c>
      <c r="Q1393" s="8">
        <v>329</v>
      </c>
      <c r="R1393" s="8" t="s">
        <v>8991</v>
      </c>
      <c r="S1393" s="8" t="s">
        <v>8992</v>
      </c>
      <c r="T1393" s="8" t="s">
        <v>8993</v>
      </c>
      <c r="U1393" s="8" t="s">
        <v>8994</v>
      </c>
      <c r="V1393" s="8" t="s">
        <v>8995</v>
      </c>
      <c r="W1393" s="8" t="s">
        <v>8996</v>
      </c>
    </row>
    <row r="1394" spans="1:23" ht="28" customHeight="1" x14ac:dyDescent="0.3">
      <c r="A1394" s="308">
        <v>44200</v>
      </c>
      <c r="B1394" s="302">
        <v>1552.85</v>
      </c>
      <c r="C1394" s="8">
        <v>23.988</v>
      </c>
      <c r="D1394" s="268">
        <v>1.5699999999999999E-2</v>
      </c>
      <c r="E1394" s="8">
        <v>45.09</v>
      </c>
      <c r="F1394" s="8">
        <v>133.839</v>
      </c>
      <c r="G1394" s="8">
        <v>112.465</v>
      </c>
      <c r="H1394" s="8">
        <v>94.58</v>
      </c>
      <c r="I1394" s="8">
        <v>161.33000000000001</v>
      </c>
      <c r="J1394" s="8">
        <v>62</v>
      </c>
      <c r="K1394" s="268">
        <v>0.27489999999999998</v>
      </c>
      <c r="L1394" s="268">
        <v>0.18990000000000001</v>
      </c>
      <c r="M1394" s="268">
        <v>-1.2200000000000001E-2</v>
      </c>
      <c r="N1394" s="8">
        <v>498.94</v>
      </c>
      <c r="O1394" s="8">
        <v>4752.87</v>
      </c>
      <c r="P1394" s="268">
        <v>0.105</v>
      </c>
      <c r="Q1394" s="8">
        <v>330</v>
      </c>
      <c r="R1394" s="8" t="s">
        <v>3100</v>
      </c>
      <c r="S1394" s="8" t="s">
        <v>3116</v>
      </c>
      <c r="T1394" s="8" t="s">
        <v>8997</v>
      </c>
      <c r="U1394" s="8" t="s">
        <v>8998</v>
      </c>
      <c r="V1394" s="8" t="s">
        <v>8999</v>
      </c>
      <c r="W1394" s="8" t="s">
        <v>9000</v>
      </c>
    </row>
    <row r="1395" spans="1:23" ht="28" customHeight="1" x14ac:dyDescent="0.3">
      <c r="A1395" s="308">
        <v>44196</v>
      </c>
      <c r="B1395" s="302">
        <v>1528.8620000000001</v>
      </c>
      <c r="C1395" s="8">
        <v>15.272</v>
      </c>
      <c r="D1395" s="268">
        <v>1.01E-2</v>
      </c>
      <c r="E1395" s="8">
        <v>40.08</v>
      </c>
      <c r="F1395" s="8">
        <v>131.798</v>
      </c>
      <c r="G1395" s="8">
        <v>111.535</v>
      </c>
      <c r="H1395" s="8">
        <v>93.44</v>
      </c>
      <c r="I1395" s="8">
        <v>159.30000000000001</v>
      </c>
      <c r="J1395" s="8">
        <v>65.97</v>
      </c>
      <c r="K1395" s="268">
        <v>0.27500000000000002</v>
      </c>
      <c r="L1395" s="268">
        <v>0.20039999999999999</v>
      </c>
      <c r="M1395" s="268">
        <v>-8.2000000000000007E-3</v>
      </c>
      <c r="N1395" s="8">
        <v>486.23</v>
      </c>
      <c r="O1395" s="8">
        <v>4750.8999999999996</v>
      </c>
      <c r="P1395" s="268">
        <v>0.1023</v>
      </c>
      <c r="Q1395" s="8">
        <v>329</v>
      </c>
      <c r="R1395" s="8" t="s">
        <v>9001</v>
      </c>
      <c r="S1395" s="8" t="s">
        <v>9002</v>
      </c>
      <c r="T1395" s="8" t="s">
        <v>9003</v>
      </c>
      <c r="U1395" s="8" t="s">
        <v>9004</v>
      </c>
      <c r="V1395" s="8" t="s">
        <v>9005</v>
      </c>
      <c r="W1395" s="8" t="s">
        <v>9006</v>
      </c>
    </row>
    <row r="1396" spans="1:23" ht="28" customHeight="1" x14ac:dyDescent="0.3">
      <c r="A1396" s="308">
        <v>44195</v>
      </c>
      <c r="B1396" s="302">
        <v>1513.59</v>
      </c>
      <c r="C1396" s="8">
        <v>14.422000000000001</v>
      </c>
      <c r="D1396" s="268">
        <v>9.5999999999999992E-3</v>
      </c>
      <c r="E1396" s="8">
        <v>30.11</v>
      </c>
      <c r="F1396" s="8">
        <v>130.56299999999999</v>
      </c>
      <c r="G1396" s="8">
        <v>110.199</v>
      </c>
      <c r="H1396" s="8">
        <v>92.31</v>
      </c>
      <c r="I1396" s="8">
        <v>158.69999999999999</v>
      </c>
      <c r="J1396" s="8">
        <v>64.709999999999994</v>
      </c>
      <c r="K1396" s="268">
        <v>0.28139999999999998</v>
      </c>
      <c r="L1396" s="268">
        <v>0.2029</v>
      </c>
      <c r="M1396" s="268">
        <v>-6.0000000000000001E-3</v>
      </c>
      <c r="N1396" s="8">
        <v>508.21</v>
      </c>
      <c r="O1396" s="8">
        <v>4754.17</v>
      </c>
      <c r="P1396" s="268">
        <v>0.1069</v>
      </c>
      <c r="Q1396" s="8">
        <v>329</v>
      </c>
      <c r="R1396" s="8" t="s">
        <v>9007</v>
      </c>
      <c r="S1396" s="8" t="s">
        <v>9008</v>
      </c>
      <c r="T1396" s="8" t="s">
        <v>9009</v>
      </c>
      <c r="U1396" s="8" t="s">
        <v>9010</v>
      </c>
      <c r="V1396" s="8" t="s">
        <v>9011</v>
      </c>
      <c r="W1396" s="8" t="s">
        <v>9012</v>
      </c>
    </row>
    <row r="1397" spans="1:23" ht="28" customHeight="1" x14ac:dyDescent="0.3">
      <c r="A1397" s="308">
        <v>44194</v>
      </c>
      <c r="B1397" s="302">
        <v>1499.1679999999999</v>
      </c>
      <c r="C1397" s="8">
        <v>-0.72</v>
      </c>
      <c r="D1397" s="268">
        <v>-5.0000000000000001E-4</v>
      </c>
      <c r="E1397" s="8">
        <v>25.63</v>
      </c>
      <c r="F1397" s="8">
        <v>129.35499999999999</v>
      </c>
      <c r="G1397" s="8">
        <v>109.81100000000001</v>
      </c>
      <c r="H1397" s="8">
        <v>91.97</v>
      </c>
      <c r="I1397" s="8">
        <v>157.11000000000001</v>
      </c>
      <c r="J1397" s="8">
        <v>62.55</v>
      </c>
      <c r="K1397" s="268">
        <v>0.27750000000000002</v>
      </c>
      <c r="L1397" s="268">
        <v>0.19769999999999999</v>
      </c>
      <c r="M1397" s="268">
        <v>-4.0000000000000001E-3</v>
      </c>
      <c r="N1397" s="8">
        <v>543.95000000000005</v>
      </c>
      <c r="O1397" s="8">
        <v>4747.22</v>
      </c>
      <c r="P1397" s="268">
        <v>0.11459999999999999</v>
      </c>
      <c r="Q1397" s="8">
        <v>328</v>
      </c>
      <c r="R1397" s="8" t="s">
        <v>9013</v>
      </c>
      <c r="S1397" s="8" t="s">
        <v>9014</v>
      </c>
      <c r="T1397" s="8" t="s">
        <v>9015</v>
      </c>
      <c r="U1397" s="8" t="s">
        <v>9016</v>
      </c>
      <c r="V1397" s="8" t="s">
        <v>9017</v>
      </c>
      <c r="W1397" s="8" t="s">
        <v>9018</v>
      </c>
    </row>
    <row r="1398" spans="1:23" ht="28" customHeight="1" x14ac:dyDescent="0.3">
      <c r="A1398" s="308">
        <v>44193</v>
      </c>
      <c r="B1398" s="302">
        <v>1499.8879999999999</v>
      </c>
      <c r="C1398" s="8">
        <v>-7.673</v>
      </c>
      <c r="D1398" s="268">
        <v>-5.1000000000000004E-3</v>
      </c>
      <c r="E1398" s="8">
        <v>23.15</v>
      </c>
      <c r="F1398" s="8">
        <v>129.99799999999999</v>
      </c>
      <c r="G1398" s="8">
        <v>109.354</v>
      </c>
      <c r="H1398" s="8">
        <v>92.66</v>
      </c>
      <c r="I1398" s="8">
        <v>157.19</v>
      </c>
      <c r="J1398" s="8">
        <v>63.07</v>
      </c>
      <c r="K1398" s="268">
        <v>0.27189999999999998</v>
      </c>
      <c r="L1398" s="268">
        <v>0.19170000000000001</v>
      </c>
      <c r="M1398" s="268">
        <v>-4.5999999999999999E-3</v>
      </c>
      <c r="N1398" s="8">
        <v>465.27</v>
      </c>
      <c r="O1398" s="8">
        <v>4703.68</v>
      </c>
      <c r="P1398" s="268">
        <v>9.8900000000000002E-2</v>
      </c>
      <c r="Q1398" s="8">
        <v>326</v>
      </c>
      <c r="R1398" s="8" t="s">
        <v>8937</v>
      </c>
      <c r="S1398" s="8" t="s">
        <v>9019</v>
      </c>
      <c r="T1398" s="8" t="s">
        <v>9020</v>
      </c>
      <c r="U1398" s="8" t="s">
        <v>9021</v>
      </c>
      <c r="V1398" s="8" t="s">
        <v>8831</v>
      </c>
      <c r="W1398" s="8" t="s">
        <v>9022</v>
      </c>
    </row>
    <row r="1399" spans="1:23" ht="28" customHeight="1" x14ac:dyDescent="0.3">
      <c r="A1399" s="308">
        <v>44190</v>
      </c>
      <c r="B1399" s="302">
        <v>1507.5609999999999</v>
      </c>
      <c r="C1399" s="8">
        <v>8.6489999999999991</v>
      </c>
      <c r="D1399" s="268">
        <v>5.7999999999999996E-3</v>
      </c>
      <c r="E1399" s="8">
        <v>26.67</v>
      </c>
      <c r="F1399" s="8">
        <v>130.11500000000001</v>
      </c>
      <c r="G1399" s="8">
        <v>110.05</v>
      </c>
      <c r="H1399" s="8">
        <v>94.21</v>
      </c>
      <c r="I1399" s="8">
        <v>156.22999999999999</v>
      </c>
      <c r="J1399" s="8">
        <v>60.39</v>
      </c>
      <c r="K1399" s="268">
        <v>0.2611</v>
      </c>
      <c r="L1399" s="268">
        <v>0.18090000000000001</v>
      </c>
      <c r="M1399" s="268">
        <v>-6.0000000000000001E-3</v>
      </c>
      <c r="N1399" s="8">
        <v>586.66999999999996</v>
      </c>
      <c r="O1399" s="8">
        <v>4701.42</v>
      </c>
      <c r="P1399" s="268">
        <v>0.12479999999999999</v>
      </c>
      <c r="Q1399" s="8">
        <v>325</v>
      </c>
      <c r="R1399" s="8" t="s">
        <v>9023</v>
      </c>
      <c r="S1399" s="8" t="s">
        <v>9024</v>
      </c>
      <c r="T1399" s="8" t="s">
        <v>9025</v>
      </c>
      <c r="U1399" s="8" t="s">
        <v>9026</v>
      </c>
      <c r="V1399" s="8" t="s">
        <v>9027</v>
      </c>
      <c r="W1399" s="8" t="s">
        <v>9028</v>
      </c>
    </row>
    <row r="1400" spans="1:23" ht="28" customHeight="1" x14ac:dyDescent="0.3">
      <c r="A1400" s="308">
        <v>44189</v>
      </c>
      <c r="B1400" s="302">
        <v>1498.912</v>
      </c>
      <c r="C1400" s="8">
        <v>-23.103999999999999</v>
      </c>
      <c r="D1400" s="268">
        <v>-1.52E-2</v>
      </c>
      <c r="E1400" s="8">
        <v>22.9</v>
      </c>
      <c r="F1400" s="8">
        <v>129.68600000000001</v>
      </c>
      <c r="G1400" s="8">
        <v>110.01</v>
      </c>
      <c r="H1400" s="8">
        <v>93.22</v>
      </c>
      <c r="I1400" s="8">
        <v>156.53</v>
      </c>
      <c r="J1400" s="8">
        <v>62.87</v>
      </c>
      <c r="K1400" s="268">
        <v>0.26840000000000003</v>
      </c>
      <c r="L1400" s="268">
        <v>0.187</v>
      </c>
      <c r="M1400" s="268">
        <v>-4.7000000000000002E-3</v>
      </c>
      <c r="N1400" s="8">
        <v>636</v>
      </c>
      <c r="O1400" s="8">
        <v>4694.58</v>
      </c>
      <c r="P1400" s="268">
        <v>0.13550000000000001</v>
      </c>
      <c r="Q1400" s="8">
        <v>323</v>
      </c>
      <c r="R1400" s="8" t="s">
        <v>9029</v>
      </c>
      <c r="S1400" s="8" t="s">
        <v>9030</v>
      </c>
      <c r="T1400" s="8" t="s">
        <v>9031</v>
      </c>
      <c r="U1400" s="8" t="s">
        <v>9032</v>
      </c>
      <c r="V1400" s="8" t="s">
        <v>9033</v>
      </c>
      <c r="W1400" s="8" t="s">
        <v>9034</v>
      </c>
    </row>
    <row r="1401" spans="1:23" ht="28" customHeight="1" x14ac:dyDescent="0.3">
      <c r="A1401" s="308">
        <v>44188</v>
      </c>
      <c r="B1401" s="302">
        <v>1522.0160000000001</v>
      </c>
      <c r="C1401" s="8">
        <v>-1.7829999999999999</v>
      </c>
      <c r="D1401" s="268">
        <v>-1.1999999999999999E-3</v>
      </c>
      <c r="E1401" s="8">
        <v>36.11</v>
      </c>
      <c r="F1401" s="8">
        <v>131.50700000000001</v>
      </c>
      <c r="G1401" s="8">
        <v>111.744</v>
      </c>
      <c r="H1401" s="8">
        <v>94.81</v>
      </c>
      <c r="I1401" s="8">
        <v>157.66</v>
      </c>
      <c r="J1401" s="8">
        <v>58.96</v>
      </c>
      <c r="K1401" s="268">
        <v>0.2616</v>
      </c>
      <c r="L1401" s="268">
        <v>0.1744</v>
      </c>
      <c r="M1401" s="268">
        <v>-8.9999999999999993E-3</v>
      </c>
      <c r="N1401" s="8">
        <v>697.97</v>
      </c>
      <c r="O1401" s="8">
        <v>4689.32</v>
      </c>
      <c r="P1401" s="268">
        <v>0.14879999999999999</v>
      </c>
      <c r="Q1401" s="8">
        <v>322</v>
      </c>
      <c r="R1401" s="8" t="s">
        <v>9035</v>
      </c>
      <c r="S1401" s="8" t="s">
        <v>9036</v>
      </c>
      <c r="T1401" s="8" t="s">
        <v>9037</v>
      </c>
      <c r="U1401" s="8" t="s">
        <v>9038</v>
      </c>
      <c r="V1401" s="8" t="s">
        <v>9039</v>
      </c>
      <c r="W1401" s="8" t="s">
        <v>9040</v>
      </c>
    </row>
    <row r="1402" spans="1:23" ht="28" customHeight="1" x14ac:dyDescent="0.3">
      <c r="A1402" s="308">
        <v>44187</v>
      </c>
      <c r="B1402" s="302">
        <v>1523.799</v>
      </c>
      <c r="C1402" s="8">
        <v>-3.742</v>
      </c>
      <c r="D1402" s="268">
        <v>-2.3999999999999998E-3</v>
      </c>
      <c r="E1402" s="8">
        <v>35.26</v>
      </c>
      <c r="F1402" s="8">
        <v>132.14500000000001</v>
      </c>
      <c r="G1402" s="8">
        <v>112.27</v>
      </c>
      <c r="H1402" s="8">
        <v>94.35</v>
      </c>
      <c r="I1402" s="8">
        <v>158.94</v>
      </c>
      <c r="J1402" s="8">
        <v>64.400000000000006</v>
      </c>
      <c r="K1402" s="268">
        <v>0.26800000000000002</v>
      </c>
      <c r="L1402" s="268">
        <v>0.18859999999999999</v>
      </c>
      <c r="M1402" s="268">
        <v>-9.4999999999999998E-3</v>
      </c>
      <c r="N1402" s="8">
        <v>526.73</v>
      </c>
      <c r="O1402" s="8">
        <v>4663.9799999999996</v>
      </c>
      <c r="P1402" s="268">
        <v>0.1129</v>
      </c>
      <c r="Q1402" s="8">
        <v>319</v>
      </c>
      <c r="R1402" s="8" t="s">
        <v>9041</v>
      </c>
      <c r="S1402" s="8" t="s">
        <v>9042</v>
      </c>
      <c r="T1402" s="8" t="s">
        <v>9043</v>
      </c>
      <c r="U1402" s="8" t="s">
        <v>9044</v>
      </c>
      <c r="V1402" s="8" t="s">
        <v>9045</v>
      </c>
      <c r="W1402" s="8" t="s">
        <v>9046</v>
      </c>
    </row>
    <row r="1403" spans="1:23" ht="28" customHeight="1" x14ac:dyDescent="0.3">
      <c r="A1403" s="308">
        <v>44186</v>
      </c>
      <c r="B1403" s="302">
        <v>1527.5409999999999</v>
      </c>
      <c r="C1403" s="8">
        <v>13.28</v>
      </c>
      <c r="D1403" s="268">
        <v>8.8000000000000005E-3</v>
      </c>
      <c r="E1403" s="8">
        <v>42.44</v>
      </c>
      <c r="F1403" s="8">
        <v>131.69300000000001</v>
      </c>
      <c r="G1403" s="8">
        <v>113.105</v>
      </c>
      <c r="H1403" s="8">
        <v>96.95</v>
      </c>
      <c r="I1403" s="8">
        <v>155.52000000000001</v>
      </c>
      <c r="J1403" s="8">
        <v>53.18</v>
      </c>
      <c r="K1403" s="268">
        <v>0.2382</v>
      </c>
      <c r="L1403" s="268">
        <v>0.1603</v>
      </c>
      <c r="M1403" s="268">
        <v>-1.14E-2</v>
      </c>
      <c r="N1403" s="8">
        <v>382.52</v>
      </c>
      <c r="O1403" s="8">
        <v>4668.83</v>
      </c>
      <c r="P1403" s="268">
        <v>8.1900000000000001E-2</v>
      </c>
      <c r="Q1403" s="8">
        <v>319</v>
      </c>
      <c r="R1403" s="8" t="s">
        <v>6116</v>
      </c>
      <c r="S1403" s="8" t="s">
        <v>9047</v>
      </c>
      <c r="T1403" s="8" t="s">
        <v>9048</v>
      </c>
      <c r="U1403" s="8" t="s">
        <v>9049</v>
      </c>
      <c r="V1403" s="8" t="s">
        <v>9050</v>
      </c>
      <c r="W1403" s="8" t="s">
        <v>9051</v>
      </c>
    </row>
    <row r="1404" spans="1:23" ht="28" customHeight="1" x14ac:dyDescent="0.3">
      <c r="A1404" s="308">
        <v>44183</v>
      </c>
      <c r="B1404" s="302">
        <v>1514.261</v>
      </c>
      <c r="C1404" s="8">
        <v>3.61</v>
      </c>
      <c r="D1404" s="268">
        <v>2.3999999999999998E-3</v>
      </c>
      <c r="E1404" s="8">
        <v>40.33</v>
      </c>
      <c r="F1404" s="8">
        <v>129.518</v>
      </c>
      <c r="G1404" s="8">
        <v>112.43</v>
      </c>
      <c r="H1404" s="8">
        <v>96.29</v>
      </c>
      <c r="I1404" s="8">
        <v>153.62</v>
      </c>
      <c r="J1404" s="8">
        <v>53.38</v>
      </c>
      <c r="K1404" s="268">
        <v>0.24099999999999999</v>
      </c>
      <c r="L1404" s="268">
        <v>0.16969999999999999</v>
      </c>
      <c r="M1404" s="268">
        <v>-9.5999999999999992E-3</v>
      </c>
      <c r="N1404" s="8">
        <v>397.16</v>
      </c>
      <c r="O1404" s="8">
        <v>4680.1400000000003</v>
      </c>
      <c r="P1404" s="268">
        <v>8.4900000000000003E-2</v>
      </c>
      <c r="Q1404" s="8">
        <v>320</v>
      </c>
      <c r="R1404" s="8" t="s">
        <v>6996</v>
      </c>
      <c r="S1404" s="8" t="s">
        <v>9052</v>
      </c>
      <c r="T1404" s="8" t="s">
        <v>9053</v>
      </c>
      <c r="U1404" s="8" t="s">
        <v>9054</v>
      </c>
      <c r="V1404" s="8" t="s">
        <v>9055</v>
      </c>
      <c r="W1404" s="8" t="s">
        <v>9056</v>
      </c>
    </row>
    <row r="1405" spans="1:23" ht="28" customHeight="1" x14ac:dyDescent="0.3">
      <c r="A1405" s="308">
        <v>44182</v>
      </c>
      <c r="B1405" s="302">
        <v>1510.6510000000001</v>
      </c>
      <c r="C1405" s="8">
        <v>8.1140000000000008</v>
      </c>
      <c r="D1405" s="268">
        <v>5.4000000000000003E-3</v>
      </c>
      <c r="E1405" s="8">
        <v>37.76</v>
      </c>
      <c r="F1405" s="8">
        <v>129.393</v>
      </c>
      <c r="G1405" s="8">
        <v>112.672</v>
      </c>
      <c r="H1405" s="8">
        <v>96.84</v>
      </c>
      <c r="I1405" s="8">
        <v>152.69999999999999</v>
      </c>
      <c r="J1405" s="8">
        <v>47.65</v>
      </c>
      <c r="K1405" s="268">
        <v>0.23300000000000001</v>
      </c>
      <c r="L1405" s="268">
        <v>0.1681</v>
      </c>
      <c r="M1405" s="268">
        <v>-8.8999999999999999E-3</v>
      </c>
      <c r="N1405" s="8">
        <v>388.72</v>
      </c>
      <c r="O1405" s="8">
        <v>4669.57</v>
      </c>
      <c r="P1405" s="268">
        <v>8.3199999999999996E-2</v>
      </c>
      <c r="Q1405" s="8">
        <v>319</v>
      </c>
      <c r="R1405" s="8" t="s">
        <v>9057</v>
      </c>
      <c r="S1405" s="8" t="s">
        <v>9058</v>
      </c>
      <c r="T1405" s="8" t="s">
        <v>9059</v>
      </c>
      <c r="U1405" s="8" t="s">
        <v>9060</v>
      </c>
      <c r="V1405" s="8" t="s">
        <v>9061</v>
      </c>
      <c r="W1405" s="8" t="s">
        <v>9062</v>
      </c>
    </row>
    <row r="1406" spans="1:23" ht="28" customHeight="1" x14ac:dyDescent="0.3">
      <c r="A1406" s="308">
        <v>44181</v>
      </c>
      <c r="B1406" s="302">
        <v>1502.537</v>
      </c>
      <c r="C1406" s="8">
        <v>-10.15</v>
      </c>
      <c r="D1406" s="268">
        <v>-6.7000000000000002E-3</v>
      </c>
      <c r="E1406" s="8">
        <v>34.97</v>
      </c>
      <c r="F1406" s="8">
        <v>128.99299999999999</v>
      </c>
      <c r="G1406" s="8">
        <v>113.002</v>
      </c>
      <c r="H1406" s="8">
        <v>95.64</v>
      </c>
      <c r="I1406" s="8">
        <v>152.65</v>
      </c>
      <c r="J1406" s="8">
        <v>49.43</v>
      </c>
      <c r="K1406" s="268">
        <v>0.2366</v>
      </c>
      <c r="L1406" s="268">
        <v>0.17380000000000001</v>
      </c>
      <c r="M1406" s="268">
        <v>-8.0000000000000002E-3</v>
      </c>
      <c r="N1406" s="8">
        <v>403.87</v>
      </c>
      <c r="O1406" s="8">
        <v>4469.28</v>
      </c>
      <c r="P1406" s="268">
        <v>9.0399999999999994E-2</v>
      </c>
      <c r="Q1406" s="8">
        <v>317</v>
      </c>
      <c r="R1406" s="8" t="s">
        <v>9063</v>
      </c>
      <c r="S1406" s="8" t="s">
        <v>9064</v>
      </c>
      <c r="T1406" s="8" t="s">
        <v>9065</v>
      </c>
      <c r="U1406" s="8" t="s">
        <v>9066</v>
      </c>
      <c r="V1406" s="8" t="s">
        <v>9067</v>
      </c>
      <c r="W1406" s="8" t="s">
        <v>9068</v>
      </c>
    </row>
    <row r="1407" spans="1:23" ht="28" customHeight="1" x14ac:dyDescent="0.3">
      <c r="A1407" s="308">
        <v>44180</v>
      </c>
      <c r="B1407" s="302">
        <v>1512.6869999999999</v>
      </c>
      <c r="C1407" s="8">
        <v>-11.707000000000001</v>
      </c>
      <c r="D1407" s="268">
        <v>-7.7000000000000002E-3</v>
      </c>
      <c r="E1407" s="8">
        <v>37.82</v>
      </c>
      <c r="F1407" s="8">
        <v>129.249</v>
      </c>
      <c r="G1407" s="8">
        <v>113.642</v>
      </c>
      <c r="H1407" s="8">
        <v>96.35</v>
      </c>
      <c r="I1407" s="8">
        <v>152.46</v>
      </c>
      <c r="J1407" s="8">
        <v>49.11</v>
      </c>
      <c r="K1407" s="268">
        <v>0.2321</v>
      </c>
      <c r="L1407" s="268">
        <v>0.16969999999999999</v>
      </c>
      <c r="M1407" s="268">
        <v>-9.7999999999999997E-3</v>
      </c>
      <c r="N1407" s="8">
        <v>423.01</v>
      </c>
      <c r="O1407" s="8">
        <v>4465.8599999999997</v>
      </c>
      <c r="P1407" s="268">
        <v>9.4700000000000006E-2</v>
      </c>
      <c r="Q1407" s="8">
        <v>316</v>
      </c>
      <c r="R1407" s="8" t="s">
        <v>9069</v>
      </c>
      <c r="S1407" s="8" t="s">
        <v>9070</v>
      </c>
      <c r="T1407" s="8" t="s">
        <v>9071</v>
      </c>
      <c r="U1407" s="8" t="s">
        <v>9072</v>
      </c>
      <c r="V1407" s="8" t="s">
        <v>8715</v>
      </c>
      <c r="W1407" s="8" t="s">
        <v>9073</v>
      </c>
    </row>
    <row r="1408" spans="1:23" ht="28" customHeight="1" x14ac:dyDescent="0.3">
      <c r="A1408" s="308">
        <v>44179</v>
      </c>
      <c r="B1408" s="302">
        <v>1524.394</v>
      </c>
      <c r="C1408" s="8">
        <v>-0.80800000000000005</v>
      </c>
      <c r="D1408" s="268">
        <v>-5.0000000000000001E-4</v>
      </c>
      <c r="E1408" s="8">
        <v>42.31</v>
      </c>
      <c r="F1408" s="8">
        <v>129.596</v>
      </c>
      <c r="G1408" s="8">
        <v>115.21</v>
      </c>
      <c r="H1408" s="8">
        <v>96.98</v>
      </c>
      <c r="I1408" s="8">
        <v>153.71</v>
      </c>
      <c r="J1408" s="8">
        <v>56.25</v>
      </c>
      <c r="K1408" s="268">
        <v>0.2412</v>
      </c>
      <c r="L1408" s="268">
        <v>0.17660000000000001</v>
      </c>
      <c r="M1408" s="268">
        <v>-1.1900000000000001E-2</v>
      </c>
      <c r="N1408" s="8">
        <v>338.33</v>
      </c>
      <c r="O1408" s="8">
        <v>4469.37</v>
      </c>
      <c r="P1408" s="268">
        <v>7.5700000000000003E-2</v>
      </c>
      <c r="Q1408" s="8">
        <v>317</v>
      </c>
      <c r="R1408" s="8" t="s">
        <v>9074</v>
      </c>
      <c r="S1408" s="8" t="s">
        <v>9075</v>
      </c>
      <c r="T1408" s="8" t="s">
        <v>9076</v>
      </c>
      <c r="U1408" s="8" t="s">
        <v>9077</v>
      </c>
      <c r="V1408" s="8" t="s">
        <v>9078</v>
      </c>
      <c r="W1408" s="8" t="s">
        <v>9079</v>
      </c>
    </row>
    <row r="1409" spans="1:23" ht="28" customHeight="1" x14ac:dyDescent="0.3">
      <c r="A1409" s="308">
        <v>44176</v>
      </c>
      <c r="B1409" s="302">
        <v>1525.202</v>
      </c>
      <c r="C1409" s="8">
        <v>-19.838000000000001</v>
      </c>
      <c r="D1409" s="268">
        <v>-1.2800000000000001E-2</v>
      </c>
      <c r="E1409" s="8">
        <v>44.89</v>
      </c>
      <c r="F1409" s="8">
        <v>129.11799999999999</v>
      </c>
      <c r="G1409" s="8">
        <v>115.04</v>
      </c>
      <c r="H1409" s="8">
        <v>96.07</v>
      </c>
      <c r="I1409" s="8">
        <v>154.59</v>
      </c>
      <c r="J1409" s="8">
        <v>61.59</v>
      </c>
      <c r="K1409" s="268">
        <v>0.25480000000000003</v>
      </c>
      <c r="L1409" s="268">
        <v>0.18859999999999999</v>
      </c>
      <c r="M1409" s="268">
        <v>-1.21E-2</v>
      </c>
      <c r="N1409" s="8">
        <v>512.6</v>
      </c>
      <c r="O1409" s="8">
        <v>4474.4799999999996</v>
      </c>
      <c r="P1409" s="268">
        <v>0.11459999999999999</v>
      </c>
      <c r="Q1409" s="8">
        <v>317</v>
      </c>
      <c r="R1409" s="8" t="s">
        <v>9080</v>
      </c>
      <c r="S1409" s="8" t="s">
        <v>9081</v>
      </c>
      <c r="T1409" s="8" t="s">
        <v>9082</v>
      </c>
      <c r="U1409" s="8" t="s">
        <v>9083</v>
      </c>
      <c r="V1409" s="8" t="s">
        <v>9084</v>
      </c>
      <c r="W1409" s="8" t="s">
        <v>9085</v>
      </c>
    </row>
    <row r="1410" spans="1:23" ht="28" customHeight="1" x14ac:dyDescent="0.3">
      <c r="A1410" s="308">
        <v>44175</v>
      </c>
      <c r="B1410" s="302">
        <v>1545.04</v>
      </c>
      <c r="C1410" s="8">
        <v>1.883</v>
      </c>
      <c r="D1410" s="268">
        <v>1.1999999999999999E-3</v>
      </c>
      <c r="E1410" s="8">
        <v>50.97</v>
      </c>
      <c r="F1410" s="8">
        <v>131.244</v>
      </c>
      <c r="G1410" s="8">
        <v>116.52800000000001</v>
      </c>
      <c r="H1410" s="8">
        <v>97.19</v>
      </c>
      <c r="I1410" s="8">
        <v>156.28</v>
      </c>
      <c r="J1410" s="8">
        <v>60.88</v>
      </c>
      <c r="K1410" s="268">
        <v>0.25040000000000001</v>
      </c>
      <c r="L1410" s="268">
        <v>0.1837</v>
      </c>
      <c r="M1410" s="268">
        <v>-1.4999999999999999E-2</v>
      </c>
      <c r="N1410" s="8">
        <v>659.27</v>
      </c>
      <c r="O1410" s="8">
        <v>4476.05</v>
      </c>
      <c r="P1410" s="268">
        <v>0.14729999999999999</v>
      </c>
      <c r="Q1410" s="8">
        <v>318</v>
      </c>
      <c r="R1410" s="8" t="s">
        <v>5832</v>
      </c>
      <c r="S1410" s="8" t="s">
        <v>9086</v>
      </c>
      <c r="T1410" s="8" t="s">
        <v>9087</v>
      </c>
      <c r="U1410" s="8" t="s">
        <v>9088</v>
      </c>
      <c r="V1410" s="8" t="s">
        <v>9089</v>
      </c>
      <c r="W1410" s="8" t="s">
        <v>9090</v>
      </c>
    </row>
    <row r="1411" spans="1:23" ht="28" customHeight="1" x14ac:dyDescent="0.3">
      <c r="A1411" s="308">
        <v>44174</v>
      </c>
      <c r="B1411" s="302">
        <v>1543.1569999999999</v>
      </c>
      <c r="C1411" s="8">
        <v>-4.5810000000000004</v>
      </c>
      <c r="D1411" s="268">
        <v>-3.0000000000000001E-3</v>
      </c>
      <c r="E1411" s="8">
        <v>53.85</v>
      </c>
      <c r="F1411" s="8">
        <v>130.97900000000001</v>
      </c>
      <c r="G1411" s="8">
        <v>117</v>
      </c>
      <c r="H1411" s="8">
        <v>98.09</v>
      </c>
      <c r="I1411" s="8">
        <v>155.26</v>
      </c>
      <c r="J1411" s="8">
        <v>57.47</v>
      </c>
      <c r="K1411" s="268">
        <v>0.24279999999999999</v>
      </c>
      <c r="L1411" s="268">
        <v>0.17849999999999999</v>
      </c>
      <c r="M1411" s="268">
        <v>-1.47E-2</v>
      </c>
      <c r="N1411" s="8">
        <v>338.97</v>
      </c>
      <c r="O1411" s="8">
        <v>4479.1499999999996</v>
      </c>
      <c r="P1411" s="268">
        <v>7.5700000000000003E-2</v>
      </c>
      <c r="Q1411" s="8">
        <v>319</v>
      </c>
      <c r="R1411" s="8" t="s">
        <v>3698</v>
      </c>
      <c r="S1411" s="8" t="s">
        <v>9091</v>
      </c>
      <c r="T1411" s="8" t="s">
        <v>9092</v>
      </c>
      <c r="U1411" s="8" t="s">
        <v>9093</v>
      </c>
      <c r="V1411" s="8" t="s">
        <v>9094</v>
      </c>
      <c r="W1411" s="8" t="s">
        <v>9095</v>
      </c>
    </row>
    <row r="1412" spans="1:23" ht="28" customHeight="1" x14ac:dyDescent="0.3">
      <c r="A1412" s="308">
        <v>44173</v>
      </c>
      <c r="B1412" s="302">
        <v>1547.7380000000001</v>
      </c>
      <c r="C1412" s="8">
        <v>-2.0150000000000001</v>
      </c>
      <c r="D1412" s="268">
        <v>-1.2999999999999999E-3</v>
      </c>
      <c r="E1412" s="8">
        <v>60.23</v>
      </c>
      <c r="F1412" s="8">
        <v>131.017</v>
      </c>
      <c r="G1412" s="8">
        <v>117.86</v>
      </c>
      <c r="H1412" s="8">
        <v>98.93</v>
      </c>
      <c r="I1412" s="8">
        <v>152.75</v>
      </c>
      <c r="J1412" s="8">
        <v>50.98</v>
      </c>
      <c r="K1412" s="268">
        <v>0.21729999999999999</v>
      </c>
      <c r="L1412" s="268">
        <v>0.16289999999999999</v>
      </c>
      <c r="M1412" s="268">
        <v>-1.67E-2</v>
      </c>
      <c r="N1412" s="8">
        <v>327.27999999999997</v>
      </c>
      <c r="O1412" s="8">
        <v>4682.95</v>
      </c>
      <c r="P1412" s="268">
        <v>6.9900000000000004E-2</v>
      </c>
      <c r="Q1412" s="8">
        <v>320</v>
      </c>
      <c r="R1412" s="8" t="s">
        <v>3834</v>
      </c>
      <c r="S1412" s="8" t="s">
        <v>3177</v>
      </c>
      <c r="T1412" s="8" t="s">
        <v>9088</v>
      </c>
      <c r="U1412" s="8" t="s">
        <v>9096</v>
      </c>
      <c r="V1412" s="8" t="s">
        <v>8978</v>
      </c>
      <c r="W1412" s="8" t="s">
        <v>8343</v>
      </c>
    </row>
    <row r="1413" spans="1:23" ht="28" customHeight="1" x14ac:dyDescent="0.3">
      <c r="A1413" s="308">
        <v>44172</v>
      </c>
      <c r="B1413" s="302">
        <v>1549.7529999999999</v>
      </c>
      <c r="C1413" s="8">
        <v>0.92900000000000005</v>
      </c>
      <c r="D1413" s="268">
        <v>5.9999999999999995E-4</v>
      </c>
      <c r="E1413" s="8">
        <v>62.86</v>
      </c>
      <c r="F1413" s="8">
        <v>131.18600000000001</v>
      </c>
      <c r="G1413" s="8">
        <v>118.22499999999999</v>
      </c>
      <c r="H1413" s="8">
        <v>99.41</v>
      </c>
      <c r="I1413" s="8">
        <v>153.06</v>
      </c>
      <c r="J1413" s="8">
        <v>49.21</v>
      </c>
      <c r="K1413" s="268">
        <v>0.21870000000000001</v>
      </c>
      <c r="L1413" s="268">
        <v>0.16539999999999999</v>
      </c>
      <c r="M1413" s="268">
        <v>-1.66E-2</v>
      </c>
      <c r="N1413" s="8">
        <v>326.32</v>
      </c>
      <c r="O1413" s="8">
        <v>4686.47</v>
      </c>
      <c r="P1413" s="268">
        <v>6.9599999999999995E-2</v>
      </c>
      <c r="Q1413" s="8">
        <v>320</v>
      </c>
      <c r="R1413" s="8" t="s">
        <v>9097</v>
      </c>
      <c r="S1413" s="8" t="s">
        <v>6738</v>
      </c>
      <c r="T1413" s="8" t="s">
        <v>9098</v>
      </c>
      <c r="U1413" s="8" t="s">
        <v>2591</v>
      </c>
      <c r="V1413" s="8" t="s">
        <v>9099</v>
      </c>
      <c r="W1413" s="8" t="s">
        <v>9100</v>
      </c>
    </row>
    <row r="1414" spans="1:23" ht="28" customHeight="1" x14ac:dyDescent="0.3">
      <c r="A1414" s="308">
        <v>44169</v>
      </c>
      <c r="B1414" s="302">
        <v>1548.8240000000001</v>
      </c>
      <c r="C1414" s="8">
        <v>3.3540000000000001</v>
      </c>
      <c r="D1414" s="268">
        <v>2.2000000000000001E-3</v>
      </c>
      <c r="E1414" s="8">
        <v>63.22</v>
      </c>
      <c r="F1414" s="8">
        <v>130.78299999999999</v>
      </c>
      <c r="G1414" s="8">
        <v>118.5</v>
      </c>
      <c r="H1414" s="8">
        <v>100.47</v>
      </c>
      <c r="I1414" s="8">
        <v>152.19999999999999</v>
      </c>
      <c r="J1414" s="8">
        <v>44.33</v>
      </c>
      <c r="K1414" s="268">
        <v>0.2142</v>
      </c>
      <c r="L1414" s="268">
        <v>0.16600000000000001</v>
      </c>
      <c r="M1414" s="268">
        <v>-1.6500000000000001E-2</v>
      </c>
      <c r="N1414" s="8">
        <v>379.18</v>
      </c>
      <c r="O1414" s="8">
        <v>4684.8999999999996</v>
      </c>
      <c r="P1414" s="268">
        <v>8.09E-2</v>
      </c>
      <c r="Q1414" s="8">
        <v>319</v>
      </c>
      <c r="R1414" s="8" t="s">
        <v>5888</v>
      </c>
      <c r="S1414" s="8" t="s">
        <v>2529</v>
      </c>
      <c r="T1414" s="8" t="s">
        <v>5984</v>
      </c>
      <c r="U1414" s="8" t="s">
        <v>9101</v>
      </c>
      <c r="V1414" s="8" t="s">
        <v>9102</v>
      </c>
      <c r="W1414" s="8" t="s">
        <v>9103</v>
      </c>
    </row>
    <row r="1415" spans="1:23" ht="28" customHeight="1" x14ac:dyDescent="0.3">
      <c r="A1415" s="308">
        <v>44168</v>
      </c>
      <c r="B1415" s="302">
        <v>1545.47</v>
      </c>
      <c r="C1415" s="8">
        <v>-6.3159999999999998</v>
      </c>
      <c r="D1415" s="268">
        <v>-4.1000000000000003E-3</v>
      </c>
      <c r="E1415" s="8">
        <v>64.53</v>
      </c>
      <c r="F1415" s="8">
        <v>131.15899999999999</v>
      </c>
      <c r="G1415" s="8">
        <v>118.9</v>
      </c>
      <c r="H1415" s="8">
        <v>100.66</v>
      </c>
      <c r="I1415" s="8">
        <v>152.35</v>
      </c>
      <c r="J1415" s="8">
        <v>47.19</v>
      </c>
      <c r="K1415" s="268">
        <v>0.21190000000000001</v>
      </c>
      <c r="L1415" s="268">
        <v>0.16320000000000001</v>
      </c>
      <c r="M1415" s="268">
        <v>-1.67E-2</v>
      </c>
      <c r="N1415" s="8">
        <v>373.75</v>
      </c>
      <c r="O1415" s="8">
        <v>4689.3500000000004</v>
      </c>
      <c r="P1415" s="268">
        <v>7.9699999999999993E-2</v>
      </c>
      <c r="Q1415" s="8">
        <v>321</v>
      </c>
      <c r="R1415" s="8" t="s">
        <v>5804</v>
      </c>
      <c r="S1415" s="8" t="s">
        <v>3858</v>
      </c>
      <c r="T1415" s="8" t="s">
        <v>9104</v>
      </c>
      <c r="U1415" s="8" t="s">
        <v>9105</v>
      </c>
      <c r="V1415" s="8" t="s">
        <v>9106</v>
      </c>
      <c r="W1415" s="8" t="s">
        <v>9107</v>
      </c>
    </row>
    <row r="1416" spans="1:23" ht="28" customHeight="1" x14ac:dyDescent="0.3">
      <c r="A1416" s="308">
        <v>44167</v>
      </c>
      <c r="B1416" s="302">
        <v>1551.7860000000001</v>
      </c>
      <c r="C1416" s="8">
        <v>-0.48099999999999998</v>
      </c>
      <c r="D1416" s="268">
        <v>-2.9999999999999997E-4</v>
      </c>
      <c r="E1416" s="8">
        <v>65.260000000000005</v>
      </c>
      <c r="F1416" s="8">
        <v>131.93</v>
      </c>
      <c r="G1416" s="8">
        <v>118.05</v>
      </c>
      <c r="H1416" s="8">
        <v>101.21</v>
      </c>
      <c r="I1416" s="8">
        <v>153.21</v>
      </c>
      <c r="J1416" s="8">
        <v>45.25</v>
      </c>
      <c r="K1416" s="268">
        <v>0.21279999999999999</v>
      </c>
      <c r="L1416" s="268">
        <v>0.1636</v>
      </c>
      <c r="M1416" s="268">
        <v>-1.78E-2</v>
      </c>
      <c r="N1416" s="8">
        <v>364.69</v>
      </c>
      <c r="O1416" s="8">
        <v>4620.95</v>
      </c>
      <c r="P1416" s="268">
        <v>7.8899999999999998E-2</v>
      </c>
      <c r="Q1416" s="8">
        <v>318</v>
      </c>
      <c r="R1416" s="8" t="s">
        <v>9097</v>
      </c>
      <c r="S1416" s="8" t="s">
        <v>9108</v>
      </c>
      <c r="T1416" s="8" t="s">
        <v>9109</v>
      </c>
      <c r="U1416" s="8" t="s">
        <v>9110</v>
      </c>
      <c r="V1416" s="8" t="s">
        <v>9111</v>
      </c>
      <c r="W1416" s="8" t="s">
        <v>5352</v>
      </c>
    </row>
    <row r="1417" spans="1:23" ht="28" customHeight="1" x14ac:dyDescent="0.3">
      <c r="A1417" s="308">
        <v>44166</v>
      </c>
      <c r="B1417" s="302">
        <v>1552.2670000000001</v>
      </c>
      <c r="C1417" s="8">
        <v>7.8760000000000003</v>
      </c>
      <c r="D1417" s="268">
        <v>5.1000000000000004E-3</v>
      </c>
      <c r="E1417" s="8">
        <v>65.77</v>
      </c>
      <c r="F1417" s="8">
        <v>132.089</v>
      </c>
      <c r="G1417" s="8">
        <v>118.38</v>
      </c>
      <c r="H1417" s="8">
        <v>101.61</v>
      </c>
      <c r="I1417" s="8">
        <v>153.72999999999999</v>
      </c>
      <c r="J1417" s="8">
        <v>46.39</v>
      </c>
      <c r="K1417" s="268">
        <v>0.21640000000000001</v>
      </c>
      <c r="L1417" s="268">
        <v>0.16619999999999999</v>
      </c>
      <c r="M1417" s="268">
        <v>-1.7899999999999999E-2</v>
      </c>
      <c r="N1417" s="8">
        <v>376.9</v>
      </c>
      <c r="O1417" s="8">
        <v>4618.25</v>
      </c>
      <c r="P1417" s="268">
        <v>8.1600000000000006E-2</v>
      </c>
      <c r="Q1417" s="8">
        <v>317</v>
      </c>
      <c r="R1417" s="8" t="s">
        <v>5441</v>
      </c>
      <c r="S1417" s="8" t="s">
        <v>9112</v>
      </c>
      <c r="T1417" s="8" t="s">
        <v>9113</v>
      </c>
      <c r="U1417" s="8" t="s">
        <v>9114</v>
      </c>
      <c r="V1417" s="8" t="s">
        <v>9115</v>
      </c>
      <c r="W1417" s="8" t="s">
        <v>9116</v>
      </c>
    </row>
    <row r="1418" spans="1:23" ht="28" customHeight="1" x14ac:dyDescent="0.3">
      <c r="A1418" s="308">
        <v>44165</v>
      </c>
      <c r="B1418" s="302">
        <v>1544.3910000000001</v>
      </c>
      <c r="C1418" s="8">
        <v>9.2999999999999999E-2</v>
      </c>
      <c r="D1418" s="268">
        <v>1E-4</v>
      </c>
      <c r="E1418" s="8">
        <v>61.71</v>
      </c>
      <c r="F1418" s="8">
        <v>131.38800000000001</v>
      </c>
      <c r="G1418" s="8">
        <v>117.949</v>
      </c>
      <c r="H1418" s="8">
        <v>100.42</v>
      </c>
      <c r="I1418" s="8">
        <v>153.96</v>
      </c>
      <c r="J1418" s="8">
        <v>52.04</v>
      </c>
      <c r="K1418" s="268">
        <v>0.22570000000000001</v>
      </c>
      <c r="L1418" s="268">
        <v>0.17280000000000001</v>
      </c>
      <c r="M1418" s="268">
        <v>-1.66E-2</v>
      </c>
      <c r="N1418" s="8">
        <v>428.77</v>
      </c>
      <c r="O1418" s="8">
        <v>4621.49</v>
      </c>
      <c r="P1418" s="268">
        <v>9.2799999999999994E-2</v>
      </c>
      <c r="Q1418" s="8">
        <v>318</v>
      </c>
      <c r="R1418" s="8" t="s">
        <v>9117</v>
      </c>
      <c r="S1418" s="8" t="s">
        <v>2398</v>
      </c>
      <c r="T1418" s="8" t="s">
        <v>9118</v>
      </c>
      <c r="U1418" s="8" t="s">
        <v>9119</v>
      </c>
      <c r="V1418" s="8" t="s">
        <v>9120</v>
      </c>
      <c r="W1418" s="8" t="s">
        <v>9121</v>
      </c>
    </row>
    <row r="1419" spans="1:23" ht="28" customHeight="1" x14ac:dyDescent="0.3">
      <c r="A1419" s="308">
        <v>44162</v>
      </c>
      <c r="B1419" s="302">
        <v>1544.298</v>
      </c>
      <c r="C1419" s="8">
        <v>-5.16</v>
      </c>
      <c r="D1419" s="268">
        <v>-3.3E-3</v>
      </c>
      <c r="E1419" s="8">
        <v>62.32</v>
      </c>
      <c r="F1419" s="8">
        <v>131.52699999999999</v>
      </c>
      <c r="G1419" s="8">
        <v>117.99</v>
      </c>
      <c r="H1419" s="8">
        <v>101.08</v>
      </c>
      <c r="I1419" s="8">
        <v>153.71</v>
      </c>
      <c r="J1419" s="8">
        <v>50</v>
      </c>
      <c r="K1419" s="268">
        <v>0.2218</v>
      </c>
      <c r="L1419" s="268">
        <v>0.16980000000000001</v>
      </c>
      <c r="M1419" s="268">
        <v>-1.66E-2</v>
      </c>
      <c r="N1419" s="8">
        <v>415.84</v>
      </c>
      <c r="O1419" s="8">
        <v>4549.2299999999996</v>
      </c>
      <c r="P1419" s="268">
        <v>9.1399999999999995E-2</v>
      </c>
      <c r="Q1419" s="8">
        <v>315</v>
      </c>
      <c r="R1419" s="8" t="s">
        <v>4385</v>
      </c>
      <c r="S1419" s="8" t="s">
        <v>3768</v>
      </c>
      <c r="T1419" s="8" t="s">
        <v>9122</v>
      </c>
      <c r="U1419" s="8" t="s">
        <v>9123</v>
      </c>
      <c r="V1419" s="8" t="s">
        <v>9124</v>
      </c>
      <c r="W1419" s="8" t="s">
        <v>9125</v>
      </c>
    </row>
    <row r="1420" spans="1:23" ht="28" customHeight="1" x14ac:dyDescent="0.3">
      <c r="A1420" s="308">
        <v>44161</v>
      </c>
      <c r="B1420" s="302">
        <v>1549.4580000000001</v>
      </c>
      <c r="C1420" s="8">
        <v>-5.13</v>
      </c>
      <c r="D1420" s="268">
        <v>-3.3E-3</v>
      </c>
      <c r="E1420" s="8">
        <v>60.64</v>
      </c>
      <c r="F1420" s="8">
        <v>132.30199999999999</v>
      </c>
      <c r="G1420" s="8">
        <v>117.998</v>
      </c>
      <c r="H1420" s="8">
        <v>101.64</v>
      </c>
      <c r="I1420" s="8">
        <v>154.76</v>
      </c>
      <c r="J1420" s="8">
        <v>51.95</v>
      </c>
      <c r="K1420" s="268">
        <v>0.22459999999999999</v>
      </c>
      <c r="L1420" s="268">
        <v>0.1701</v>
      </c>
      <c r="M1420" s="268">
        <v>-1.7899999999999999E-2</v>
      </c>
      <c r="N1420" s="8">
        <v>461.85</v>
      </c>
      <c r="O1420" s="8">
        <v>4555.5</v>
      </c>
      <c r="P1420" s="268">
        <v>0.1014</v>
      </c>
      <c r="Q1420" s="8">
        <v>317</v>
      </c>
      <c r="R1420" s="8" t="s">
        <v>9126</v>
      </c>
      <c r="S1420" s="8" t="s">
        <v>5833</v>
      </c>
      <c r="T1420" s="8" t="s">
        <v>9127</v>
      </c>
      <c r="U1420" s="8" t="s">
        <v>9128</v>
      </c>
      <c r="V1420" s="8" t="s">
        <v>9129</v>
      </c>
      <c r="W1420" s="8" t="s">
        <v>9130</v>
      </c>
    </row>
    <row r="1421" spans="1:23" ht="28" customHeight="1" x14ac:dyDescent="0.3">
      <c r="A1421" s="308">
        <v>44160</v>
      </c>
      <c r="B1421" s="302">
        <v>1554.588</v>
      </c>
      <c r="C1421" s="8">
        <v>-4.7869999999999999</v>
      </c>
      <c r="D1421" s="268">
        <v>-3.0999999999999999E-3</v>
      </c>
      <c r="E1421" s="8">
        <v>65.75</v>
      </c>
      <c r="F1421" s="8">
        <v>133.06700000000001</v>
      </c>
      <c r="G1421" s="8">
        <v>119.01</v>
      </c>
      <c r="H1421" s="8">
        <v>101.79</v>
      </c>
      <c r="I1421" s="8">
        <v>155.22</v>
      </c>
      <c r="J1421" s="8">
        <v>50</v>
      </c>
      <c r="K1421" s="268">
        <v>0.22159999999999999</v>
      </c>
      <c r="L1421" s="268">
        <v>0.16020000000000001</v>
      </c>
      <c r="M1421" s="268">
        <v>-1.9E-2</v>
      </c>
      <c r="N1421" s="8">
        <v>417.96</v>
      </c>
      <c r="O1421" s="8">
        <v>4529.34</v>
      </c>
      <c r="P1421" s="268">
        <v>9.2299999999999993E-2</v>
      </c>
      <c r="Q1421" s="8">
        <v>315</v>
      </c>
      <c r="R1421" s="8" t="s">
        <v>5883</v>
      </c>
      <c r="S1421" s="8" t="s">
        <v>9131</v>
      </c>
      <c r="T1421" s="8" t="s">
        <v>7959</v>
      </c>
      <c r="U1421" s="8" t="s">
        <v>5974</v>
      </c>
      <c r="V1421" s="8" t="s">
        <v>9132</v>
      </c>
      <c r="W1421" s="8" t="s">
        <v>2483</v>
      </c>
    </row>
    <row r="1422" spans="1:23" ht="28" customHeight="1" x14ac:dyDescent="0.3">
      <c r="A1422" s="308">
        <v>44159</v>
      </c>
      <c r="B1422" s="302">
        <v>1559.375</v>
      </c>
      <c r="C1422" s="8">
        <v>6.2439999999999998</v>
      </c>
      <c r="D1422" s="268">
        <v>4.0000000000000001E-3</v>
      </c>
      <c r="E1422" s="8">
        <v>68.099999999999994</v>
      </c>
      <c r="F1422" s="8">
        <v>133.52500000000001</v>
      </c>
      <c r="G1422" s="8">
        <v>119.2</v>
      </c>
      <c r="H1422" s="8">
        <v>103.65</v>
      </c>
      <c r="I1422" s="8">
        <v>154.09</v>
      </c>
      <c r="J1422" s="8">
        <v>41.17</v>
      </c>
      <c r="K1422" s="268">
        <v>0.2056</v>
      </c>
      <c r="L1422" s="268">
        <v>0.15049999999999999</v>
      </c>
      <c r="M1422" s="268">
        <v>-1.9699999999999999E-2</v>
      </c>
      <c r="N1422" s="8">
        <v>373.71</v>
      </c>
      <c r="O1422" s="8">
        <v>4538</v>
      </c>
      <c r="P1422" s="268">
        <v>8.2400000000000001E-2</v>
      </c>
      <c r="Q1422" s="8">
        <v>315</v>
      </c>
      <c r="R1422" s="8" t="s">
        <v>2682</v>
      </c>
      <c r="S1422" s="8" t="s">
        <v>5778</v>
      </c>
      <c r="T1422" s="8" t="s">
        <v>9133</v>
      </c>
      <c r="U1422" s="8" t="s">
        <v>9134</v>
      </c>
      <c r="V1422" s="8" t="s">
        <v>9135</v>
      </c>
      <c r="W1422" s="8" t="s">
        <v>7501</v>
      </c>
    </row>
    <row r="1423" spans="1:23" ht="28" customHeight="1" x14ac:dyDescent="0.3">
      <c r="A1423" s="308">
        <v>44158</v>
      </c>
      <c r="B1423" s="302">
        <v>1553.1310000000001</v>
      </c>
      <c r="C1423" s="8">
        <v>7.1269999999999998</v>
      </c>
      <c r="D1423" s="268">
        <v>4.5999999999999999E-3</v>
      </c>
      <c r="E1423" s="8">
        <v>65.69</v>
      </c>
      <c r="F1423" s="8">
        <v>132.63499999999999</v>
      </c>
      <c r="G1423" s="8">
        <v>118.47</v>
      </c>
      <c r="H1423" s="8">
        <v>103.29</v>
      </c>
      <c r="I1423" s="8">
        <v>153.01</v>
      </c>
      <c r="J1423" s="8">
        <v>41.18</v>
      </c>
      <c r="K1423" s="268">
        <v>0.20380000000000001</v>
      </c>
      <c r="L1423" s="268">
        <v>0.14130000000000001</v>
      </c>
      <c r="M1423" s="268">
        <v>-1.8800000000000001E-2</v>
      </c>
      <c r="N1423" s="8">
        <v>363.36</v>
      </c>
      <c r="O1423" s="8">
        <v>4543.87</v>
      </c>
      <c r="P1423" s="268">
        <v>0.08</v>
      </c>
      <c r="Q1423" s="8">
        <v>315</v>
      </c>
      <c r="R1423" s="8" t="s">
        <v>9136</v>
      </c>
      <c r="S1423" s="8" t="s">
        <v>5916</v>
      </c>
      <c r="T1423" s="8" t="s">
        <v>9137</v>
      </c>
      <c r="U1423" s="8" t="s">
        <v>9138</v>
      </c>
      <c r="V1423" s="8" t="s">
        <v>9139</v>
      </c>
      <c r="W1423" s="8" t="s">
        <v>9140</v>
      </c>
    </row>
    <row r="1424" spans="1:23" ht="28" customHeight="1" x14ac:dyDescent="0.3">
      <c r="A1424" s="308">
        <v>44155</v>
      </c>
      <c r="B1424" s="302">
        <v>1546.0039999999999</v>
      </c>
      <c r="C1424" s="8">
        <v>3.3170000000000002</v>
      </c>
      <c r="D1424" s="268">
        <v>2.0999999999999999E-3</v>
      </c>
      <c r="E1424" s="8">
        <v>63</v>
      </c>
      <c r="F1424" s="8">
        <v>132</v>
      </c>
      <c r="G1424" s="8">
        <v>118.035</v>
      </c>
      <c r="H1424" s="8">
        <v>102.62</v>
      </c>
      <c r="I1424" s="8">
        <v>152.6</v>
      </c>
      <c r="J1424" s="8">
        <v>39.6</v>
      </c>
      <c r="K1424" s="268">
        <v>0.20599999999999999</v>
      </c>
      <c r="L1424" s="268">
        <v>0.1447</v>
      </c>
      <c r="M1424" s="268">
        <v>-1.7500000000000002E-2</v>
      </c>
      <c r="N1424" s="8">
        <v>369.58</v>
      </c>
      <c r="O1424" s="8">
        <v>4544.38</v>
      </c>
      <c r="P1424" s="268">
        <v>8.1299999999999997E-2</v>
      </c>
      <c r="Q1424" s="8">
        <v>314</v>
      </c>
      <c r="R1424" s="8" t="s">
        <v>9141</v>
      </c>
      <c r="S1424" s="8" t="s">
        <v>2943</v>
      </c>
      <c r="T1424" s="8" t="s">
        <v>9142</v>
      </c>
      <c r="U1424" s="8" t="s">
        <v>7912</v>
      </c>
      <c r="V1424" s="8" t="s">
        <v>9143</v>
      </c>
      <c r="W1424" s="8" t="s">
        <v>9144</v>
      </c>
    </row>
    <row r="1425" spans="1:23" ht="28" customHeight="1" x14ac:dyDescent="0.3">
      <c r="A1425" s="308">
        <v>44154</v>
      </c>
      <c r="B1425" s="302">
        <v>1542.6869999999999</v>
      </c>
      <c r="C1425" s="8">
        <v>-4.3470000000000004</v>
      </c>
      <c r="D1425" s="268">
        <v>-2.8E-3</v>
      </c>
      <c r="E1425" s="8">
        <v>59.02</v>
      </c>
      <c r="F1425" s="8">
        <v>131.77199999999999</v>
      </c>
      <c r="G1425" s="8">
        <v>118.3</v>
      </c>
      <c r="H1425" s="8">
        <v>102.71</v>
      </c>
      <c r="I1425" s="8">
        <v>152.88</v>
      </c>
      <c r="J1425" s="8">
        <v>42.14</v>
      </c>
      <c r="K1425" s="268">
        <v>0.21099999999999999</v>
      </c>
      <c r="L1425" s="268">
        <v>0.15060000000000001</v>
      </c>
      <c r="M1425" s="268">
        <v>-1.7000000000000001E-2</v>
      </c>
      <c r="N1425" s="8">
        <v>388.76</v>
      </c>
      <c r="O1425" s="8">
        <v>4510.8500000000004</v>
      </c>
      <c r="P1425" s="268">
        <v>8.6199999999999999E-2</v>
      </c>
      <c r="Q1425" s="8">
        <v>313</v>
      </c>
      <c r="R1425" s="8" t="s">
        <v>9145</v>
      </c>
      <c r="S1425" s="8" t="s">
        <v>9146</v>
      </c>
      <c r="T1425" s="8" t="s">
        <v>9147</v>
      </c>
      <c r="U1425" s="8" t="s">
        <v>9148</v>
      </c>
      <c r="V1425" s="8" t="s">
        <v>9149</v>
      </c>
      <c r="W1425" s="8" t="s">
        <v>9150</v>
      </c>
    </row>
    <row r="1426" spans="1:23" ht="28" customHeight="1" x14ac:dyDescent="0.3">
      <c r="A1426" s="308">
        <v>44153</v>
      </c>
      <c r="B1426" s="302">
        <v>1547.0340000000001</v>
      </c>
      <c r="C1426" s="8">
        <v>-1.859</v>
      </c>
      <c r="D1426" s="268">
        <v>-1.1999999999999999E-3</v>
      </c>
      <c r="E1426" s="8">
        <v>59.56</v>
      </c>
      <c r="F1426" s="8">
        <v>132.07499999999999</v>
      </c>
      <c r="G1426" s="8">
        <v>118.04</v>
      </c>
      <c r="H1426" s="8">
        <v>102.78</v>
      </c>
      <c r="I1426" s="8">
        <v>153.93</v>
      </c>
      <c r="J1426" s="8">
        <v>41.75</v>
      </c>
      <c r="K1426" s="268">
        <v>0.21859999999999999</v>
      </c>
      <c r="L1426" s="268">
        <v>0.15989999999999999</v>
      </c>
      <c r="M1426" s="268">
        <v>-1.77E-2</v>
      </c>
      <c r="N1426" s="8">
        <v>471.05</v>
      </c>
      <c r="O1426" s="8">
        <v>4505.82</v>
      </c>
      <c r="P1426" s="268">
        <v>0.1045</v>
      </c>
      <c r="Q1426" s="8">
        <v>313</v>
      </c>
      <c r="R1426" s="8" t="s">
        <v>9151</v>
      </c>
      <c r="S1426" s="8" t="s">
        <v>6694</v>
      </c>
      <c r="T1426" s="8" t="s">
        <v>9152</v>
      </c>
      <c r="U1426" s="8" t="s">
        <v>9153</v>
      </c>
      <c r="V1426" s="8" t="s">
        <v>9154</v>
      </c>
      <c r="W1426" s="8" t="s">
        <v>9155</v>
      </c>
    </row>
    <row r="1427" spans="1:23" ht="28" customHeight="1" x14ac:dyDescent="0.3">
      <c r="A1427" s="308">
        <v>44152</v>
      </c>
      <c r="B1427" s="302">
        <v>1548.893</v>
      </c>
      <c r="C1427" s="8">
        <v>-15.092000000000001</v>
      </c>
      <c r="D1427" s="268">
        <v>-9.5999999999999992E-3</v>
      </c>
      <c r="E1427" s="8">
        <v>58.97</v>
      </c>
      <c r="F1427" s="8">
        <v>132.38499999999999</v>
      </c>
      <c r="G1427" s="8">
        <v>117.565</v>
      </c>
      <c r="H1427" s="8">
        <v>101.1</v>
      </c>
      <c r="I1427" s="8">
        <v>154.97999999999999</v>
      </c>
      <c r="J1427" s="8">
        <v>49.16</v>
      </c>
      <c r="K1427" s="268">
        <v>0.22600000000000001</v>
      </c>
      <c r="L1427" s="268">
        <v>0.16669999999999999</v>
      </c>
      <c r="M1427" s="268">
        <v>-1.8100000000000002E-2</v>
      </c>
      <c r="N1427" s="8">
        <v>584.52</v>
      </c>
      <c r="O1427" s="8">
        <v>4511.6099999999997</v>
      </c>
      <c r="P1427" s="268">
        <v>0.12959999999999999</v>
      </c>
      <c r="Q1427" s="8">
        <v>313</v>
      </c>
      <c r="R1427" s="8" t="s">
        <v>5915</v>
      </c>
      <c r="S1427" s="8" t="s">
        <v>2868</v>
      </c>
      <c r="T1427" s="8" t="s">
        <v>9156</v>
      </c>
      <c r="U1427" s="8" t="s">
        <v>9157</v>
      </c>
      <c r="V1427" s="8" t="s">
        <v>9158</v>
      </c>
      <c r="W1427" s="8" t="s">
        <v>9159</v>
      </c>
    </row>
    <row r="1428" spans="1:23" ht="28" customHeight="1" x14ac:dyDescent="0.3">
      <c r="A1428" s="308">
        <v>44151</v>
      </c>
      <c r="B1428" s="302">
        <v>1563.9849999999999</v>
      </c>
      <c r="C1428" s="8">
        <v>-4.3440000000000003</v>
      </c>
      <c r="D1428" s="268">
        <v>-2.8E-3</v>
      </c>
      <c r="E1428" s="8">
        <v>64.819999999999993</v>
      </c>
      <c r="F1428" s="8">
        <v>134.06</v>
      </c>
      <c r="G1428" s="8">
        <v>119.008</v>
      </c>
      <c r="H1428" s="8">
        <v>101.84</v>
      </c>
      <c r="I1428" s="8">
        <v>156.81</v>
      </c>
      <c r="J1428" s="8">
        <v>50.44</v>
      </c>
      <c r="K1428" s="268">
        <v>0.22750000000000001</v>
      </c>
      <c r="L1428" s="268">
        <v>0.1671</v>
      </c>
      <c r="M1428" s="268">
        <v>-2.01E-2</v>
      </c>
      <c r="N1428" s="8">
        <v>594.88</v>
      </c>
      <c r="O1428" s="8">
        <v>4477.8900000000003</v>
      </c>
      <c r="P1428" s="268">
        <v>0.1328</v>
      </c>
      <c r="Q1428" s="8">
        <v>309</v>
      </c>
      <c r="R1428" s="8" t="s">
        <v>9160</v>
      </c>
      <c r="S1428" s="8" t="s">
        <v>5889</v>
      </c>
      <c r="T1428" s="8" t="s">
        <v>9161</v>
      </c>
      <c r="U1428" s="8" t="s">
        <v>9162</v>
      </c>
      <c r="V1428" s="8" t="s">
        <v>9163</v>
      </c>
      <c r="W1428" s="8" t="s">
        <v>9164</v>
      </c>
    </row>
    <row r="1429" spans="1:23" ht="28" customHeight="1" x14ac:dyDescent="0.3">
      <c r="A1429" s="308">
        <v>44148</v>
      </c>
      <c r="B1429" s="302">
        <v>1568.329</v>
      </c>
      <c r="C1429" s="8">
        <v>14.744</v>
      </c>
      <c r="D1429" s="268">
        <v>9.4999999999999998E-3</v>
      </c>
      <c r="E1429" s="8">
        <v>65</v>
      </c>
      <c r="F1429" s="8">
        <v>134.49799999999999</v>
      </c>
      <c r="G1429" s="8">
        <v>119</v>
      </c>
      <c r="H1429" s="8">
        <v>101.03</v>
      </c>
      <c r="I1429" s="8">
        <v>158.88</v>
      </c>
      <c r="J1429" s="8">
        <v>57.14</v>
      </c>
      <c r="K1429" s="268">
        <v>0.24379999999999999</v>
      </c>
      <c r="L1429" s="268">
        <v>0.1769</v>
      </c>
      <c r="M1429" s="268">
        <v>-2.0500000000000001E-2</v>
      </c>
      <c r="N1429" s="8">
        <v>844.74</v>
      </c>
      <c r="O1429" s="8">
        <v>4475.42</v>
      </c>
      <c r="P1429" s="268">
        <v>0.1888</v>
      </c>
      <c r="Q1429" s="8">
        <v>308</v>
      </c>
      <c r="R1429" s="8" t="s">
        <v>9165</v>
      </c>
      <c r="S1429" s="8" t="s">
        <v>2595</v>
      </c>
      <c r="T1429" s="8" t="s">
        <v>6041</v>
      </c>
      <c r="U1429" s="8" t="s">
        <v>4638</v>
      </c>
      <c r="V1429" s="8" t="s">
        <v>9166</v>
      </c>
      <c r="W1429" s="8" t="s">
        <v>9167</v>
      </c>
    </row>
    <row r="1430" spans="1:23" ht="28" customHeight="1" x14ac:dyDescent="0.3">
      <c r="A1430" s="308">
        <v>44147</v>
      </c>
      <c r="B1430" s="302">
        <v>1553.585</v>
      </c>
      <c r="C1430" s="8">
        <v>10.018000000000001</v>
      </c>
      <c r="D1430" s="268">
        <v>6.4999999999999997E-3</v>
      </c>
      <c r="E1430" s="8">
        <v>66.52</v>
      </c>
      <c r="F1430" s="8">
        <v>133.06700000000001</v>
      </c>
      <c r="G1430" s="8">
        <v>118.47499999999999</v>
      </c>
      <c r="H1430" s="8">
        <v>100.96</v>
      </c>
      <c r="I1430" s="8">
        <v>156.25</v>
      </c>
      <c r="J1430" s="8">
        <v>51.72</v>
      </c>
      <c r="K1430" s="268">
        <v>0.23180000000000001</v>
      </c>
      <c r="L1430" s="268">
        <v>0.16500000000000001</v>
      </c>
      <c r="M1430" s="268">
        <v>-1.8700000000000001E-2</v>
      </c>
      <c r="N1430" s="8">
        <v>405.07</v>
      </c>
      <c r="O1430" s="8">
        <v>4482.5600000000004</v>
      </c>
      <c r="P1430" s="268">
        <v>9.0399999999999994E-2</v>
      </c>
      <c r="Q1430" s="8">
        <v>308</v>
      </c>
      <c r="R1430" s="8" t="s">
        <v>9168</v>
      </c>
      <c r="S1430" s="8" t="s">
        <v>3104</v>
      </c>
      <c r="T1430" s="8" t="s">
        <v>9169</v>
      </c>
      <c r="U1430" s="8" t="s">
        <v>9170</v>
      </c>
      <c r="V1430" s="8" t="s">
        <v>9171</v>
      </c>
      <c r="W1430" s="8" t="s">
        <v>9172</v>
      </c>
    </row>
    <row r="1431" spans="1:23" ht="28" customHeight="1" x14ac:dyDescent="0.3">
      <c r="A1431" s="308">
        <v>44146</v>
      </c>
      <c r="B1431" s="302">
        <v>1543.567</v>
      </c>
      <c r="C1431" s="8">
        <v>-8.2240000000000002</v>
      </c>
      <c r="D1431" s="268">
        <v>-5.3E-3</v>
      </c>
      <c r="E1431" s="8">
        <v>64.430000000000007</v>
      </c>
      <c r="F1431" s="8">
        <v>132.03200000000001</v>
      </c>
      <c r="G1431" s="8">
        <v>118.672</v>
      </c>
      <c r="H1431" s="8">
        <v>101.35</v>
      </c>
      <c r="I1431" s="8">
        <v>154.57</v>
      </c>
      <c r="J1431" s="8">
        <v>52.25</v>
      </c>
      <c r="K1431" s="268">
        <v>0.22539999999999999</v>
      </c>
      <c r="L1431" s="268">
        <v>0.1681</v>
      </c>
      <c r="M1431" s="268">
        <v>-1.7600000000000001E-2</v>
      </c>
      <c r="N1431" s="8">
        <v>325.85000000000002</v>
      </c>
      <c r="O1431" s="8">
        <v>4491.5600000000004</v>
      </c>
      <c r="P1431" s="268">
        <v>7.2499999999999995E-2</v>
      </c>
      <c r="Q1431" s="8">
        <v>308</v>
      </c>
      <c r="R1431" s="8" t="s">
        <v>9168</v>
      </c>
      <c r="S1431" s="8" t="s">
        <v>5874</v>
      </c>
      <c r="T1431" s="8" t="s">
        <v>9173</v>
      </c>
      <c r="U1431" s="8" t="s">
        <v>9174</v>
      </c>
      <c r="V1431" s="8" t="s">
        <v>9175</v>
      </c>
      <c r="W1431" s="8" t="s">
        <v>9176</v>
      </c>
    </row>
    <row r="1432" spans="1:23" ht="28" customHeight="1" x14ac:dyDescent="0.3">
      <c r="A1432" s="308">
        <v>44145</v>
      </c>
      <c r="B1432" s="302">
        <v>1551.7909999999999</v>
      </c>
      <c r="C1432" s="8">
        <v>-7.2809999999999997</v>
      </c>
      <c r="D1432" s="268">
        <v>-4.7000000000000002E-3</v>
      </c>
      <c r="E1432" s="8">
        <v>67.66</v>
      </c>
      <c r="F1432" s="8">
        <v>132.97300000000001</v>
      </c>
      <c r="G1432" s="8">
        <v>118.69</v>
      </c>
      <c r="H1432" s="8">
        <v>102.95</v>
      </c>
      <c r="I1432" s="8">
        <v>154.30000000000001</v>
      </c>
      <c r="J1432" s="8">
        <v>45.52</v>
      </c>
      <c r="K1432" s="268">
        <v>0.21329999999999999</v>
      </c>
      <c r="L1432" s="268">
        <v>0.16320000000000001</v>
      </c>
      <c r="M1432" s="268">
        <v>-1.8800000000000001E-2</v>
      </c>
      <c r="N1432" s="8">
        <v>376.84</v>
      </c>
      <c r="O1432" s="8">
        <v>4492.71</v>
      </c>
      <c r="P1432" s="268">
        <v>8.3900000000000002E-2</v>
      </c>
      <c r="Q1432" s="8">
        <v>307</v>
      </c>
      <c r="R1432" s="8" t="s">
        <v>9177</v>
      </c>
      <c r="S1432" s="8" t="s">
        <v>9178</v>
      </c>
      <c r="T1432" s="8" t="s">
        <v>9179</v>
      </c>
      <c r="U1432" s="8" t="s">
        <v>9180</v>
      </c>
      <c r="V1432" s="8" t="s">
        <v>6806</v>
      </c>
      <c r="W1432" s="8" t="s">
        <v>8905</v>
      </c>
    </row>
    <row r="1433" spans="1:23" ht="28" customHeight="1" x14ac:dyDescent="0.3">
      <c r="A1433" s="308">
        <v>44144</v>
      </c>
      <c r="B1433" s="302">
        <v>1559.0719999999999</v>
      </c>
      <c r="C1433" s="8">
        <v>18.472000000000001</v>
      </c>
      <c r="D1433" s="268">
        <v>1.2E-2</v>
      </c>
      <c r="E1433" s="8">
        <v>70.97</v>
      </c>
      <c r="F1433" s="8">
        <v>134.58600000000001</v>
      </c>
      <c r="G1433" s="8">
        <v>119</v>
      </c>
      <c r="H1433" s="8">
        <v>102.84</v>
      </c>
      <c r="I1433" s="8">
        <v>155.28</v>
      </c>
      <c r="J1433" s="8">
        <v>46.23</v>
      </c>
      <c r="K1433" s="268">
        <v>0.2069</v>
      </c>
      <c r="L1433" s="268">
        <v>0.15759999999999999</v>
      </c>
      <c r="M1433" s="268">
        <v>-1.9800000000000002E-2</v>
      </c>
      <c r="N1433" s="8">
        <v>401.88</v>
      </c>
      <c r="O1433" s="8">
        <v>4497.62</v>
      </c>
      <c r="P1433" s="268">
        <v>8.9399999999999993E-2</v>
      </c>
      <c r="Q1433" s="8">
        <v>307</v>
      </c>
      <c r="R1433" s="8" t="s">
        <v>9181</v>
      </c>
      <c r="S1433" s="8" t="s">
        <v>6598</v>
      </c>
      <c r="T1433" s="8" t="s">
        <v>9182</v>
      </c>
      <c r="U1433" s="8" t="s">
        <v>9183</v>
      </c>
      <c r="V1433" s="8" t="s">
        <v>9184</v>
      </c>
      <c r="W1433" s="8" t="s">
        <v>9185</v>
      </c>
    </row>
    <row r="1434" spans="1:23" ht="28" customHeight="1" x14ac:dyDescent="0.3">
      <c r="A1434" s="308">
        <v>44141</v>
      </c>
      <c r="B1434" s="302">
        <v>1540.6</v>
      </c>
      <c r="C1434" s="8">
        <v>-11.532</v>
      </c>
      <c r="D1434" s="268">
        <v>-7.4000000000000003E-3</v>
      </c>
      <c r="E1434" s="8">
        <v>63.71</v>
      </c>
      <c r="F1434" s="8">
        <v>132.21799999999999</v>
      </c>
      <c r="G1434" s="8">
        <v>117.675</v>
      </c>
      <c r="H1434" s="8">
        <v>101.41</v>
      </c>
      <c r="I1434" s="8">
        <v>153.93</v>
      </c>
      <c r="J1434" s="8">
        <v>47.31</v>
      </c>
      <c r="K1434" s="268">
        <v>0.21709999999999999</v>
      </c>
      <c r="L1434" s="268">
        <v>0.1638</v>
      </c>
      <c r="M1434" s="268">
        <v>-1.72E-2</v>
      </c>
      <c r="N1434" s="8">
        <v>376.67</v>
      </c>
      <c r="O1434" s="8">
        <v>4493.38</v>
      </c>
      <c r="P1434" s="268">
        <v>8.3799999999999999E-2</v>
      </c>
      <c r="Q1434" s="8">
        <v>306</v>
      </c>
      <c r="R1434" s="8" t="s">
        <v>6127</v>
      </c>
      <c r="S1434" s="8" t="s">
        <v>9186</v>
      </c>
      <c r="T1434" s="8" t="s">
        <v>9187</v>
      </c>
      <c r="U1434" s="8" t="s">
        <v>9188</v>
      </c>
      <c r="V1434" s="8" t="s">
        <v>9189</v>
      </c>
      <c r="W1434" s="8" t="s">
        <v>9190</v>
      </c>
    </row>
    <row r="1435" spans="1:23" ht="28" customHeight="1" x14ac:dyDescent="0.3">
      <c r="A1435" s="308">
        <v>44140</v>
      </c>
      <c r="B1435" s="302">
        <v>1552.1320000000001</v>
      </c>
      <c r="C1435" s="8">
        <v>14.789</v>
      </c>
      <c r="D1435" s="268">
        <v>9.5999999999999992E-3</v>
      </c>
      <c r="E1435" s="8">
        <v>67.69</v>
      </c>
      <c r="F1435" s="8">
        <v>133.32499999999999</v>
      </c>
      <c r="G1435" s="8">
        <v>117.85899999999999</v>
      </c>
      <c r="H1435" s="8">
        <v>102.73</v>
      </c>
      <c r="I1435" s="8">
        <v>154.84</v>
      </c>
      <c r="J1435" s="8">
        <v>47.29</v>
      </c>
      <c r="K1435" s="268">
        <v>0.2152</v>
      </c>
      <c r="L1435" s="268">
        <v>0.16139999999999999</v>
      </c>
      <c r="M1435" s="268">
        <v>-1.9E-2</v>
      </c>
      <c r="N1435" s="8">
        <v>423.28</v>
      </c>
      <c r="O1435" s="8">
        <v>4492.91</v>
      </c>
      <c r="P1435" s="268">
        <v>9.4200000000000006E-2</v>
      </c>
      <c r="Q1435" s="8">
        <v>305</v>
      </c>
      <c r="R1435" s="8" t="s">
        <v>6591</v>
      </c>
      <c r="S1435" s="8" t="s">
        <v>9108</v>
      </c>
      <c r="T1435" s="8" t="s">
        <v>9191</v>
      </c>
      <c r="U1435" s="8" t="s">
        <v>9192</v>
      </c>
      <c r="V1435" s="8" t="s">
        <v>9193</v>
      </c>
      <c r="W1435" s="8" t="s">
        <v>9194</v>
      </c>
    </row>
    <row r="1436" spans="1:23" ht="28" customHeight="1" x14ac:dyDescent="0.3">
      <c r="A1436" s="308">
        <v>44139</v>
      </c>
      <c r="B1436" s="302">
        <v>1537.3430000000001</v>
      </c>
      <c r="C1436" s="8">
        <v>5.0720000000000001</v>
      </c>
      <c r="D1436" s="268">
        <v>3.3E-3</v>
      </c>
      <c r="E1436" s="8">
        <v>64.22</v>
      </c>
      <c r="F1436" s="8">
        <v>131.911</v>
      </c>
      <c r="G1436" s="8">
        <v>117.443</v>
      </c>
      <c r="H1436" s="8">
        <v>100.74</v>
      </c>
      <c r="I1436" s="8">
        <v>154.77000000000001</v>
      </c>
      <c r="J1436" s="8">
        <v>50.78</v>
      </c>
      <c r="K1436" s="268">
        <v>0.2286</v>
      </c>
      <c r="L1436" s="268">
        <v>0.18099999999999999</v>
      </c>
      <c r="M1436" s="268">
        <v>-1.6899999999999998E-2</v>
      </c>
      <c r="N1436" s="8">
        <v>460.76</v>
      </c>
      <c r="O1436" s="8">
        <v>4491.74</v>
      </c>
      <c r="P1436" s="268">
        <v>0.1026</v>
      </c>
      <c r="Q1436" s="8">
        <v>304</v>
      </c>
      <c r="R1436" s="8" t="s">
        <v>7637</v>
      </c>
      <c r="S1436" s="8" t="s">
        <v>6614</v>
      </c>
      <c r="T1436" s="8" t="s">
        <v>5974</v>
      </c>
      <c r="U1436" s="8" t="s">
        <v>9195</v>
      </c>
      <c r="V1436" s="8" t="s">
        <v>9196</v>
      </c>
      <c r="W1436" s="8" t="s">
        <v>9197</v>
      </c>
    </row>
    <row r="1437" spans="1:23" ht="28" customHeight="1" x14ac:dyDescent="0.3">
      <c r="A1437" s="308">
        <v>44138</v>
      </c>
      <c r="B1437" s="302">
        <v>1532.271</v>
      </c>
      <c r="C1437" s="8">
        <v>-3.702</v>
      </c>
      <c r="D1437" s="268">
        <v>-2.3999999999999998E-3</v>
      </c>
      <c r="E1437" s="8">
        <v>61.95</v>
      </c>
      <c r="F1437" s="8">
        <v>131.48099999999999</v>
      </c>
      <c r="G1437" s="8">
        <v>117.404</v>
      </c>
      <c r="H1437" s="8">
        <v>100.79</v>
      </c>
      <c r="I1437" s="8">
        <v>153.38</v>
      </c>
      <c r="J1437" s="8">
        <v>49.02</v>
      </c>
      <c r="K1437" s="268">
        <v>0.219</v>
      </c>
      <c r="L1437" s="268">
        <v>0.17449999999999999</v>
      </c>
      <c r="M1437" s="268">
        <v>-1.6199999999999999E-2</v>
      </c>
      <c r="N1437" s="8">
        <v>423.17</v>
      </c>
      <c r="O1437" s="8">
        <v>4335.78</v>
      </c>
      <c r="P1437" s="268">
        <v>9.7600000000000006E-2</v>
      </c>
      <c r="Q1437" s="8">
        <v>303</v>
      </c>
      <c r="R1437" s="8" t="s">
        <v>6085</v>
      </c>
      <c r="S1437" s="8" t="s">
        <v>9198</v>
      </c>
      <c r="T1437" s="8" t="s">
        <v>9199</v>
      </c>
      <c r="U1437" s="8" t="s">
        <v>9200</v>
      </c>
      <c r="V1437" s="8" t="s">
        <v>9201</v>
      </c>
      <c r="W1437" s="8" t="s">
        <v>9202</v>
      </c>
    </row>
    <row r="1438" spans="1:23" ht="28" customHeight="1" x14ac:dyDescent="0.3">
      <c r="A1438" s="308">
        <v>44137</v>
      </c>
      <c r="B1438" s="302">
        <v>1535.973</v>
      </c>
      <c r="C1438" s="8">
        <v>-24.071000000000002</v>
      </c>
      <c r="D1438" s="268">
        <v>-1.54E-2</v>
      </c>
      <c r="E1438" s="8">
        <v>59.56</v>
      </c>
      <c r="F1438" s="8">
        <v>132.55000000000001</v>
      </c>
      <c r="G1438" s="8">
        <v>117.3</v>
      </c>
      <c r="H1438" s="8">
        <v>98.87</v>
      </c>
      <c r="I1438" s="8">
        <v>156.86000000000001</v>
      </c>
      <c r="J1438" s="8">
        <v>55.56</v>
      </c>
      <c r="K1438" s="268">
        <v>0.24310000000000001</v>
      </c>
      <c r="L1438" s="268">
        <v>0.19059999999999999</v>
      </c>
      <c r="M1438" s="268">
        <v>-1.66E-2</v>
      </c>
      <c r="N1438" s="8">
        <v>568.80999999999995</v>
      </c>
      <c r="O1438" s="8">
        <v>4325.57</v>
      </c>
      <c r="P1438" s="268">
        <v>0.13150000000000001</v>
      </c>
      <c r="Q1438" s="8">
        <v>303</v>
      </c>
      <c r="R1438" s="8" t="s">
        <v>9203</v>
      </c>
      <c r="S1438" s="8" t="s">
        <v>6770</v>
      </c>
      <c r="T1438" s="8" t="s">
        <v>9204</v>
      </c>
      <c r="U1438" s="8" t="s">
        <v>9205</v>
      </c>
      <c r="V1438" s="8" t="s">
        <v>9206</v>
      </c>
      <c r="W1438" s="8" t="s">
        <v>9207</v>
      </c>
    </row>
    <row r="1439" spans="1:23" ht="28" customHeight="1" x14ac:dyDescent="0.3">
      <c r="A1439" s="308">
        <v>44134</v>
      </c>
      <c r="B1439" s="302">
        <v>1560.0440000000001</v>
      </c>
      <c r="C1439" s="8">
        <v>-27.9</v>
      </c>
      <c r="D1439" s="268">
        <v>-1.7600000000000001E-2</v>
      </c>
      <c r="E1439" s="8">
        <v>64.91</v>
      </c>
      <c r="F1439" s="8">
        <v>135.30199999999999</v>
      </c>
      <c r="G1439" s="8">
        <v>119.09</v>
      </c>
      <c r="H1439" s="8">
        <v>100</v>
      </c>
      <c r="I1439" s="8">
        <v>162.28</v>
      </c>
      <c r="J1439" s="8">
        <v>66.58</v>
      </c>
      <c r="K1439" s="268">
        <v>0.26979999999999998</v>
      </c>
      <c r="L1439" s="268">
        <v>0.19969999999999999</v>
      </c>
      <c r="M1439" s="268">
        <v>-0.02</v>
      </c>
      <c r="N1439" s="8">
        <v>948.53</v>
      </c>
      <c r="O1439" s="8">
        <v>4329.6000000000004</v>
      </c>
      <c r="P1439" s="268">
        <v>0.21909999999999999</v>
      </c>
      <c r="Q1439" s="8">
        <v>303</v>
      </c>
      <c r="R1439" s="8" t="s">
        <v>9208</v>
      </c>
      <c r="S1439" s="8" t="s">
        <v>9209</v>
      </c>
      <c r="T1439" s="8" t="s">
        <v>9210</v>
      </c>
      <c r="U1439" s="8" t="s">
        <v>9211</v>
      </c>
      <c r="V1439" s="8" t="s">
        <v>9212</v>
      </c>
      <c r="W1439" s="8" t="s">
        <v>9213</v>
      </c>
    </row>
    <row r="1440" spans="1:23" ht="28" customHeight="1" x14ac:dyDescent="0.3">
      <c r="A1440" s="308">
        <v>44133</v>
      </c>
      <c r="B1440" s="302">
        <v>1587.944</v>
      </c>
      <c r="C1440" s="8">
        <v>-0.27</v>
      </c>
      <c r="D1440" s="268">
        <v>-2.0000000000000001E-4</v>
      </c>
      <c r="E1440" s="8">
        <v>76.349999999999994</v>
      </c>
      <c r="F1440" s="8">
        <v>137.845</v>
      </c>
      <c r="G1440" s="8">
        <v>121.01300000000001</v>
      </c>
      <c r="H1440" s="8">
        <v>102.87</v>
      </c>
      <c r="I1440" s="8">
        <v>163.57</v>
      </c>
      <c r="J1440" s="8">
        <v>62.42</v>
      </c>
      <c r="K1440" s="268">
        <v>0.25729999999999997</v>
      </c>
      <c r="L1440" s="268">
        <v>0.1875</v>
      </c>
      <c r="M1440" s="268">
        <v>-2.41E-2</v>
      </c>
      <c r="N1440" s="8">
        <v>1293.8599999999999</v>
      </c>
      <c r="O1440" s="8">
        <v>4324.55</v>
      </c>
      <c r="P1440" s="268">
        <v>0.29920000000000002</v>
      </c>
      <c r="Q1440" s="8">
        <v>302</v>
      </c>
      <c r="R1440" s="8" t="s">
        <v>9214</v>
      </c>
      <c r="S1440" s="8" t="s">
        <v>2659</v>
      </c>
      <c r="T1440" s="8" t="s">
        <v>9215</v>
      </c>
      <c r="U1440" s="8" t="s">
        <v>9216</v>
      </c>
      <c r="V1440" s="8" t="s">
        <v>9217</v>
      </c>
      <c r="W1440" s="8" t="s">
        <v>9218</v>
      </c>
    </row>
    <row r="1441" spans="1:23" ht="28" customHeight="1" x14ac:dyDescent="0.3">
      <c r="A1441" s="308">
        <v>44132</v>
      </c>
      <c r="B1441" s="302">
        <v>1588.2139999999999</v>
      </c>
      <c r="C1441" s="8">
        <v>-11.196</v>
      </c>
      <c r="D1441" s="268">
        <v>-7.0000000000000001E-3</v>
      </c>
      <c r="E1441" s="8">
        <v>73.989999999999995</v>
      </c>
      <c r="F1441" s="8">
        <v>137.429</v>
      </c>
      <c r="G1441" s="8">
        <v>121.15</v>
      </c>
      <c r="H1441" s="8">
        <v>103.08</v>
      </c>
      <c r="I1441" s="8">
        <v>163.13</v>
      </c>
      <c r="J1441" s="8">
        <v>64.75</v>
      </c>
      <c r="K1441" s="268">
        <v>0.2571</v>
      </c>
      <c r="L1441" s="268">
        <v>0.19969999999999999</v>
      </c>
      <c r="M1441" s="268">
        <v>-2.4199999999999999E-2</v>
      </c>
      <c r="N1441" s="8">
        <v>1576.91</v>
      </c>
      <c r="O1441" s="8">
        <v>4329.42</v>
      </c>
      <c r="P1441" s="268">
        <v>0.36420000000000002</v>
      </c>
      <c r="Q1441" s="8">
        <v>302</v>
      </c>
      <c r="R1441" s="8" t="s">
        <v>5608</v>
      </c>
      <c r="S1441" s="8" t="s">
        <v>2601</v>
      </c>
      <c r="T1441" s="8" t="s">
        <v>9219</v>
      </c>
      <c r="U1441" s="8" t="s">
        <v>5252</v>
      </c>
      <c r="V1441" s="8" t="s">
        <v>2817</v>
      </c>
      <c r="W1441" s="8" t="s">
        <v>9220</v>
      </c>
    </row>
    <row r="1442" spans="1:23" ht="28" customHeight="1" x14ac:dyDescent="0.3">
      <c r="A1442" s="308">
        <v>44131</v>
      </c>
      <c r="B1442" s="302">
        <v>1599.41</v>
      </c>
      <c r="C1442" s="8">
        <v>11.544</v>
      </c>
      <c r="D1442" s="268">
        <v>7.3000000000000001E-3</v>
      </c>
      <c r="E1442" s="8">
        <v>75.98</v>
      </c>
      <c r="F1442" s="8">
        <v>138.625</v>
      </c>
      <c r="G1442" s="8">
        <v>121.255</v>
      </c>
      <c r="H1442" s="8">
        <v>102.77</v>
      </c>
      <c r="I1442" s="8">
        <v>165.49</v>
      </c>
      <c r="J1442" s="8">
        <v>65.790000000000006</v>
      </c>
      <c r="K1442" s="268">
        <v>0.26860000000000001</v>
      </c>
      <c r="L1442" s="268">
        <v>0.1993</v>
      </c>
      <c r="M1442" s="268">
        <v>-2.5399999999999999E-2</v>
      </c>
      <c r="N1442" s="8">
        <v>1522.91</v>
      </c>
      <c r="O1442" s="8">
        <v>4323.63</v>
      </c>
      <c r="P1442" s="268">
        <v>0.35220000000000001</v>
      </c>
      <c r="Q1442" s="8">
        <v>300</v>
      </c>
      <c r="R1442" s="8" t="s">
        <v>9221</v>
      </c>
      <c r="S1442" s="8" t="s">
        <v>5855</v>
      </c>
      <c r="T1442" s="8" t="s">
        <v>9222</v>
      </c>
      <c r="U1442" s="8" t="s">
        <v>5079</v>
      </c>
      <c r="V1442" s="8" t="s">
        <v>9223</v>
      </c>
      <c r="W1442" s="8" t="s">
        <v>9224</v>
      </c>
    </row>
    <row r="1443" spans="1:23" ht="28" customHeight="1" x14ac:dyDescent="0.3">
      <c r="A1443" s="308">
        <v>44130</v>
      </c>
      <c r="B1443" s="302">
        <v>1587.866</v>
      </c>
      <c r="C1443" s="8">
        <v>36.746000000000002</v>
      </c>
      <c r="D1443" s="268">
        <v>2.3699999999999999E-2</v>
      </c>
      <c r="E1443" s="8">
        <v>69.900000000000006</v>
      </c>
      <c r="F1443" s="8">
        <v>137.489</v>
      </c>
      <c r="G1443" s="8">
        <v>120.16500000000001</v>
      </c>
      <c r="H1443" s="8">
        <v>102.68</v>
      </c>
      <c r="I1443" s="8">
        <v>163.47999999999999</v>
      </c>
      <c r="J1443" s="8">
        <v>62.87</v>
      </c>
      <c r="K1443" s="268">
        <v>0.25990000000000002</v>
      </c>
      <c r="L1443" s="268">
        <v>0.19389999999999999</v>
      </c>
      <c r="M1443" s="268">
        <v>-2.41E-2</v>
      </c>
      <c r="N1443" s="8">
        <v>1604.11</v>
      </c>
      <c r="O1443" s="8">
        <v>4325.99</v>
      </c>
      <c r="P1443" s="268">
        <v>0.37080000000000002</v>
      </c>
      <c r="Q1443" s="8">
        <v>300</v>
      </c>
      <c r="R1443" s="8" t="s">
        <v>9225</v>
      </c>
      <c r="S1443" s="8" t="s">
        <v>9226</v>
      </c>
      <c r="T1443" s="8" t="s">
        <v>9227</v>
      </c>
      <c r="U1443" s="8" t="s">
        <v>9228</v>
      </c>
      <c r="V1443" s="8" t="s">
        <v>9229</v>
      </c>
      <c r="W1443" s="8" t="s">
        <v>9230</v>
      </c>
    </row>
    <row r="1444" spans="1:23" ht="28" customHeight="1" x14ac:dyDescent="0.3">
      <c r="A1444" s="308">
        <v>44127</v>
      </c>
      <c r="B1444" s="302">
        <v>1551.12</v>
      </c>
      <c r="C1444" s="8">
        <v>-31.428999999999998</v>
      </c>
      <c r="D1444" s="268">
        <v>-1.9900000000000001E-2</v>
      </c>
      <c r="E1444" s="8">
        <v>69.88</v>
      </c>
      <c r="F1444" s="8">
        <v>133.648</v>
      </c>
      <c r="G1444" s="8">
        <v>119.485</v>
      </c>
      <c r="H1444" s="8">
        <v>103.05</v>
      </c>
      <c r="I1444" s="8">
        <v>157.11000000000001</v>
      </c>
      <c r="J1444" s="8">
        <v>54.31</v>
      </c>
      <c r="K1444" s="268">
        <v>0.2346</v>
      </c>
      <c r="L1444" s="268">
        <v>0.1709</v>
      </c>
      <c r="M1444" s="268">
        <v>-0.02</v>
      </c>
      <c r="N1444" s="8">
        <v>1924.24</v>
      </c>
      <c r="O1444" s="8">
        <v>4328.97</v>
      </c>
      <c r="P1444" s="268">
        <v>0.44450000000000001</v>
      </c>
      <c r="Q1444" s="8">
        <v>300</v>
      </c>
      <c r="R1444" s="8" t="s">
        <v>9231</v>
      </c>
      <c r="S1444" s="8" t="s">
        <v>9232</v>
      </c>
      <c r="T1444" s="8" t="s">
        <v>2971</v>
      </c>
      <c r="U1444" s="8" t="s">
        <v>9233</v>
      </c>
      <c r="V1444" s="8" t="s">
        <v>9234</v>
      </c>
      <c r="W1444" s="8" t="s">
        <v>9235</v>
      </c>
    </row>
    <row r="1445" spans="1:23" ht="28" customHeight="1" x14ac:dyDescent="0.3">
      <c r="A1445" s="308">
        <v>44126</v>
      </c>
      <c r="B1445" s="302">
        <v>1582.549</v>
      </c>
      <c r="C1445" s="8">
        <v>34.414999999999999</v>
      </c>
      <c r="D1445" s="268">
        <v>2.2200000000000001E-2</v>
      </c>
      <c r="E1445" s="8">
        <v>76.47</v>
      </c>
      <c r="F1445" s="8">
        <v>138.55699999999999</v>
      </c>
      <c r="G1445" s="8">
        <v>121.44</v>
      </c>
      <c r="H1445" s="8">
        <v>104.5</v>
      </c>
      <c r="I1445" s="8">
        <v>163.89</v>
      </c>
      <c r="J1445" s="8">
        <v>58.4</v>
      </c>
      <c r="K1445" s="268">
        <v>0.25340000000000001</v>
      </c>
      <c r="L1445" s="268">
        <v>0.18440000000000001</v>
      </c>
      <c r="M1445" s="268">
        <v>-2.4299999999999999E-2</v>
      </c>
      <c r="N1445" s="8">
        <v>1187.1300000000001</v>
      </c>
      <c r="O1445" s="8">
        <v>4333.29</v>
      </c>
      <c r="P1445" s="268">
        <v>0.27400000000000002</v>
      </c>
      <c r="Q1445" s="8">
        <v>301</v>
      </c>
      <c r="R1445" s="8" t="s">
        <v>9236</v>
      </c>
      <c r="S1445" s="8" t="s">
        <v>9237</v>
      </c>
      <c r="T1445" s="8" t="s">
        <v>9238</v>
      </c>
      <c r="U1445" s="8" t="s">
        <v>9239</v>
      </c>
      <c r="V1445" s="8" t="s">
        <v>9240</v>
      </c>
      <c r="W1445" s="8" t="s">
        <v>9241</v>
      </c>
    </row>
    <row r="1446" spans="1:23" ht="28" customHeight="1" x14ac:dyDescent="0.3">
      <c r="A1446" s="308">
        <v>44125</v>
      </c>
      <c r="B1446" s="302">
        <v>1548.134</v>
      </c>
      <c r="C1446" s="8">
        <v>2.6739999999999999</v>
      </c>
      <c r="D1446" s="268">
        <v>1.6999999999999999E-3</v>
      </c>
      <c r="E1446" s="8">
        <v>72.400000000000006</v>
      </c>
      <c r="F1446" s="8">
        <v>135.93</v>
      </c>
      <c r="G1446" s="8">
        <v>119.499</v>
      </c>
      <c r="H1446" s="8">
        <v>104.87</v>
      </c>
      <c r="I1446" s="8">
        <v>158.49</v>
      </c>
      <c r="J1446" s="8">
        <v>49.07</v>
      </c>
      <c r="K1446" s="268">
        <v>0.22559999999999999</v>
      </c>
      <c r="L1446" s="268">
        <v>0.1613</v>
      </c>
      <c r="M1446" s="268">
        <v>-2.0400000000000001E-2</v>
      </c>
      <c r="N1446" s="8">
        <v>835.04</v>
      </c>
      <c r="O1446" s="8">
        <v>4337.6400000000003</v>
      </c>
      <c r="P1446" s="268">
        <v>0.1925</v>
      </c>
      <c r="Q1446" s="8">
        <v>301</v>
      </c>
      <c r="R1446" s="8" t="s">
        <v>9242</v>
      </c>
      <c r="S1446" s="8" t="s">
        <v>2789</v>
      </c>
      <c r="T1446" s="8" t="s">
        <v>9243</v>
      </c>
      <c r="U1446" s="8" t="s">
        <v>9244</v>
      </c>
      <c r="V1446" s="8" t="s">
        <v>9245</v>
      </c>
      <c r="W1446" s="8" t="s">
        <v>9246</v>
      </c>
    </row>
    <row r="1447" spans="1:23" ht="28" customHeight="1" x14ac:dyDescent="0.3">
      <c r="A1447" s="308">
        <v>44124</v>
      </c>
      <c r="B1447" s="302">
        <v>1545.46</v>
      </c>
      <c r="C1447" s="8">
        <v>21.111999999999998</v>
      </c>
      <c r="D1447" s="268">
        <v>1.3899999999999999E-2</v>
      </c>
      <c r="E1447" s="8">
        <v>74.05</v>
      </c>
      <c r="F1447" s="8">
        <v>135.76499999999999</v>
      </c>
      <c r="G1447" s="8">
        <v>119.75</v>
      </c>
      <c r="H1447" s="8">
        <v>106.08</v>
      </c>
      <c r="I1447" s="8">
        <v>156.94</v>
      </c>
      <c r="J1447" s="8">
        <v>43.59</v>
      </c>
      <c r="K1447" s="268">
        <v>0.21179999999999999</v>
      </c>
      <c r="L1447" s="268">
        <v>0.14729999999999999</v>
      </c>
      <c r="M1447" s="268">
        <v>-2.0199999999999999E-2</v>
      </c>
      <c r="N1447" s="8">
        <v>713.11</v>
      </c>
      <c r="O1447" s="8">
        <v>4343.34</v>
      </c>
      <c r="P1447" s="268">
        <v>0.16420000000000001</v>
      </c>
      <c r="Q1447" s="8">
        <v>301</v>
      </c>
      <c r="R1447" s="8" t="s">
        <v>9247</v>
      </c>
      <c r="S1447" s="8" t="s">
        <v>2647</v>
      </c>
      <c r="T1447" s="8" t="s">
        <v>9248</v>
      </c>
      <c r="U1447" s="8" t="s">
        <v>8517</v>
      </c>
      <c r="V1447" s="8" t="s">
        <v>9249</v>
      </c>
      <c r="W1447" s="8" t="s">
        <v>9250</v>
      </c>
    </row>
    <row r="1448" spans="1:23" ht="28" customHeight="1" x14ac:dyDescent="0.3">
      <c r="A1448" s="308">
        <v>44123</v>
      </c>
      <c r="B1448" s="302">
        <v>1524.348</v>
      </c>
      <c r="C1448" s="8">
        <v>4.2560000000000002</v>
      </c>
      <c r="D1448" s="268">
        <v>2.8E-3</v>
      </c>
      <c r="E1448" s="8">
        <v>66.569999999999993</v>
      </c>
      <c r="F1448" s="8">
        <v>133.256</v>
      </c>
      <c r="G1448" s="8">
        <v>118.965</v>
      </c>
      <c r="H1448" s="8">
        <v>106.12</v>
      </c>
      <c r="I1448" s="8">
        <v>153.57</v>
      </c>
      <c r="J1448" s="8">
        <v>44.44</v>
      </c>
      <c r="K1448" s="268">
        <v>0.20319999999999999</v>
      </c>
      <c r="L1448" s="268">
        <v>0.1444</v>
      </c>
      <c r="M1448" s="268">
        <v>-1.84E-2</v>
      </c>
      <c r="N1448" s="8">
        <v>329.75</v>
      </c>
      <c r="O1448" s="8">
        <v>4350.6099999999997</v>
      </c>
      <c r="P1448" s="268">
        <v>7.5800000000000006E-2</v>
      </c>
      <c r="Q1448" s="8">
        <v>302</v>
      </c>
      <c r="R1448" s="8" t="s">
        <v>9251</v>
      </c>
      <c r="S1448" s="8" t="s">
        <v>3778</v>
      </c>
      <c r="T1448" s="8" t="s">
        <v>9252</v>
      </c>
      <c r="U1448" s="8" t="s">
        <v>9253</v>
      </c>
      <c r="V1448" s="8" t="s">
        <v>9254</v>
      </c>
      <c r="W1448" s="8" t="s">
        <v>9255</v>
      </c>
    </row>
    <row r="1449" spans="1:23" ht="28" customHeight="1" x14ac:dyDescent="0.3">
      <c r="A1449" s="308">
        <v>44120</v>
      </c>
      <c r="B1449" s="302">
        <v>1520.0920000000001</v>
      </c>
      <c r="C1449" s="8">
        <v>-1.613</v>
      </c>
      <c r="D1449" s="268">
        <v>-1.1000000000000001E-3</v>
      </c>
      <c r="E1449" s="8">
        <v>70.03</v>
      </c>
      <c r="F1449" s="8">
        <v>132.85400000000001</v>
      </c>
      <c r="G1449" s="8">
        <v>119.80500000000001</v>
      </c>
      <c r="H1449" s="8">
        <v>106.76</v>
      </c>
      <c r="I1449" s="8">
        <v>151.71</v>
      </c>
      <c r="J1449" s="8">
        <v>42.91</v>
      </c>
      <c r="K1449" s="268">
        <v>0.1885</v>
      </c>
      <c r="L1449" s="268">
        <v>0.1419</v>
      </c>
      <c r="M1449" s="268">
        <v>-1.8499999999999999E-2</v>
      </c>
      <c r="N1449" s="8">
        <v>256.68</v>
      </c>
      <c r="O1449" s="8">
        <v>4348.6099999999997</v>
      </c>
      <c r="P1449" s="268">
        <v>5.8999999999999997E-2</v>
      </c>
      <c r="Q1449" s="8">
        <v>302</v>
      </c>
      <c r="R1449" s="8" t="s">
        <v>7637</v>
      </c>
      <c r="S1449" s="8" t="s">
        <v>3835</v>
      </c>
      <c r="T1449" s="8" t="s">
        <v>9256</v>
      </c>
      <c r="U1449" s="8" t="s">
        <v>9257</v>
      </c>
      <c r="V1449" s="8" t="s">
        <v>9258</v>
      </c>
      <c r="W1449" s="8" t="s">
        <v>9259</v>
      </c>
    </row>
    <row r="1450" spans="1:23" ht="28" customHeight="1" x14ac:dyDescent="0.3">
      <c r="A1450" s="308">
        <v>44119</v>
      </c>
      <c r="B1450" s="302">
        <v>1521.7049999999999</v>
      </c>
      <c r="C1450" s="8">
        <v>-1.218</v>
      </c>
      <c r="D1450" s="268">
        <v>-8.0000000000000004E-4</v>
      </c>
      <c r="E1450" s="8">
        <v>70.53</v>
      </c>
      <c r="F1450" s="8">
        <v>133.11799999999999</v>
      </c>
      <c r="G1450" s="8">
        <v>119.375</v>
      </c>
      <c r="H1450" s="8">
        <v>105.78</v>
      </c>
      <c r="I1450" s="8">
        <v>152.13</v>
      </c>
      <c r="J1450" s="8">
        <v>43.93</v>
      </c>
      <c r="K1450" s="268">
        <v>0.19009999999999999</v>
      </c>
      <c r="L1450" s="268">
        <v>0.1457</v>
      </c>
      <c r="M1450" s="268">
        <v>-1.89E-2</v>
      </c>
      <c r="N1450" s="8">
        <v>208.7</v>
      </c>
      <c r="O1450" s="8">
        <v>4404.8500000000004</v>
      </c>
      <c r="P1450" s="268">
        <v>4.7399999999999998E-2</v>
      </c>
      <c r="Q1450" s="8">
        <v>300</v>
      </c>
      <c r="R1450" s="8" t="s">
        <v>7642</v>
      </c>
      <c r="S1450" s="8" t="s">
        <v>5746</v>
      </c>
      <c r="T1450" s="8" t="s">
        <v>9260</v>
      </c>
      <c r="U1450" s="8" t="s">
        <v>9261</v>
      </c>
      <c r="V1450" s="8" t="s">
        <v>9262</v>
      </c>
      <c r="W1450" s="8" t="s">
        <v>9263</v>
      </c>
    </row>
    <row r="1451" spans="1:23" ht="28" customHeight="1" x14ac:dyDescent="0.3">
      <c r="A1451" s="308">
        <v>44118</v>
      </c>
      <c r="B1451" s="302">
        <v>1522.923</v>
      </c>
      <c r="C1451" s="8">
        <v>-1.7989999999999999</v>
      </c>
      <c r="D1451" s="268">
        <v>-1.1999999999999999E-3</v>
      </c>
      <c r="E1451" s="8">
        <v>71.430000000000007</v>
      </c>
      <c r="F1451" s="8">
        <v>133.46299999999999</v>
      </c>
      <c r="G1451" s="8">
        <v>119.617</v>
      </c>
      <c r="H1451" s="8">
        <v>105.79</v>
      </c>
      <c r="I1451" s="8">
        <v>151.94</v>
      </c>
      <c r="J1451" s="8">
        <v>40.81</v>
      </c>
      <c r="K1451" s="268">
        <v>0.18479999999999999</v>
      </c>
      <c r="L1451" s="268">
        <v>0.1391</v>
      </c>
      <c r="M1451" s="268">
        <v>-1.9E-2</v>
      </c>
      <c r="N1451" s="8">
        <v>242.26</v>
      </c>
      <c r="O1451" s="8">
        <v>4409.95</v>
      </c>
      <c r="P1451" s="268">
        <v>5.4899999999999997E-2</v>
      </c>
      <c r="Q1451" s="8">
        <v>300</v>
      </c>
      <c r="R1451" s="8" t="s">
        <v>9264</v>
      </c>
      <c r="S1451" s="8" t="s">
        <v>5746</v>
      </c>
      <c r="T1451" s="8" t="s">
        <v>9265</v>
      </c>
      <c r="U1451" s="8" t="s">
        <v>9266</v>
      </c>
      <c r="V1451" s="8" t="s">
        <v>9267</v>
      </c>
      <c r="W1451" s="8" t="s">
        <v>9268</v>
      </c>
    </row>
    <row r="1452" spans="1:23" ht="28" customHeight="1" x14ac:dyDescent="0.3">
      <c r="A1452" s="308">
        <v>44117</v>
      </c>
      <c r="B1452" s="302">
        <v>1524.722</v>
      </c>
      <c r="C1452" s="8">
        <v>7.6609999999999996</v>
      </c>
      <c r="D1452" s="268">
        <v>5.1000000000000004E-3</v>
      </c>
      <c r="E1452" s="8">
        <v>73.42</v>
      </c>
      <c r="F1452" s="8">
        <v>133.53299999999999</v>
      </c>
      <c r="G1452" s="8">
        <v>119.54</v>
      </c>
      <c r="H1452" s="8">
        <v>106.11</v>
      </c>
      <c r="I1452" s="8">
        <v>151.61000000000001</v>
      </c>
      <c r="J1452" s="8">
        <v>38.369999999999997</v>
      </c>
      <c r="K1452" s="268">
        <v>0.18079999999999999</v>
      </c>
      <c r="L1452" s="268">
        <v>0.13830000000000001</v>
      </c>
      <c r="M1452" s="268">
        <v>-1.9300000000000001E-2</v>
      </c>
      <c r="N1452" s="8">
        <v>253.6</v>
      </c>
      <c r="O1452" s="8">
        <v>4414.9799999999996</v>
      </c>
      <c r="P1452" s="268">
        <v>5.74E-2</v>
      </c>
      <c r="Q1452" s="8">
        <v>300</v>
      </c>
      <c r="R1452" s="8" t="s">
        <v>7642</v>
      </c>
      <c r="S1452" s="8" t="s">
        <v>2988</v>
      </c>
      <c r="T1452" s="8" t="s">
        <v>9269</v>
      </c>
      <c r="U1452" s="8" t="s">
        <v>9270</v>
      </c>
      <c r="V1452" s="8" t="s">
        <v>9271</v>
      </c>
      <c r="W1452" s="8" t="s">
        <v>9272</v>
      </c>
    </row>
    <row r="1453" spans="1:23" ht="28" customHeight="1" x14ac:dyDescent="0.3">
      <c r="A1453" s="308">
        <v>44116</v>
      </c>
      <c r="B1453" s="302">
        <v>1517.0609999999999</v>
      </c>
      <c r="C1453" s="8">
        <v>24.536999999999999</v>
      </c>
      <c r="D1453" s="268">
        <v>1.6400000000000001E-2</v>
      </c>
      <c r="E1453" s="8">
        <v>71.75</v>
      </c>
      <c r="F1453" s="8">
        <v>132.67699999999999</v>
      </c>
      <c r="G1453" s="8">
        <v>119.44</v>
      </c>
      <c r="H1453" s="8">
        <v>105.69</v>
      </c>
      <c r="I1453" s="8">
        <v>150.66</v>
      </c>
      <c r="J1453" s="8">
        <v>37.5</v>
      </c>
      <c r="K1453" s="268">
        <v>0.17979999999999999</v>
      </c>
      <c r="L1453" s="268">
        <v>0.13569999999999999</v>
      </c>
      <c r="M1453" s="268">
        <v>-1.8200000000000001E-2</v>
      </c>
      <c r="N1453" s="8">
        <v>274.95</v>
      </c>
      <c r="O1453" s="8">
        <v>4417.75</v>
      </c>
      <c r="P1453" s="268">
        <v>6.2199999999999998E-2</v>
      </c>
      <c r="Q1453" s="8">
        <v>300</v>
      </c>
      <c r="R1453" s="8" t="s">
        <v>9273</v>
      </c>
      <c r="S1453" s="8" t="s">
        <v>9274</v>
      </c>
      <c r="T1453" s="8" t="s">
        <v>9275</v>
      </c>
      <c r="U1453" s="8" t="s">
        <v>9276</v>
      </c>
      <c r="V1453" s="8" t="s">
        <v>9277</v>
      </c>
      <c r="W1453" s="8" t="s">
        <v>9278</v>
      </c>
    </row>
    <row r="1454" spans="1:23" ht="28" customHeight="1" x14ac:dyDescent="0.3">
      <c r="A1454" s="308">
        <v>44113</v>
      </c>
      <c r="B1454" s="302">
        <v>1492.5239999999999</v>
      </c>
      <c r="C1454" s="8">
        <v>21.940999999999999</v>
      </c>
      <c r="D1454" s="268">
        <v>1.49E-2</v>
      </c>
      <c r="E1454" s="8">
        <v>61.97</v>
      </c>
      <c r="F1454" s="8">
        <v>130.28899999999999</v>
      </c>
      <c r="G1454" s="8">
        <v>117.40600000000001</v>
      </c>
      <c r="H1454" s="8">
        <v>102.44</v>
      </c>
      <c r="I1454" s="8">
        <v>149.72</v>
      </c>
      <c r="J1454" s="8">
        <v>43.76</v>
      </c>
      <c r="K1454" s="268">
        <v>0.1943</v>
      </c>
      <c r="L1454" s="268">
        <v>0.1492</v>
      </c>
      <c r="M1454" s="268">
        <v>-1.4800000000000001E-2</v>
      </c>
      <c r="N1454" s="8">
        <v>192.5</v>
      </c>
      <c r="O1454" s="8">
        <v>4419.47</v>
      </c>
      <c r="P1454" s="268">
        <v>4.36E-2</v>
      </c>
      <c r="Q1454" s="8">
        <v>300</v>
      </c>
      <c r="R1454" s="8" t="s">
        <v>3604</v>
      </c>
      <c r="S1454" s="8" t="s">
        <v>9279</v>
      </c>
      <c r="T1454" s="8" t="s">
        <v>9280</v>
      </c>
      <c r="U1454" s="8" t="s">
        <v>9281</v>
      </c>
      <c r="V1454" s="8" t="s">
        <v>9282</v>
      </c>
      <c r="W1454" s="8" t="s">
        <v>9283</v>
      </c>
    </row>
    <row r="1455" spans="1:23" ht="28" customHeight="1" x14ac:dyDescent="0.3">
      <c r="A1455" s="308">
        <v>44104</v>
      </c>
      <c r="B1455" s="302">
        <v>1470.5830000000001</v>
      </c>
      <c r="C1455" s="8">
        <v>3.1110000000000002</v>
      </c>
      <c r="D1455" s="268">
        <v>2.0999999999999999E-3</v>
      </c>
      <c r="E1455" s="8">
        <v>51.85</v>
      </c>
      <c r="F1455" s="8">
        <v>128.054</v>
      </c>
      <c r="G1455" s="8">
        <v>115.949</v>
      </c>
      <c r="H1455" s="8">
        <v>100.69</v>
      </c>
      <c r="I1455" s="8">
        <v>149.24</v>
      </c>
      <c r="J1455" s="8">
        <v>52.14</v>
      </c>
      <c r="K1455" s="268">
        <v>0.21179999999999999</v>
      </c>
      <c r="L1455" s="268">
        <v>0.1721</v>
      </c>
      <c r="M1455" s="268">
        <v>-1.1599999999999999E-2</v>
      </c>
      <c r="N1455" s="8">
        <v>227.4</v>
      </c>
      <c r="O1455" s="8">
        <v>4420.25</v>
      </c>
      <c r="P1455" s="268">
        <v>5.1400000000000001E-2</v>
      </c>
      <c r="Q1455" s="8">
        <v>300</v>
      </c>
      <c r="R1455" s="8" t="s">
        <v>5441</v>
      </c>
      <c r="S1455" s="8" t="s">
        <v>9284</v>
      </c>
      <c r="T1455" s="8" t="s">
        <v>7353</v>
      </c>
      <c r="U1455" s="8" t="s">
        <v>9285</v>
      </c>
      <c r="V1455" s="8" t="s">
        <v>8523</v>
      </c>
      <c r="W1455" s="8" t="s">
        <v>4863</v>
      </c>
    </row>
    <row r="1456" spans="1:23" ht="28" customHeight="1" x14ac:dyDescent="0.3">
      <c r="A1456" s="308">
        <v>44103</v>
      </c>
      <c r="B1456" s="302">
        <v>1467.472</v>
      </c>
      <c r="C1456" s="8">
        <v>12.555999999999999</v>
      </c>
      <c r="D1456" s="268">
        <v>8.6E-3</v>
      </c>
      <c r="E1456" s="8">
        <v>49.92</v>
      </c>
      <c r="F1456" s="8">
        <v>127.712</v>
      </c>
      <c r="G1456" s="8">
        <v>115.726</v>
      </c>
      <c r="H1456" s="8">
        <v>100.96</v>
      </c>
      <c r="I1456" s="8">
        <v>148.16</v>
      </c>
      <c r="J1456" s="8">
        <v>49.16</v>
      </c>
      <c r="K1456" s="268">
        <v>0.2044</v>
      </c>
      <c r="L1456" s="268">
        <v>0.16289999999999999</v>
      </c>
      <c r="M1456" s="268">
        <v>-1.12E-2</v>
      </c>
      <c r="N1456" s="8">
        <v>217.69</v>
      </c>
      <c r="O1456" s="8">
        <v>4422.72</v>
      </c>
      <c r="P1456" s="268">
        <v>4.9200000000000001E-2</v>
      </c>
      <c r="Q1456" s="8">
        <v>300</v>
      </c>
      <c r="R1456" s="8" t="s">
        <v>7637</v>
      </c>
      <c r="S1456" s="8" t="s">
        <v>6411</v>
      </c>
      <c r="T1456" s="8" t="s">
        <v>9286</v>
      </c>
      <c r="U1456" s="8" t="s">
        <v>9287</v>
      </c>
      <c r="V1456" s="8" t="s">
        <v>9288</v>
      </c>
      <c r="W1456" s="8" t="s">
        <v>9289</v>
      </c>
    </row>
    <row r="1457" spans="1:23" ht="28" customHeight="1" x14ac:dyDescent="0.3">
      <c r="A1457" s="308">
        <v>44102</v>
      </c>
      <c r="B1457" s="302">
        <v>1454.9159999999999</v>
      </c>
      <c r="C1457" s="8">
        <v>-12.428000000000001</v>
      </c>
      <c r="D1457" s="268">
        <v>-8.5000000000000006E-3</v>
      </c>
      <c r="E1457" s="8">
        <v>43.66</v>
      </c>
      <c r="F1457" s="8">
        <v>126.822</v>
      </c>
      <c r="G1457" s="8">
        <v>114.34</v>
      </c>
      <c r="H1457" s="8">
        <v>100.61</v>
      </c>
      <c r="I1457" s="8">
        <v>147.44</v>
      </c>
      <c r="J1457" s="8">
        <v>50</v>
      </c>
      <c r="K1457" s="268">
        <v>0.20619999999999999</v>
      </c>
      <c r="L1457" s="268">
        <v>0.1595</v>
      </c>
      <c r="M1457" s="268">
        <v>-9.4999999999999998E-3</v>
      </c>
      <c r="N1457" s="8">
        <v>162.19</v>
      </c>
      <c r="O1457" s="8">
        <v>4411.5600000000004</v>
      </c>
      <c r="P1457" s="268">
        <v>3.6799999999999999E-2</v>
      </c>
      <c r="Q1457" s="8">
        <v>299</v>
      </c>
      <c r="R1457" s="8" t="s">
        <v>9290</v>
      </c>
      <c r="S1457" s="8" t="s">
        <v>9291</v>
      </c>
      <c r="T1457" s="8" t="s">
        <v>9292</v>
      </c>
      <c r="U1457" s="8" t="s">
        <v>9293</v>
      </c>
      <c r="V1457" s="8" t="s">
        <v>9175</v>
      </c>
      <c r="W1457" s="8" t="s">
        <v>9294</v>
      </c>
    </row>
    <row r="1458" spans="1:23" ht="28" customHeight="1" x14ac:dyDescent="0.3">
      <c r="A1458" s="308">
        <v>44099</v>
      </c>
      <c r="B1458" s="302">
        <v>1467.3440000000001</v>
      </c>
      <c r="C1458" s="8">
        <v>-6.1890000000000001</v>
      </c>
      <c r="D1458" s="268">
        <v>-4.1999999999999997E-3</v>
      </c>
      <c r="E1458" s="8">
        <v>46.12</v>
      </c>
      <c r="F1458" s="8">
        <v>127.895</v>
      </c>
      <c r="G1458" s="8">
        <v>116.05</v>
      </c>
      <c r="H1458" s="8">
        <v>102.73</v>
      </c>
      <c r="I1458" s="8">
        <v>147.80000000000001</v>
      </c>
      <c r="J1458" s="8">
        <v>47.51</v>
      </c>
      <c r="K1458" s="268">
        <v>0.19900000000000001</v>
      </c>
      <c r="L1458" s="268">
        <v>0.1492</v>
      </c>
      <c r="M1458" s="268">
        <v>-1.1299999999999999E-2</v>
      </c>
      <c r="N1458" s="8">
        <v>211.19</v>
      </c>
      <c r="O1458" s="8">
        <v>4419.7</v>
      </c>
      <c r="P1458" s="268">
        <v>4.7800000000000002E-2</v>
      </c>
      <c r="Q1458" s="8">
        <v>299</v>
      </c>
      <c r="R1458" s="8" t="s">
        <v>9295</v>
      </c>
      <c r="S1458" s="8" t="s">
        <v>9296</v>
      </c>
      <c r="T1458" s="8" t="s">
        <v>9297</v>
      </c>
      <c r="U1458" s="8" t="s">
        <v>9298</v>
      </c>
      <c r="V1458" s="8" t="s">
        <v>9299</v>
      </c>
      <c r="W1458" s="8" t="s">
        <v>9300</v>
      </c>
    </row>
    <row r="1459" spans="1:23" ht="28" customHeight="1" x14ac:dyDescent="0.3">
      <c r="A1459" s="308">
        <v>44098</v>
      </c>
      <c r="B1459" s="302">
        <v>1473.5329999999999</v>
      </c>
      <c r="C1459" s="8">
        <v>-23.58</v>
      </c>
      <c r="D1459" s="268">
        <v>-1.5699999999999999E-2</v>
      </c>
      <c r="E1459" s="8">
        <v>50.13</v>
      </c>
      <c r="F1459" s="8">
        <v>128.42599999999999</v>
      </c>
      <c r="G1459" s="8">
        <v>116.85599999999999</v>
      </c>
      <c r="H1459" s="8">
        <v>102.84</v>
      </c>
      <c r="I1459" s="8">
        <v>148.47</v>
      </c>
      <c r="J1459" s="8">
        <v>48.41</v>
      </c>
      <c r="K1459" s="268">
        <v>0.20050000000000001</v>
      </c>
      <c r="L1459" s="268">
        <v>0.1497</v>
      </c>
      <c r="M1459" s="268">
        <v>-1.23E-2</v>
      </c>
      <c r="N1459" s="8">
        <v>189.45</v>
      </c>
      <c r="O1459" s="8">
        <v>4418.2700000000004</v>
      </c>
      <c r="P1459" s="268">
        <v>4.2900000000000001E-2</v>
      </c>
      <c r="Q1459" s="8">
        <v>298</v>
      </c>
      <c r="R1459" s="8" t="s">
        <v>9301</v>
      </c>
      <c r="S1459" s="8" t="s">
        <v>9302</v>
      </c>
      <c r="T1459" s="8" t="s">
        <v>9303</v>
      </c>
      <c r="U1459" s="8" t="s">
        <v>9304</v>
      </c>
      <c r="V1459" s="8" t="s">
        <v>9305</v>
      </c>
      <c r="W1459" s="8" t="s">
        <v>9306</v>
      </c>
    </row>
    <row r="1460" spans="1:23" ht="28" customHeight="1" x14ac:dyDescent="0.3">
      <c r="A1460" s="308">
        <v>44097</v>
      </c>
      <c r="B1460" s="302">
        <v>1497.1130000000001</v>
      </c>
      <c r="C1460" s="8">
        <v>-0.71899999999999997</v>
      </c>
      <c r="D1460" s="268">
        <v>-5.0000000000000001E-4</v>
      </c>
      <c r="E1460" s="8">
        <v>61.32</v>
      </c>
      <c r="F1460" s="8">
        <v>130.74199999999999</v>
      </c>
      <c r="G1460" s="8">
        <v>118.6</v>
      </c>
      <c r="H1460" s="8">
        <v>106.39</v>
      </c>
      <c r="I1460" s="8">
        <v>149.30000000000001</v>
      </c>
      <c r="J1460" s="8">
        <v>42.48</v>
      </c>
      <c r="K1460" s="268">
        <v>0.18559999999999999</v>
      </c>
      <c r="L1460" s="268">
        <v>0.1384</v>
      </c>
      <c r="M1460" s="268">
        <v>-1.5800000000000002E-2</v>
      </c>
      <c r="N1460" s="8">
        <v>240.15</v>
      </c>
      <c r="O1460" s="8">
        <v>4413.25</v>
      </c>
      <c r="P1460" s="268">
        <v>5.4399999999999997E-2</v>
      </c>
      <c r="Q1460" s="8">
        <v>297</v>
      </c>
      <c r="R1460" s="8" t="s">
        <v>9307</v>
      </c>
      <c r="S1460" s="8" t="s">
        <v>6031</v>
      </c>
      <c r="T1460" s="8" t="s">
        <v>9308</v>
      </c>
      <c r="U1460" s="8" t="s">
        <v>9309</v>
      </c>
      <c r="V1460" s="8" t="s">
        <v>6087</v>
      </c>
      <c r="W1460" s="8" t="s">
        <v>9310</v>
      </c>
    </row>
    <row r="1461" spans="1:23" ht="28" customHeight="1" x14ac:dyDescent="0.3">
      <c r="A1461" s="308">
        <v>44096</v>
      </c>
      <c r="B1461" s="302">
        <v>1497.8320000000001</v>
      </c>
      <c r="C1461" s="8">
        <v>-10.209</v>
      </c>
      <c r="D1461" s="268">
        <v>-6.7999999999999996E-3</v>
      </c>
      <c r="E1461" s="8">
        <v>59.56</v>
      </c>
      <c r="F1461" s="8">
        <v>130.92400000000001</v>
      </c>
      <c r="G1461" s="8">
        <v>118.36499999999999</v>
      </c>
      <c r="H1461" s="8">
        <v>105.45</v>
      </c>
      <c r="I1461" s="8">
        <v>150.13999999999999</v>
      </c>
      <c r="J1461" s="8">
        <v>43.85</v>
      </c>
      <c r="K1461" s="268">
        <v>0.19220000000000001</v>
      </c>
      <c r="L1461" s="268">
        <v>0.1333</v>
      </c>
      <c r="M1461" s="268">
        <v>-1.61E-2</v>
      </c>
      <c r="N1461" s="8">
        <v>284.27999999999997</v>
      </c>
      <c r="O1461" s="8">
        <v>4396.22</v>
      </c>
      <c r="P1461" s="268">
        <v>6.4699999999999994E-2</v>
      </c>
      <c r="Q1461" s="8">
        <v>296</v>
      </c>
      <c r="R1461" s="8" t="s">
        <v>9311</v>
      </c>
      <c r="S1461" s="8" t="s">
        <v>9312</v>
      </c>
      <c r="T1461" s="8" t="s">
        <v>9313</v>
      </c>
      <c r="U1461" s="8" t="s">
        <v>9314</v>
      </c>
      <c r="V1461" s="8" t="s">
        <v>8723</v>
      </c>
      <c r="W1461" s="8" t="s">
        <v>9315</v>
      </c>
    </row>
    <row r="1462" spans="1:23" ht="28" customHeight="1" x14ac:dyDescent="0.3">
      <c r="A1462" s="308">
        <v>44095</v>
      </c>
      <c r="B1462" s="302">
        <v>1508.0409999999999</v>
      </c>
      <c r="C1462" s="8">
        <v>-0.16600000000000001</v>
      </c>
      <c r="D1462" s="268">
        <v>-1E-4</v>
      </c>
      <c r="E1462" s="8">
        <v>64.23</v>
      </c>
      <c r="F1462" s="8">
        <v>131.58799999999999</v>
      </c>
      <c r="G1462" s="8">
        <v>118.93</v>
      </c>
      <c r="H1462" s="8">
        <v>107.89</v>
      </c>
      <c r="I1462" s="8">
        <v>149.69</v>
      </c>
      <c r="J1462" s="8">
        <v>38.299999999999997</v>
      </c>
      <c r="K1462" s="268">
        <v>0.18110000000000001</v>
      </c>
      <c r="L1462" s="268">
        <v>0.13370000000000001</v>
      </c>
      <c r="M1462" s="268">
        <v>-1.7899999999999999E-2</v>
      </c>
      <c r="N1462" s="8">
        <v>236.65</v>
      </c>
      <c r="O1462" s="8">
        <v>4390.8500000000004</v>
      </c>
      <c r="P1462" s="268">
        <v>5.3900000000000003E-2</v>
      </c>
      <c r="Q1462" s="8">
        <v>295</v>
      </c>
      <c r="R1462" s="8" t="s">
        <v>3574</v>
      </c>
      <c r="S1462" s="8" t="s">
        <v>3016</v>
      </c>
      <c r="T1462" s="8" t="s">
        <v>9316</v>
      </c>
      <c r="U1462" s="8" t="s">
        <v>9317</v>
      </c>
      <c r="V1462" s="8" t="s">
        <v>3434</v>
      </c>
      <c r="W1462" s="8" t="s">
        <v>9318</v>
      </c>
    </row>
    <row r="1463" spans="1:23" ht="28" customHeight="1" x14ac:dyDescent="0.3">
      <c r="A1463" s="308">
        <v>44092</v>
      </c>
      <c r="B1463" s="302">
        <v>1508.2070000000001</v>
      </c>
      <c r="C1463" s="8">
        <v>8.0709999999999997</v>
      </c>
      <c r="D1463" s="268">
        <v>5.4000000000000003E-3</v>
      </c>
      <c r="E1463" s="8">
        <v>65.12</v>
      </c>
      <c r="F1463" s="8">
        <v>131.86699999999999</v>
      </c>
      <c r="G1463" s="8">
        <v>119.17</v>
      </c>
      <c r="H1463" s="8">
        <v>107.57</v>
      </c>
      <c r="I1463" s="8">
        <v>149.93</v>
      </c>
      <c r="J1463" s="8">
        <v>36</v>
      </c>
      <c r="K1463" s="268">
        <v>0.18060000000000001</v>
      </c>
      <c r="L1463" s="268">
        <v>0.12820000000000001</v>
      </c>
      <c r="M1463" s="268">
        <v>-1.8100000000000002E-2</v>
      </c>
      <c r="N1463" s="8">
        <v>255.75</v>
      </c>
      <c r="O1463" s="8">
        <v>4329.74</v>
      </c>
      <c r="P1463" s="268">
        <v>5.91E-2</v>
      </c>
      <c r="Q1463" s="8">
        <v>293</v>
      </c>
      <c r="R1463" s="8" t="s">
        <v>2511</v>
      </c>
      <c r="S1463" s="8" t="s">
        <v>3006</v>
      </c>
      <c r="T1463" s="8" t="s">
        <v>3937</v>
      </c>
      <c r="U1463" s="8" t="s">
        <v>4403</v>
      </c>
      <c r="V1463" s="8" t="s">
        <v>9319</v>
      </c>
      <c r="W1463" s="8" t="s">
        <v>9320</v>
      </c>
    </row>
    <row r="1464" spans="1:23" ht="28" customHeight="1" x14ac:dyDescent="0.3">
      <c r="A1464" s="308">
        <v>44091</v>
      </c>
      <c r="B1464" s="302">
        <v>1500.136</v>
      </c>
      <c r="C1464" s="8">
        <v>0.61499999999999999</v>
      </c>
      <c r="D1464" s="268">
        <v>4.0000000000000002E-4</v>
      </c>
      <c r="E1464" s="8">
        <v>60</v>
      </c>
      <c r="F1464" s="8">
        <v>131.10499999999999</v>
      </c>
      <c r="G1464" s="8">
        <v>118.5</v>
      </c>
      <c r="H1464" s="8">
        <v>106.59</v>
      </c>
      <c r="I1464" s="8">
        <v>149.94999999999999</v>
      </c>
      <c r="J1464" s="8">
        <v>39.51</v>
      </c>
      <c r="K1464" s="268">
        <v>0.1885</v>
      </c>
      <c r="L1464" s="268">
        <v>0.1326</v>
      </c>
      <c r="M1464" s="268">
        <v>-1.7000000000000001E-2</v>
      </c>
      <c r="N1464" s="8">
        <v>267.44</v>
      </c>
      <c r="O1464" s="8">
        <v>4321.32</v>
      </c>
      <c r="P1464" s="268">
        <v>6.1899999999999997E-2</v>
      </c>
      <c r="Q1464" s="8">
        <v>295</v>
      </c>
      <c r="R1464" s="8" t="s">
        <v>9321</v>
      </c>
      <c r="S1464" s="8" t="s">
        <v>6026</v>
      </c>
      <c r="T1464" s="8" t="s">
        <v>9322</v>
      </c>
      <c r="U1464" s="8" t="s">
        <v>9323</v>
      </c>
      <c r="V1464" s="8" t="s">
        <v>5470</v>
      </c>
      <c r="W1464" s="8" t="s">
        <v>9324</v>
      </c>
    </row>
    <row r="1465" spans="1:23" ht="28" customHeight="1" x14ac:dyDescent="0.3">
      <c r="A1465" s="308">
        <v>44090</v>
      </c>
      <c r="B1465" s="302">
        <v>1499.521</v>
      </c>
      <c r="C1465" s="8">
        <v>-4.7690000000000001</v>
      </c>
      <c r="D1465" s="268">
        <v>-3.2000000000000002E-3</v>
      </c>
      <c r="E1465" s="8">
        <v>58.86</v>
      </c>
      <c r="F1465" s="8">
        <v>130.92699999999999</v>
      </c>
      <c r="G1465" s="8">
        <v>118.02</v>
      </c>
      <c r="H1465" s="8">
        <v>106.26</v>
      </c>
      <c r="I1465" s="8">
        <v>150.19</v>
      </c>
      <c r="J1465" s="8">
        <v>41.28</v>
      </c>
      <c r="K1465" s="268">
        <v>0.19270000000000001</v>
      </c>
      <c r="L1465" s="268">
        <v>0.1368</v>
      </c>
      <c r="M1465" s="268">
        <v>-1.6899999999999998E-2</v>
      </c>
      <c r="N1465" s="8">
        <v>290</v>
      </c>
      <c r="O1465" s="8">
        <v>4325.99</v>
      </c>
      <c r="P1465" s="268">
        <v>6.7000000000000004E-2</v>
      </c>
      <c r="Q1465" s="8">
        <v>295</v>
      </c>
      <c r="R1465" s="8" t="s">
        <v>9325</v>
      </c>
      <c r="S1465" s="8" t="s">
        <v>9326</v>
      </c>
      <c r="T1465" s="8" t="s">
        <v>9327</v>
      </c>
      <c r="U1465" s="8" t="s">
        <v>9328</v>
      </c>
      <c r="V1465" s="8" t="s">
        <v>9329</v>
      </c>
      <c r="W1465" s="8" t="s">
        <v>5155</v>
      </c>
    </row>
    <row r="1466" spans="1:23" ht="28" customHeight="1" x14ac:dyDescent="0.3">
      <c r="A1466" s="308">
        <v>44089</v>
      </c>
      <c r="B1466" s="302">
        <v>1504.29</v>
      </c>
      <c r="C1466" s="8">
        <v>3.137</v>
      </c>
      <c r="D1466" s="268">
        <v>2.0999999999999999E-3</v>
      </c>
      <c r="E1466" s="8">
        <v>65.069999999999993</v>
      </c>
      <c r="F1466" s="8">
        <v>131.453</v>
      </c>
      <c r="G1466" s="8">
        <v>119</v>
      </c>
      <c r="H1466" s="8">
        <v>107.06</v>
      </c>
      <c r="I1466" s="8">
        <v>150.18</v>
      </c>
      <c r="J1466" s="8">
        <v>40.909999999999997</v>
      </c>
      <c r="K1466" s="268">
        <v>0.18729999999999999</v>
      </c>
      <c r="L1466" s="268">
        <v>0.13539999999999999</v>
      </c>
      <c r="M1466" s="268">
        <v>-1.7899999999999999E-2</v>
      </c>
      <c r="N1466" s="8">
        <v>211.9</v>
      </c>
      <c r="O1466" s="8">
        <v>4261.5600000000004</v>
      </c>
      <c r="P1466" s="268">
        <v>4.9700000000000001E-2</v>
      </c>
      <c r="Q1466" s="8">
        <v>293</v>
      </c>
      <c r="R1466" s="8" t="s">
        <v>3625</v>
      </c>
      <c r="S1466" s="8" t="s">
        <v>3016</v>
      </c>
      <c r="T1466" s="8" t="s">
        <v>9330</v>
      </c>
      <c r="U1466" s="8" t="s">
        <v>9331</v>
      </c>
      <c r="V1466" s="8" t="s">
        <v>9332</v>
      </c>
      <c r="W1466" s="8" t="s">
        <v>9333</v>
      </c>
    </row>
    <row r="1467" spans="1:23" ht="28" customHeight="1" x14ac:dyDescent="0.3">
      <c r="A1467" s="308">
        <v>44088</v>
      </c>
      <c r="B1467" s="302">
        <v>1501.153</v>
      </c>
      <c r="C1467" s="8">
        <v>8.3450000000000006</v>
      </c>
      <c r="D1467" s="268">
        <v>5.5999999999999999E-3</v>
      </c>
      <c r="E1467" s="8">
        <v>67.150000000000006</v>
      </c>
      <c r="F1467" s="8">
        <v>130.898</v>
      </c>
      <c r="G1467" s="8">
        <v>119.16500000000001</v>
      </c>
      <c r="H1467" s="8">
        <v>106.75</v>
      </c>
      <c r="I1467" s="8">
        <v>149.69</v>
      </c>
      <c r="J1467" s="8">
        <v>42.27</v>
      </c>
      <c r="K1467" s="268">
        <v>0.18790000000000001</v>
      </c>
      <c r="L1467" s="268">
        <v>0.13969999999999999</v>
      </c>
      <c r="M1467" s="268">
        <v>-1.7600000000000001E-2</v>
      </c>
      <c r="N1467" s="8">
        <v>201.68</v>
      </c>
      <c r="O1467" s="8">
        <v>4264.25</v>
      </c>
      <c r="P1467" s="268">
        <v>4.7300000000000002E-2</v>
      </c>
      <c r="Q1467" s="8">
        <v>292</v>
      </c>
      <c r="R1467" s="8" t="s">
        <v>6136</v>
      </c>
      <c r="S1467" s="8" t="s">
        <v>9334</v>
      </c>
      <c r="T1467" s="8" t="s">
        <v>9335</v>
      </c>
      <c r="U1467" s="8" t="s">
        <v>9336</v>
      </c>
      <c r="V1467" s="8" t="s">
        <v>8488</v>
      </c>
      <c r="W1467" s="8" t="s">
        <v>9337</v>
      </c>
    </row>
    <row r="1468" spans="1:23" ht="28" customHeight="1" x14ac:dyDescent="0.3">
      <c r="A1468" s="308">
        <v>44085</v>
      </c>
      <c r="B1468" s="302">
        <v>1492.808</v>
      </c>
      <c r="C1468" s="8">
        <v>8.9329999999999998</v>
      </c>
      <c r="D1468" s="268">
        <v>6.0000000000000001E-3</v>
      </c>
      <c r="E1468" s="8">
        <v>64.75</v>
      </c>
      <c r="F1468" s="8">
        <v>130.34399999999999</v>
      </c>
      <c r="G1468" s="8">
        <v>118.925</v>
      </c>
      <c r="H1468" s="8">
        <v>105.46</v>
      </c>
      <c r="I1468" s="8">
        <v>150.33000000000001</v>
      </c>
      <c r="J1468" s="8">
        <v>49.68</v>
      </c>
      <c r="K1468" s="268">
        <v>0.19980000000000001</v>
      </c>
      <c r="L1468" s="268">
        <v>0.15440000000000001</v>
      </c>
      <c r="M1468" s="268">
        <v>-1.77E-2</v>
      </c>
      <c r="N1468" s="8">
        <v>216.21</v>
      </c>
      <c r="O1468" s="8">
        <v>4256.41</v>
      </c>
      <c r="P1468" s="268">
        <v>5.0799999999999998E-2</v>
      </c>
      <c r="Q1468" s="8">
        <v>290</v>
      </c>
      <c r="R1468" s="8" t="s">
        <v>9338</v>
      </c>
      <c r="S1468" s="8" t="s">
        <v>9339</v>
      </c>
      <c r="T1468" s="8" t="s">
        <v>9340</v>
      </c>
      <c r="U1468" s="8" t="s">
        <v>9341</v>
      </c>
      <c r="V1468" s="8" t="s">
        <v>9342</v>
      </c>
      <c r="W1468" s="8" t="s">
        <v>9343</v>
      </c>
    </row>
    <row r="1469" spans="1:23" ht="28" customHeight="1" x14ac:dyDescent="0.3">
      <c r="A1469" s="308">
        <v>44084</v>
      </c>
      <c r="B1469" s="302">
        <v>1483.875</v>
      </c>
      <c r="C1469" s="8">
        <v>-21.068999999999999</v>
      </c>
      <c r="D1469" s="268">
        <v>-1.4E-2</v>
      </c>
      <c r="E1469" s="8">
        <v>64.290000000000006</v>
      </c>
      <c r="F1469" s="8">
        <v>129.65600000000001</v>
      </c>
      <c r="G1469" s="8">
        <v>118.35</v>
      </c>
      <c r="H1469" s="8">
        <v>104.91</v>
      </c>
      <c r="I1469" s="8">
        <v>150.41999999999999</v>
      </c>
      <c r="J1469" s="8">
        <v>51.3</v>
      </c>
      <c r="K1469" s="268">
        <v>0.20760000000000001</v>
      </c>
      <c r="L1469" s="268">
        <v>0.1613</v>
      </c>
      <c r="M1469" s="268">
        <v>-1.67E-2</v>
      </c>
      <c r="N1469" s="8">
        <v>248.64</v>
      </c>
      <c r="O1469" s="8">
        <v>4261.57</v>
      </c>
      <c r="P1469" s="268">
        <v>5.8299999999999998E-2</v>
      </c>
      <c r="Q1469" s="8">
        <v>293</v>
      </c>
      <c r="R1469" s="8" t="s">
        <v>3575</v>
      </c>
      <c r="S1469" s="8" t="s">
        <v>2461</v>
      </c>
      <c r="T1469" s="8" t="s">
        <v>9344</v>
      </c>
      <c r="U1469" s="8" t="s">
        <v>9345</v>
      </c>
      <c r="V1469" s="8" t="s">
        <v>9346</v>
      </c>
      <c r="W1469" s="8" t="s">
        <v>9347</v>
      </c>
    </row>
    <row r="1470" spans="1:23" ht="28" customHeight="1" x14ac:dyDescent="0.3">
      <c r="A1470" s="308">
        <v>44083</v>
      </c>
      <c r="B1470" s="302">
        <v>1504.944</v>
      </c>
      <c r="C1470" s="8">
        <v>-26.852</v>
      </c>
      <c r="D1470" s="268">
        <v>-1.7500000000000002E-2</v>
      </c>
      <c r="E1470" s="8">
        <v>72.12</v>
      </c>
      <c r="F1470" s="8">
        <v>131.57300000000001</v>
      </c>
      <c r="G1470" s="8">
        <v>120.1</v>
      </c>
      <c r="H1470" s="8">
        <v>108.55</v>
      </c>
      <c r="I1470" s="8">
        <v>150.19999999999999</v>
      </c>
      <c r="J1470" s="8">
        <v>38.31</v>
      </c>
      <c r="K1470" s="268">
        <v>0.18629999999999999</v>
      </c>
      <c r="L1470" s="268">
        <v>0.14080000000000001</v>
      </c>
      <c r="M1470" s="268">
        <v>-0.02</v>
      </c>
      <c r="N1470" s="8">
        <v>295.27999999999997</v>
      </c>
      <c r="O1470" s="8">
        <v>4270.1499999999996</v>
      </c>
      <c r="P1470" s="268">
        <v>6.9099999999999995E-2</v>
      </c>
      <c r="Q1470" s="8">
        <v>293</v>
      </c>
      <c r="R1470" s="8" t="s">
        <v>9348</v>
      </c>
      <c r="S1470" s="8" t="s">
        <v>9326</v>
      </c>
      <c r="T1470" s="8" t="s">
        <v>9349</v>
      </c>
      <c r="U1470" s="8" t="s">
        <v>9350</v>
      </c>
      <c r="V1470" s="8" t="s">
        <v>9351</v>
      </c>
      <c r="W1470" s="8" t="s">
        <v>9352</v>
      </c>
    </row>
    <row r="1471" spans="1:23" ht="28" customHeight="1" x14ac:dyDescent="0.3">
      <c r="A1471" s="308">
        <v>44082</v>
      </c>
      <c r="B1471" s="302">
        <v>1531.796</v>
      </c>
      <c r="C1471" s="8">
        <v>-5.21</v>
      </c>
      <c r="D1471" s="268">
        <v>-3.3999999999999998E-3</v>
      </c>
      <c r="E1471" s="8">
        <v>78.31</v>
      </c>
      <c r="F1471" s="8">
        <v>134.38900000000001</v>
      </c>
      <c r="G1471" s="8">
        <v>121.5</v>
      </c>
      <c r="H1471" s="8">
        <v>111</v>
      </c>
      <c r="I1471" s="8">
        <v>151.80000000000001</v>
      </c>
      <c r="J1471" s="8">
        <v>32.950000000000003</v>
      </c>
      <c r="K1471" s="268">
        <v>0.1741</v>
      </c>
      <c r="L1471" s="268">
        <v>0.1231</v>
      </c>
      <c r="M1471" s="268">
        <v>-2.3900000000000001E-2</v>
      </c>
      <c r="N1471" s="8">
        <v>261.97000000000003</v>
      </c>
      <c r="O1471" s="8">
        <v>4208.97</v>
      </c>
      <c r="P1471" s="268">
        <v>6.2199999999999998E-2</v>
      </c>
      <c r="Q1471" s="8">
        <v>291</v>
      </c>
      <c r="R1471" s="8" t="s">
        <v>3465</v>
      </c>
      <c r="S1471" s="8" t="s">
        <v>2712</v>
      </c>
      <c r="T1471" s="8" t="s">
        <v>9353</v>
      </c>
      <c r="U1471" s="8" t="s">
        <v>9354</v>
      </c>
      <c r="V1471" s="8" t="s">
        <v>9355</v>
      </c>
      <c r="W1471" s="8" t="s">
        <v>9356</v>
      </c>
    </row>
    <row r="1472" spans="1:23" ht="28" customHeight="1" x14ac:dyDescent="0.3">
      <c r="A1472" s="308">
        <v>44081</v>
      </c>
      <c r="B1472" s="302">
        <v>1537.0060000000001</v>
      </c>
      <c r="C1472" s="8">
        <v>-17.361999999999998</v>
      </c>
      <c r="D1472" s="268">
        <v>-1.12E-2</v>
      </c>
      <c r="E1472" s="8">
        <v>78.84</v>
      </c>
      <c r="F1472" s="8">
        <v>135.072</v>
      </c>
      <c r="G1472" s="8">
        <v>121.3</v>
      </c>
      <c r="H1472" s="8">
        <v>109.93</v>
      </c>
      <c r="I1472" s="8">
        <v>153.97</v>
      </c>
      <c r="J1472" s="8">
        <v>40.380000000000003</v>
      </c>
      <c r="K1472" s="268">
        <v>0.189</v>
      </c>
      <c r="L1472" s="268">
        <v>0.13220000000000001</v>
      </c>
      <c r="M1472" s="268">
        <v>-2.46E-2</v>
      </c>
      <c r="N1472" s="8">
        <v>272.43</v>
      </c>
      <c r="O1472" s="8">
        <v>4208.16</v>
      </c>
      <c r="P1472" s="268">
        <v>6.4699999999999994E-2</v>
      </c>
      <c r="Q1472" s="8">
        <v>291</v>
      </c>
      <c r="R1472" s="8" t="s">
        <v>6127</v>
      </c>
      <c r="S1472" s="8" t="s">
        <v>3250</v>
      </c>
      <c r="T1472" s="8" t="s">
        <v>9357</v>
      </c>
      <c r="U1472" s="8" t="s">
        <v>9358</v>
      </c>
      <c r="V1472" s="8" t="s">
        <v>9359</v>
      </c>
      <c r="W1472" s="8" t="s">
        <v>9360</v>
      </c>
    </row>
    <row r="1473" spans="1:23" ht="28" customHeight="1" x14ac:dyDescent="0.3">
      <c r="A1473" s="308">
        <v>44078</v>
      </c>
      <c r="B1473" s="302">
        <v>1554.3679999999999</v>
      </c>
      <c r="C1473" s="8">
        <v>-3.927</v>
      </c>
      <c r="D1473" s="268">
        <v>-2.5000000000000001E-3</v>
      </c>
      <c r="E1473" s="8">
        <v>83.2</v>
      </c>
      <c r="F1473" s="8">
        <v>137.08699999999999</v>
      </c>
      <c r="G1473" s="8">
        <v>122.605</v>
      </c>
      <c r="H1473" s="8">
        <v>111.3</v>
      </c>
      <c r="I1473" s="8">
        <v>155.56</v>
      </c>
      <c r="J1473" s="8">
        <v>38.840000000000003</v>
      </c>
      <c r="K1473" s="268">
        <v>0.1847</v>
      </c>
      <c r="L1473" s="268">
        <v>0.12859999999999999</v>
      </c>
      <c r="M1473" s="268">
        <v>-2.69E-2</v>
      </c>
      <c r="N1473" s="8">
        <v>289.39</v>
      </c>
      <c r="O1473" s="8">
        <v>4207.62</v>
      </c>
      <c r="P1473" s="268">
        <v>6.88E-2</v>
      </c>
      <c r="Q1473" s="8">
        <v>290</v>
      </c>
      <c r="R1473" s="8" t="s">
        <v>9361</v>
      </c>
      <c r="S1473" s="8" t="s">
        <v>2999</v>
      </c>
      <c r="T1473" s="8" t="s">
        <v>9362</v>
      </c>
      <c r="U1473" s="8" t="s">
        <v>9363</v>
      </c>
      <c r="V1473" s="8" t="s">
        <v>9364</v>
      </c>
      <c r="W1473" s="8" t="s">
        <v>9365</v>
      </c>
    </row>
    <row r="1474" spans="1:23" ht="28" customHeight="1" x14ac:dyDescent="0.3">
      <c r="A1474" s="308">
        <v>44077</v>
      </c>
      <c r="B1474" s="302">
        <v>1558.2950000000001</v>
      </c>
      <c r="C1474" s="8">
        <v>-4.0620000000000003</v>
      </c>
      <c r="D1474" s="268">
        <v>-2.5999999999999999E-3</v>
      </c>
      <c r="E1474" s="8">
        <v>84.65</v>
      </c>
      <c r="F1474" s="8">
        <v>137.85499999999999</v>
      </c>
      <c r="G1474" s="8">
        <v>123.08</v>
      </c>
      <c r="H1474" s="8">
        <v>110.38</v>
      </c>
      <c r="I1474" s="8">
        <v>156.38999999999999</v>
      </c>
      <c r="J1474" s="8">
        <v>36.69</v>
      </c>
      <c r="K1474" s="268">
        <v>0.18529999999999999</v>
      </c>
      <c r="L1474" s="268">
        <v>0.1222</v>
      </c>
      <c r="M1474" s="268">
        <v>-2.8000000000000001E-2</v>
      </c>
      <c r="N1474" s="8">
        <v>331.78</v>
      </c>
      <c r="O1474" s="8">
        <v>4215.2299999999996</v>
      </c>
      <c r="P1474" s="268">
        <v>7.8700000000000006E-2</v>
      </c>
      <c r="Q1474" s="8">
        <v>292</v>
      </c>
      <c r="R1474" s="8" t="s">
        <v>3470</v>
      </c>
      <c r="S1474" s="8" t="s">
        <v>2999</v>
      </c>
      <c r="T1474" s="8" t="s">
        <v>9366</v>
      </c>
      <c r="U1474" s="8" t="s">
        <v>9367</v>
      </c>
      <c r="V1474" s="8" t="s">
        <v>9368</v>
      </c>
      <c r="W1474" s="8" t="s">
        <v>9369</v>
      </c>
    </row>
    <row r="1475" spans="1:23" ht="28" customHeight="1" x14ac:dyDescent="0.3">
      <c r="A1475" s="308">
        <v>44076</v>
      </c>
      <c r="B1475" s="302">
        <v>1562.357</v>
      </c>
      <c r="C1475" s="8">
        <v>6.6890000000000001</v>
      </c>
      <c r="D1475" s="268">
        <v>4.3E-3</v>
      </c>
      <c r="E1475" s="8">
        <v>85.71</v>
      </c>
      <c r="F1475" s="8">
        <v>138.17099999999999</v>
      </c>
      <c r="G1475" s="8">
        <v>123.495</v>
      </c>
      <c r="H1475" s="8">
        <v>111.09</v>
      </c>
      <c r="I1475" s="8">
        <v>155.88999999999999</v>
      </c>
      <c r="J1475" s="8">
        <v>34.18</v>
      </c>
      <c r="K1475" s="268">
        <v>0.1772</v>
      </c>
      <c r="L1475" s="268">
        <v>0.1163</v>
      </c>
      <c r="M1475" s="268">
        <v>-2.8500000000000001E-2</v>
      </c>
      <c r="N1475" s="8">
        <v>308.37</v>
      </c>
      <c r="O1475" s="8">
        <v>4227.5600000000004</v>
      </c>
      <c r="P1475" s="268">
        <v>7.2900000000000006E-2</v>
      </c>
      <c r="Q1475" s="8">
        <v>292</v>
      </c>
      <c r="R1475" s="8" t="s">
        <v>3625</v>
      </c>
      <c r="S1475" s="8" t="s">
        <v>2383</v>
      </c>
      <c r="T1475" s="8" t="s">
        <v>9370</v>
      </c>
      <c r="U1475" s="8" t="s">
        <v>9371</v>
      </c>
      <c r="V1475" s="8" t="s">
        <v>9372</v>
      </c>
      <c r="W1475" s="8" t="s">
        <v>9373</v>
      </c>
    </row>
    <row r="1476" spans="1:23" ht="28" customHeight="1" x14ac:dyDescent="0.3">
      <c r="A1476" s="308">
        <v>44075</v>
      </c>
      <c r="B1476" s="302">
        <v>1555.6679999999999</v>
      </c>
      <c r="C1476" s="8">
        <v>6.5839999999999996</v>
      </c>
      <c r="D1476" s="268">
        <v>4.1999999999999997E-3</v>
      </c>
      <c r="E1476" s="8">
        <v>85.05</v>
      </c>
      <c r="F1476" s="8">
        <v>137.87799999999999</v>
      </c>
      <c r="G1476" s="8">
        <v>123.229</v>
      </c>
      <c r="H1476" s="8">
        <v>110.6</v>
      </c>
      <c r="I1476" s="8">
        <v>155.9</v>
      </c>
      <c r="J1476" s="8">
        <v>33.33</v>
      </c>
      <c r="K1476" s="268">
        <v>0.1802</v>
      </c>
      <c r="L1476" s="268">
        <v>0.1201</v>
      </c>
      <c r="M1476" s="268">
        <v>-2.76E-2</v>
      </c>
      <c r="N1476" s="8">
        <v>298.64</v>
      </c>
      <c r="O1476" s="8">
        <v>4236.0200000000004</v>
      </c>
      <c r="P1476" s="268">
        <v>7.0499999999999993E-2</v>
      </c>
      <c r="Q1476" s="8">
        <v>292</v>
      </c>
      <c r="R1476" s="8" t="s">
        <v>9374</v>
      </c>
      <c r="S1476" s="8" t="s">
        <v>3275</v>
      </c>
      <c r="T1476" s="8" t="s">
        <v>9375</v>
      </c>
      <c r="U1476" s="8" t="s">
        <v>9376</v>
      </c>
      <c r="V1476" s="8" t="s">
        <v>9377</v>
      </c>
      <c r="W1476" s="8" t="s">
        <v>7407</v>
      </c>
    </row>
    <row r="1477" spans="1:23" ht="28" customHeight="1" x14ac:dyDescent="0.3">
      <c r="A1477" s="308">
        <v>44074</v>
      </c>
      <c r="B1477" s="302">
        <v>1549.0840000000001</v>
      </c>
      <c r="C1477" s="8">
        <v>5.8949999999999996</v>
      </c>
      <c r="D1477" s="268">
        <v>3.8E-3</v>
      </c>
      <c r="E1477" s="8">
        <v>82.87</v>
      </c>
      <c r="F1477" s="8">
        <v>137.43199999999999</v>
      </c>
      <c r="G1477" s="8">
        <v>122.252</v>
      </c>
      <c r="H1477" s="8">
        <v>110.59</v>
      </c>
      <c r="I1477" s="8">
        <v>155.88</v>
      </c>
      <c r="J1477" s="8">
        <v>33.33</v>
      </c>
      <c r="K1477" s="268">
        <v>0.1845</v>
      </c>
      <c r="L1477" s="268">
        <v>0.12559999999999999</v>
      </c>
      <c r="M1477" s="268">
        <v>-2.6599999999999999E-2</v>
      </c>
      <c r="N1477" s="8">
        <v>289.58999999999997</v>
      </c>
      <c r="O1477" s="8">
        <v>4242.47</v>
      </c>
      <c r="P1477" s="268">
        <v>6.83E-2</v>
      </c>
      <c r="Q1477" s="8">
        <v>293</v>
      </c>
      <c r="R1477" s="8" t="s">
        <v>6064</v>
      </c>
      <c r="S1477" s="8" t="s">
        <v>3006</v>
      </c>
      <c r="T1477" s="8" t="s">
        <v>9378</v>
      </c>
      <c r="U1477" s="8" t="s">
        <v>7649</v>
      </c>
      <c r="V1477" s="8" t="s">
        <v>9379</v>
      </c>
      <c r="W1477" s="8" t="s">
        <v>9380</v>
      </c>
    </row>
    <row r="1478" spans="1:23" ht="28" customHeight="1" x14ac:dyDescent="0.3">
      <c r="A1478" s="308">
        <v>44071</v>
      </c>
      <c r="B1478" s="302">
        <v>1543.1890000000001</v>
      </c>
      <c r="C1478" s="8">
        <v>6.6379999999999999</v>
      </c>
      <c r="D1478" s="268">
        <v>4.3E-3</v>
      </c>
      <c r="E1478" s="8">
        <v>80.790000000000006</v>
      </c>
      <c r="F1478" s="8">
        <v>136.75800000000001</v>
      </c>
      <c r="G1478" s="8">
        <v>121.43600000000001</v>
      </c>
      <c r="H1478" s="8">
        <v>110.18</v>
      </c>
      <c r="I1478" s="8">
        <v>154.57</v>
      </c>
      <c r="J1478" s="8">
        <v>27.2</v>
      </c>
      <c r="K1478" s="268">
        <v>0.17810000000000001</v>
      </c>
      <c r="L1478" s="268">
        <v>0.1181</v>
      </c>
      <c r="M1478" s="268">
        <v>-2.5899999999999999E-2</v>
      </c>
      <c r="N1478" s="8">
        <v>345.47</v>
      </c>
      <c r="O1478" s="8">
        <v>4246.2700000000004</v>
      </c>
      <c r="P1478" s="268">
        <v>8.14E-2</v>
      </c>
      <c r="Q1478" s="8">
        <v>294</v>
      </c>
      <c r="R1478" s="8" t="s">
        <v>9381</v>
      </c>
      <c r="S1478" s="8" t="s">
        <v>9334</v>
      </c>
      <c r="T1478" s="8" t="s">
        <v>3758</v>
      </c>
      <c r="U1478" s="8" t="s">
        <v>9382</v>
      </c>
      <c r="V1478" s="8" t="s">
        <v>9383</v>
      </c>
      <c r="W1478" s="8" t="s">
        <v>9384</v>
      </c>
    </row>
    <row r="1479" spans="1:23" ht="28" customHeight="1" x14ac:dyDescent="0.3">
      <c r="A1479" s="308">
        <v>44070</v>
      </c>
      <c r="B1479" s="302">
        <v>1536.5509999999999</v>
      </c>
      <c r="C1479" s="8">
        <v>7.4009999999999998</v>
      </c>
      <c r="D1479" s="268">
        <v>4.7999999999999996E-3</v>
      </c>
      <c r="E1479" s="8">
        <v>78.88</v>
      </c>
      <c r="F1479" s="8">
        <v>137.12299999999999</v>
      </c>
      <c r="G1479" s="8">
        <v>120.705</v>
      </c>
      <c r="H1479" s="8">
        <v>108.97</v>
      </c>
      <c r="I1479" s="8">
        <v>155.58000000000001</v>
      </c>
      <c r="J1479" s="8">
        <v>31.37</v>
      </c>
      <c r="K1479" s="268">
        <v>0.18459999999999999</v>
      </c>
      <c r="L1479" s="268">
        <v>0.1172</v>
      </c>
      <c r="M1479" s="268">
        <v>-2.58E-2</v>
      </c>
      <c r="N1479" s="8">
        <v>373</v>
      </c>
      <c r="O1479" s="8">
        <v>4262.1099999999997</v>
      </c>
      <c r="P1479" s="268">
        <v>8.7499999999999994E-2</v>
      </c>
      <c r="Q1479" s="8">
        <v>298</v>
      </c>
      <c r="R1479" s="8" t="s">
        <v>2852</v>
      </c>
      <c r="S1479" s="8" t="s">
        <v>2706</v>
      </c>
      <c r="T1479" s="8" t="s">
        <v>9385</v>
      </c>
      <c r="U1479" s="8" t="s">
        <v>8400</v>
      </c>
      <c r="V1479" s="8" t="s">
        <v>8624</v>
      </c>
      <c r="W1479" s="8" t="s">
        <v>9386</v>
      </c>
    </row>
    <row r="1480" spans="1:23" ht="28" customHeight="1" x14ac:dyDescent="0.3">
      <c r="A1480" s="308">
        <v>44069</v>
      </c>
      <c r="B1480" s="302">
        <v>1529.15</v>
      </c>
      <c r="C1480" s="8">
        <v>-16.07</v>
      </c>
      <c r="D1480" s="268">
        <v>-1.04E-2</v>
      </c>
      <c r="E1480" s="8">
        <v>76.180000000000007</v>
      </c>
      <c r="F1480" s="8">
        <v>136.197</v>
      </c>
      <c r="G1480" s="8">
        <v>120.495</v>
      </c>
      <c r="H1480" s="8">
        <v>106.96</v>
      </c>
      <c r="I1480" s="8">
        <v>155.29</v>
      </c>
      <c r="J1480" s="8">
        <v>37.409999999999997</v>
      </c>
      <c r="K1480" s="268">
        <v>0.191</v>
      </c>
      <c r="L1480" s="268">
        <v>0.12859999999999999</v>
      </c>
      <c r="M1480" s="268">
        <v>-2.5000000000000001E-2</v>
      </c>
      <c r="N1480" s="8">
        <v>372.84</v>
      </c>
      <c r="O1480" s="8">
        <v>4271.97</v>
      </c>
      <c r="P1480" s="268">
        <v>8.7300000000000003E-2</v>
      </c>
      <c r="Q1480" s="8">
        <v>298</v>
      </c>
      <c r="R1480" s="8" t="s">
        <v>9387</v>
      </c>
      <c r="S1480" s="8" t="s">
        <v>8546</v>
      </c>
      <c r="T1480" s="8" t="s">
        <v>9388</v>
      </c>
      <c r="U1480" s="8" t="s">
        <v>9389</v>
      </c>
      <c r="V1480" s="8" t="s">
        <v>9390</v>
      </c>
      <c r="W1480" s="8" t="s">
        <v>9391</v>
      </c>
    </row>
    <row r="1481" spans="1:23" ht="28" customHeight="1" x14ac:dyDescent="0.3">
      <c r="A1481" s="308">
        <v>44068</v>
      </c>
      <c r="B1481" s="302">
        <v>1545.22</v>
      </c>
      <c r="C1481" s="8">
        <v>0.32400000000000001</v>
      </c>
      <c r="D1481" s="268">
        <v>2.0000000000000001E-4</v>
      </c>
      <c r="E1481" s="8">
        <v>83.33</v>
      </c>
      <c r="F1481" s="8">
        <v>137.79499999999999</v>
      </c>
      <c r="G1481" s="8">
        <v>122.47499999999999</v>
      </c>
      <c r="H1481" s="8">
        <v>111.15</v>
      </c>
      <c r="I1481" s="8">
        <v>155.57</v>
      </c>
      <c r="J1481" s="8">
        <v>29.43</v>
      </c>
      <c r="K1481" s="268">
        <v>0.1777</v>
      </c>
      <c r="L1481" s="268">
        <v>0.1176</v>
      </c>
      <c r="M1481" s="268">
        <v>-2.7199999999999998E-2</v>
      </c>
      <c r="N1481" s="8">
        <v>390.39</v>
      </c>
      <c r="O1481" s="8">
        <v>4294.32</v>
      </c>
      <c r="P1481" s="268">
        <v>9.0899999999999995E-2</v>
      </c>
      <c r="Q1481" s="8">
        <v>298</v>
      </c>
      <c r="R1481" s="8" t="s">
        <v>6562</v>
      </c>
      <c r="S1481" s="8" t="s">
        <v>9392</v>
      </c>
      <c r="T1481" s="8" t="s">
        <v>9393</v>
      </c>
      <c r="U1481" s="8" t="s">
        <v>9394</v>
      </c>
      <c r="V1481" s="8" t="s">
        <v>9395</v>
      </c>
      <c r="W1481" s="8" t="s">
        <v>9396</v>
      </c>
    </row>
    <row r="1482" spans="1:23" ht="28" customHeight="1" x14ac:dyDescent="0.3">
      <c r="A1482" s="308">
        <v>44067</v>
      </c>
      <c r="B1482" s="302">
        <v>1544.896</v>
      </c>
      <c r="C1482" s="8">
        <v>-0.247</v>
      </c>
      <c r="D1482" s="268">
        <v>-2.0000000000000001E-4</v>
      </c>
      <c r="E1482" s="8">
        <v>83.07</v>
      </c>
      <c r="F1482" s="8">
        <v>137.79400000000001</v>
      </c>
      <c r="G1482" s="8">
        <v>122.553</v>
      </c>
      <c r="H1482" s="8">
        <v>110.39</v>
      </c>
      <c r="I1482" s="8">
        <v>155.44999999999999</v>
      </c>
      <c r="J1482" s="8">
        <v>31.09</v>
      </c>
      <c r="K1482" s="268">
        <v>0.17660000000000001</v>
      </c>
      <c r="L1482" s="268">
        <v>0.1221</v>
      </c>
      <c r="M1482" s="268">
        <v>-2.7300000000000001E-2</v>
      </c>
      <c r="N1482" s="8">
        <v>406.32</v>
      </c>
      <c r="O1482" s="8">
        <v>4311.18</v>
      </c>
      <c r="P1482" s="268">
        <v>9.4200000000000006E-2</v>
      </c>
      <c r="Q1482" s="8">
        <v>298</v>
      </c>
      <c r="R1482" s="8" t="s">
        <v>9397</v>
      </c>
      <c r="S1482" s="8" t="s">
        <v>9398</v>
      </c>
      <c r="T1482" s="8" t="s">
        <v>3779</v>
      </c>
      <c r="U1482" s="8" t="s">
        <v>8331</v>
      </c>
      <c r="V1482" s="8" t="s">
        <v>9399</v>
      </c>
      <c r="W1482" s="8" t="s">
        <v>9400</v>
      </c>
    </row>
    <row r="1483" spans="1:23" ht="28" customHeight="1" x14ac:dyDescent="0.3">
      <c r="A1483" s="308">
        <v>44064</v>
      </c>
      <c r="B1483" s="302">
        <v>1545.143</v>
      </c>
      <c r="C1483" s="8">
        <v>1.821</v>
      </c>
      <c r="D1483" s="268">
        <v>1.1999999999999999E-3</v>
      </c>
      <c r="E1483" s="8">
        <v>81.540000000000006</v>
      </c>
      <c r="F1483" s="8">
        <v>137.98099999999999</v>
      </c>
      <c r="G1483" s="8">
        <v>122.355</v>
      </c>
      <c r="H1483" s="8">
        <v>110.96</v>
      </c>
      <c r="I1483" s="8">
        <v>156.6</v>
      </c>
      <c r="J1483" s="8">
        <v>31.56</v>
      </c>
      <c r="K1483" s="268">
        <v>0.1862</v>
      </c>
      <c r="L1483" s="268">
        <v>0.12809999999999999</v>
      </c>
      <c r="M1483" s="268">
        <v>-2.76E-2</v>
      </c>
      <c r="N1483" s="8">
        <v>634.54</v>
      </c>
      <c r="O1483" s="8">
        <v>4316.7</v>
      </c>
      <c r="P1483" s="268">
        <v>0.14699999999999999</v>
      </c>
      <c r="Q1483" s="8">
        <v>296</v>
      </c>
      <c r="R1483" s="8" t="s">
        <v>9401</v>
      </c>
      <c r="S1483" s="8" t="s">
        <v>3534</v>
      </c>
      <c r="T1483" s="8" t="s">
        <v>9402</v>
      </c>
      <c r="U1483" s="8" t="s">
        <v>7855</v>
      </c>
      <c r="V1483" s="8" t="s">
        <v>9403</v>
      </c>
      <c r="W1483" s="8" t="s">
        <v>9404</v>
      </c>
    </row>
    <row r="1484" spans="1:23" ht="28" customHeight="1" x14ac:dyDescent="0.3">
      <c r="A1484" s="308">
        <v>44063</v>
      </c>
      <c r="B1484" s="302">
        <v>1543.3219999999999</v>
      </c>
      <c r="C1484" s="8">
        <v>-8.6289999999999996</v>
      </c>
      <c r="D1484" s="268">
        <v>-5.5999999999999999E-3</v>
      </c>
      <c r="E1484" s="8">
        <v>81.23</v>
      </c>
      <c r="F1484" s="8">
        <v>138.042</v>
      </c>
      <c r="G1484" s="8">
        <v>122.336</v>
      </c>
      <c r="H1484" s="8">
        <v>109.74</v>
      </c>
      <c r="I1484" s="8">
        <v>157.6</v>
      </c>
      <c r="J1484" s="8">
        <v>37.39</v>
      </c>
      <c r="K1484" s="268">
        <v>0.1956</v>
      </c>
      <c r="L1484" s="268">
        <v>0.13220000000000001</v>
      </c>
      <c r="M1484" s="268">
        <v>-2.7699999999999999E-2</v>
      </c>
      <c r="N1484" s="8">
        <v>518.65</v>
      </c>
      <c r="O1484" s="8">
        <v>4221.68</v>
      </c>
      <c r="P1484" s="268">
        <v>0.1229</v>
      </c>
      <c r="Q1484" s="8">
        <v>292</v>
      </c>
      <c r="R1484" s="8" t="s">
        <v>9405</v>
      </c>
      <c r="S1484" s="8" t="s">
        <v>4493</v>
      </c>
      <c r="T1484" s="8" t="s">
        <v>8225</v>
      </c>
      <c r="U1484" s="8" t="s">
        <v>9406</v>
      </c>
      <c r="V1484" s="8" t="s">
        <v>9407</v>
      </c>
      <c r="W1484" s="8" t="s">
        <v>9408</v>
      </c>
    </row>
    <row r="1485" spans="1:23" ht="28" customHeight="1" x14ac:dyDescent="0.3">
      <c r="A1485" s="308">
        <v>44062</v>
      </c>
      <c r="B1485" s="302">
        <v>1551.951</v>
      </c>
      <c r="C1485" s="8">
        <v>-7.8460000000000001</v>
      </c>
      <c r="D1485" s="268">
        <v>-5.0000000000000001E-3</v>
      </c>
      <c r="E1485" s="8">
        <v>85.33</v>
      </c>
      <c r="F1485" s="8">
        <v>138.56399999999999</v>
      </c>
      <c r="G1485" s="8">
        <v>123.39</v>
      </c>
      <c r="H1485" s="8">
        <v>110.66</v>
      </c>
      <c r="I1485" s="8">
        <v>157.16</v>
      </c>
      <c r="J1485" s="8">
        <v>35.03</v>
      </c>
      <c r="K1485" s="268">
        <v>0.18590000000000001</v>
      </c>
      <c r="L1485" s="268">
        <v>0.1273</v>
      </c>
      <c r="M1485" s="268">
        <v>-2.9000000000000001E-2</v>
      </c>
      <c r="N1485" s="8">
        <v>471.5</v>
      </c>
      <c r="O1485" s="8">
        <v>4231.99</v>
      </c>
      <c r="P1485" s="268">
        <v>0.1114</v>
      </c>
      <c r="Q1485" s="8">
        <v>293</v>
      </c>
      <c r="R1485" s="8" t="s">
        <v>9409</v>
      </c>
      <c r="S1485" s="8" t="s">
        <v>9410</v>
      </c>
      <c r="T1485" s="8" t="s">
        <v>9411</v>
      </c>
      <c r="U1485" s="8" t="s">
        <v>5190</v>
      </c>
      <c r="V1485" s="8" t="s">
        <v>6429</v>
      </c>
      <c r="W1485" s="8" t="s">
        <v>9412</v>
      </c>
    </row>
    <row r="1486" spans="1:23" ht="28" customHeight="1" x14ac:dyDescent="0.3">
      <c r="A1486" s="308">
        <v>44061</v>
      </c>
      <c r="B1486" s="302">
        <v>1559.797</v>
      </c>
      <c r="C1486" s="8">
        <v>7.6369999999999996</v>
      </c>
      <c r="D1486" s="268">
        <v>4.8999999999999998E-3</v>
      </c>
      <c r="E1486" s="8">
        <v>88.55</v>
      </c>
      <c r="F1486" s="8">
        <v>139.536</v>
      </c>
      <c r="G1486" s="8">
        <v>124</v>
      </c>
      <c r="H1486" s="8">
        <v>113.4</v>
      </c>
      <c r="I1486" s="8">
        <v>156.65</v>
      </c>
      <c r="J1486" s="8">
        <v>25.64</v>
      </c>
      <c r="K1486" s="268">
        <v>0.1711</v>
      </c>
      <c r="L1486" s="268">
        <v>0.1108</v>
      </c>
      <c r="M1486" s="268">
        <v>-3.04E-2</v>
      </c>
      <c r="N1486" s="8">
        <v>496.52</v>
      </c>
      <c r="O1486" s="8">
        <v>4242.54</v>
      </c>
      <c r="P1486" s="268">
        <v>0.11700000000000001</v>
      </c>
      <c r="Q1486" s="8">
        <v>293</v>
      </c>
      <c r="R1486" s="8" t="s">
        <v>9413</v>
      </c>
      <c r="S1486" s="8" t="s">
        <v>9414</v>
      </c>
      <c r="T1486" s="8" t="s">
        <v>3798</v>
      </c>
      <c r="U1486" s="8" t="s">
        <v>9415</v>
      </c>
      <c r="V1486" s="8" t="s">
        <v>9416</v>
      </c>
      <c r="W1486" s="8" t="s">
        <v>9417</v>
      </c>
    </row>
    <row r="1487" spans="1:23" ht="28" customHeight="1" x14ac:dyDescent="0.3">
      <c r="A1487" s="308">
        <v>44060</v>
      </c>
      <c r="B1487" s="302">
        <v>1552.16</v>
      </c>
      <c r="C1487" s="8">
        <v>18.146999999999998</v>
      </c>
      <c r="D1487" s="268">
        <v>1.18E-2</v>
      </c>
      <c r="E1487" s="8">
        <v>86.36</v>
      </c>
      <c r="F1487" s="8">
        <v>139.56399999999999</v>
      </c>
      <c r="G1487" s="8">
        <v>123.575</v>
      </c>
      <c r="H1487" s="8">
        <v>112.5</v>
      </c>
      <c r="I1487" s="8">
        <v>156.96</v>
      </c>
      <c r="J1487" s="8">
        <v>26.16</v>
      </c>
      <c r="K1487" s="268">
        <v>0.1739</v>
      </c>
      <c r="L1487" s="268">
        <v>0.11</v>
      </c>
      <c r="M1487" s="268">
        <v>-2.98E-2</v>
      </c>
      <c r="N1487" s="8">
        <v>515.08000000000004</v>
      </c>
      <c r="O1487" s="8">
        <v>4198.99</v>
      </c>
      <c r="P1487" s="268">
        <v>0.1227</v>
      </c>
      <c r="Q1487" s="8">
        <v>288</v>
      </c>
      <c r="R1487" s="8" t="s">
        <v>3620</v>
      </c>
      <c r="S1487" s="8" t="s">
        <v>9418</v>
      </c>
      <c r="T1487" s="8" t="s">
        <v>9419</v>
      </c>
      <c r="U1487" s="8" t="s">
        <v>4245</v>
      </c>
      <c r="V1487" s="8" t="s">
        <v>9420</v>
      </c>
      <c r="W1487" s="8" t="s">
        <v>9421</v>
      </c>
    </row>
    <row r="1488" spans="1:23" ht="28" customHeight="1" x14ac:dyDescent="0.3">
      <c r="A1488" s="308">
        <v>44057</v>
      </c>
      <c r="B1488" s="302">
        <v>1534.0129999999999</v>
      </c>
      <c r="C1488" s="8">
        <v>-4.8470000000000004</v>
      </c>
      <c r="D1488" s="268">
        <v>-3.2000000000000002E-3</v>
      </c>
      <c r="E1488" s="8">
        <v>82.78</v>
      </c>
      <c r="F1488" s="8">
        <v>137.852</v>
      </c>
      <c r="G1488" s="8">
        <v>122.176</v>
      </c>
      <c r="H1488" s="8">
        <v>111.06</v>
      </c>
      <c r="I1488" s="8">
        <v>156.07</v>
      </c>
      <c r="J1488" s="8">
        <v>31.24</v>
      </c>
      <c r="K1488" s="268">
        <v>0.1822</v>
      </c>
      <c r="L1488" s="268">
        <v>0.11310000000000001</v>
      </c>
      <c r="M1488" s="268">
        <v>-2.7400000000000001E-2</v>
      </c>
      <c r="N1488" s="8">
        <v>583.85</v>
      </c>
      <c r="O1488" s="8">
        <v>4175.0200000000004</v>
      </c>
      <c r="P1488" s="268">
        <v>0.13980000000000001</v>
      </c>
      <c r="Q1488" s="8">
        <v>288</v>
      </c>
      <c r="R1488" s="8" t="s">
        <v>6136</v>
      </c>
      <c r="S1488" s="8" t="s">
        <v>9422</v>
      </c>
      <c r="T1488" s="8" t="s">
        <v>9423</v>
      </c>
      <c r="U1488" s="8" t="s">
        <v>9195</v>
      </c>
      <c r="V1488" s="8" t="s">
        <v>9424</v>
      </c>
      <c r="W1488" s="8" t="s">
        <v>9425</v>
      </c>
    </row>
    <row r="1489" spans="1:23" ht="28" customHeight="1" x14ac:dyDescent="0.3">
      <c r="A1489" s="308">
        <v>44056</v>
      </c>
      <c r="B1489" s="302">
        <v>1538.86</v>
      </c>
      <c r="C1489" s="8">
        <v>11.137</v>
      </c>
      <c r="D1489" s="268">
        <v>7.3000000000000001E-3</v>
      </c>
      <c r="E1489" s="8">
        <v>83.06</v>
      </c>
      <c r="F1489" s="8">
        <v>138.91900000000001</v>
      </c>
      <c r="G1489" s="8">
        <v>121.575</v>
      </c>
      <c r="H1489" s="8">
        <v>110.49</v>
      </c>
      <c r="I1489" s="8">
        <v>158.82</v>
      </c>
      <c r="J1489" s="8">
        <v>35.67</v>
      </c>
      <c r="K1489" s="268">
        <v>0.19900000000000001</v>
      </c>
      <c r="L1489" s="268">
        <v>0.12859999999999999</v>
      </c>
      <c r="M1489" s="268">
        <v>-2.8299999999999999E-2</v>
      </c>
      <c r="N1489" s="8">
        <v>764.61</v>
      </c>
      <c r="O1489" s="8">
        <v>4186.04</v>
      </c>
      <c r="P1489" s="268">
        <v>0.1827</v>
      </c>
      <c r="Q1489" s="8">
        <v>288</v>
      </c>
      <c r="R1489" s="8" t="s">
        <v>9247</v>
      </c>
      <c r="S1489" s="8" t="s">
        <v>9426</v>
      </c>
      <c r="T1489" s="8" t="s">
        <v>9427</v>
      </c>
      <c r="U1489" s="8" t="s">
        <v>9428</v>
      </c>
      <c r="V1489" s="8" t="s">
        <v>9429</v>
      </c>
      <c r="W1489" s="8" t="s">
        <v>9430</v>
      </c>
    </row>
    <row r="1490" spans="1:23" ht="28" customHeight="1" x14ac:dyDescent="0.3">
      <c r="A1490" s="308">
        <v>44055</v>
      </c>
      <c r="B1490" s="302">
        <v>1527.723</v>
      </c>
      <c r="C1490" s="8">
        <v>-2.2490000000000001</v>
      </c>
      <c r="D1490" s="268">
        <v>-1.5E-3</v>
      </c>
      <c r="E1490" s="8">
        <v>79.72</v>
      </c>
      <c r="F1490" s="8">
        <v>137.54400000000001</v>
      </c>
      <c r="G1490" s="8">
        <v>122</v>
      </c>
      <c r="H1490" s="8">
        <v>111.57</v>
      </c>
      <c r="I1490" s="8">
        <v>157</v>
      </c>
      <c r="J1490" s="8">
        <v>35.520000000000003</v>
      </c>
      <c r="K1490" s="268">
        <v>0.1946</v>
      </c>
      <c r="L1490" s="268">
        <v>0.1196</v>
      </c>
      <c r="M1490" s="268">
        <v>-2.69E-2</v>
      </c>
      <c r="N1490" s="8">
        <v>766.59</v>
      </c>
      <c r="O1490" s="8">
        <v>4198.2299999999996</v>
      </c>
      <c r="P1490" s="268">
        <v>0.18260000000000001</v>
      </c>
      <c r="Q1490" s="8">
        <v>287</v>
      </c>
      <c r="R1490" s="8" t="s">
        <v>9431</v>
      </c>
      <c r="S1490" s="8" t="s">
        <v>3283</v>
      </c>
      <c r="T1490" s="8" t="s">
        <v>9432</v>
      </c>
      <c r="U1490" s="8" t="s">
        <v>9433</v>
      </c>
      <c r="V1490" s="8" t="s">
        <v>9434</v>
      </c>
      <c r="W1490" s="8" t="s">
        <v>9435</v>
      </c>
    </row>
    <row r="1491" spans="1:23" ht="28" customHeight="1" x14ac:dyDescent="0.3">
      <c r="A1491" s="308">
        <v>44054</v>
      </c>
      <c r="B1491" s="302">
        <v>1529.972</v>
      </c>
      <c r="C1491" s="8">
        <v>-16.282</v>
      </c>
      <c r="D1491" s="268">
        <v>-1.0500000000000001E-2</v>
      </c>
      <c r="E1491" s="8">
        <v>83.27</v>
      </c>
      <c r="F1491" s="8">
        <v>137.75700000000001</v>
      </c>
      <c r="G1491" s="8">
        <v>123.7</v>
      </c>
      <c r="H1491" s="8">
        <v>111</v>
      </c>
      <c r="I1491" s="8">
        <v>156.91999999999999</v>
      </c>
      <c r="J1491" s="8">
        <v>38.32</v>
      </c>
      <c r="K1491" s="268">
        <v>0.19159999999999999</v>
      </c>
      <c r="L1491" s="268">
        <v>0.1212</v>
      </c>
      <c r="M1491" s="268">
        <v>-2.7099999999999999E-2</v>
      </c>
      <c r="N1491" s="8">
        <v>626.63</v>
      </c>
      <c r="O1491" s="8">
        <v>4208.92</v>
      </c>
      <c r="P1491" s="268">
        <v>0.1489</v>
      </c>
      <c r="Q1491" s="8">
        <v>287</v>
      </c>
      <c r="R1491" s="8" t="s">
        <v>9264</v>
      </c>
      <c r="S1491" s="8" t="s">
        <v>3242</v>
      </c>
      <c r="T1491" s="8" t="s">
        <v>9436</v>
      </c>
      <c r="U1491" s="8" t="s">
        <v>9437</v>
      </c>
      <c r="V1491" s="8" t="s">
        <v>9438</v>
      </c>
      <c r="W1491" s="8" t="s">
        <v>9439</v>
      </c>
    </row>
    <row r="1492" spans="1:23" ht="28" customHeight="1" x14ac:dyDescent="0.3">
      <c r="A1492" s="308">
        <v>44053</v>
      </c>
      <c r="B1492" s="302">
        <v>1546.2539999999999</v>
      </c>
      <c r="C1492" s="8">
        <v>23.181000000000001</v>
      </c>
      <c r="D1492" s="268">
        <v>1.52E-2</v>
      </c>
      <c r="E1492" s="8">
        <v>86.49</v>
      </c>
      <c r="F1492" s="8">
        <v>139.43700000000001</v>
      </c>
      <c r="G1492" s="8">
        <v>124.65</v>
      </c>
      <c r="H1492" s="8">
        <v>112.81</v>
      </c>
      <c r="I1492" s="8">
        <v>157.41</v>
      </c>
      <c r="J1492" s="8">
        <v>30.69</v>
      </c>
      <c r="K1492" s="268">
        <v>0.1797</v>
      </c>
      <c r="L1492" s="268">
        <v>0.10680000000000001</v>
      </c>
      <c r="M1492" s="268">
        <v>-2.9499999999999998E-2</v>
      </c>
      <c r="N1492" s="8">
        <v>521.96</v>
      </c>
      <c r="O1492" s="8">
        <v>4207.34</v>
      </c>
      <c r="P1492" s="268">
        <v>0.1241</v>
      </c>
      <c r="Q1492" s="8">
        <v>285</v>
      </c>
      <c r="R1492" s="8" t="s">
        <v>3587</v>
      </c>
      <c r="S1492" s="8" t="s">
        <v>9440</v>
      </c>
      <c r="T1492" s="8" t="s">
        <v>9441</v>
      </c>
      <c r="U1492" s="8" t="s">
        <v>9442</v>
      </c>
      <c r="V1492" s="8" t="s">
        <v>9443</v>
      </c>
      <c r="W1492" s="8" t="s">
        <v>9444</v>
      </c>
    </row>
    <row r="1493" spans="1:23" ht="28" customHeight="1" x14ac:dyDescent="0.3">
      <c r="A1493" s="308">
        <v>44050</v>
      </c>
      <c r="B1493" s="302">
        <v>1523.0730000000001</v>
      </c>
      <c r="C1493" s="8">
        <v>-1.6919999999999999</v>
      </c>
      <c r="D1493" s="268">
        <v>-1.1000000000000001E-3</v>
      </c>
      <c r="E1493" s="8">
        <v>83.87</v>
      </c>
      <c r="F1493" s="8">
        <v>137.10300000000001</v>
      </c>
      <c r="G1493" s="8">
        <v>123.05</v>
      </c>
      <c r="H1493" s="8">
        <v>111.09</v>
      </c>
      <c r="I1493" s="8">
        <v>154.19</v>
      </c>
      <c r="J1493" s="8">
        <v>31.86</v>
      </c>
      <c r="K1493" s="268">
        <v>0.1709</v>
      </c>
      <c r="L1493" s="268">
        <v>9.98E-2</v>
      </c>
      <c r="M1493" s="268">
        <v>-2.6200000000000001E-2</v>
      </c>
      <c r="N1493" s="8">
        <v>395.24</v>
      </c>
      <c r="O1493" s="8">
        <v>4190.58</v>
      </c>
      <c r="P1493" s="268">
        <v>9.4299999999999995E-2</v>
      </c>
      <c r="Q1493" s="8">
        <v>282</v>
      </c>
      <c r="R1493" s="8" t="s">
        <v>3625</v>
      </c>
      <c r="S1493" s="8" t="s">
        <v>2754</v>
      </c>
      <c r="T1493" s="8" t="s">
        <v>9445</v>
      </c>
      <c r="U1493" s="8" t="s">
        <v>8977</v>
      </c>
      <c r="V1493" s="8" t="s">
        <v>4955</v>
      </c>
      <c r="W1493" s="8" t="s">
        <v>9446</v>
      </c>
    </row>
    <row r="1494" spans="1:23" ht="28" customHeight="1" x14ac:dyDescent="0.3">
      <c r="A1494" s="308">
        <v>44049</v>
      </c>
      <c r="B1494" s="302">
        <v>1524.7650000000001</v>
      </c>
      <c r="C1494" s="8">
        <v>-4.0049999999999999</v>
      </c>
      <c r="D1494" s="268">
        <v>-2.5999999999999999E-3</v>
      </c>
      <c r="E1494" s="8">
        <v>89.06</v>
      </c>
      <c r="F1494" s="8">
        <v>137.696</v>
      </c>
      <c r="G1494" s="8">
        <v>124.29</v>
      </c>
      <c r="H1494" s="8">
        <v>112.07</v>
      </c>
      <c r="I1494" s="8">
        <v>153.01</v>
      </c>
      <c r="J1494" s="8">
        <v>28.51</v>
      </c>
      <c r="K1494" s="268">
        <v>0.1532</v>
      </c>
      <c r="L1494" s="268">
        <v>9.7299999999999998E-2</v>
      </c>
      <c r="M1494" s="268">
        <v>-2.7E-2</v>
      </c>
      <c r="N1494" s="8">
        <v>356.13</v>
      </c>
      <c r="O1494" s="8">
        <v>4192.26</v>
      </c>
      <c r="P1494" s="268">
        <v>8.4900000000000003E-2</v>
      </c>
      <c r="Q1494" s="8">
        <v>282</v>
      </c>
      <c r="R1494" s="8" t="s">
        <v>9447</v>
      </c>
      <c r="S1494" s="8" t="s">
        <v>6738</v>
      </c>
      <c r="T1494" s="8" t="s">
        <v>8974</v>
      </c>
      <c r="U1494" s="8" t="s">
        <v>9448</v>
      </c>
      <c r="V1494" s="8" t="s">
        <v>9449</v>
      </c>
      <c r="W1494" s="8" t="s">
        <v>9450</v>
      </c>
    </row>
    <row r="1495" spans="1:23" ht="28" customHeight="1" x14ac:dyDescent="0.3">
      <c r="A1495" s="308">
        <v>44048</v>
      </c>
      <c r="B1495" s="302">
        <v>1528.77</v>
      </c>
      <c r="C1495" s="8">
        <v>13.035</v>
      </c>
      <c r="D1495" s="268">
        <v>8.6E-3</v>
      </c>
      <c r="E1495" s="8">
        <v>90.53</v>
      </c>
      <c r="F1495" s="8">
        <v>138.30500000000001</v>
      </c>
      <c r="G1495" s="8">
        <v>124</v>
      </c>
      <c r="H1495" s="8">
        <v>112.85</v>
      </c>
      <c r="I1495" s="8">
        <v>153.66</v>
      </c>
      <c r="J1495" s="8">
        <v>26.63</v>
      </c>
      <c r="K1495" s="268">
        <v>0.1535</v>
      </c>
      <c r="L1495" s="268">
        <v>9.3700000000000006E-2</v>
      </c>
      <c r="M1495" s="268">
        <v>-2.7799999999999998E-2</v>
      </c>
      <c r="N1495" s="8">
        <v>398.85</v>
      </c>
      <c r="O1495" s="8">
        <v>4196.5</v>
      </c>
      <c r="P1495" s="268">
        <v>9.5000000000000001E-2</v>
      </c>
      <c r="Q1495" s="8">
        <v>281</v>
      </c>
      <c r="R1495" s="8" t="s">
        <v>2511</v>
      </c>
      <c r="S1495" s="8" t="s">
        <v>3062</v>
      </c>
      <c r="T1495" s="8" t="s">
        <v>3276</v>
      </c>
      <c r="U1495" s="8" t="s">
        <v>9451</v>
      </c>
      <c r="V1495" s="8" t="s">
        <v>9452</v>
      </c>
      <c r="W1495" s="8" t="s">
        <v>9453</v>
      </c>
    </row>
    <row r="1496" spans="1:23" ht="28" customHeight="1" x14ac:dyDescent="0.3">
      <c r="A1496" s="308">
        <v>44047</v>
      </c>
      <c r="B1496" s="302">
        <v>1515.7349999999999</v>
      </c>
      <c r="C1496" s="8">
        <v>-4.5609999999999999</v>
      </c>
      <c r="D1496" s="268">
        <v>-3.0000000000000001E-3</v>
      </c>
      <c r="E1496" s="8">
        <v>89.12</v>
      </c>
      <c r="F1496" s="8">
        <v>136.97800000000001</v>
      </c>
      <c r="G1496" s="8">
        <v>123.215</v>
      </c>
      <c r="H1496" s="8">
        <v>112.13</v>
      </c>
      <c r="I1496" s="8">
        <v>152.63999999999999</v>
      </c>
      <c r="J1496" s="8">
        <v>27.07</v>
      </c>
      <c r="K1496" s="268">
        <v>0.15659999999999999</v>
      </c>
      <c r="L1496" s="268">
        <v>9.5600000000000004E-2</v>
      </c>
      <c r="M1496" s="268">
        <v>-2.6499999999999999E-2</v>
      </c>
      <c r="N1496" s="8">
        <v>371.6</v>
      </c>
      <c r="O1496" s="8">
        <v>4132.5600000000004</v>
      </c>
      <c r="P1496" s="268">
        <v>8.9899999999999994E-2</v>
      </c>
      <c r="Q1496" s="8">
        <v>280</v>
      </c>
      <c r="R1496" s="8" t="s">
        <v>5968</v>
      </c>
      <c r="S1496" s="8" t="s">
        <v>2760</v>
      </c>
      <c r="T1496" s="8" t="s">
        <v>6128</v>
      </c>
      <c r="U1496" s="8" t="s">
        <v>9454</v>
      </c>
      <c r="V1496" s="8" t="s">
        <v>9455</v>
      </c>
      <c r="W1496" s="8" t="s">
        <v>9456</v>
      </c>
    </row>
    <row r="1497" spans="1:23" ht="28" customHeight="1" x14ac:dyDescent="0.3">
      <c r="A1497" s="308">
        <v>44046</v>
      </c>
      <c r="B1497" s="302">
        <v>1520.296</v>
      </c>
      <c r="C1497" s="8">
        <v>26.690999999999999</v>
      </c>
      <c r="D1497" s="268">
        <v>1.7899999999999999E-2</v>
      </c>
      <c r="E1497" s="8">
        <v>91.36</v>
      </c>
      <c r="F1497" s="8">
        <v>137.89099999999999</v>
      </c>
      <c r="G1497" s="8">
        <v>124.29</v>
      </c>
      <c r="H1497" s="8">
        <v>113.02</v>
      </c>
      <c r="I1497" s="8">
        <v>153.46</v>
      </c>
      <c r="J1497" s="8">
        <v>27.01</v>
      </c>
      <c r="K1497" s="268">
        <v>0.15570000000000001</v>
      </c>
      <c r="L1497" s="268">
        <v>9.7199999999999995E-2</v>
      </c>
      <c r="M1497" s="268">
        <v>-2.7400000000000001E-2</v>
      </c>
      <c r="N1497" s="8">
        <v>399.38</v>
      </c>
      <c r="O1497" s="8">
        <v>4138.97</v>
      </c>
      <c r="P1497" s="268">
        <v>9.6500000000000002E-2</v>
      </c>
      <c r="Q1497" s="8">
        <v>281</v>
      </c>
      <c r="R1497" s="8" t="s">
        <v>7216</v>
      </c>
      <c r="S1497" s="8" t="s">
        <v>7485</v>
      </c>
      <c r="T1497" s="8" t="s">
        <v>9457</v>
      </c>
      <c r="U1497" s="8" t="s">
        <v>9458</v>
      </c>
      <c r="V1497" s="8" t="s">
        <v>9459</v>
      </c>
      <c r="W1497" s="8" t="s">
        <v>9460</v>
      </c>
    </row>
    <row r="1498" spans="1:23" ht="28" customHeight="1" x14ac:dyDescent="0.3">
      <c r="A1498" s="308">
        <v>44043</v>
      </c>
      <c r="B1498" s="302">
        <v>1493.605</v>
      </c>
      <c r="C1498" s="8">
        <v>10.882999999999999</v>
      </c>
      <c r="D1498" s="268">
        <v>7.3000000000000001E-3</v>
      </c>
      <c r="E1498" s="8">
        <v>83.74</v>
      </c>
      <c r="F1498" s="8">
        <v>135.16399999999999</v>
      </c>
      <c r="G1498" s="8">
        <v>122.01</v>
      </c>
      <c r="H1498" s="8">
        <v>108.87</v>
      </c>
      <c r="I1498" s="8">
        <v>152.32</v>
      </c>
      <c r="J1498" s="8">
        <v>33.049999999999997</v>
      </c>
      <c r="K1498" s="268">
        <v>0.1716</v>
      </c>
      <c r="L1498" s="268">
        <v>0.1197</v>
      </c>
      <c r="M1498" s="268">
        <v>-2.35E-2</v>
      </c>
      <c r="N1498" s="8">
        <v>370.5</v>
      </c>
      <c r="O1498" s="8">
        <v>4126.9399999999996</v>
      </c>
      <c r="P1498" s="268">
        <v>8.9800000000000005E-2</v>
      </c>
      <c r="Q1498" s="8">
        <v>279</v>
      </c>
      <c r="R1498" s="8" t="s">
        <v>9461</v>
      </c>
      <c r="S1498" s="8" t="s">
        <v>6854</v>
      </c>
      <c r="T1498" s="8" t="s">
        <v>9462</v>
      </c>
      <c r="U1498" s="8" t="s">
        <v>9463</v>
      </c>
      <c r="V1498" s="8" t="s">
        <v>9464</v>
      </c>
      <c r="W1498" s="8" t="s">
        <v>9465</v>
      </c>
    </row>
    <row r="1499" spans="1:23" ht="28" customHeight="1" x14ac:dyDescent="0.3">
      <c r="A1499" s="308">
        <v>44042</v>
      </c>
      <c r="B1499" s="302">
        <v>1482.722</v>
      </c>
      <c r="C1499" s="8">
        <v>2.2240000000000002</v>
      </c>
      <c r="D1499" s="268">
        <v>1.5E-3</v>
      </c>
      <c r="E1499" s="8">
        <v>82.24</v>
      </c>
      <c r="F1499" s="8">
        <v>134.11000000000001</v>
      </c>
      <c r="G1499" s="8">
        <v>121.88</v>
      </c>
      <c r="H1499" s="8">
        <v>108.13</v>
      </c>
      <c r="I1499" s="8">
        <v>151.72</v>
      </c>
      <c r="J1499" s="8">
        <v>33.33</v>
      </c>
      <c r="K1499" s="268">
        <v>0.17610000000000001</v>
      </c>
      <c r="L1499" s="268">
        <v>0.12089999999999999</v>
      </c>
      <c r="M1499" s="268">
        <v>-2.2200000000000001E-2</v>
      </c>
      <c r="N1499" s="8">
        <v>330.48</v>
      </c>
      <c r="O1499" s="8">
        <v>4131.43</v>
      </c>
      <c r="P1499" s="268">
        <v>0.08</v>
      </c>
      <c r="Q1499" s="8">
        <v>279</v>
      </c>
      <c r="R1499" s="8" t="s">
        <v>9466</v>
      </c>
      <c r="S1499" s="8" t="s">
        <v>3034</v>
      </c>
      <c r="T1499" s="8" t="s">
        <v>9467</v>
      </c>
      <c r="U1499" s="8" t="s">
        <v>9468</v>
      </c>
      <c r="V1499" s="8" t="s">
        <v>9469</v>
      </c>
      <c r="W1499" s="8" t="s">
        <v>7705</v>
      </c>
    </row>
    <row r="1500" spans="1:23" ht="28" customHeight="1" x14ac:dyDescent="0.3">
      <c r="A1500" s="308">
        <v>44041</v>
      </c>
      <c r="B1500" s="302">
        <v>1480.498</v>
      </c>
      <c r="C1500" s="8">
        <v>20.800999999999998</v>
      </c>
      <c r="D1500" s="268">
        <v>1.43E-2</v>
      </c>
      <c r="E1500" s="8">
        <v>80.849999999999994</v>
      </c>
      <c r="F1500" s="8">
        <v>133.994</v>
      </c>
      <c r="G1500" s="8">
        <v>121</v>
      </c>
      <c r="H1500" s="8">
        <v>109.26</v>
      </c>
      <c r="I1500" s="8">
        <v>151.26</v>
      </c>
      <c r="J1500" s="8">
        <v>30.86</v>
      </c>
      <c r="K1500" s="268">
        <v>0.17269999999999999</v>
      </c>
      <c r="L1500" s="268">
        <v>0.1172</v>
      </c>
      <c r="M1500" s="268">
        <v>-2.1700000000000001E-2</v>
      </c>
      <c r="N1500" s="8">
        <v>374.77</v>
      </c>
      <c r="O1500" s="8">
        <v>4138.21</v>
      </c>
      <c r="P1500" s="268">
        <v>9.06E-2</v>
      </c>
      <c r="Q1500" s="8">
        <v>279</v>
      </c>
      <c r="R1500" s="8" t="s">
        <v>9470</v>
      </c>
      <c r="S1500" s="8" t="s">
        <v>9471</v>
      </c>
      <c r="T1500" s="8" t="s">
        <v>9472</v>
      </c>
      <c r="U1500" s="8" t="s">
        <v>9473</v>
      </c>
      <c r="V1500" s="8" t="s">
        <v>9474</v>
      </c>
      <c r="W1500" s="8" t="s">
        <v>9475</v>
      </c>
    </row>
    <row r="1501" spans="1:23" ht="28" customHeight="1" x14ac:dyDescent="0.3">
      <c r="A1501" s="308">
        <v>44040</v>
      </c>
      <c r="B1501" s="302">
        <v>1459.6969999999999</v>
      </c>
      <c r="C1501" s="8">
        <v>14.352</v>
      </c>
      <c r="D1501" s="268">
        <v>9.9000000000000008E-3</v>
      </c>
      <c r="E1501" s="8">
        <v>74.77</v>
      </c>
      <c r="F1501" s="8">
        <v>132.029</v>
      </c>
      <c r="G1501" s="8">
        <v>120</v>
      </c>
      <c r="H1501" s="8">
        <v>106.89</v>
      </c>
      <c r="I1501" s="8">
        <v>150.19999999999999</v>
      </c>
      <c r="J1501" s="8">
        <v>35.43</v>
      </c>
      <c r="K1501" s="268">
        <v>0.1817</v>
      </c>
      <c r="L1501" s="268">
        <v>0.1234</v>
      </c>
      <c r="M1501" s="268">
        <v>-1.8800000000000001E-2</v>
      </c>
      <c r="N1501" s="8">
        <v>362.02</v>
      </c>
      <c r="O1501" s="8">
        <v>4146.62</v>
      </c>
      <c r="P1501" s="268">
        <v>8.7300000000000003E-2</v>
      </c>
      <c r="Q1501" s="8">
        <v>279</v>
      </c>
      <c r="R1501" s="8" t="s">
        <v>3609</v>
      </c>
      <c r="S1501" s="8" t="s">
        <v>9476</v>
      </c>
      <c r="T1501" s="8" t="s">
        <v>9477</v>
      </c>
      <c r="U1501" s="8" t="s">
        <v>9478</v>
      </c>
      <c r="V1501" s="8" t="s">
        <v>9479</v>
      </c>
      <c r="W1501" s="8" t="s">
        <v>9480</v>
      </c>
    </row>
    <row r="1502" spans="1:23" ht="28" customHeight="1" x14ac:dyDescent="0.3">
      <c r="A1502" s="308">
        <v>44039</v>
      </c>
      <c r="B1502" s="302">
        <v>1445.345</v>
      </c>
      <c r="C1502" s="8">
        <v>-4.4950000000000001</v>
      </c>
      <c r="D1502" s="268">
        <v>-3.0999999999999999E-3</v>
      </c>
      <c r="E1502" s="8">
        <v>70.739999999999995</v>
      </c>
      <c r="F1502" s="8">
        <v>130.18799999999999</v>
      </c>
      <c r="G1502" s="8">
        <v>119.02</v>
      </c>
      <c r="H1502" s="8">
        <v>104.91</v>
      </c>
      <c r="I1502" s="8">
        <v>149.32</v>
      </c>
      <c r="J1502" s="8">
        <v>38.520000000000003</v>
      </c>
      <c r="K1502" s="268">
        <v>0.19139999999999999</v>
      </c>
      <c r="L1502" s="268">
        <v>0.1356</v>
      </c>
      <c r="M1502" s="268">
        <v>-1.6799999999999999E-2</v>
      </c>
      <c r="N1502" s="8">
        <v>300.27</v>
      </c>
      <c r="O1502" s="8">
        <v>4146.9399999999996</v>
      </c>
      <c r="P1502" s="268">
        <v>7.2400000000000006E-2</v>
      </c>
      <c r="Q1502" s="8">
        <v>277</v>
      </c>
      <c r="R1502" s="8" t="s">
        <v>9307</v>
      </c>
      <c r="S1502" s="8" t="s">
        <v>9481</v>
      </c>
      <c r="T1502" s="8" t="s">
        <v>9482</v>
      </c>
      <c r="U1502" s="8" t="s">
        <v>9483</v>
      </c>
      <c r="V1502" s="8" t="s">
        <v>9484</v>
      </c>
      <c r="W1502" s="8" t="s">
        <v>9485</v>
      </c>
    </row>
    <row r="1503" spans="1:23" ht="28" customHeight="1" x14ac:dyDescent="0.3">
      <c r="A1503" s="308">
        <v>44036</v>
      </c>
      <c r="B1503" s="302">
        <v>1449.84</v>
      </c>
      <c r="C1503" s="8">
        <v>-36.488999999999997</v>
      </c>
      <c r="D1503" s="268">
        <v>-2.46E-2</v>
      </c>
      <c r="E1503" s="8">
        <v>72.86</v>
      </c>
      <c r="F1503" s="8">
        <v>130.62700000000001</v>
      </c>
      <c r="G1503" s="8">
        <v>119.84</v>
      </c>
      <c r="H1503" s="8">
        <v>105.23</v>
      </c>
      <c r="I1503" s="8">
        <v>150.43</v>
      </c>
      <c r="J1503" s="8">
        <v>43.94</v>
      </c>
      <c r="K1503" s="268">
        <v>0.19800000000000001</v>
      </c>
      <c r="L1503" s="268">
        <v>0.1474</v>
      </c>
      <c r="M1503" s="268">
        <v>-1.77E-2</v>
      </c>
      <c r="N1503" s="8">
        <v>359.88</v>
      </c>
      <c r="O1503" s="8">
        <v>4140.62</v>
      </c>
      <c r="P1503" s="268">
        <v>8.6900000000000005E-2</v>
      </c>
      <c r="Q1503" s="8">
        <v>275</v>
      </c>
      <c r="R1503" s="8" t="s">
        <v>9486</v>
      </c>
      <c r="S1503" s="8" t="s">
        <v>5805</v>
      </c>
      <c r="T1503" s="8" t="s">
        <v>9487</v>
      </c>
      <c r="U1503" s="8" t="s">
        <v>9488</v>
      </c>
      <c r="V1503" s="8" t="s">
        <v>9489</v>
      </c>
      <c r="W1503" s="8" t="s">
        <v>9490</v>
      </c>
    </row>
    <row r="1504" spans="1:23" ht="28" customHeight="1" x14ac:dyDescent="0.3">
      <c r="A1504" s="308">
        <v>44035</v>
      </c>
      <c r="B1504" s="302">
        <v>1486.329</v>
      </c>
      <c r="C1504" s="8">
        <v>0.52</v>
      </c>
      <c r="D1504" s="268">
        <v>4.0000000000000002E-4</v>
      </c>
      <c r="E1504" s="8">
        <v>82.13</v>
      </c>
      <c r="F1504" s="8">
        <v>134.874</v>
      </c>
      <c r="G1504" s="8">
        <v>122.605</v>
      </c>
      <c r="H1504" s="8">
        <v>110.04</v>
      </c>
      <c r="I1504" s="8">
        <v>152.12</v>
      </c>
      <c r="J1504" s="8">
        <v>30.41</v>
      </c>
      <c r="K1504" s="268">
        <v>0.1724</v>
      </c>
      <c r="L1504" s="268">
        <v>0.1116</v>
      </c>
      <c r="M1504" s="268">
        <v>-2.3199999999999998E-2</v>
      </c>
      <c r="N1504" s="8">
        <v>407.48</v>
      </c>
      <c r="O1504" s="8">
        <v>4144.99</v>
      </c>
      <c r="P1504" s="268">
        <v>9.8299999999999998E-2</v>
      </c>
      <c r="Q1504" s="8">
        <v>274</v>
      </c>
      <c r="R1504" s="8" t="s">
        <v>9491</v>
      </c>
      <c r="S1504" s="8" t="s">
        <v>9492</v>
      </c>
      <c r="T1504" s="8" t="s">
        <v>7400</v>
      </c>
      <c r="U1504" s="8" t="s">
        <v>9493</v>
      </c>
      <c r="V1504" s="8" t="s">
        <v>9494</v>
      </c>
      <c r="W1504" s="8" t="s">
        <v>9495</v>
      </c>
    </row>
    <row r="1505" spans="1:23" ht="28" customHeight="1" x14ac:dyDescent="0.3">
      <c r="A1505" s="308">
        <v>44034</v>
      </c>
      <c r="B1505" s="302">
        <v>1485.809</v>
      </c>
      <c r="C1505" s="8">
        <v>10.826000000000001</v>
      </c>
      <c r="D1505" s="268">
        <v>7.3000000000000001E-3</v>
      </c>
      <c r="E1505" s="8">
        <v>83.67</v>
      </c>
      <c r="F1505" s="8">
        <v>134.89400000000001</v>
      </c>
      <c r="G1505" s="8">
        <v>123.2</v>
      </c>
      <c r="H1505" s="8">
        <v>111.96</v>
      </c>
      <c r="I1505" s="8">
        <v>151.85</v>
      </c>
      <c r="J1505" s="8">
        <v>27.78</v>
      </c>
      <c r="K1505" s="268">
        <v>0.1696</v>
      </c>
      <c r="L1505" s="268">
        <v>0.10780000000000001</v>
      </c>
      <c r="M1505" s="268">
        <v>-2.3300000000000001E-2</v>
      </c>
      <c r="N1505" s="8">
        <v>408.73</v>
      </c>
      <c r="O1505" s="8">
        <v>4146.0200000000004</v>
      </c>
      <c r="P1505" s="268">
        <v>9.8599999999999993E-2</v>
      </c>
      <c r="Q1505" s="8">
        <v>273</v>
      </c>
      <c r="R1505" s="8" t="s">
        <v>6147</v>
      </c>
      <c r="S1505" s="8" t="s">
        <v>9496</v>
      </c>
      <c r="T1505" s="8" t="s">
        <v>9497</v>
      </c>
      <c r="U1505" s="8" t="s">
        <v>9498</v>
      </c>
      <c r="V1505" s="8" t="s">
        <v>9499</v>
      </c>
      <c r="W1505" s="8" t="s">
        <v>9500</v>
      </c>
    </row>
    <row r="1506" spans="1:23" ht="28" customHeight="1" x14ac:dyDescent="0.3">
      <c r="A1506" s="308">
        <v>44033</v>
      </c>
      <c r="B1506" s="302">
        <v>1474.9829999999999</v>
      </c>
      <c r="C1506" s="8">
        <v>5.2759999999999998</v>
      </c>
      <c r="D1506" s="268">
        <v>3.5999999999999999E-3</v>
      </c>
      <c r="E1506" s="8">
        <v>83.33</v>
      </c>
      <c r="F1506" s="8">
        <v>134.01499999999999</v>
      </c>
      <c r="G1506" s="8">
        <v>121.64</v>
      </c>
      <c r="H1506" s="8">
        <v>111.58</v>
      </c>
      <c r="I1506" s="8">
        <v>150.86000000000001</v>
      </c>
      <c r="J1506" s="8">
        <v>26.01</v>
      </c>
      <c r="K1506" s="268">
        <v>0.16839999999999999</v>
      </c>
      <c r="L1506" s="268">
        <v>0.1042</v>
      </c>
      <c r="M1506" s="268">
        <v>-2.18E-2</v>
      </c>
      <c r="N1506" s="8">
        <v>375.02</v>
      </c>
      <c r="O1506" s="8">
        <v>4154.37</v>
      </c>
      <c r="P1506" s="268">
        <v>9.0300000000000005E-2</v>
      </c>
      <c r="Q1506" s="8">
        <v>273</v>
      </c>
      <c r="R1506" s="8" t="s">
        <v>9338</v>
      </c>
      <c r="S1506" s="8" t="s">
        <v>9501</v>
      </c>
      <c r="T1506" s="8" t="s">
        <v>9502</v>
      </c>
      <c r="U1506" s="8" t="s">
        <v>9503</v>
      </c>
      <c r="V1506" s="8" t="s">
        <v>9504</v>
      </c>
      <c r="W1506" s="8" t="s">
        <v>9505</v>
      </c>
    </row>
    <row r="1507" spans="1:23" ht="28" customHeight="1" x14ac:dyDescent="0.3">
      <c r="A1507" s="308">
        <v>44032</v>
      </c>
      <c r="B1507" s="302">
        <v>1469.7070000000001</v>
      </c>
      <c r="C1507" s="8">
        <v>31.638000000000002</v>
      </c>
      <c r="D1507" s="268">
        <v>2.1999999999999999E-2</v>
      </c>
      <c r="E1507" s="8">
        <v>81.540000000000006</v>
      </c>
      <c r="F1507" s="8">
        <v>133.35900000000001</v>
      </c>
      <c r="G1507" s="8">
        <v>122.07</v>
      </c>
      <c r="H1507" s="8">
        <v>111.7</v>
      </c>
      <c r="I1507" s="8">
        <v>150.19</v>
      </c>
      <c r="J1507" s="8">
        <v>23.79</v>
      </c>
      <c r="K1507" s="268">
        <v>0.16830000000000001</v>
      </c>
      <c r="L1507" s="268">
        <v>0.1101</v>
      </c>
      <c r="M1507" s="268">
        <v>-2.1299999999999999E-2</v>
      </c>
      <c r="N1507" s="8">
        <v>386.68</v>
      </c>
      <c r="O1507" s="8">
        <v>4159.6000000000004</v>
      </c>
      <c r="P1507" s="268">
        <v>9.2999999999999999E-2</v>
      </c>
      <c r="Q1507" s="8">
        <v>271</v>
      </c>
      <c r="R1507" s="8" t="s">
        <v>9506</v>
      </c>
      <c r="S1507" s="8" t="s">
        <v>9507</v>
      </c>
      <c r="T1507" s="8" t="s">
        <v>9508</v>
      </c>
      <c r="U1507" s="8" t="s">
        <v>9509</v>
      </c>
      <c r="V1507" s="8" t="s">
        <v>9510</v>
      </c>
      <c r="W1507" s="8" t="s">
        <v>9511</v>
      </c>
    </row>
    <row r="1508" spans="1:23" ht="28" customHeight="1" x14ac:dyDescent="0.3">
      <c r="A1508" s="308">
        <v>44029</v>
      </c>
      <c r="B1508" s="302">
        <v>1438.069</v>
      </c>
      <c r="C1508" s="8">
        <v>3.3140000000000001</v>
      </c>
      <c r="D1508" s="268">
        <v>2.3E-3</v>
      </c>
      <c r="E1508" s="8">
        <v>71.56</v>
      </c>
      <c r="F1508" s="8">
        <v>130.63200000000001</v>
      </c>
      <c r="G1508" s="8">
        <v>118.29900000000001</v>
      </c>
      <c r="H1508" s="8">
        <v>107.72</v>
      </c>
      <c r="I1508" s="8">
        <v>148.69999999999999</v>
      </c>
      <c r="J1508" s="8">
        <v>28.57</v>
      </c>
      <c r="K1508" s="268">
        <v>0.18060000000000001</v>
      </c>
      <c r="L1508" s="268">
        <v>0.1207</v>
      </c>
      <c r="M1508" s="268">
        <v>-1.66E-2</v>
      </c>
      <c r="N1508" s="8">
        <v>479.63</v>
      </c>
      <c r="O1508" s="8">
        <v>4173.6899999999996</v>
      </c>
      <c r="P1508" s="268">
        <v>0.1149</v>
      </c>
      <c r="Q1508" s="8">
        <v>271</v>
      </c>
      <c r="R1508" s="8" t="s">
        <v>3620</v>
      </c>
      <c r="S1508" s="8" t="s">
        <v>8269</v>
      </c>
      <c r="T1508" s="8" t="s">
        <v>9260</v>
      </c>
      <c r="U1508" s="8" t="s">
        <v>9512</v>
      </c>
      <c r="V1508" s="8" t="s">
        <v>6217</v>
      </c>
      <c r="W1508" s="8" t="s">
        <v>9513</v>
      </c>
    </row>
    <row r="1509" spans="1:23" ht="28" customHeight="1" x14ac:dyDescent="0.3">
      <c r="A1509" s="308">
        <v>44028</v>
      </c>
      <c r="B1509" s="302">
        <v>1434.7550000000001</v>
      </c>
      <c r="C1509" s="8">
        <v>-51.683</v>
      </c>
      <c r="D1509" s="268">
        <v>-3.4799999999999998E-2</v>
      </c>
      <c r="E1509" s="8">
        <v>69.28</v>
      </c>
      <c r="F1509" s="8">
        <v>130.298</v>
      </c>
      <c r="G1509" s="8">
        <v>118</v>
      </c>
      <c r="H1509" s="8">
        <v>106.2</v>
      </c>
      <c r="I1509" s="8">
        <v>148.47</v>
      </c>
      <c r="J1509" s="8">
        <v>28.38</v>
      </c>
      <c r="K1509" s="268">
        <v>0.1817</v>
      </c>
      <c r="L1509" s="268">
        <v>0.1237</v>
      </c>
      <c r="M1509" s="268">
        <v>-1.6299999999999999E-2</v>
      </c>
      <c r="N1509" s="8">
        <v>450.54</v>
      </c>
      <c r="O1509" s="8">
        <v>4162.5600000000004</v>
      </c>
      <c r="P1509" s="268">
        <v>0.1082</v>
      </c>
      <c r="Q1509" s="8">
        <v>269</v>
      </c>
      <c r="R1509" s="8" t="s">
        <v>9514</v>
      </c>
      <c r="S1509" s="8" t="s">
        <v>9515</v>
      </c>
      <c r="T1509" s="8" t="s">
        <v>9516</v>
      </c>
      <c r="U1509" s="8" t="s">
        <v>9517</v>
      </c>
      <c r="V1509" s="8" t="s">
        <v>9518</v>
      </c>
      <c r="W1509" s="8" t="s">
        <v>9519</v>
      </c>
    </row>
    <row r="1510" spans="1:23" ht="28" customHeight="1" x14ac:dyDescent="0.3">
      <c r="A1510" s="308">
        <v>44027</v>
      </c>
      <c r="B1510" s="302">
        <v>1486.4380000000001</v>
      </c>
      <c r="C1510" s="8">
        <v>-22.452000000000002</v>
      </c>
      <c r="D1510" s="268">
        <v>-1.49E-2</v>
      </c>
      <c r="E1510" s="8">
        <v>84.05</v>
      </c>
      <c r="F1510" s="8">
        <v>135.96600000000001</v>
      </c>
      <c r="G1510" s="8">
        <v>122</v>
      </c>
      <c r="H1510" s="8">
        <v>111.43</v>
      </c>
      <c r="I1510" s="8">
        <v>152.65</v>
      </c>
      <c r="J1510" s="8">
        <v>26.43</v>
      </c>
      <c r="K1510" s="268">
        <v>0.1668</v>
      </c>
      <c r="L1510" s="268">
        <v>0.104</v>
      </c>
      <c r="M1510" s="268">
        <v>-2.4199999999999999E-2</v>
      </c>
      <c r="N1510" s="8">
        <v>485.77</v>
      </c>
      <c r="O1510" s="8">
        <v>4147.1099999999997</v>
      </c>
      <c r="P1510" s="268">
        <v>0.1171</v>
      </c>
      <c r="Q1510" s="8">
        <v>268</v>
      </c>
      <c r="R1510" s="8" t="s">
        <v>3713</v>
      </c>
      <c r="S1510" s="8" t="s">
        <v>9232</v>
      </c>
      <c r="T1510" s="8" t="s">
        <v>9520</v>
      </c>
      <c r="U1510" s="8" t="s">
        <v>9521</v>
      </c>
      <c r="V1510" s="8" t="s">
        <v>9522</v>
      </c>
      <c r="W1510" s="8" t="s">
        <v>9523</v>
      </c>
    </row>
    <row r="1511" spans="1:23" ht="28" customHeight="1" x14ac:dyDescent="0.3">
      <c r="A1511" s="308">
        <v>44026</v>
      </c>
      <c r="B1511" s="302">
        <v>1508.89</v>
      </c>
      <c r="C1511" s="8">
        <v>-12.475</v>
      </c>
      <c r="D1511" s="268">
        <v>-8.2000000000000007E-3</v>
      </c>
      <c r="E1511" s="8">
        <v>89.29</v>
      </c>
      <c r="F1511" s="8">
        <v>138.62799999999999</v>
      </c>
      <c r="G1511" s="8">
        <v>124.13</v>
      </c>
      <c r="H1511" s="8">
        <v>115.3</v>
      </c>
      <c r="I1511" s="8">
        <v>154.28</v>
      </c>
      <c r="J1511" s="8">
        <v>20.22</v>
      </c>
      <c r="K1511" s="268">
        <v>0.1565</v>
      </c>
      <c r="L1511" s="268">
        <v>0.10349999999999999</v>
      </c>
      <c r="M1511" s="268">
        <v>-2.64E-2</v>
      </c>
      <c r="N1511" s="8">
        <v>525.71</v>
      </c>
      <c r="O1511" s="8">
        <v>4152.26</v>
      </c>
      <c r="P1511" s="268">
        <v>0.12659999999999999</v>
      </c>
      <c r="Q1511" s="8">
        <v>268</v>
      </c>
      <c r="R1511" s="8" t="s">
        <v>9524</v>
      </c>
      <c r="S1511" s="8" t="s">
        <v>2815</v>
      </c>
      <c r="T1511" s="8" t="s">
        <v>9525</v>
      </c>
      <c r="U1511" s="8" t="s">
        <v>9526</v>
      </c>
      <c r="V1511" s="8" t="s">
        <v>9527</v>
      </c>
      <c r="W1511" s="8" t="s">
        <v>9528</v>
      </c>
    </row>
    <row r="1512" spans="1:23" ht="28" customHeight="1" x14ac:dyDescent="0.3">
      <c r="A1512" s="308">
        <v>44025</v>
      </c>
      <c r="B1512" s="302">
        <v>1521.365</v>
      </c>
      <c r="C1512" s="8">
        <v>36.628</v>
      </c>
      <c r="D1512" s="268">
        <v>2.47E-2</v>
      </c>
      <c r="E1512" s="8">
        <v>93.66</v>
      </c>
      <c r="F1512" s="8">
        <v>140.24199999999999</v>
      </c>
      <c r="G1512" s="8">
        <v>124.6</v>
      </c>
      <c r="H1512" s="8">
        <v>115.2</v>
      </c>
      <c r="I1512" s="8">
        <v>156.21</v>
      </c>
      <c r="J1512" s="8">
        <v>19.91</v>
      </c>
      <c r="K1512" s="268">
        <v>0.15959999999999999</v>
      </c>
      <c r="L1512" s="268">
        <v>0.1062</v>
      </c>
      <c r="M1512" s="268">
        <v>-2.8199999999999999E-2</v>
      </c>
      <c r="N1512" s="8">
        <v>510.07</v>
      </c>
      <c r="O1512" s="8">
        <v>4115.57</v>
      </c>
      <c r="P1512" s="268">
        <v>0.1239</v>
      </c>
      <c r="Q1512" s="8">
        <v>266</v>
      </c>
      <c r="R1512" s="8" t="s">
        <v>9529</v>
      </c>
      <c r="S1512" s="8" t="s">
        <v>2647</v>
      </c>
      <c r="T1512" s="8" t="s">
        <v>9530</v>
      </c>
      <c r="U1512" s="8" t="s">
        <v>9531</v>
      </c>
      <c r="V1512" s="8" t="s">
        <v>9532</v>
      </c>
      <c r="W1512" s="8" t="s">
        <v>9533</v>
      </c>
    </row>
    <row r="1513" spans="1:23" ht="28" customHeight="1" x14ac:dyDescent="0.3">
      <c r="A1513" s="308">
        <v>44022</v>
      </c>
      <c r="B1513" s="302">
        <v>1484.7370000000001</v>
      </c>
      <c r="C1513" s="8">
        <v>-14.452</v>
      </c>
      <c r="D1513" s="268">
        <v>-9.5999999999999992E-3</v>
      </c>
      <c r="E1513" s="8">
        <v>87.83</v>
      </c>
      <c r="F1513" s="8">
        <v>135.76900000000001</v>
      </c>
      <c r="G1513" s="8">
        <v>121.861</v>
      </c>
      <c r="H1513" s="8">
        <v>110.87</v>
      </c>
      <c r="I1513" s="8">
        <v>153.22</v>
      </c>
      <c r="J1513" s="8">
        <v>24.02</v>
      </c>
      <c r="K1513" s="268">
        <v>0.17449999999999999</v>
      </c>
      <c r="L1513" s="268">
        <v>0.1197</v>
      </c>
      <c r="M1513" s="268">
        <v>-2.46E-2</v>
      </c>
      <c r="N1513" s="8">
        <v>487.04</v>
      </c>
      <c r="O1513" s="8">
        <v>4122.6000000000004</v>
      </c>
      <c r="P1513" s="268">
        <v>0.1181</v>
      </c>
      <c r="Q1513" s="8">
        <v>266</v>
      </c>
      <c r="R1513" s="8" t="s">
        <v>2431</v>
      </c>
      <c r="S1513" s="8" t="s">
        <v>9534</v>
      </c>
      <c r="T1513" s="8" t="s">
        <v>9535</v>
      </c>
      <c r="U1513" s="8" t="s">
        <v>9536</v>
      </c>
      <c r="V1513" s="8" t="s">
        <v>9537</v>
      </c>
      <c r="W1513" s="8" t="s">
        <v>9538</v>
      </c>
    </row>
    <row r="1514" spans="1:23" ht="28" customHeight="1" x14ac:dyDescent="0.3">
      <c r="A1514" s="308">
        <v>44021</v>
      </c>
      <c r="B1514" s="302">
        <v>1499.1890000000001</v>
      </c>
      <c r="C1514" s="8">
        <v>20.538</v>
      </c>
      <c r="D1514" s="268">
        <v>1.3899999999999999E-2</v>
      </c>
      <c r="E1514" s="8">
        <v>91.94</v>
      </c>
      <c r="F1514" s="8">
        <v>137.077</v>
      </c>
      <c r="G1514" s="8">
        <v>123.17</v>
      </c>
      <c r="H1514" s="8">
        <v>112.4</v>
      </c>
      <c r="I1514" s="8">
        <v>154.05000000000001</v>
      </c>
      <c r="J1514" s="8">
        <v>21.34</v>
      </c>
      <c r="K1514" s="268">
        <v>0.16969999999999999</v>
      </c>
      <c r="L1514" s="268">
        <v>0.115</v>
      </c>
      <c r="M1514" s="268">
        <v>-2.6800000000000001E-2</v>
      </c>
      <c r="N1514" s="8">
        <v>554.11</v>
      </c>
      <c r="O1514" s="8">
        <v>4137.3100000000004</v>
      </c>
      <c r="P1514" s="268">
        <v>0.13389999999999999</v>
      </c>
      <c r="Q1514" s="8">
        <v>267</v>
      </c>
      <c r="R1514" s="8" t="s">
        <v>9539</v>
      </c>
      <c r="S1514" s="8" t="s">
        <v>7016</v>
      </c>
      <c r="T1514" s="8" t="s">
        <v>8271</v>
      </c>
      <c r="U1514" s="8" t="s">
        <v>3060</v>
      </c>
      <c r="V1514" s="8" t="s">
        <v>9540</v>
      </c>
      <c r="W1514" s="8" t="s">
        <v>9541</v>
      </c>
    </row>
    <row r="1515" spans="1:23" ht="28" customHeight="1" x14ac:dyDescent="0.3">
      <c r="A1515" s="308">
        <v>44020</v>
      </c>
      <c r="B1515" s="302">
        <v>1478.6510000000001</v>
      </c>
      <c r="C1515" s="8">
        <v>13.349</v>
      </c>
      <c r="D1515" s="268">
        <v>9.1000000000000004E-3</v>
      </c>
      <c r="E1515" s="8">
        <v>88.73</v>
      </c>
      <c r="F1515" s="8">
        <v>135.35599999999999</v>
      </c>
      <c r="G1515" s="8">
        <v>121.74</v>
      </c>
      <c r="H1515" s="8">
        <v>109.17</v>
      </c>
      <c r="I1515" s="8">
        <v>153.75</v>
      </c>
      <c r="J1515" s="8">
        <v>24.88</v>
      </c>
      <c r="K1515" s="268">
        <v>0.18390000000000001</v>
      </c>
      <c r="L1515" s="268">
        <v>0.1235</v>
      </c>
      <c r="M1515" s="268">
        <v>-2.3900000000000001E-2</v>
      </c>
      <c r="N1515" s="8">
        <v>493.78</v>
      </c>
      <c r="O1515" s="8">
        <v>4135.8</v>
      </c>
      <c r="P1515" s="268">
        <v>0.11940000000000001</v>
      </c>
      <c r="Q1515" s="8">
        <v>266</v>
      </c>
      <c r="R1515" s="8" t="s">
        <v>9177</v>
      </c>
      <c r="S1515" s="8" t="s">
        <v>2831</v>
      </c>
      <c r="T1515" s="8" t="s">
        <v>9542</v>
      </c>
      <c r="U1515" s="8" t="s">
        <v>9543</v>
      </c>
      <c r="V1515" s="8" t="s">
        <v>9544</v>
      </c>
      <c r="W1515" s="8" t="s">
        <v>9545</v>
      </c>
    </row>
    <row r="1516" spans="1:23" ht="28" customHeight="1" x14ac:dyDescent="0.3">
      <c r="A1516" s="308">
        <v>44019</v>
      </c>
      <c r="B1516" s="302">
        <v>1465.3019999999999</v>
      </c>
      <c r="C1516" s="8">
        <v>9.8680000000000003</v>
      </c>
      <c r="D1516" s="268">
        <v>6.7999999999999996E-3</v>
      </c>
      <c r="E1516" s="8">
        <v>87.81</v>
      </c>
      <c r="F1516" s="8">
        <v>133.61000000000001</v>
      </c>
      <c r="G1516" s="8">
        <v>120.02</v>
      </c>
      <c r="H1516" s="8">
        <v>107.33</v>
      </c>
      <c r="I1516" s="8">
        <v>153.66</v>
      </c>
      <c r="J1516" s="8">
        <v>31.58</v>
      </c>
      <c r="K1516" s="268">
        <v>0.20050000000000001</v>
      </c>
      <c r="L1516" s="268">
        <v>0.1391</v>
      </c>
      <c r="M1516" s="268">
        <v>-2.1999999999999999E-2</v>
      </c>
      <c r="N1516" s="8">
        <v>454.61</v>
      </c>
      <c r="O1516" s="8">
        <v>4120.76</v>
      </c>
      <c r="P1516" s="268">
        <v>0.1103</v>
      </c>
      <c r="Q1516" s="8">
        <v>263</v>
      </c>
      <c r="R1516" s="8" t="s">
        <v>2546</v>
      </c>
      <c r="S1516" s="8" t="s">
        <v>9296</v>
      </c>
      <c r="T1516" s="8" t="s">
        <v>9546</v>
      </c>
      <c r="U1516" s="8" t="s">
        <v>9547</v>
      </c>
      <c r="V1516" s="8" t="s">
        <v>9548</v>
      </c>
      <c r="W1516" s="8" t="s">
        <v>9549</v>
      </c>
    </row>
    <row r="1517" spans="1:23" ht="28" customHeight="1" x14ac:dyDescent="0.3">
      <c r="A1517" s="308">
        <v>44018</v>
      </c>
      <c r="B1517" s="302">
        <v>1455.434</v>
      </c>
      <c r="C1517" s="8">
        <v>42.378</v>
      </c>
      <c r="D1517" s="268">
        <v>0.03</v>
      </c>
      <c r="E1517" s="8">
        <v>87.3</v>
      </c>
      <c r="F1517" s="8">
        <v>132.27699999999999</v>
      </c>
      <c r="G1517" s="8">
        <v>119.795</v>
      </c>
      <c r="H1517" s="8">
        <v>105.87</v>
      </c>
      <c r="I1517" s="8">
        <v>152.78</v>
      </c>
      <c r="J1517" s="8">
        <v>31.64</v>
      </c>
      <c r="K1517" s="268">
        <v>0.20499999999999999</v>
      </c>
      <c r="L1517" s="268">
        <v>0.14680000000000001</v>
      </c>
      <c r="M1517" s="268">
        <v>-2.1000000000000001E-2</v>
      </c>
      <c r="N1517" s="8">
        <v>471.97</v>
      </c>
      <c r="O1517" s="8">
        <v>4119.45</v>
      </c>
      <c r="P1517" s="268">
        <v>0.11459999999999999</v>
      </c>
      <c r="Q1517" s="8">
        <v>262</v>
      </c>
      <c r="R1517" s="8" t="s">
        <v>9550</v>
      </c>
      <c r="S1517" s="8" t="s">
        <v>9551</v>
      </c>
      <c r="T1517" s="8" t="s">
        <v>9552</v>
      </c>
      <c r="U1517" s="8" t="s">
        <v>9553</v>
      </c>
      <c r="V1517" s="8" t="s">
        <v>9554</v>
      </c>
      <c r="W1517" s="8" t="s">
        <v>9555</v>
      </c>
    </row>
    <row r="1518" spans="1:23" ht="28" customHeight="1" x14ac:dyDescent="0.3">
      <c r="A1518" s="308">
        <v>44015</v>
      </c>
      <c r="B1518" s="302">
        <v>1413.056</v>
      </c>
      <c r="C1518" s="8">
        <v>16.120999999999999</v>
      </c>
      <c r="D1518" s="268">
        <v>1.15E-2</v>
      </c>
      <c r="E1518" s="8">
        <v>74.400000000000006</v>
      </c>
      <c r="F1518" s="8">
        <v>128.33600000000001</v>
      </c>
      <c r="G1518" s="8">
        <v>116.37</v>
      </c>
      <c r="H1518" s="8">
        <v>101.69</v>
      </c>
      <c r="I1518" s="8">
        <v>150.38999999999999</v>
      </c>
      <c r="J1518" s="8">
        <v>39.549999999999997</v>
      </c>
      <c r="K1518" s="268">
        <v>0.22059999999999999</v>
      </c>
      <c r="L1518" s="268">
        <v>0.16400000000000001</v>
      </c>
      <c r="M1518" s="268">
        <v>-1.44E-2</v>
      </c>
      <c r="N1518" s="8">
        <v>339.83</v>
      </c>
      <c r="O1518" s="8">
        <v>4119.88</v>
      </c>
      <c r="P1518" s="268">
        <v>8.2500000000000004E-2</v>
      </c>
      <c r="Q1518" s="8">
        <v>261</v>
      </c>
      <c r="R1518" s="8" t="s">
        <v>9556</v>
      </c>
      <c r="S1518" s="8" t="s">
        <v>9557</v>
      </c>
      <c r="T1518" s="8" t="s">
        <v>9558</v>
      </c>
      <c r="U1518" s="8" t="s">
        <v>9559</v>
      </c>
      <c r="V1518" s="8" t="s">
        <v>9560</v>
      </c>
      <c r="W1518" s="8" t="s">
        <v>9561</v>
      </c>
    </row>
    <row r="1519" spans="1:23" ht="28" customHeight="1" x14ac:dyDescent="0.3">
      <c r="A1519" s="308">
        <v>44014</v>
      </c>
      <c r="B1519" s="302">
        <v>1396.9349999999999</v>
      </c>
      <c r="C1519" s="8">
        <v>17.11</v>
      </c>
      <c r="D1519" s="268">
        <v>1.24E-2</v>
      </c>
      <c r="E1519" s="8">
        <v>68.53</v>
      </c>
      <c r="F1519" s="8">
        <v>126.889</v>
      </c>
      <c r="G1519" s="8">
        <v>115.235</v>
      </c>
      <c r="H1519" s="8">
        <v>99.32</v>
      </c>
      <c r="I1519" s="8">
        <v>149.43</v>
      </c>
      <c r="J1519" s="8">
        <v>39.46</v>
      </c>
      <c r="K1519" s="268">
        <v>0.22539999999999999</v>
      </c>
      <c r="L1519" s="268">
        <v>0.15720000000000001</v>
      </c>
      <c r="M1519" s="268">
        <v>-1.18E-2</v>
      </c>
      <c r="N1519" s="8">
        <v>284.20999999999998</v>
      </c>
      <c r="O1519" s="8">
        <v>4112.34</v>
      </c>
      <c r="P1519" s="268">
        <v>6.9099999999999995E-2</v>
      </c>
      <c r="Q1519" s="8">
        <v>260</v>
      </c>
      <c r="R1519" s="8" t="s">
        <v>3667</v>
      </c>
      <c r="S1519" s="8" t="s">
        <v>3093</v>
      </c>
      <c r="T1519" s="8" t="s">
        <v>9562</v>
      </c>
      <c r="U1519" s="8" t="s">
        <v>9563</v>
      </c>
      <c r="V1519" s="8" t="s">
        <v>9564</v>
      </c>
      <c r="W1519" s="8" t="s">
        <v>9565</v>
      </c>
    </row>
    <row r="1520" spans="1:23" ht="28" customHeight="1" x14ac:dyDescent="0.3">
      <c r="A1520" s="308">
        <v>44013</v>
      </c>
      <c r="B1520" s="302">
        <v>1379.825</v>
      </c>
      <c r="C1520" s="8">
        <v>4.1269999999999998</v>
      </c>
      <c r="D1520" s="268">
        <v>3.0000000000000001E-3</v>
      </c>
      <c r="E1520" s="8">
        <v>57.03</v>
      </c>
      <c r="F1520" s="8">
        <v>125.35899999999999</v>
      </c>
      <c r="G1520" s="8">
        <v>113.44</v>
      </c>
      <c r="H1520" s="8">
        <v>98.11</v>
      </c>
      <c r="I1520" s="8">
        <v>148.72999999999999</v>
      </c>
      <c r="J1520" s="8">
        <v>40.32</v>
      </c>
      <c r="K1520" s="268">
        <v>0.23369999999999999</v>
      </c>
      <c r="L1520" s="268">
        <v>0.1598</v>
      </c>
      <c r="M1520" s="268">
        <v>-8.8000000000000005E-3</v>
      </c>
      <c r="N1520" s="8">
        <v>229.06</v>
      </c>
      <c r="O1520" s="8">
        <v>4110.59</v>
      </c>
      <c r="P1520" s="268">
        <v>5.57E-2</v>
      </c>
      <c r="Q1520" s="8">
        <v>259</v>
      </c>
      <c r="R1520" s="8" t="s">
        <v>5571</v>
      </c>
      <c r="S1520" s="8" t="s">
        <v>9566</v>
      </c>
      <c r="T1520" s="8" t="s">
        <v>9567</v>
      </c>
      <c r="U1520" s="8" t="s">
        <v>9568</v>
      </c>
      <c r="V1520" s="8" t="s">
        <v>9569</v>
      </c>
      <c r="W1520" s="8" t="s">
        <v>9570</v>
      </c>
    </row>
    <row r="1521" spans="1:23" ht="28" customHeight="1" x14ac:dyDescent="0.3">
      <c r="A1521" s="308">
        <v>44012</v>
      </c>
      <c r="B1521" s="302">
        <v>1375.6980000000001</v>
      </c>
      <c r="C1521" s="8">
        <v>8.4499999999999993</v>
      </c>
      <c r="D1521" s="268">
        <v>6.1999999999999998E-3</v>
      </c>
      <c r="E1521" s="8">
        <v>52.02</v>
      </c>
      <c r="F1521" s="8">
        <v>125.417</v>
      </c>
      <c r="G1521" s="8">
        <v>112.76</v>
      </c>
      <c r="H1521" s="8">
        <v>97.37</v>
      </c>
      <c r="I1521" s="8">
        <v>149.33000000000001</v>
      </c>
      <c r="J1521" s="8">
        <v>42.59</v>
      </c>
      <c r="K1521" s="268">
        <v>0.2392</v>
      </c>
      <c r="L1521" s="268">
        <v>0.16619999999999999</v>
      </c>
      <c r="M1521" s="268">
        <v>-8.6E-3</v>
      </c>
      <c r="N1521" s="8">
        <v>226.37</v>
      </c>
      <c r="O1521" s="8">
        <v>4113.9799999999996</v>
      </c>
      <c r="P1521" s="268">
        <v>5.5E-2</v>
      </c>
      <c r="Q1521" s="8">
        <v>259</v>
      </c>
      <c r="R1521" s="8" t="s">
        <v>9571</v>
      </c>
      <c r="S1521" s="8" t="s">
        <v>9572</v>
      </c>
      <c r="T1521" s="8" t="s">
        <v>9573</v>
      </c>
      <c r="U1521" s="8" t="s">
        <v>9574</v>
      </c>
      <c r="V1521" s="8" t="s">
        <v>9575</v>
      </c>
      <c r="W1521" s="8" t="s">
        <v>9576</v>
      </c>
    </row>
    <row r="1522" spans="1:23" ht="28" customHeight="1" x14ac:dyDescent="0.3">
      <c r="A1522" s="308">
        <v>44011</v>
      </c>
      <c r="B1522" s="302">
        <v>1367.248</v>
      </c>
      <c r="C1522" s="8">
        <v>-6.5119999999999996</v>
      </c>
      <c r="D1522" s="268">
        <v>-4.7000000000000002E-3</v>
      </c>
      <c r="E1522" s="8">
        <v>50</v>
      </c>
      <c r="F1522" s="8">
        <v>124.569</v>
      </c>
      <c r="G1522" s="8">
        <v>112.821</v>
      </c>
      <c r="H1522" s="8">
        <v>96.11</v>
      </c>
      <c r="I1522" s="8">
        <v>150.19999999999999</v>
      </c>
      <c r="J1522" s="8">
        <v>48.21</v>
      </c>
      <c r="K1522" s="268">
        <v>0.25629999999999997</v>
      </c>
      <c r="L1522" s="268">
        <v>0.1774</v>
      </c>
      <c r="M1522" s="268">
        <v>-7.3000000000000001E-3</v>
      </c>
      <c r="N1522" s="8">
        <v>197.42</v>
      </c>
      <c r="O1522" s="8">
        <v>4119.9399999999996</v>
      </c>
      <c r="P1522" s="268">
        <v>4.7899999999999998E-2</v>
      </c>
      <c r="Q1522" s="8">
        <v>259</v>
      </c>
      <c r="R1522" s="8" t="s">
        <v>2475</v>
      </c>
      <c r="S1522" s="8" t="s">
        <v>9577</v>
      </c>
      <c r="T1522" s="8" t="s">
        <v>9578</v>
      </c>
      <c r="U1522" s="8" t="s">
        <v>9579</v>
      </c>
      <c r="V1522" s="8" t="s">
        <v>9580</v>
      </c>
      <c r="W1522" s="8" t="s">
        <v>9581</v>
      </c>
    </row>
    <row r="1523" spans="1:23" ht="28" customHeight="1" x14ac:dyDescent="0.3">
      <c r="A1523" s="308">
        <v>44006</v>
      </c>
      <c r="B1523" s="302">
        <v>1373.76</v>
      </c>
      <c r="C1523" s="8">
        <v>-2.16</v>
      </c>
      <c r="D1523" s="268">
        <v>-1.6000000000000001E-3</v>
      </c>
      <c r="E1523" s="8">
        <v>54.7</v>
      </c>
      <c r="F1523" s="8">
        <v>124.901</v>
      </c>
      <c r="G1523" s="8">
        <v>113.1</v>
      </c>
      <c r="H1523" s="8">
        <v>96.75</v>
      </c>
      <c r="I1523" s="8">
        <v>150.63999999999999</v>
      </c>
      <c r="J1523" s="8">
        <v>43.82</v>
      </c>
      <c r="K1523" s="268">
        <v>0.25729999999999997</v>
      </c>
      <c r="L1523" s="268">
        <v>0.1673</v>
      </c>
      <c r="M1523" s="268">
        <v>-8.6E-3</v>
      </c>
      <c r="N1523" s="8">
        <v>193.53</v>
      </c>
      <c r="O1523" s="8">
        <v>4118.1000000000004</v>
      </c>
      <c r="P1523" s="268">
        <v>4.7E-2</v>
      </c>
      <c r="Q1523" s="8">
        <v>258</v>
      </c>
      <c r="R1523" s="8" t="s">
        <v>3548</v>
      </c>
      <c r="S1523" s="8" t="s">
        <v>9582</v>
      </c>
      <c r="T1523" s="8" t="s">
        <v>9583</v>
      </c>
      <c r="U1523" s="8" t="s">
        <v>9584</v>
      </c>
      <c r="V1523" s="8" t="s">
        <v>9585</v>
      </c>
      <c r="W1523" s="8" t="s">
        <v>9586</v>
      </c>
    </row>
    <row r="1524" spans="1:23" ht="28" customHeight="1" x14ac:dyDescent="0.3">
      <c r="A1524" s="308">
        <v>44005</v>
      </c>
      <c r="B1524" s="302">
        <v>1375.92</v>
      </c>
      <c r="C1524" s="8">
        <v>-8.4309999999999992</v>
      </c>
      <c r="D1524" s="268">
        <v>-6.1000000000000004E-3</v>
      </c>
      <c r="E1524" s="8">
        <v>56.92</v>
      </c>
      <c r="F1524" s="8">
        <v>125.18</v>
      </c>
      <c r="G1524" s="8">
        <v>112.94499999999999</v>
      </c>
      <c r="H1524" s="8">
        <v>96.62</v>
      </c>
      <c r="I1524" s="8">
        <v>150.97999999999999</v>
      </c>
      <c r="J1524" s="8">
        <v>38.770000000000003</v>
      </c>
      <c r="K1524" s="268">
        <v>0.25800000000000001</v>
      </c>
      <c r="L1524" s="268">
        <v>0.16869999999999999</v>
      </c>
      <c r="M1524" s="268">
        <v>-8.9999999999999993E-3</v>
      </c>
      <c r="N1524" s="8">
        <v>210.68</v>
      </c>
      <c r="O1524" s="8">
        <v>4103.67</v>
      </c>
      <c r="P1524" s="268">
        <v>5.1299999999999998E-2</v>
      </c>
      <c r="Q1524" s="8">
        <v>256</v>
      </c>
      <c r="R1524" s="8" t="s">
        <v>9587</v>
      </c>
      <c r="S1524" s="8" t="s">
        <v>9588</v>
      </c>
      <c r="T1524" s="8" t="s">
        <v>9589</v>
      </c>
      <c r="U1524" s="8" t="s">
        <v>9590</v>
      </c>
      <c r="V1524" s="8" t="s">
        <v>9591</v>
      </c>
      <c r="W1524" s="8" t="s">
        <v>9592</v>
      </c>
    </row>
    <row r="1525" spans="1:23" ht="28" customHeight="1" x14ac:dyDescent="0.3">
      <c r="A1525" s="308">
        <v>44004</v>
      </c>
      <c r="B1525" s="302">
        <v>1384.3510000000001</v>
      </c>
      <c r="C1525" s="8">
        <v>-2.524</v>
      </c>
      <c r="D1525" s="268">
        <v>-1.8E-3</v>
      </c>
      <c r="E1525" s="8">
        <v>61.36</v>
      </c>
      <c r="F1525" s="8">
        <v>125.979</v>
      </c>
      <c r="G1525" s="8">
        <v>113.51</v>
      </c>
      <c r="H1525" s="8">
        <v>97.19</v>
      </c>
      <c r="I1525" s="8">
        <v>152.18</v>
      </c>
      <c r="J1525" s="8">
        <v>44.33</v>
      </c>
      <c r="K1525" s="268">
        <v>0.26200000000000001</v>
      </c>
      <c r="L1525" s="268">
        <v>0.1837</v>
      </c>
      <c r="M1525" s="268">
        <v>-1.0500000000000001E-2</v>
      </c>
      <c r="N1525" s="8">
        <v>226.92</v>
      </c>
      <c r="O1525" s="8">
        <v>4089.39</v>
      </c>
      <c r="P1525" s="268">
        <v>5.5500000000000001E-2</v>
      </c>
      <c r="Q1525" s="8">
        <v>255</v>
      </c>
      <c r="R1525" s="8" t="s">
        <v>3597</v>
      </c>
      <c r="S1525" s="8" t="s">
        <v>9593</v>
      </c>
      <c r="T1525" s="8" t="s">
        <v>6857</v>
      </c>
      <c r="U1525" s="8" t="s">
        <v>9594</v>
      </c>
      <c r="V1525" s="8" t="s">
        <v>9595</v>
      </c>
      <c r="W1525" s="8" t="s">
        <v>9596</v>
      </c>
    </row>
    <row r="1526" spans="1:23" ht="28" customHeight="1" x14ac:dyDescent="0.3">
      <c r="A1526" s="308">
        <v>44001</v>
      </c>
      <c r="B1526" s="302">
        <v>1386.875</v>
      </c>
      <c r="C1526" s="8">
        <v>2.9750000000000001</v>
      </c>
      <c r="D1526" s="268">
        <v>2.0999999999999999E-3</v>
      </c>
      <c r="E1526" s="8">
        <v>62.89</v>
      </c>
      <c r="F1526" s="8">
        <v>126.044</v>
      </c>
      <c r="G1526" s="8">
        <v>113.545</v>
      </c>
      <c r="H1526" s="8">
        <v>96.53</v>
      </c>
      <c r="I1526" s="8">
        <v>152.66</v>
      </c>
      <c r="J1526" s="8">
        <v>49.36</v>
      </c>
      <c r="K1526" s="268">
        <v>0.2661</v>
      </c>
      <c r="L1526" s="268">
        <v>0.18140000000000001</v>
      </c>
      <c r="M1526" s="268">
        <v>-1.0800000000000001E-2</v>
      </c>
      <c r="N1526" s="8">
        <v>247.03</v>
      </c>
      <c r="O1526" s="8">
        <v>4059.56</v>
      </c>
      <c r="P1526" s="268">
        <v>6.0900000000000003E-2</v>
      </c>
      <c r="Q1526" s="8">
        <v>254</v>
      </c>
      <c r="R1526" s="8" t="s">
        <v>9597</v>
      </c>
      <c r="S1526" s="8" t="s">
        <v>6625</v>
      </c>
      <c r="T1526" s="8" t="s">
        <v>6886</v>
      </c>
      <c r="U1526" s="8" t="s">
        <v>9598</v>
      </c>
      <c r="V1526" s="8" t="s">
        <v>9599</v>
      </c>
      <c r="W1526" s="8" t="s">
        <v>9600</v>
      </c>
    </row>
    <row r="1527" spans="1:23" ht="28" customHeight="1" x14ac:dyDescent="0.3">
      <c r="A1527" s="308">
        <v>44000</v>
      </c>
      <c r="B1527" s="302">
        <v>1383.9</v>
      </c>
      <c r="C1527" s="8">
        <v>0.42899999999999999</v>
      </c>
      <c r="D1527" s="268">
        <v>2.9999999999999997E-4</v>
      </c>
      <c r="E1527" s="8">
        <v>62.37</v>
      </c>
      <c r="F1527" s="8">
        <v>125.65900000000001</v>
      </c>
      <c r="G1527" s="8">
        <v>113.26</v>
      </c>
      <c r="H1527" s="8">
        <v>96.76</v>
      </c>
      <c r="I1527" s="8">
        <v>152.65</v>
      </c>
      <c r="J1527" s="8">
        <v>48.83</v>
      </c>
      <c r="K1527" s="268">
        <v>0.26989999999999997</v>
      </c>
      <c r="L1527" s="268">
        <v>0.1888</v>
      </c>
      <c r="M1527" s="268">
        <v>-1.04E-2</v>
      </c>
      <c r="N1527" s="8">
        <v>242.56</v>
      </c>
      <c r="O1527" s="8">
        <v>4061.37</v>
      </c>
      <c r="P1527" s="268">
        <v>5.9700000000000003E-2</v>
      </c>
      <c r="Q1527" s="8">
        <v>254</v>
      </c>
      <c r="R1527" s="8" t="s">
        <v>9177</v>
      </c>
      <c r="S1527" s="8" t="s">
        <v>9601</v>
      </c>
      <c r="T1527" s="8" t="s">
        <v>7900</v>
      </c>
      <c r="U1527" s="8" t="s">
        <v>9602</v>
      </c>
      <c r="V1527" s="8" t="s">
        <v>4756</v>
      </c>
      <c r="W1527" s="8" t="s">
        <v>9603</v>
      </c>
    </row>
    <row r="1528" spans="1:23" ht="28" customHeight="1" x14ac:dyDescent="0.3">
      <c r="A1528" s="308">
        <v>43999</v>
      </c>
      <c r="B1528" s="302">
        <v>1383.471</v>
      </c>
      <c r="C1528" s="8">
        <v>2.3340000000000001</v>
      </c>
      <c r="D1528" s="268">
        <v>1.6999999999999999E-3</v>
      </c>
      <c r="E1528" s="8">
        <v>59.94</v>
      </c>
      <c r="F1528" s="8">
        <v>125.884</v>
      </c>
      <c r="G1528" s="8">
        <v>113.35299999999999</v>
      </c>
      <c r="H1528" s="8">
        <v>96.51</v>
      </c>
      <c r="I1528" s="8">
        <v>152.84</v>
      </c>
      <c r="J1528" s="8">
        <v>46.89</v>
      </c>
      <c r="K1528" s="268">
        <v>0.26950000000000002</v>
      </c>
      <c r="L1528" s="268">
        <v>0.18440000000000001</v>
      </c>
      <c r="M1528" s="268">
        <v>-1.0500000000000001E-2</v>
      </c>
      <c r="N1528" s="8">
        <v>252.23</v>
      </c>
      <c r="O1528" s="8">
        <v>4049.78</v>
      </c>
      <c r="P1528" s="268">
        <v>6.2300000000000001E-2</v>
      </c>
      <c r="Q1528" s="8">
        <v>254</v>
      </c>
      <c r="R1528" s="8" t="s">
        <v>3587</v>
      </c>
      <c r="S1528" s="8" t="s">
        <v>6614</v>
      </c>
      <c r="T1528" s="8" t="s">
        <v>9604</v>
      </c>
      <c r="U1528" s="8" t="s">
        <v>9605</v>
      </c>
      <c r="V1528" s="8" t="s">
        <v>9606</v>
      </c>
      <c r="W1528" s="8" t="s">
        <v>9607</v>
      </c>
    </row>
    <row r="1529" spans="1:23" ht="28" customHeight="1" x14ac:dyDescent="0.3">
      <c r="A1529" s="308">
        <v>43998</v>
      </c>
      <c r="B1529" s="302">
        <v>1381.1369999999999</v>
      </c>
      <c r="C1529" s="8">
        <v>11.097</v>
      </c>
      <c r="D1529" s="268">
        <v>8.0999999999999996E-3</v>
      </c>
      <c r="E1529" s="8">
        <v>59.88</v>
      </c>
      <c r="F1529" s="8">
        <v>125.718</v>
      </c>
      <c r="G1529" s="8">
        <v>113.253</v>
      </c>
      <c r="H1529" s="8">
        <v>95.7</v>
      </c>
      <c r="I1529" s="8">
        <v>153.11000000000001</v>
      </c>
      <c r="J1529" s="8">
        <v>47.9</v>
      </c>
      <c r="K1529" s="268">
        <v>0.27389999999999998</v>
      </c>
      <c r="L1529" s="268">
        <v>0.18770000000000001</v>
      </c>
      <c r="M1529" s="268">
        <v>-8.9999999999999993E-3</v>
      </c>
      <c r="N1529" s="8">
        <v>251.64</v>
      </c>
      <c r="O1529" s="8">
        <v>4052.81</v>
      </c>
      <c r="P1529" s="268">
        <v>6.2100000000000002E-2</v>
      </c>
      <c r="Q1529" s="8">
        <v>254</v>
      </c>
      <c r="R1529" s="8" t="s">
        <v>7637</v>
      </c>
      <c r="S1529" s="8" t="s">
        <v>9608</v>
      </c>
      <c r="T1529" s="8" t="s">
        <v>9609</v>
      </c>
      <c r="U1529" s="8" t="s">
        <v>9610</v>
      </c>
      <c r="V1529" s="8" t="s">
        <v>9611</v>
      </c>
      <c r="W1529" s="8" t="s">
        <v>9612</v>
      </c>
    </row>
    <row r="1530" spans="1:23" ht="28" customHeight="1" x14ac:dyDescent="0.3">
      <c r="A1530" s="308">
        <v>43997</v>
      </c>
      <c r="B1530" s="302">
        <v>1370.04</v>
      </c>
      <c r="C1530" s="8">
        <v>1.4510000000000001</v>
      </c>
      <c r="D1530" s="268">
        <v>1.1000000000000001E-3</v>
      </c>
      <c r="E1530" s="8">
        <v>53.82</v>
      </c>
      <c r="F1530" s="8">
        <v>124.464</v>
      </c>
      <c r="G1530" s="8">
        <v>112.77500000000001</v>
      </c>
      <c r="H1530" s="8">
        <v>93.47</v>
      </c>
      <c r="I1530" s="8">
        <v>153.06</v>
      </c>
      <c r="J1530" s="8">
        <v>56.52</v>
      </c>
      <c r="K1530" s="268">
        <v>0.28599999999999998</v>
      </c>
      <c r="L1530" s="268">
        <v>0.20269999999999999</v>
      </c>
      <c r="M1530" s="268">
        <v>-7.4000000000000003E-3</v>
      </c>
      <c r="N1530" s="8">
        <v>277.33999999999997</v>
      </c>
      <c r="O1530" s="8">
        <v>4055.57</v>
      </c>
      <c r="P1530" s="268">
        <v>6.8400000000000002E-2</v>
      </c>
      <c r="Q1530" s="8">
        <v>254</v>
      </c>
      <c r="R1530" s="8" t="s">
        <v>6591</v>
      </c>
      <c r="S1530" s="8" t="s">
        <v>9613</v>
      </c>
      <c r="T1530" s="8" t="s">
        <v>9614</v>
      </c>
      <c r="U1530" s="8" t="s">
        <v>2444</v>
      </c>
      <c r="V1530" s="8" t="s">
        <v>9615</v>
      </c>
      <c r="W1530" s="8" t="s">
        <v>9616</v>
      </c>
    </row>
    <row r="1531" spans="1:23" ht="28" customHeight="1" x14ac:dyDescent="0.3">
      <c r="A1531" s="308">
        <v>43994</v>
      </c>
      <c r="B1531" s="302">
        <v>1368.5889999999999</v>
      </c>
      <c r="C1531" s="8">
        <v>0.17799999999999999</v>
      </c>
      <c r="D1531" s="268">
        <v>1E-4</v>
      </c>
      <c r="E1531" s="8">
        <v>51.91</v>
      </c>
      <c r="F1531" s="8">
        <v>123.999</v>
      </c>
      <c r="G1531" s="8">
        <v>112.502</v>
      </c>
      <c r="H1531" s="8">
        <v>93.75</v>
      </c>
      <c r="I1531" s="8">
        <v>152.29</v>
      </c>
      <c r="J1531" s="8">
        <v>50.97</v>
      </c>
      <c r="K1531" s="268">
        <v>0.28289999999999998</v>
      </c>
      <c r="L1531" s="268">
        <v>0.1996</v>
      </c>
      <c r="M1531" s="268">
        <v>-8.2000000000000007E-3</v>
      </c>
      <c r="N1531" s="8">
        <v>276.31</v>
      </c>
      <c r="O1531" s="8">
        <v>4058.14</v>
      </c>
      <c r="P1531" s="268">
        <v>6.8099999999999994E-2</v>
      </c>
      <c r="Q1531" s="8">
        <v>254</v>
      </c>
      <c r="R1531" s="8" t="s">
        <v>9617</v>
      </c>
      <c r="S1531" s="8" t="s">
        <v>8335</v>
      </c>
      <c r="T1531" s="8" t="s">
        <v>9618</v>
      </c>
      <c r="U1531" s="8" t="s">
        <v>9619</v>
      </c>
      <c r="V1531" s="8" t="s">
        <v>9620</v>
      </c>
      <c r="W1531" s="8" t="s">
        <v>9621</v>
      </c>
    </row>
    <row r="1532" spans="1:23" ht="28" customHeight="1" x14ac:dyDescent="0.3">
      <c r="A1532" s="308">
        <v>43993</v>
      </c>
      <c r="B1532" s="302">
        <v>1368.4110000000001</v>
      </c>
      <c r="C1532" s="8">
        <v>-2.5089999999999999</v>
      </c>
      <c r="D1532" s="268">
        <v>-1.8E-3</v>
      </c>
      <c r="E1532" s="8">
        <v>52.7</v>
      </c>
      <c r="F1532" s="8">
        <v>123.97199999999999</v>
      </c>
      <c r="G1532" s="8">
        <v>112.15</v>
      </c>
      <c r="H1532" s="8">
        <v>94.12</v>
      </c>
      <c r="I1532" s="8">
        <v>152.19</v>
      </c>
      <c r="J1532" s="8">
        <v>49.45</v>
      </c>
      <c r="K1532" s="268">
        <v>0.28210000000000002</v>
      </c>
      <c r="L1532" s="268">
        <v>0.21099999999999999</v>
      </c>
      <c r="M1532" s="268">
        <v>-8.2000000000000007E-3</v>
      </c>
      <c r="N1532" s="8">
        <v>264.54000000000002</v>
      </c>
      <c r="O1532" s="8">
        <v>4058.4</v>
      </c>
      <c r="P1532" s="268">
        <v>6.5199999999999994E-2</v>
      </c>
      <c r="Q1532" s="8">
        <v>253</v>
      </c>
      <c r="R1532" s="8" t="s">
        <v>3470</v>
      </c>
      <c r="S1532" s="8" t="s">
        <v>6770</v>
      </c>
      <c r="T1532" s="8" t="s">
        <v>9622</v>
      </c>
      <c r="U1532" s="8" t="s">
        <v>9623</v>
      </c>
      <c r="V1532" s="8" t="s">
        <v>9624</v>
      </c>
      <c r="W1532" s="8" t="s">
        <v>4752</v>
      </c>
    </row>
    <row r="1533" spans="1:23" ht="28" customHeight="1" x14ac:dyDescent="0.3">
      <c r="A1533" s="308">
        <v>43992</v>
      </c>
      <c r="B1533" s="302">
        <v>1370.92</v>
      </c>
      <c r="C1533" s="8">
        <v>-2.5409999999999999</v>
      </c>
      <c r="D1533" s="268">
        <v>-1.8E-3</v>
      </c>
      <c r="E1533" s="8">
        <v>56.07</v>
      </c>
      <c r="F1533" s="8">
        <v>124.133</v>
      </c>
      <c r="G1533" s="8">
        <v>112.578</v>
      </c>
      <c r="H1533" s="8">
        <v>93.83</v>
      </c>
      <c r="I1533" s="8">
        <v>152.03</v>
      </c>
      <c r="J1533" s="8">
        <v>47.61</v>
      </c>
      <c r="K1533" s="268">
        <v>0.27900000000000003</v>
      </c>
      <c r="L1533" s="268">
        <v>0.20230000000000001</v>
      </c>
      <c r="M1533" s="268">
        <v>-8.6E-3</v>
      </c>
      <c r="N1533" s="8">
        <v>244.48</v>
      </c>
      <c r="O1533" s="8">
        <v>4061.41</v>
      </c>
      <c r="P1533" s="268">
        <v>6.0199999999999997E-2</v>
      </c>
      <c r="Q1533" s="8">
        <v>254</v>
      </c>
      <c r="R1533" s="8" t="s">
        <v>9348</v>
      </c>
      <c r="S1533" s="8" t="s">
        <v>5805</v>
      </c>
      <c r="T1533" s="8" t="s">
        <v>9625</v>
      </c>
      <c r="U1533" s="8" t="s">
        <v>5383</v>
      </c>
      <c r="V1533" s="8" t="s">
        <v>9626</v>
      </c>
      <c r="W1533" s="8" t="s">
        <v>6940</v>
      </c>
    </row>
    <row r="1534" spans="1:23" ht="28" customHeight="1" x14ac:dyDescent="0.3">
      <c r="A1534" s="308">
        <v>43991</v>
      </c>
      <c r="B1534" s="302">
        <v>1373.461</v>
      </c>
      <c r="C1534" s="8">
        <v>0.89200000000000002</v>
      </c>
      <c r="D1534" s="268">
        <v>6.9999999999999999E-4</v>
      </c>
      <c r="E1534" s="8">
        <v>58.59</v>
      </c>
      <c r="F1534" s="8">
        <v>124.31699999999999</v>
      </c>
      <c r="G1534" s="8">
        <v>113.01</v>
      </c>
      <c r="H1534" s="8">
        <v>94.39</v>
      </c>
      <c r="I1534" s="8">
        <v>152.02000000000001</v>
      </c>
      <c r="J1534" s="8">
        <v>44.67</v>
      </c>
      <c r="K1534" s="268">
        <v>0.27710000000000001</v>
      </c>
      <c r="L1534" s="268">
        <v>0.19670000000000001</v>
      </c>
      <c r="M1534" s="268">
        <v>-9.1999999999999998E-3</v>
      </c>
      <c r="N1534" s="8">
        <v>245.13</v>
      </c>
      <c r="O1534" s="8">
        <v>4062.42</v>
      </c>
      <c r="P1534" s="268">
        <v>6.0299999999999999E-2</v>
      </c>
      <c r="Q1534" s="8">
        <v>254</v>
      </c>
      <c r="R1534" s="8" t="s">
        <v>7642</v>
      </c>
      <c r="S1534" s="8" t="s">
        <v>6770</v>
      </c>
      <c r="T1534" s="8" t="s">
        <v>9627</v>
      </c>
      <c r="U1534" s="8" t="s">
        <v>9628</v>
      </c>
      <c r="V1534" s="8" t="s">
        <v>6187</v>
      </c>
      <c r="W1534" s="8" t="s">
        <v>3472</v>
      </c>
    </row>
    <row r="1535" spans="1:23" ht="28" customHeight="1" x14ac:dyDescent="0.3">
      <c r="A1535" s="308">
        <v>43990</v>
      </c>
      <c r="B1535" s="302">
        <v>1372.569</v>
      </c>
      <c r="C1535" s="8">
        <v>0.56299999999999994</v>
      </c>
      <c r="D1535" s="268">
        <v>4.0000000000000002E-4</v>
      </c>
      <c r="E1535" s="8">
        <v>59.23</v>
      </c>
      <c r="F1535" s="8">
        <v>124.185</v>
      </c>
      <c r="G1535" s="8">
        <v>112.90300000000001</v>
      </c>
      <c r="H1535" s="8">
        <v>94.18</v>
      </c>
      <c r="I1535" s="8">
        <v>152.16</v>
      </c>
      <c r="J1535" s="8">
        <v>47.34</v>
      </c>
      <c r="K1535" s="268">
        <v>0.2797</v>
      </c>
      <c r="L1535" s="268">
        <v>0.20180000000000001</v>
      </c>
      <c r="M1535" s="268">
        <v>-9.1000000000000004E-3</v>
      </c>
      <c r="N1535" s="8">
        <v>252.54</v>
      </c>
      <c r="O1535" s="8">
        <v>4064.15</v>
      </c>
      <c r="P1535" s="268">
        <v>6.2100000000000002E-2</v>
      </c>
      <c r="Q1535" s="8">
        <v>254</v>
      </c>
      <c r="R1535" s="8" t="s">
        <v>7642</v>
      </c>
      <c r="S1535" s="8" t="s">
        <v>9629</v>
      </c>
      <c r="T1535" s="8" t="s">
        <v>9630</v>
      </c>
      <c r="U1535" s="8" t="s">
        <v>9169</v>
      </c>
      <c r="V1535" s="8" t="s">
        <v>9631</v>
      </c>
      <c r="W1535" s="8" t="s">
        <v>9632</v>
      </c>
    </row>
    <row r="1536" spans="1:23" ht="28" customHeight="1" x14ac:dyDescent="0.3">
      <c r="A1536" s="308">
        <v>43987</v>
      </c>
      <c r="B1536" s="302">
        <v>1372.0060000000001</v>
      </c>
      <c r="C1536" s="8">
        <v>-3.3279999999999998</v>
      </c>
      <c r="D1536" s="268">
        <v>-2.3999999999999998E-3</v>
      </c>
      <c r="E1536" s="8">
        <v>58.93</v>
      </c>
      <c r="F1536" s="8">
        <v>124.09</v>
      </c>
      <c r="G1536" s="8">
        <v>113.021</v>
      </c>
      <c r="H1536" s="8">
        <v>93.64</v>
      </c>
      <c r="I1536" s="8">
        <v>152.19999999999999</v>
      </c>
      <c r="J1536" s="8">
        <v>46.81</v>
      </c>
      <c r="K1536" s="268">
        <v>0.28110000000000002</v>
      </c>
      <c r="L1536" s="268">
        <v>0.2016</v>
      </c>
      <c r="M1536" s="268">
        <v>-9.1999999999999998E-3</v>
      </c>
      <c r="N1536" s="8">
        <v>330.78</v>
      </c>
      <c r="O1536" s="8">
        <v>4066.2</v>
      </c>
      <c r="P1536" s="268">
        <v>8.1299999999999997E-2</v>
      </c>
      <c r="Q1536" s="8">
        <v>254</v>
      </c>
      <c r="R1536" s="8" t="s">
        <v>3668</v>
      </c>
      <c r="S1536" s="8" t="s">
        <v>9633</v>
      </c>
      <c r="T1536" s="8" t="s">
        <v>4298</v>
      </c>
      <c r="U1536" s="8" t="s">
        <v>9634</v>
      </c>
      <c r="V1536" s="8" t="s">
        <v>9158</v>
      </c>
      <c r="W1536" s="8" t="s">
        <v>3291</v>
      </c>
    </row>
    <row r="1537" spans="1:23" ht="28" customHeight="1" x14ac:dyDescent="0.3">
      <c r="A1537" s="308">
        <v>43986</v>
      </c>
      <c r="B1537" s="302">
        <v>1375.3340000000001</v>
      </c>
      <c r="C1537" s="8">
        <v>-1.1419999999999999</v>
      </c>
      <c r="D1537" s="268">
        <v>-8.0000000000000004E-4</v>
      </c>
      <c r="E1537" s="8">
        <v>62.21</v>
      </c>
      <c r="F1537" s="8">
        <v>124.373</v>
      </c>
      <c r="G1537" s="8">
        <v>113.358</v>
      </c>
      <c r="H1537" s="8">
        <v>94.2</v>
      </c>
      <c r="I1537" s="8">
        <v>152.85</v>
      </c>
      <c r="J1537" s="8">
        <v>50.56</v>
      </c>
      <c r="K1537" s="268">
        <v>0.2848</v>
      </c>
      <c r="L1537" s="268">
        <v>0.2135</v>
      </c>
      <c r="M1537" s="268">
        <v>-9.7000000000000003E-3</v>
      </c>
      <c r="N1537" s="8">
        <v>295.69</v>
      </c>
      <c r="O1537" s="8">
        <v>4067.4</v>
      </c>
      <c r="P1537" s="268">
        <v>7.2700000000000001E-2</v>
      </c>
      <c r="Q1537" s="8">
        <v>254</v>
      </c>
      <c r="R1537" s="8" t="s">
        <v>9635</v>
      </c>
      <c r="S1537" s="8" t="s">
        <v>9636</v>
      </c>
      <c r="T1537" s="8" t="s">
        <v>9637</v>
      </c>
      <c r="U1537" s="8" t="s">
        <v>9638</v>
      </c>
      <c r="V1537" s="8" t="s">
        <v>9639</v>
      </c>
      <c r="W1537" s="8" t="s">
        <v>9640</v>
      </c>
    </row>
    <row r="1538" spans="1:23" ht="28" customHeight="1" x14ac:dyDescent="0.3">
      <c r="A1538" s="308">
        <v>43985</v>
      </c>
      <c r="B1538" s="302">
        <v>1376.4760000000001</v>
      </c>
      <c r="C1538" s="8">
        <v>-0.67500000000000004</v>
      </c>
      <c r="D1538" s="268">
        <v>-5.0000000000000001E-4</v>
      </c>
      <c r="E1538" s="8">
        <v>65.209999999999994</v>
      </c>
      <c r="F1538" s="8">
        <v>124.43899999999999</v>
      </c>
      <c r="G1538" s="8">
        <v>113.94499999999999</v>
      </c>
      <c r="H1538" s="8">
        <v>94.39</v>
      </c>
      <c r="I1538" s="8">
        <v>153.12</v>
      </c>
      <c r="J1538" s="8">
        <v>54.17</v>
      </c>
      <c r="K1538" s="268">
        <v>0.2868</v>
      </c>
      <c r="L1538" s="268">
        <v>0.21440000000000001</v>
      </c>
      <c r="M1538" s="268">
        <v>-9.7999999999999997E-3</v>
      </c>
      <c r="N1538" s="8">
        <v>288.32</v>
      </c>
      <c r="O1538" s="8">
        <v>4067.78</v>
      </c>
      <c r="P1538" s="268">
        <v>7.0900000000000005E-2</v>
      </c>
      <c r="Q1538" s="8">
        <v>254</v>
      </c>
      <c r="R1538" s="8" t="s">
        <v>3625</v>
      </c>
      <c r="S1538" s="8" t="s">
        <v>2476</v>
      </c>
      <c r="T1538" s="8" t="s">
        <v>4296</v>
      </c>
      <c r="U1538" s="8" t="s">
        <v>9641</v>
      </c>
      <c r="V1538" s="8" t="s">
        <v>9642</v>
      </c>
      <c r="W1538" s="8" t="s">
        <v>9643</v>
      </c>
    </row>
    <row r="1539" spans="1:23" ht="28" customHeight="1" x14ac:dyDescent="0.3">
      <c r="A1539" s="308">
        <v>43984</v>
      </c>
      <c r="B1539" s="302">
        <v>1377.1510000000001</v>
      </c>
      <c r="C1539" s="8">
        <v>2.008</v>
      </c>
      <c r="D1539" s="268">
        <v>1.5E-3</v>
      </c>
      <c r="E1539" s="8">
        <v>65.98</v>
      </c>
      <c r="F1539" s="8">
        <v>124.411</v>
      </c>
      <c r="G1539" s="8">
        <v>114.17700000000001</v>
      </c>
      <c r="H1539" s="8">
        <v>94.39</v>
      </c>
      <c r="I1539" s="8">
        <v>153.19</v>
      </c>
      <c r="J1539" s="8">
        <v>54.85</v>
      </c>
      <c r="K1539" s="268">
        <v>0.2878</v>
      </c>
      <c r="L1539" s="268">
        <v>0.2099</v>
      </c>
      <c r="M1539" s="268">
        <v>-1.01E-2</v>
      </c>
      <c r="N1539" s="8">
        <v>271.68</v>
      </c>
      <c r="O1539" s="8">
        <v>4068.85</v>
      </c>
      <c r="P1539" s="268">
        <v>6.6799999999999998E-2</v>
      </c>
      <c r="Q1539" s="8">
        <v>254</v>
      </c>
      <c r="R1539" s="8" t="s">
        <v>9251</v>
      </c>
      <c r="S1539" s="8" t="s">
        <v>4127</v>
      </c>
      <c r="T1539" s="8" t="s">
        <v>9644</v>
      </c>
      <c r="U1539" s="8" t="s">
        <v>9645</v>
      </c>
      <c r="V1539" s="8" t="s">
        <v>9646</v>
      </c>
      <c r="W1539" s="8" t="s">
        <v>9647</v>
      </c>
    </row>
    <row r="1540" spans="1:23" ht="28" customHeight="1" x14ac:dyDescent="0.3">
      <c r="A1540" s="308">
        <v>43983</v>
      </c>
      <c r="B1540" s="302">
        <v>1375.143</v>
      </c>
      <c r="C1540" s="8">
        <v>21.802</v>
      </c>
      <c r="D1540" s="268">
        <v>1.61E-2</v>
      </c>
      <c r="E1540" s="8">
        <v>64.73</v>
      </c>
      <c r="F1540" s="8">
        <v>124.52800000000001</v>
      </c>
      <c r="G1540" s="8">
        <v>113.57</v>
      </c>
      <c r="H1540" s="8">
        <v>93.98</v>
      </c>
      <c r="I1540" s="8">
        <v>153.87</v>
      </c>
      <c r="J1540" s="8">
        <v>57.58</v>
      </c>
      <c r="K1540" s="268">
        <v>0.29339999999999999</v>
      </c>
      <c r="L1540" s="268">
        <v>0.2102</v>
      </c>
      <c r="M1540" s="268">
        <v>-9.7999999999999997E-3</v>
      </c>
      <c r="N1540" s="8">
        <v>270.11</v>
      </c>
      <c r="O1540" s="8">
        <v>4069.14</v>
      </c>
      <c r="P1540" s="268">
        <v>6.6400000000000001E-2</v>
      </c>
      <c r="Q1540" s="8">
        <v>254</v>
      </c>
      <c r="R1540" s="8" t="s">
        <v>6095</v>
      </c>
      <c r="S1540" s="8" t="s">
        <v>4069</v>
      </c>
      <c r="T1540" s="8" t="s">
        <v>9648</v>
      </c>
      <c r="U1540" s="8" t="s">
        <v>9649</v>
      </c>
      <c r="V1540" s="8" t="s">
        <v>9650</v>
      </c>
      <c r="W1540" s="8" t="s">
        <v>9651</v>
      </c>
    </row>
    <row r="1541" spans="1:23" ht="28" customHeight="1" x14ac:dyDescent="0.3">
      <c r="A1541" s="308">
        <v>43980</v>
      </c>
      <c r="B1541" s="302">
        <v>1353.3409999999999</v>
      </c>
      <c r="C1541" s="8">
        <v>11.619</v>
      </c>
      <c r="D1541" s="268">
        <v>8.6999999999999994E-3</v>
      </c>
      <c r="E1541" s="8">
        <v>52.68</v>
      </c>
      <c r="F1541" s="8">
        <v>122.498</v>
      </c>
      <c r="G1541" s="8">
        <v>111.9</v>
      </c>
      <c r="H1541" s="8">
        <v>91.87</v>
      </c>
      <c r="I1541" s="8">
        <v>153.29</v>
      </c>
      <c r="J1541" s="8">
        <v>60.62</v>
      </c>
      <c r="K1541" s="268">
        <v>0.30790000000000001</v>
      </c>
      <c r="L1541" s="268">
        <v>0.2248</v>
      </c>
      <c r="M1541" s="268">
        <v>-6.4000000000000003E-3</v>
      </c>
      <c r="N1541" s="8">
        <v>270.74</v>
      </c>
      <c r="O1541" s="8">
        <v>4069.64</v>
      </c>
      <c r="P1541" s="268">
        <v>6.6500000000000004E-2</v>
      </c>
      <c r="Q1541" s="8">
        <v>254</v>
      </c>
      <c r="R1541" s="8" t="s">
        <v>9295</v>
      </c>
      <c r="S1541" s="8" t="s">
        <v>5144</v>
      </c>
      <c r="T1541" s="8" t="s">
        <v>9652</v>
      </c>
      <c r="U1541" s="8" t="s">
        <v>9653</v>
      </c>
      <c r="V1541" s="8" t="s">
        <v>9654</v>
      </c>
      <c r="W1541" s="8" t="s">
        <v>9655</v>
      </c>
    </row>
    <row r="1542" spans="1:23" ht="28" customHeight="1" x14ac:dyDescent="0.3">
      <c r="A1542" s="308">
        <v>43979</v>
      </c>
      <c r="B1542" s="302">
        <v>1341.722</v>
      </c>
      <c r="C1542" s="8">
        <v>-4.74</v>
      </c>
      <c r="D1542" s="268">
        <v>-3.5000000000000001E-3</v>
      </c>
      <c r="E1542" s="8">
        <v>44.39</v>
      </c>
      <c r="F1542" s="8">
        <v>121.355</v>
      </c>
      <c r="G1542" s="8">
        <v>111.045</v>
      </c>
      <c r="H1542" s="8">
        <v>91.46</v>
      </c>
      <c r="I1542" s="8">
        <v>152.27000000000001</v>
      </c>
      <c r="J1542" s="8">
        <v>61.5</v>
      </c>
      <c r="K1542" s="268">
        <v>0.30919999999999997</v>
      </c>
      <c r="L1542" s="268">
        <v>0.21529999999999999</v>
      </c>
      <c r="M1542" s="268">
        <v>-4.8999999999999998E-3</v>
      </c>
      <c r="N1542" s="8">
        <v>215.52</v>
      </c>
      <c r="O1542" s="8">
        <v>4051.53</v>
      </c>
      <c r="P1542" s="268">
        <v>5.3199999999999997E-2</v>
      </c>
      <c r="Q1542" s="8">
        <v>254</v>
      </c>
      <c r="R1542" s="8" t="s">
        <v>3668</v>
      </c>
      <c r="S1542" s="8" t="s">
        <v>9656</v>
      </c>
      <c r="T1542" s="8" t="s">
        <v>9657</v>
      </c>
      <c r="U1542" s="8" t="s">
        <v>9658</v>
      </c>
      <c r="V1542" s="8" t="s">
        <v>9659</v>
      </c>
      <c r="W1542" s="8" t="s">
        <v>9660</v>
      </c>
    </row>
    <row r="1543" spans="1:23" ht="28" customHeight="1" x14ac:dyDescent="0.3">
      <c r="A1543" s="308">
        <v>43978</v>
      </c>
      <c r="B1543" s="302">
        <v>1346.462</v>
      </c>
      <c r="C1543" s="8">
        <v>0.90200000000000002</v>
      </c>
      <c r="D1543" s="268">
        <v>6.9999999999999999E-4</v>
      </c>
      <c r="E1543" s="8">
        <v>46.1</v>
      </c>
      <c r="F1543" s="8">
        <v>122.02200000000001</v>
      </c>
      <c r="G1543" s="8">
        <v>110.955</v>
      </c>
      <c r="H1543" s="8">
        <v>91.98</v>
      </c>
      <c r="I1543" s="8">
        <v>152.91</v>
      </c>
      <c r="J1543" s="8">
        <v>58.22</v>
      </c>
      <c r="K1543" s="268">
        <v>0.30890000000000001</v>
      </c>
      <c r="L1543" s="268">
        <v>0.2155</v>
      </c>
      <c r="M1543" s="268">
        <v>-5.5999999999999999E-3</v>
      </c>
      <c r="N1543" s="8">
        <v>275.36</v>
      </c>
      <c r="O1543" s="8">
        <v>4052.74</v>
      </c>
      <c r="P1543" s="268">
        <v>6.7900000000000002E-2</v>
      </c>
      <c r="Q1543" s="8">
        <v>254</v>
      </c>
      <c r="R1543" s="8" t="s">
        <v>9661</v>
      </c>
      <c r="S1543" s="8" t="s">
        <v>6212</v>
      </c>
      <c r="T1543" s="8" t="s">
        <v>9662</v>
      </c>
      <c r="U1543" s="8" t="s">
        <v>9663</v>
      </c>
      <c r="V1543" s="8" t="s">
        <v>9642</v>
      </c>
      <c r="W1543" s="8" t="s">
        <v>5466</v>
      </c>
    </row>
    <row r="1544" spans="1:23" ht="28" customHeight="1" x14ac:dyDescent="0.3">
      <c r="A1544" s="308">
        <v>43977</v>
      </c>
      <c r="B1544" s="302">
        <v>1345.56</v>
      </c>
      <c r="C1544" s="8">
        <v>16.481000000000002</v>
      </c>
      <c r="D1544" s="268">
        <v>1.24E-2</v>
      </c>
      <c r="E1544" s="8">
        <v>42.55</v>
      </c>
      <c r="F1544" s="8">
        <v>121.95099999999999</v>
      </c>
      <c r="G1544" s="8">
        <v>110.70699999999999</v>
      </c>
      <c r="H1544" s="8">
        <v>90.96</v>
      </c>
      <c r="I1544" s="8">
        <v>152.74</v>
      </c>
      <c r="J1544" s="8">
        <v>55.56</v>
      </c>
      <c r="K1544" s="268">
        <v>0.30790000000000001</v>
      </c>
      <c r="L1544" s="268">
        <v>0.22409999999999999</v>
      </c>
      <c r="M1544" s="268">
        <v>-5.4999999999999997E-3</v>
      </c>
      <c r="N1544" s="8">
        <v>281.88</v>
      </c>
      <c r="O1544" s="8">
        <v>4053.33</v>
      </c>
      <c r="P1544" s="268">
        <v>6.9500000000000006E-2</v>
      </c>
      <c r="Q1544" s="8">
        <v>255</v>
      </c>
      <c r="R1544" s="8" t="s">
        <v>9664</v>
      </c>
      <c r="S1544" s="8" t="s">
        <v>2970</v>
      </c>
      <c r="T1544" s="8" t="s">
        <v>9665</v>
      </c>
      <c r="U1544" s="8" t="s">
        <v>9666</v>
      </c>
      <c r="V1544" s="8" t="s">
        <v>9667</v>
      </c>
      <c r="W1544" s="8" t="s">
        <v>9668</v>
      </c>
    </row>
    <row r="1545" spans="1:23" ht="28" customHeight="1" x14ac:dyDescent="0.3">
      <c r="A1545" s="308">
        <v>43976</v>
      </c>
      <c r="B1545" s="302">
        <v>1329.079</v>
      </c>
      <c r="C1545" s="8">
        <v>-9.14</v>
      </c>
      <c r="D1545" s="268">
        <v>-6.7999999999999996E-3</v>
      </c>
      <c r="E1545" s="8">
        <v>36.65</v>
      </c>
      <c r="F1545" s="8">
        <v>120.232</v>
      </c>
      <c r="G1545" s="8">
        <v>109.9</v>
      </c>
      <c r="H1545" s="8">
        <v>89.8</v>
      </c>
      <c r="I1545" s="8">
        <v>152.06</v>
      </c>
      <c r="J1545" s="8">
        <v>62.55</v>
      </c>
      <c r="K1545" s="268">
        <v>0.31819999999999998</v>
      </c>
      <c r="L1545" s="268">
        <v>0.2447</v>
      </c>
      <c r="M1545" s="268">
        <v>-2.8999999999999998E-3</v>
      </c>
      <c r="N1545" s="8">
        <v>289.7</v>
      </c>
      <c r="O1545" s="8">
        <v>4053.68</v>
      </c>
      <c r="P1545" s="268">
        <v>7.1499999999999994E-2</v>
      </c>
      <c r="Q1545" s="8">
        <v>255</v>
      </c>
      <c r="R1545" s="8" t="s">
        <v>6064</v>
      </c>
      <c r="S1545" s="8" t="s">
        <v>9669</v>
      </c>
      <c r="T1545" s="8" t="s">
        <v>9670</v>
      </c>
      <c r="U1545" s="8" t="s">
        <v>9671</v>
      </c>
      <c r="V1545" s="8" t="s">
        <v>9672</v>
      </c>
      <c r="W1545" s="8" t="s">
        <v>9673</v>
      </c>
    </row>
    <row r="1546" spans="1:23" ht="28" customHeight="1" x14ac:dyDescent="0.3">
      <c r="A1546" s="308">
        <v>43973</v>
      </c>
      <c r="B1546" s="302">
        <v>1338.2190000000001</v>
      </c>
      <c r="C1546" s="8">
        <v>-14.856999999999999</v>
      </c>
      <c r="D1546" s="268">
        <v>-1.0999999999999999E-2</v>
      </c>
      <c r="E1546" s="8">
        <v>40.090000000000003</v>
      </c>
      <c r="F1546" s="8">
        <v>121.05</v>
      </c>
      <c r="G1546" s="8">
        <v>110.095</v>
      </c>
      <c r="H1546" s="8">
        <v>89.92</v>
      </c>
      <c r="I1546" s="8">
        <v>153.16</v>
      </c>
      <c r="J1546" s="8">
        <v>62.46</v>
      </c>
      <c r="K1546" s="268">
        <v>0.3211</v>
      </c>
      <c r="L1546" s="268">
        <v>0.24709999999999999</v>
      </c>
      <c r="M1546" s="268">
        <v>-4.5999999999999999E-3</v>
      </c>
      <c r="N1546" s="8">
        <v>297.79000000000002</v>
      </c>
      <c r="O1546" s="8">
        <v>4022.59</v>
      </c>
      <c r="P1546" s="268">
        <v>7.3999999999999996E-2</v>
      </c>
      <c r="Q1546" s="8">
        <v>252</v>
      </c>
      <c r="R1546" s="8" t="s">
        <v>9674</v>
      </c>
      <c r="S1546" s="8" t="s">
        <v>8261</v>
      </c>
      <c r="T1546" s="8" t="s">
        <v>3703</v>
      </c>
      <c r="U1546" s="8" t="s">
        <v>9675</v>
      </c>
      <c r="V1546" s="8" t="s">
        <v>9676</v>
      </c>
      <c r="W1546" s="8" t="s">
        <v>9677</v>
      </c>
    </row>
    <row r="1547" spans="1:23" ht="28" customHeight="1" x14ac:dyDescent="0.3">
      <c r="A1547" s="308">
        <v>43972</v>
      </c>
      <c r="B1547" s="302">
        <v>1353.076</v>
      </c>
      <c r="C1547" s="8">
        <v>-2.6030000000000002</v>
      </c>
      <c r="D1547" s="268">
        <v>-1.9E-3</v>
      </c>
      <c r="E1547" s="8">
        <v>44.08</v>
      </c>
      <c r="F1547" s="8">
        <v>122.611</v>
      </c>
      <c r="G1547" s="8">
        <v>110.96</v>
      </c>
      <c r="H1547" s="8">
        <v>91.29</v>
      </c>
      <c r="I1547" s="8">
        <v>154.24</v>
      </c>
      <c r="J1547" s="8">
        <v>62.07</v>
      </c>
      <c r="K1547" s="268">
        <v>0.31619999999999998</v>
      </c>
      <c r="L1547" s="268">
        <v>0.23089999999999999</v>
      </c>
      <c r="M1547" s="268">
        <v>-7.0000000000000001E-3</v>
      </c>
      <c r="N1547" s="8">
        <v>357.62</v>
      </c>
      <c r="O1547" s="8">
        <v>4023.85</v>
      </c>
      <c r="P1547" s="268">
        <v>8.8900000000000007E-2</v>
      </c>
      <c r="Q1547" s="8">
        <v>252</v>
      </c>
      <c r="R1547" s="8" t="s">
        <v>3668</v>
      </c>
      <c r="S1547" s="8" t="s">
        <v>2607</v>
      </c>
      <c r="T1547" s="8" t="s">
        <v>9678</v>
      </c>
      <c r="U1547" s="8" t="s">
        <v>9679</v>
      </c>
      <c r="V1547" s="8" t="s">
        <v>9680</v>
      </c>
      <c r="W1547" s="8" t="s">
        <v>9681</v>
      </c>
    </row>
    <row r="1548" spans="1:23" ht="28" customHeight="1" x14ac:dyDescent="0.3">
      <c r="A1548" s="308">
        <v>43971</v>
      </c>
      <c r="B1548" s="302">
        <v>1355.6790000000001</v>
      </c>
      <c r="C1548" s="8">
        <v>-11.071</v>
      </c>
      <c r="D1548" s="268">
        <v>-8.0999999999999996E-3</v>
      </c>
      <c r="E1548" s="8">
        <v>48.62</v>
      </c>
      <c r="F1548" s="8">
        <v>122.919</v>
      </c>
      <c r="G1548" s="8">
        <v>111.495</v>
      </c>
      <c r="H1548" s="8">
        <v>91.68</v>
      </c>
      <c r="I1548" s="8">
        <v>153.84</v>
      </c>
      <c r="J1548" s="8">
        <v>58.14</v>
      </c>
      <c r="K1548" s="268">
        <v>0.30930000000000002</v>
      </c>
      <c r="L1548" s="268">
        <v>0.22989999999999999</v>
      </c>
      <c r="M1548" s="268">
        <v>-7.6E-3</v>
      </c>
      <c r="N1548" s="8">
        <v>336.05</v>
      </c>
      <c r="O1548" s="8">
        <v>4023.38</v>
      </c>
      <c r="P1548" s="268">
        <v>8.3500000000000005E-2</v>
      </c>
      <c r="Q1548" s="8">
        <v>252</v>
      </c>
      <c r="R1548" s="8" t="s">
        <v>9682</v>
      </c>
      <c r="S1548" s="8" t="s">
        <v>9683</v>
      </c>
      <c r="T1548" s="8" t="s">
        <v>9684</v>
      </c>
      <c r="U1548" s="8" t="s">
        <v>9685</v>
      </c>
      <c r="V1548" s="8" t="s">
        <v>9686</v>
      </c>
      <c r="W1548" s="8" t="s">
        <v>9687</v>
      </c>
    </row>
    <row r="1549" spans="1:23" ht="28" customHeight="1" x14ac:dyDescent="0.3">
      <c r="A1549" s="308">
        <v>43970</v>
      </c>
      <c r="B1549" s="302">
        <v>1366.75</v>
      </c>
      <c r="C1549" s="8">
        <v>0.28699999999999998</v>
      </c>
      <c r="D1549" s="268">
        <v>2.0000000000000001E-4</v>
      </c>
      <c r="E1549" s="8">
        <v>55.19</v>
      </c>
      <c r="F1549" s="8">
        <v>124.089</v>
      </c>
      <c r="G1549" s="8">
        <v>113</v>
      </c>
      <c r="H1549" s="8">
        <v>91.95</v>
      </c>
      <c r="I1549" s="8">
        <v>154.83000000000001</v>
      </c>
      <c r="J1549" s="8">
        <v>56.52</v>
      </c>
      <c r="K1549" s="268">
        <v>0.30740000000000001</v>
      </c>
      <c r="L1549" s="268">
        <v>0.23730000000000001</v>
      </c>
      <c r="M1549" s="268">
        <v>-1.01E-2</v>
      </c>
      <c r="N1549" s="8">
        <v>269.19</v>
      </c>
      <c r="O1549" s="8">
        <v>4035.09</v>
      </c>
      <c r="P1549" s="268">
        <v>6.6699999999999995E-2</v>
      </c>
      <c r="Q1549" s="8">
        <v>251</v>
      </c>
      <c r="R1549" s="8" t="s">
        <v>9688</v>
      </c>
      <c r="S1549" s="8" t="s">
        <v>9689</v>
      </c>
      <c r="T1549" s="8" t="s">
        <v>2591</v>
      </c>
      <c r="U1549" s="8" t="s">
        <v>9690</v>
      </c>
      <c r="V1549" s="8" t="s">
        <v>9691</v>
      </c>
      <c r="W1549" s="8" t="s">
        <v>9692</v>
      </c>
    </row>
    <row r="1550" spans="1:23" ht="28" customHeight="1" x14ac:dyDescent="0.3">
      <c r="A1550" s="308">
        <v>43969</v>
      </c>
      <c r="B1550" s="302">
        <v>1366.463</v>
      </c>
      <c r="C1550" s="8">
        <v>-14.486000000000001</v>
      </c>
      <c r="D1550" s="268">
        <v>-1.0500000000000001E-2</v>
      </c>
      <c r="E1550" s="8">
        <v>55.15</v>
      </c>
      <c r="F1550" s="8">
        <v>123.956</v>
      </c>
      <c r="G1550" s="8">
        <v>112.89</v>
      </c>
      <c r="H1550" s="8">
        <v>91.54</v>
      </c>
      <c r="I1550" s="8">
        <v>156.07</v>
      </c>
      <c r="J1550" s="8">
        <v>62.27</v>
      </c>
      <c r="K1550" s="268">
        <v>0.3211</v>
      </c>
      <c r="L1550" s="268">
        <v>0.25619999999999998</v>
      </c>
      <c r="M1550" s="268">
        <v>-1.0200000000000001E-2</v>
      </c>
      <c r="N1550" s="8">
        <v>275.2</v>
      </c>
      <c r="O1550" s="8">
        <v>4035.79</v>
      </c>
      <c r="P1550" s="268">
        <v>6.8199999999999997E-2</v>
      </c>
      <c r="Q1550" s="8">
        <v>251</v>
      </c>
      <c r="R1550" s="8" t="s">
        <v>9693</v>
      </c>
      <c r="S1550" s="8" t="s">
        <v>4273</v>
      </c>
      <c r="T1550" s="8" t="s">
        <v>9694</v>
      </c>
      <c r="U1550" s="8" t="s">
        <v>9695</v>
      </c>
      <c r="V1550" s="8" t="s">
        <v>9696</v>
      </c>
      <c r="W1550" s="8" t="s">
        <v>4873</v>
      </c>
    </row>
    <row r="1551" spans="1:23" ht="28" customHeight="1" x14ac:dyDescent="0.3">
      <c r="A1551" s="308">
        <v>43966</v>
      </c>
      <c r="B1551" s="302">
        <v>1380.9490000000001</v>
      </c>
      <c r="C1551" s="8">
        <v>-5.9219999999999997</v>
      </c>
      <c r="D1551" s="268">
        <v>-4.3E-3</v>
      </c>
      <c r="E1551" s="8">
        <v>62.08</v>
      </c>
      <c r="F1551" s="8">
        <v>125.375</v>
      </c>
      <c r="G1551" s="8">
        <v>114.6</v>
      </c>
      <c r="H1551" s="8">
        <v>91.28</v>
      </c>
      <c r="I1551" s="8">
        <v>158.69</v>
      </c>
      <c r="J1551" s="8">
        <v>67.37</v>
      </c>
      <c r="K1551" s="268">
        <v>0.33310000000000001</v>
      </c>
      <c r="L1551" s="268">
        <v>0.26300000000000001</v>
      </c>
      <c r="M1551" s="268">
        <v>-1.26E-2</v>
      </c>
      <c r="N1551" s="8">
        <v>288.25</v>
      </c>
      <c r="O1551" s="8">
        <v>4028.98</v>
      </c>
      <c r="P1551" s="268">
        <v>7.1499999999999994E-2</v>
      </c>
      <c r="Q1551" s="8">
        <v>250</v>
      </c>
      <c r="R1551" s="8" t="s">
        <v>3615</v>
      </c>
      <c r="S1551" s="8" t="s">
        <v>9697</v>
      </c>
      <c r="T1551" s="8" t="s">
        <v>9698</v>
      </c>
      <c r="U1551" s="8" t="s">
        <v>9699</v>
      </c>
      <c r="V1551" s="8" t="s">
        <v>9700</v>
      </c>
      <c r="W1551" s="8" t="s">
        <v>9701</v>
      </c>
    </row>
    <row r="1552" spans="1:23" ht="28" customHeight="1" x14ac:dyDescent="0.3">
      <c r="A1552" s="308">
        <v>43965</v>
      </c>
      <c r="B1552" s="302">
        <v>1386.8710000000001</v>
      </c>
      <c r="C1552" s="8">
        <v>-13.316000000000001</v>
      </c>
      <c r="D1552" s="268">
        <v>-9.4999999999999998E-3</v>
      </c>
      <c r="E1552" s="8">
        <v>63.26</v>
      </c>
      <c r="F1552" s="8">
        <v>125.901</v>
      </c>
      <c r="G1552" s="8">
        <v>114.809</v>
      </c>
      <c r="H1552" s="8">
        <v>91.38</v>
      </c>
      <c r="I1552" s="8">
        <v>160.13</v>
      </c>
      <c r="J1552" s="8">
        <v>73</v>
      </c>
      <c r="K1552" s="268">
        <v>0.34229999999999999</v>
      </c>
      <c r="L1552" s="268">
        <v>0.26179999999999998</v>
      </c>
      <c r="M1552" s="268">
        <v>-1.37E-2</v>
      </c>
      <c r="N1552" s="8">
        <v>300</v>
      </c>
      <c r="O1552" s="8">
        <v>4029.16</v>
      </c>
      <c r="P1552" s="268">
        <v>7.4499999999999997E-2</v>
      </c>
      <c r="Q1552" s="8">
        <v>250</v>
      </c>
      <c r="R1552" s="8" t="s">
        <v>9702</v>
      </c>
      <c r="S1552" s="8" t="s">
        <v>4027</v>
      </c>
      <c r="T1552" s="8" t="s">
        <v>9703</v>
      </c>
      <c r="U1552" s="8" t="s">
        <v>9704</v>
      </c>
      <c r="V1552" s="8" t="s">
        <v>9705</v>
      </c>
      <c r="W1552" s="8" t="s">
        <v>9706</v>
      </c>
    </row>
    <row r="1553" spans="1:23" ht="28" customHeight="1" x14ac:dyDescent="0.3">
      <c r="A1553" s="308">
        <v>43964</v>
      </c>
      <c r="B1553" s="302">
        <v>1400.1869999999999</v>
      </c>
      <c r="C1553" s="8">
        <v>-2.0190000000000001</v>
      </c>
      <c r="D1553" s="268">
        <v>-1.4E-3</v>
      </c>
      <c r="E1553" s="8">
        <v>70.41</v>
      </c>
      <c r="F1553" s="8">
        <v>127.376</v>
      </c>
      <c r="G1553" s="8">
        <v>115.54</v>
      </c>
      <c r="H1553" s="8">
        <v>92.72</v>
      </c>
      <c r="I1553" s="8">
        <v>161.31</v>
      </c>
      <c r="J1553" s="8">
        <v>69.760000000000005</v>
      </c>
      <c r="K1553" s="268">
        <v>0.33929999999999999</v>
      </c>
      <c r="L1553" s="268">
        <v>0.25829999999999997</v>
      </c>
      <c r="M1553" s="268">
        <v>-1.61E-2</v>
      </c>
      <c r="N1553" s="8">
        <v>340.35</v>
      </c>
      <c r="O1553" s="8">
        <v>4001.52</v>
      </c>
      <c r="P1553" s="268">
        <v>8.5099999999999995E-2</v>
      </c>
      <c r="Q1553" s="8">
        <v>246</v>
      </c>
      <c r="R1553" s="8" t="s">
        <v>3574</v>
      </c>
      <c r="S1553" s="8" t="s">
        <v>2640</v>
      </c>
      <c r="T1553" s="8" t="s">
        <v>9707</v>
      </c>
      <c r="U1553" s="8" t="s">
        <v>9708</v>
      </c>
      <c r="V1553" s="8" t="s">
        <v>9709</v>
      </c>
      <c r="W1553" s="8" t="s">
        <v>8627</v>
      </c>
    </row>
    <row r="1554" spans="1:23" ht="28" customHeight="1" x14ac:dyDescent="0.3">
      <c r="A1554" s="308">
        <v>43963</v>
      </c>
      <c r="B1554" s="302">
        <v>1402.2059999999999</v>
      </c>
      <c r="C1554" s="8">
        <v>-1.01</v>
      </c>
      <c r="D1554" s="268">
        <v>-6.9999999999999999E-4</v>
      </c>
      <c r="E1554" s="8">
        <v>72.5</v>
      </c>
      <c r="F1554" s="8">
        <v>127.619</v>
      </c>
      <c r="G1554" s="8">
        <v>115.98</v>
      </c>
      <c r="H1554" s="8">
        <v>92.59</v>
      </c>
      <c r="I1554" s="8">
        <v>162.63999999999999</v>
      </c>
      <c r="J1554" s="8">
        <v>74.91</v>
      </c>
      <c r="K1554" s="268">
        <v>0.35020000000000001</v>
      </c>
      <c r="L1554" s="268">
        <v>0.27229999999999999</v>
      </c>
      <c r="M1554" s="268">
        <v>-1.66E-2</v>
      </c>
      <c r="N1554" s="8">
        <v>311.13</v>
      </c>
      <c r="O1554" s="8">
        <v>3992.45</v>
      </c>
      <c r="P1554" s="268">
        <v>7.7899999999999997E-2</v>
      </c>
      <c r="Q1554" s="8">
        <v>245</v>
      </c>
      <c r="R1554" s="8" t="s">
        <v>6109</v>
      </c>
      <c r="S1554" s="8" t="s">
        <v>5843</v>
      </c>
      <c r="T1554" s="8" t="s">
        <v>4682</v>
      </c>
      <c r="U1554" s="8" t="s">
        <v>9710</v>
      </c>
      <c r="V1554" s="8" t="s">
        <v>9711</v>
      </c>
      <c r="W1554" s="8" t="s">
        <v>9712</v>
      </c>
    </row>
    <row r="1555" spans="1:23" ht="28" customHeight="1" x14ac:dyDescent="0.3">
      <c r="A1555" s="308">
        <v>43962</v>
      </c>
      <c r="B1555" s="302">
        <v>1403.2159999999999</v>
      </c>
      <c r="C1555" s="8">
        <v>4.2949999999999999</v>
      </c>
      <c r="D1555" s="268">
        <v>3.0999999999999999E-3</v>
      </c>
      <c r="E1555" s="8">
        <v>74.47</v>
      </c>
      <c r="F1555" s="8">
        <v>127.432</v>
      </c>
      <c r="G1555" s="8">
        <v>116.319</v>
      </c>
      <c r="H1555" s="8">
        <v>93.05</v>
      </c>
      <c r="I1555" s="8">
        <v>162.30000000000001</v>
      </c>
      <c r="J1555" s="8">
        <v>74.09</v>
      </c>
      <c r="K1555" s="268">
        <v>0.34860000000000002</v>
      </c>
      <c r="L1555" s="268">
        <v>0.27389999999999998</v>
      </c>
      <c r="M1555" s="268">
        <v>-1.6899999999999998E-2</v>
      </c>
      <c r="N1555" s="8">
        <v>319.94</v>
      </c>
      <c r="O1555" s="8">
        <v>3984.71</v>
      </c>
      <c r="P1555" s="268">
        <v>8.0299999999999996E-2</v>
      </c>
      <c r="Q1555" s="8">
        <v>244</v>
      </c>
      <c r="R1555" s="8" t="s">
        <v>9397</v>
      </c>
      <c r="S1555" s="8" t="s">
        <v>9713</v>
      </c>
      <c r="T1555" s="8" t="s">
        <v>9714</v>
      </c>
      <c r="U1555" s="8" t="s">
        <v>9715</v>
      </c>
      <c r="V1555" s="8" t="s">
        <v>9716</v>
      </c>
      <c r="W1555" s="8" t="s">
        <v>9717</v>
      </c>
    </row>
    <row r="1556" spans="1:23" ht="28" customHeight="1" x14ac:dyDescent="0.3">
      <c r="A1556" s="308">
        <v>43959</v>
      </c>
      <c r="B1556" s="302">
        <v>1398.921</v>
      </c>
      <c r="C1556" s="8">
        <v>8.3019999999999996</v>
      </c>
      <c r="D1556" s="268">
        <v>6.0000000000000001E-3</v>
      </c>
      <c r="E1556" s="8">
        <v>77.48</v>
      </c>
      <c r="F1556" s="8">
        <v>126.738</v>
      </c>
      <c r="G1556" s="8">
        <v>116.521</v>
      </c>
      <c r="H1556" s="8">
        <v>93.47</v>
      </c>
      <c r="I1556" s="8">
        <v>161.16</v>
      </c>
      <c r="J1556" s="8">
        <v>74.650000000000006</v>
      </c>
      <c r="K1556" s="268">
        <v>0.34420000000000001</v>
      </c>
      <c r="L1556" s="268">
        <v>0.26919999999999999</v>
      </c>
      <c r="M1556" s="268">
        <v>-1.6199999999999999E-2</v>
      </c>
      <c r="N1556" s="8">
        <v>339.8</v>
      </c>
      <c r="O1556" s="8">
        <v>3979.49</v>
      </c>
      <c r="P1556" s="268">
        <v>8.5400000000000004E-2</v>
      </c>
      <c r="Q1556" s="8">
        <v>243</v>
      </c>
      <c r="R1556" s="8" t="s">
        <v>6105</v>
      </c>
      <c r="S1556" s="8">
        <v>0</v>
      </c>
      <c r="T1556" s="8" t="s">
        <v>9718</v>
      </c>
      <c r="U1556" s="8" t="s">
        <v>7875</v>
      </c>
      <c r="V1556" s="8" t="s">
        <v>9719</v>
      </c>
      <c r="W1556" s="8" t="s">
        <v>9720</v>
      </c>
    </row>
    <row r="1557" spans="1:23" ht="28" customHeight="1" x14ac:dyDescent="0.3">
      <c r="A1557" s="308">
        <v>43958</v>
      </c>
      <c r="B1557" s="302">
        <v>1390.6189999999999</v>
      </c>
      <c r="C1557" s="8">
        <v>-28.163</v>
      </c>
      <c r="D1557" s="268">
        <v>-1.9900000000000001E-2</v>
      </c>
      <c r="E1557" s="8">
        <v>75.03</v>
      </c>
      <c r="F1557" s="8">
        <v>125.935</v>
      </c>
      <c r="G1557" s="8">
        <v>115.979</v>
      </c>
      <c r="H1557" s="8">
        <v>92.39</v>
      </c>
      <c r="I1557" s="8">
        <v>160.82</v>
      </c>
      <c r="J1557" s="8">
        <v>81.510000000000005</v>
      </c>
      <c r="K1557" s="268">
        <v>0.34889999999999999</v>
      </c>
      <c r="L1557" s="268">
        <v>0.28249999999999997</v>
      </c>
      <c r="M1557" s="268">
        <v>-1.52E-2</v>
      </c>
      <c r="N1557" s="8">
        <v>324.89</v>
      </c>
      <c r="O1557" s="8">
        <v>3964.79</v>
      </c>
      <c r="P1557" s="268">
        <v>8.1900000000000001E-2</v>
      </c>
      <c r="Q1557" s="8">
        <v>241</v>
      </c>
      <c r="R1557" s="8" t="s">
        <v>3153</v>
      </c>
      <c r="S1557" s="8">
        <v>0</v>
      </c>
      <c r="T1557" s="8" t="s">
        <v>9721</v>
      </c>
      <c r="U1557" s="8" t="s">
        <v>9722</v>
      </c>
      <c r="V1557" s="8" t="s">
        <v>9723</v>
      </c>
      <c r="W1557" s="8" t="s">
        <v>9724</v>
      </c>
    </row>
    <row r="1558" spans="1:23" ht="28" customHeight="1" x14ac:dyDescent="0.3">
      <c r="A1558" s="308">
        <v>43957</v>
      </c>
      <c r="B1558" s="302">
        <v>1418.7819999999999</v>
      </c>
      <c r="C1558" s="8">
        <v>10.45</v>
      </c>
      <c r="D1558" s="268">
        <v>7.4000000000000003E-3</v>
      </c>
      <c r="E1558" s="8">
        <v>78.52</v>
      </c>
      <c r="F1558" s="8">
        <v>130.38800000000001</v>
      </c>
      <c r="G1558" s="8">
        <v>117.01</v>
      </c>
      <c r="H1558" s="8">
        <v>92.79</v>
      </c>
      <c r="I1558" s="8">
        <v>168.65</v>
      </c>
      <c r="J1558" s="8">
        <v>82.39</v>
      </c>
      <c r="K1558" s="268">
        <v>0.3826</v>
      </c>
      <c r="L1558" s="268">
        <v>0.27739999999999998</v>
      </c>
      <c r="M1558" s="268">
        <v>-1.9800000000000002E-2</v>
      </c>
      <c r="N1558" s="8">
        <v>367.26</v>
      </c>
      <c r="O1558" s="8">
        <v>3964.88</v>
      </c>
      <c r="P1558" s="268">
        <v>9.2600000000000002E-2</v>
      </c>
      <c r="Q1558" s="8">
        <v>241</v>
      </c>
      <c r="R1558" s="8" t="s">
        <v>9361</v>
      </c>
      <c r="S1558" s="8">
        <v>0</v>
      </c>
      <c r="T1558" s="8" t="s">
        <v>8255</v>
      </c>
      <c r="U1558" s="8" t="s">
        <v>9725</v>
      </c>
      <c r="V1558" s="8" t="s">
        <v>9726</v>
      </c>
      <c r="W1558" s="8" t="s">
        <v>9727</v>
      </c>
    </row>
    <row r="1559" spans="1:23" ht="28" customHeight="1" x14ac:dyDescent="0.3">
      <c r="A1559" s="308">
        <v>43951</v>
      </c>
      <c r="B1559" s="302">
        <v>1408.3320000000001</v>
      </c>
      <c r="C1559" s="8">
        <v>7.2160000000000002</v>
      </c>
      <c r="D1559" s="268">
        <v>5.1999999999999998E-3</v>
      </c>
      <c r="E1559" s="8">
        <v>76.03</v>
      </c>
      <c r="F1559" s="8">
        <v>129.416</v>
      </c>
      <c r="G1559" s="8">
        <v>116.58</v>
      </c>
      <c r="H1559" s="8">
        <v>91.82</v>
      </c>
      <c r="I1559" s="8">
        <v>168.97</v>
      </c>
      <c r="J1559" s="8">
        <v>84.06</v>
      </c>
      <c r="K1559" s="268">
        <v>0.39560000000000001</v>
      </c>
      <c r="L1559" s="268">
        <v>0.29380000000000001</v>
      </c>
      <c r="M1559" s="268">
        <v>-1.84E-2</v>
      </c>
      <c r="N1559" s="8">
        <v>540.29</v>
      </c>
      <c r="O1559" s="8">
        <v>3936.61</v>
      </c>
      <c r="P1559" s="268">
        <v>0.13719999999999999</v>
      </c>
      <c r="Q1559" s="8">
        <v>239</v>
      </c>
      <c r="R1559" s="8">
        <v>0</v>
      </c>
      <c r="S1559" s="8" t="s">
        <v>3625</v>
      </c>
      <c r="T1559" s="8" t="s">
        <v>4618</v>
      </c>
      <c r="U1559" s="8" t="s">
        <v>9728</v>
      </c>
      <c r="V1559" s="8" t="s">
        <v>8279</v>
      </c>
      <c r="W1559" s="8" t="s">
        <v>4851</v>
      </c>
    </row>
    <row r="1560" spans="1:23" ht="28" customHeight="1" x14ac:dyDescent="0.3">
      <c r="A1560" s="308">
        <v>43950</v>
      </c>
      <c r="B1560" s="302">
        <v>1401.116</v>
      </c>
      <c r="C1560" s="8">
        <v>-6.7009999999999996</v>
      </c>
      <c r="D1560" s="268">
        <v>-4.7999999999999996E-3</v>
      </c>
      <c r="E1560" s="8">
        <v>72.599999999999994</v>
      </c>
      <c r="F1560" s="8">
        <v>128.92099999999999</v>
      </c>
      <c r="G1560" s="8">
        <v>116.24</v>
      </c>
      <c r="H1560" s="8">
        <v>90.12</v>
      </c>
      <c r="I1560" s="8">
        <v>170.88</v>
      </c>
      <c r="J1560" s="8">
        <v>89.21</v>
      </c>
      <c r="K1560" s="268">
        <v>0.41959999999999997</v>
      </c>
      <c r="L1560" s="268">
        <v>0.31569999999999998</v>
      </c>
      <c r="M1560" s="268">
        <v>-1.7399999999999999E-2</v>
      </c>
      <c r="N1560" s="8">
        <v>657.16</v>
      </c>
      <c r="O1560" s="8">
        <v>3936.67</v>
      </c>
      <c r="P1560" s="268">
        <v>0.16689999999999999</v>
      </c>
      <c r="Q1560" s="8">
        <v>239</v>
      </c>
      <c r="R1560" s="8">
        <v>0</v>
      </c>
      <c r="S1560" s="8" t="s">
        <v>9713</v>
      </c>
      <c r="T1560" s="8" t="s">
        <v>9729</v>
      </c>
      <c r="U1560" s="8" t="s">
        <v>9730</v>
      </c>
      <c r="V1560" s="8" t="s">
        <v>9731</v>
      </c>
      <c r="W1560" s="8" t="s">
        <v>9732</v>
      </c>
    </row>
    <row r="1561" spans="1:23" ht="28" customHeight="1" x14ac:dyDescent="0.3">
      <c r="A1561" s="308">
        <v>43949</v>
      </c>
      <c r="B1561" s="302">
        <v>1407.817</v>
      </c>
      <c r="C1561" s="8">
        <v>-0.78900000000000003</v>
      </c>
      <c r="D1561" s="268">
        <v>-5.9999999999999995E-4</v>
      </c>
      <c r="E1561" s="8">
        <v>71.36</v>
      </c>
      <c r="F1561" s="8">
        <v>129.93899999999999</v>
      </c>
      <c r="G1561" s="8">
        <v>116.18</v>
      </c>
      <c r="H1561" s="8">
        <v>90.69</v>
      </c>
      <c r="I1561" s="8">
        <v>173.51</v>
      </c>
      <c r="J1561" s="8">
        <v>91.05</v>
      </c>
      <c r="K1561" s="268">
        <v>0.43569999999999998</v>
      </c>
      <c r="L1561" s="268">
        <v>0.31990000000000002</v>
      </c>
      <c r="M1561" s="268">
        <v>-1.7100000000000001E-2</v>
      </c>
      <c r="N1561" s="8">
        <v>634.52</v>
      </c>
      <c r="O1561" s="8">
        <v>3931.2</v>
      </c>
      <c r="P1561" s="268">
        <v>0.16139999999999999</v>
      </c>
      <c r="Q1561" s="8">
        <v>239</v>
      </c>
      <c r="R1561" s="8">
        <v>0</v>
      </c>
      <c r="S1561" s="8" t="s">
        <v>9733</v>
      </c>
      <c r="T1561" s="8" t="s">
        <v>9734</v>
      </c>
      <c r="U1561" s="8" t="s">
        <v>9735</v>
      </c>
      <c r="V1561" s="8" t="s">
        <v>4730</v>
      </c>
      <c r="W1561" s="8" t="s">
        <v>9736</v>
      </c>
    </row>
    <row r="1562" spans="1:23" ht="28" customHeight="1" x14ac:dyDescent="0.3">
      <c r="A1562" s="308">
        <v>43948</v>
      </c>
      <c r="B1562" s="302">
        <v>1408.606</v>
      </c>
      <c r="C1562" s="8">
        <v>10.819000000000001</v>
      </c>
      <c r="D1562" s="268">
        <v>7.7000000000000002E-3</v>
      </c>
      <c r="E1562" s="8">
        <v>75.400000000000006</v>
      </c>
      <c r="F1562" s="8">
        <v>129.73699999999999</v>
      </c>
      <c r="G1562" s="8">
        <v>116.6</v>
      </c>
      <c r="H1562" s="8">
        <v>92.16</v>
      </c>
      <c r="I1562" s="8">
        <v>170.41</v>
      </c>
      <c r="J1562" s="8">
        <v>87.71</v>
      </c>
      <c r="K1562" s="268">
        <v>0.40679999999999999</v>
      </c>
      <c r="L1562" s="268">
        <v>0.2984</v>
      </c>
      <c r="M1562" s="268">
        <v>-1.8700000000000001E-2</v>
      </c>
      <c r="N1562" s="8">
        <v>499.74</v>
      </c>
      <c r="O1562" s="8">
        <v>3923.52</v>
      </c>
      <c r="P1562" s="268">
        <v>0.12740000000000001</v>
      </c>
      <c r="Q1562" s="8">
        <v>237</v>
      </c>
      <c r="R1562" s="8">
        <v>0</v>
      </c>
      <c r="S1562" s="8" t="s">
        <v>9737</v>
      </c>
      <c r="T1562" s="8" t="s">
        <v>9738</v>
      </c>
      <c r="U1562" s="8" t="s">
        <v>9270</v>
      </c>
      <c r="V1562" s="8" t="s">
        <v>9739</v>
      </c>
      <c r="W1562" s="8" t="s">
        <v>9740</v>
      </c>
    </row>
    <row r="1563" spans="1:23" ht="28" customHeight="1" x14ac:dyDescent="0.3">
      <c r="A1563" s="308">
        <v>43945</v>
      </c>
      <c r="B1563" s="302">
        <v>1397.787</v>
      </c>
      <c r="C1563" s="8">
        <v>-19.530999999999999</v>
      </c>
      <c r="D1563" s="268">
        <v>-1.38E-2</v>
      </c>
      <c r="E1563" s="8">
        <v>74</v>
      </c>
      <c r="F1563" s="8">
        <v>128.209</v>
      </c>
      <c r="G1563" s="8">
        <v>115.9</v>
      </c>
      <c r="H1563" s="8">
        <v>91.84</v>
      </c>
      <c r="I1563" s="8">
        <v>166.79</v>
      </c>
      <c r="J1563" s="8">
        <v>86.04</v>
      </c>
      <c r="K1563" s="268">
        <v>0.38590000000000002</v>
      </c>
      <c r="L1563" s="268">
        <v>0.2863</v>
      </c>
      <c r="M1563" s="268">
        <v>-1.72E-2</v>
      </c>
      <c r="N1563" s="8">
        <v>667.37</v>
      </c>
      <c r="O1563" s="8">
        <v>3923.62</v>
      </c>
      <c r="P1563" s="268">
        <v>0.1701</v>
      </c>
      <c r="Q1563" s="8">
        <v>237</v>
      </c>
      <c r="R1563" s="8">
        <v>0</v>
      </c>
      <c r="S1563" s="8" t="s">
        <v>9741</v>
      </c>
      <c r="T1563" s="8" t="s">
        <v>9742</v>
      </c>
      <c r="U1563" s="8" t="s">
        <v>9743</v>
      </c>
      <c r="V1563" s="8" t="s">
        <v>9744</v>
      </c>
      <c r="W1563" s="8" t="s">
        <v>9745</v>
      </c>
    </row>
    <row r="1564" spans="1:23" ht="28" customHeight="1" x14ac:dyDescent="0.3">
      <c r="A1564" s="308">
        <v>43944</v>
      </c>
      <c r="B1564" s="302">
        <v>1417.318</v>
      </c>
      <c r="C1564" s="8">
        <v>4.2110000000000003</v>
      </c>
      <c r="D1564" s="268">
        <v>3.0000000000000001E-3</v>
      </c>
      <c r="E1564" s="8">
        <v>80.56</v>
      </c>
      <c r="F1564" s="8">
        <v>130.49100000000001</v>
      </c>
      <c r="G1564" s="8">
        <v>117.22</v>
      </c>
      <c r="H1564" s="8">
        <v>93.66</v>
      </c>
      <c r="I1564" s="8">
        <v>168.61</v>
      </c>
      <c r="J1564" s="8">
        <v>85.48</v>
      </c>
      <c r="K1564" s="268">
        <v>0.38119999999999998</v>
      </c>
      <c r="L1564" s="268">
        <v>0.2928</v>
      </c>
      <c r="M1564" s="268">
        <v>-2.01E-2</v>
      </c>
      <c r="N1564" s="8">
        <v>637.27</v>
      </c>
      <c r="O1564" s="8">
        <v>3923.67</v>
      </c>
      <c r="P1564" s="268">
        <v>0.16239999999999999</v>
      </c>
      <c r="Q1564" s="8">
        <v>237</v>
      </c>
      <c r="R1564" s="8">
        <v>0</v>
      </c>
      <c r="S1564" s="8" t="s">
        <v>3625</v>
      </c>
      <c r="T1564" s="8" t="s">
        <v>3847</v>
      </c>
      <c r="U1564" s="8" t="s">
        <v>9746</v>
      </c>
      <c r="V1564" s="8" t="s">
        <v>9731</v>
      </c>
      <c r="W1564" s="8" t="s">
        <v>9747</v>
      </c>
    </row>
    <row r="1565" spans="1:23" ht="28" customHeight="1" x14ac:dyDescent="0.3">
      <c r="A1565" s="308">
        <v>43943</v>
      </c>
      <c r="B1565" s="302">
        <v>1413.107</v>
      </c>
      <c r="C1565" s="8">
        <v>14.254</v>
      </c>
      <c r="D1565" s="268">
        <v>1.0200000000000001E-2</v>
      </c>
      <c r="E1565" s="8">
        <v>77.97</v>
      </c>
      <c r="F1565" s="8">
        <v>129.93100000000001</v>
      </c>
      <c r="G1565" s="8">
        <v>117.09</v>
      </c>
      <c r="H1565" s="8">
        <v>93.18</v>
      </c>
      <c r="I1565" s="8">
        <v>166.72</v>
      </c>
      <c r="J1565" s="8">
        <v>82.91</v>
      </c>
      <c r="K1565" s="268">
        <v>0.3679</v>
      </c>
      <c r="L1565" s="268">
        <v>0.28160000000000002</v>
      </c>
      <c r="M1565" s="268">
        <v>-1.95E-2</v>
      </c>
      <c r="N1565" s="8">
        <v>672.16</v>
      </c>
      <c r="O1565" s="8">
        <v>3923.74</v>
      </c>
      <c r="P1565" s="268">
        <v>0.17130000000000001</v>
      </c>
      <c r="Q1565" s="8">
        <v>237</v>
      </c>
      <c r="R1565" s="8">
        <v>0</v>
      </c>
      <c r="S1565" s="8" t="s">
        <v>9748</v>
      </c>
      <c r="T1565" s="8" t="s">
        <v>9749</v>
      </c>
      <c r="U1565" s="8" t="s">
        <v>7966</v>
      </c>
      <c r="V1565" s="8" t="s">
        <v>9750</v>
      </c>
      <c r="W1565" s="8" t="s">
        <v>9751</v>
      </c>
    </row>
    <row r="1566" spans="1:23" ht="28" customHeight="1" x14ac:dyDescent="0.3">
      <c r="A1566" s="308">
        <v>43942</v>
      </c>
      <c r="B1566" s="302">
        <v>1398.8530000000001</v>
      </c>
      <c r="C1566" s="8">
        <v>1.663</v>
      </c>
      <c r="D1566" s="268">
        <v>1.1999999999999999E-3</v>
      </c>
      <c r="E1566" s="8">
        <v>76.19</v>
      </c>
      <c r="F1566" s="8">
        <v>127.643</v>
      </c>
      <c r="G1566" s="8">
        <v>116.28700000000001</v>
      </c>
      <c r="H1566" s="8">
        <v>92.57</v>
      </c>
      <c r="I1566" s="8">
        <v>163.32</v>
      </c>
      <c r="J1566" s="8">
        <v>84.91</v>
      </c>
      <c r="K1566" s="268">
        <v>0.35670000000000002</v>
      </c>
      <c r="L1566" s="268">
        <v>0.28739999999999999</v>
      </c>
      <c r="M1566" s="268">
        <v>-1.6899999999999998E-2</v>
      </c>
      <c r="N1566" s="8">
        <v>572.36</v>
      </c>
      <c r="O1566" s="8">
        <v>3904.11</v>
      </c>
      <c r="P1566" s="268">
        <v>0.14660000000000001</v>
      </c>
      <c r="Q1566" s="8">
        <v>234</v>
      </c>
      <c r="R1566" s="8">
        <v>0</v>
      </c>
      <c r="S1566" s="8" t="s">
        <v>9752</v>
      </c>
      <c r="T1566" s="8" t="s">
        <v>9753</v>
      </c>
      <c r="U1566" s="8" t="s">
        <v>9754</v>
      </c>
      <c r="V1566" s="8" t="s">
        <v>9755</v>
      </c>
      <c r="W1566" s="8" t="s">
        <v>9756</v>
      </c>
    </row>
    <row r="1567" spans="1:23" ht="28" customHeight="1" x14ac:dyDescent="0.3">
      <c r="A1567" s="308">
        <v>43941</v>
      </c>
      <c r="B1567" s="302">
        <v>1397.19</v>
      </c>
      <c r="C1567" s="8">
        <v>19.167999999999999</v>
      </c>
      <c r="D1567" s="268">
        <v>1.3899999999999999E-2</v>
      </c>
      <c r="E1567" s="8">
        <v>78.11</v>
      </c>
      <c r="F1567" s="8">
        <v>127.95699999999999</v>
      </c>
      <c r="G1567" s="8">
        <v>116.765</v>
      </c>
      <c r="H1567" s="8">
        <v>92.66</v>
      </c>
      <c r="I1567" s="8">
        <v>163.79</v>
      </c>
      <c r="J1567" s="8">
        <v>80.25</v>
      </c>
      <c r="K1567" s="268">
        <v>0.35830000000000001</v>
      </c>
      <c r="L1567" s="268">
        <v>0.26900000000000002</v>
      </c>
      <c r="M1567" s="268">
        <v>-1.7399999999999999E-2</v>
      </c>
      <c r="N1567" s="8">
        <v>527.22</v>
      </c>
      <c r="O1567" s="8">
        <v>3910.56</v>
      </c>
      <c r="P1567" s="268">
        <v>0.1348</v>
      </c>
      <c r="Q1567" s="8">
        <v>236</v>
      </c>
      <c r="R1567" s="8">
        <v>0</v>
      </c>
      <c r="S1567" s="8" t="s">
        <v>6080</v>
      </c>
      <c r="T1567" s="8" t="s">
        <v>8027</v>
      </c>
      <c r="U1567" s="8" t="s">
        <v>9757</v>
      </c>
      <c r="V1567" s="8" t="s">
        <v>9758</v>
      </c>
      <c r="W1567" s="8" t="s">
        <v>9759</v>
      </c>
    </row>
    <row r="1568" spans="1:23" ht="28" customHeight="1" x14ac:dyDescent="0.3">
      <c r="A1568" s="308">
        <v>43938</v>
      </c>
      <c r="B1568" s="302">
        <v>1378.0219999999999</v>
      </c>
      <c r="C1568" s="8">
        <v>2.6539999999999999</v>
      </c>
      <c r="D1568" s="268">
        <v>1.9E-3</v>
      </c>
      <c r="E1568" s="8">
        <v>74.67</v>
      </c>
      <c r="F1568" s="8">
        <v>125.913</v>
      </c>
      <c r="G1568" s="8">
        <v>116.56</v>
      </c>
      <c r="H1568" s="8">
        <v>92.22</v>
      </c>
      <c r="I1568" s="8">
        <v>161.12</v>
      </c>
      <c r="J1568" s="8">
        <v>84.48</v>
      </c>
      <c r="K1568" s="268">
        <v>0.35199999999999998</v>
      </c>
      <c r="L1568" s="268">
        <v>0.27600000000000002</v>
      </c>
      <c r="M1568" s="268">
        <v>-1.4800000000000001E-2</v>
      </c>
      <c r="N1568" s="8">
        <v>586.74</v>
      </c>
      <c r="O1568" s="8">
        <v>3895.81</v>
      </c>
      <c r="P1568" s="268">
        <v>0.15060000000000001</v>
      </c>
      <c r="Q1568" s="8">
        <v>233</v>
      </c>
      <c r="R1568" s="8">
        <v>0</v>
      </c>
      <c r="S1568" s="8" t="s">
        <v>9168</v>
      </c>
      <c r="T1568" s="8" t="s">
        <v>9760</v>
      </c>
      <c r="U1568" s="8" t="s">
        <v>9286</v>
      </c>
      <c r="V1568" s="8" t="s">
        <v>9761</v>
      </c>
      <c r="W1568" s="8" t="s">
        <v>9762</v>
      </c>
    </row>
    <row r="1569" spans="1:23" ht="28" customHeight="1" x14ac:dyDescent="0.3">
      <c r="A1569" s="308">
        <v>43937</v>
      </c>
      <c r="B1569" s="302">
        <v>1375.3679999999999</v>
      </c>
      <c r="C1569" s="8">
        <v>13.212999999999999</v>
      </c>
      <c r="D1569" s="268">
        <v>9.7000000000000003E-3</v>
      </c>
      <c r="E1569" s="8">
        <v>73.81</v>
      </c>
      <c r="F1569" s="8">
        <v>125.76600000000001</v>
      </c>
      <c r="G1569" s="8">
        <v>116.1</v>
      </c>
      <c r="H1569" s="8">
        <v>92.17</v>
      </c>
      <c r="I1569" s="8">
        <v>160.69999999999999</v>
      </c>
      <c r="J1569" s="8">
        <v>80.16</v>
      </c>
      <c r="K1569" s="268">
        <v>0.34939999999999999</v>
      </c>
      <c r="L1569" s="268">
        <v>0.27389999999999998</v>
      </c>
      <c r="M1569" s="268">
        <v>-1.43E-2</v>
      </c>
      <c r="N1569" s="8">
        <v>602.19000000000005</v>
      </c>
      <c r="O1569" s="8">
        <v>3867.59</v>
      </c>
      <c r="P1569" s="268">
        <v>0.15570000000000001</v>
      </c>
      <c r="Q1569" s="8">
        <v>232</v>
      </c>
      <c r="R1569" s="8">
        <v>0</v>
      </c>
      <c r="S1569" s="8" t="s">
        <v>6080</v>
      </c>
      <c r="T1569" s="8" t="s">
        <v>9763</v>
      </c>
      <c r="U1569" s="8" t="s">
        <v>9764</v>
      </c>
      <c r="V1569" s="8" t="s">
        <v>9765</v>
      </c>
      <c r="W1569" s="8" t="s">
        <v>9766</v>
      </c>
    </row>
    <row r="1570" spans="1:23" ht="28" customHeight="1" x14ac:dyDescent="0.3">
      <c r="A1570" s="308">
        <v>43936</v>
      </c>
      <c r="B1570" s="302">
        <v>1362.155</v>
      </c>
      <c r="C1570" s="8">
        <v>14.167</v>
      </c>
      <c r="D1570" s="268">
        <v>1.0500000000000001E-2</v>
      </c>
      <c r="E1570" s="8">
        <v>70</v>
      </c>
      <c r="F1570" s="8">
        <v>124.655</v>
      </c>
      <c r="G1570" s="8">
        <v>116</v>
      </c>
      <c r="H1570" s="8">
        <v>91.83</v>
      </c>
      <c r="I1570" s="8">
        <v>159.05000000000001</v>
      </c>
      <c r="J1570" s="8">
        <v>82.14</v>
      </c>
      <c r="K1570" s="268">
        <v>0.34399999999999997</v>
      </c>
      <c r="L1570" s="268">
        <v>0.26590000000000003</v>
      </c>
      <c r="M1570" s="268">
        <v>-1.2500000000000001E-2</v>
      </c>
      <c r="N1570" s="8">
        <v>625.64</v>
      </c>
      <c r="O1570" s="8">
        <v>3847.72</v>
      </c>
      <c r="P1570" s="268">
        <v>0.16259999999999999</v>
      </c>
      <c r="Q1570" s="8">
        <v>231</v>
      </c>
      <c r="R1570" s="8">
        <v>0</v>
      </c>
      <c r="S1570" s="8" t="s">
        <v>9767</v>
      </c>
      <c r="T1570" s="8" t="s">
        <v>9477</v>
      </c>
      <c r="U1570" s="8" t="s">
        <v>9768</v>
      </c>
      <c r="V1570" s="8" t="s">
        <v>9769</v>
      </c>
      <c r="W1570" s="8" t="s">
        <v>9770</v>
      </c>
    </row>
    <row r="1571" spans="1:23" ht="28" customHeight="1" x14ac:dyDescent="0.3">
      <c r="A1571" s="308">
        <v>43935</v>
      </c>
      <c r="B1571" s="302">
        <v>1347.9880000000001</v>
      </c>
      <c r="C1571" s="8">
        <v>24.693000000000001</v>
      </c>
      <c r="D1571" s="268">
        <v>1.8700000000000001E-2</v>
      </c>
      <c r="E1571" s="8">
        <v>68.290000000000006</v>
      </c>
      <c r="F1571" s="8">
        <v>122.94199999999999</v>
      </c>
      <c r="G1571" s="8">
        <v>115.15</v>
      </c>
      <c r="H1571" s="8">
        <v>92.84</v>
      </c>
      <c r="I1571" s="8">
        <v>155.09</v>
      </c>
      <c r="J1571" s="8">
        <v>75.27</v>
      </c>
      <c r="K1571" s="268">
        <v>0.32150000000000001</v>
      </c>
      <c r="L1571" s="268">
        <v>0.245</v>
      </c>
      <c r="M1571" s="268">
        <v>-1.0500000000000001E-2</v>
      </c>
      <c r="N1571" s="8">
        <v>353.77</v>
      </c>
      <c r="O1571" s="8">
        <v>3847.87</v>
      </c>
      <c r="P1571" s="268">
        <v>9.1899999999999996E-2</v>
      </c>
      <c r="Q1571" s="8">
        <v>231</v>
      </c>
      <c r="R1571" s="8">
        <v>0</v>
      </c>
      <c r="S1571" s="8" t="s">
        <v>6284</v>
      </c>
      <c r="T1571" s="8" t="s">
        <v>9771</v>
      </c>
      <c r="U1571" s="8" t="s">
        <v>9772</v>
      </c>
      <c r="V1571" s="8" t="s">
        <v>9773</v>
      </c>
      <c r="W1571" s="8" t="s">
        <v>9774</v>
      </c>
    </row>
    <row r="1572" spans="1:23" ht="28" customHeight="1" x14ac:dyDescent="0.3">
      <c r="A1572" s="308">
        <v>43934</v>
      </c>
      <c r="B1572" s="302">
        <v>1323.2950000000001</v>
      </c>
      <c r="C1572" s="8">
        <v>-18.884</v>
      </c>
      <c r="D1572" s="268">
        <v>-1.41E-2</v>
      </c>
      <c r="E1572" s="8">
        <v>65.319999999999993</v>
      </c>
      <c r="F1572" s="8">
        <v>120.708</v>
      </c>
      <c r="G1572" s="8">
        <v>114</v>
      </c>
      <c r="H1572" s="8">
        <v>91.38</v>
      </c>
      <c r="I1572" s="8">
        <v>152.62</v>
      </c>
      <c r="J1572" s="8">
        <v>79.650000000000006</v>
      </c>
      <c r="K1572" s="268">
        <v>0.31909999999999999</v>
      </c>
      <c r="L1572" s="268">
        <v>0.25679999999999997</v>
      </c>
      <c r="M1572" s="268">
        <v>-7.1999999999999998E-3</v>
      </c>
      <c r="N1572" s="8">
        <v>234.42</v>
      </c>
      <c r="O1572" s="8">
        <v>3836.42</v>
      </c>
      <c r="P1572" s="268">
        <v>6.1100000000000002E-2</v>
      </c>
      <c r="Q1572" s="8">
        <v>229</v>
      </c>
      <c r="R1572" s="8">
        <v>0</v>
      </c>
      <c r="S1572" s="8" t="s">
        <v>9775</v>
      </c>
      <c r="T1572" s="8" t="s">
        <v>9776</v>
      </c>
      <c r="U1572" s="8" t="s">
        <v>9777</v>
      </c>
      <c r="V1572" s="8" t="s">
        <v>9778</v>
      </c>
      <c r="W1572" s="8" t="s">
        <v>9779</v>
      </c>
    </row>
    <row r="1573" spans="1:23" ht="28" customHeight="1" x14ac:dyDescent="0.3">
      <c r="A1573" s="308">
        <v>43931</v>
      </c>
      <c r="B1573" s="302">
        <v>1342.1790000000001</v>
      </c>
      <c r="C1573" s="8">
        <v>-27.21</v>
      </c>
      <c r="D1573" s="268">
        <v>-1.9900000000000001E-2</v>
      </c>
      <c r="E1573" s="8">
        <v>70.569999999999993</v>
      </c>
      <c r="F1573" s="8">
        <v>122.42700000000001</v>
      </c>
      <c r="G1573" s="8">
        <v>115.2</v>
      </c>
      <c r="H1573" s="8">
        <v>92.22</v>
      </c>
      <c r="I1573" s="8">
        <v>154.9</v>
      </c>
      <c r="J1573" s="8">
        <v>80.77</v>
      </c>
      <c r="K1573" s="268">
        <v>0.32469999999999999</v>
      </c>
      <c r="L1573" s="268">
        <v>0.25459999999999999</v>
      </c>
      <c r="M1573" s="268">
        <v>-1.03E-2</v>
      </c>
      <c r="N1573" s="8">
        <v>251.95</v>
      </c>
      <c r="O1573" s="8">
        <v>3838</v>
      </c>
      <c r="P1573" s="268">
        <v>6.5600000000000006E-2</v>
      </c>
      <c r="Q1573" s="8">
        <v>229</v>
      </c>
      <c r="R1573" s="8">
        <v>0</v>
      </c>
      <c r="S1573" s="8" t="s">
        <v>9780</v>
      </c>
      <c r="T1573" s="8" t="s">
        <v>9781</v>
      </c>
      <c r="U1573" s="8" t="s">
        <v>9782</v>
      </c>
      <c r="V1573" s="8" t="s">
        <v>9783</v>
      </c>
      <c r="W1573" s="8" t="s">
        <v>9784</v>
      </c>
    </row>
    <row r="1574" spans="1:23" ht="28" customHeight="1" x14ac:dyDescent="0.3">
      <c r="A1574" s="308">
        <v>43930</v>
      </c>
      <c r="B1574" s="302">
        <v>1369.3889999999999</v>
      </c>
      <c r="C1574" s="8">
        <v>-0.93200000000000005</v>
      </c>
      <c r="D1574" s="268">
        <v>-6.9999999999999999E-4</v>
      </c>
      <c r="E1574" s="8">
        <v>78.150000000000006</v>
      </c>
      <c r="F1574" s="8">
        <v>125.437</v>
      </c>
      <c r="G1574" s="8">
        <v>117.116</v>
      </c>
      <c r="H1574" s="8">
        <v>94.57</v>
      </c>
      <c r="I1574" s="8">
        <v>157.25</v>
      </c>
      <c r="J1574" s="8">
        <v>74.14</v>
      </c>
      <c r="K1574" s="268">
        <v>0.31809999999999999</v>
      </c>
      <c r="L1574" s="268">
        <v>0.248</v>
      </c>
      <c r="M1574" s="268">
        <v>-1.4999999999999999E-2</v>
      </c>
      <c r="N1574" s="8">
        <v>271.48</v>
      </c>
      <c r="O1574" s="8">
        <v>3801.09</v>
      </c>
      <c r="P1574" s="268">
        <v>7.1400000000000005E-2</v>
      </c>
      <c r="Q1574" s="8">
        <v>226</v>
      </c>
      <c r="R1574" s="8">
        <v>0</v>
      </c>
      <c r="S1574" s="8" t="s">
        <v>9295</v>
      </c>
      <c r="T1574" s="8" t="s">
        <v>9785</v>
      </c>
      <c r="U1574" s="8" t="s">
        <v>9199</v>
      </c>
      <c r="V1574" s="8" t="s">
        <v>9786</v>
      </c>
      <c r="W1574" s="8" t="s">
        <v>9787</v>
      </c>
    </row>
    <row r="1575" spans="1:23" ht="28" customHeight="1" x14ac:dyDescent="0.3">
      <c r="A1575" s="308">
        <v>43929</v>
      </c>
      <c r="B1575" s="302">
        <v>1370.3209999999999</v>
      </c>
      <c r="C1575" s="8">
        <v>-7.1630000000000003</v>
      </c>
      <c r="D1575" s="268">
        <v>-5.1999999999999998E-3</v>
      </c>
      <c r="E1575" s="8">
        <v>76.94</v>
      </c>
      <c r="F1575" s="8">
        <v>125.776</v>
      </c>
      <c r="G1575" s="8">
        <v>117.38</v>
      </c>
      <c r="H1575" s="8">
        <v>94.76</v>
      </c>
      <c r="I1575" s="8">
        <v>158.38999999999999</v>
      </c>
      <c r="J1575" s="8">
        <v>78.260000000000005</v>
      </c>
      <c r="K1575" s="268">
        <v>0.3261</v>
      </c>
      <c r="L1575" s="268">
        <v>0.2571</v>
      </c>
      <c r="M1575" s="268">
        <v>-1.5299999999999999E-2</v>
      </c>
      <c r="N1575" s="8">
        <v>301.42</v>
      </c>
      <c r="O1575" s="8">
        <v>3794.62</v>
      </c>
      <c r="P1575" s="268">
        <v>7.9399999999999998E-2</v>
      </c>
      <c r="Q1575" s="8">
        <v>225</v>
      </c>
      <c r="R1575" s="8">
        <v>0</v>
      </c>
      <c r="S1575" s="8" t="s">
        <v>9788</v>
      </c>
      <c r="T1575" s="8" t="s">
        <v>9789</v>
      </c>
      <c r="U1575" s="8" t="s">
        <v>9790</v>
      </c>
      <c r="V1575" s="8" t="s">
        <v>9791</v>
      </c>
      <c r="W1575" s="8" t="s">
        <v>9792</v>
      </c>
    </row>
    <row r="1576" spans="1:23" ht="28" customHeight="1" x14ac:dyDescent="0.3">
      <c r="A1576" s="308">
        <v>43928</v>
      </c>
      <c r="B1576" s="302">
        <v>1377.4839999999999</v>
      </c>
      <c r="C1576" s="8">
        <v>15.836</v>
      </c>
      <c r="D1576" s="268">
        <v>1.1599999999999999E-2</v>
      </c>
      <c r="E1576" s="8">
        <v>76.88</v>
      </c>
      <c r="F1576" s="8">
        <v>126.65</v>
      </c>
      <c r="G1576" s="8">
        <v>117.3</v>
      </c>
      <c r="H1576" s="8">
        <v>94.05</v>
      </c>
      <c r="I1576" s="8">
        <v>160.02000000000001</v>
      </c>
      <c r="J1576" s="8">
        <v>78.760000000000005</v>
      </c>
      <c r="K1576" s="268">
        <v>0.3337</v>
      </c>
      <c r="L1576" s="268">
        <v>0.26879999999999998</v>
      </c>
      <c r="M1576" s="268">
        <v>-1.6400000000000001E-2</v>
      </c>
      <c r="N1576" s="8">
        <v>385.53</v>
      </c>
      <c r="O1576" s="8">
        <v>3796.01</v>
      </c>
      <c r="P1576" s="268">
        <v>0.1016</v>
      </c>
      <c r="Q1576" s="8">
        <v>225</v>
      </c>
      <c r="R1576" s="8">
        <v>0</v>
      </c>
      <c r="S1576" s="8" t="s">
        <v>9793</v>
      </c>
      <c r="T1576" s="8" t="s">
        <v>9794</v>
      </c>
      <c r="U1576" s="8" t="s">
        <v>9795</v>
      </c>
      <c r="V1576" s="8" t="s">
        <v>9796</v>
      </c>
      <c r="W1576" s="8" t="s">
        <v>9797</v>
      </c>
    </row>
    <row r="1577" spans="1:23" ht="28" customHeight="1" x14ac:dyDescent="0.3">
      <c r="A1577" s="308">
        <v>43924</v>
      </c>
      <c r="B1577" s="302">
        <v>1361.6479999999999</v>
      </c>
      <c r="C1577" s="8">
        <v>-19.404</v>
      </c>
      <c r="D1577" s="268">
        <v>-1.41E-2</v>
      </c>
      <c r="E1577" s="8">
        <v>74.52</v>
      </c>
      <c r="F1577" s="8">
        <v>124.985</v>
      </c>
      <c r="G1577" s="8">
        <v>116.53</v>
      </c>
      <c r="H1577" s="8">
        <v>91.04</v>
      </c>
      <c r="I1577" s="8">
        <v>160.85</v>
      </c>
      <c r="J1577" s="8">
        <v>88.1</v>
      </c>
      <c r="K1577" s="268">
        <v>0.35870000000000002</v>
      </c>
      <c r="L1577" s="268">
        <v>0.28699999999999998</v>
      </c>
      <c r="M1577" s="268">
        <v>-1.4E-2</v>
      </c>
      <c r="N1577" s="8">
        <v>489.82</v>
      </c>
      <c r="O1577" s="8">
        <v>3794.45</v>
      </c>
      <c r="P1577" s="268">
        <v>0.12909999999999999</v>
      </c>
      <c r="Q1577" s="8">
        <v>224</v>
      </c>
      <c r="R1577" s="8">
        <v>0</v>
      </c>
      <c r="S1577" s="8" t="s">
        <v>9798</v>
      </c>
      <c r="T1577" s="8" t="s">
        <v>9799</v>
      </c>
      <c r="U1577" s="8" t="s">
        <v>9800</v>
      </c>
      <c r="V1577" s="8" t="s">
        <v>9801</v>
      </c>
      <c r="W1577" s="8" t="s">
        <v>9802</v>
      </c>
    </row>
    <row r="1578" spans="1:23" ht="28" customHeight="1" x14ac:dyDescent="0.3">
      <c r="A1578" s="308">
        <v>43923</v>
      </c>
      <c r="B1578" s="302">
        <v>1381.0519999999999</v>
      </c>
      <c r="C1578" s="8">
        <v>-13.204000000000001</v>
      </c>
      <c r="D1578" s="268">
        <v>-9.4999999999999998E-3</v>
      </c>
      <c r="E1578" s="8">
        <v>78.45</v>
      </c>
      <c r="F1578" s="8">
        <v>127.059</v>
      </c>
      <c r="G1578" s="8">
        <v>117.69499999999999</v>
      </c>
      <c r="H1578" s="8">
        <v>92.13</v>
      </c>
      <c r="I1578" s="8">
        <v>163.96</v>
      </c>
      <c r="J1578" s="8">
        <v>86.31</v>
      </c>
      <c r="K1578" s="268">
        <v>0.36899999999999999</v>
      </c>
      <c r="L1578" s="268">
        <v>0.2989</v>
      </c>
      <c r="M1578" s="268">
        <v>-1.72E-2</v>
      </c>
      <c r="N1578" s="8">
        <v>648.63</v>
      </c>
      <c r="O1578" s="8">
        <v>3793.18</v>
      </c>
      <c r="P1578" s="268">
        <v>0.17100000000000001</v>
      </c>
      <c r="Q1578" s="8">
        <v>224</v>
      </c>
      <c r="R1578" s="8">
        <v>0</v>
      </c>
      <c r="S1578" s="8" t="s">
        <v>6562</v>
      </c>
      <c r="T1578" s="8" t="s">
        <v>2654</v>
      </c>
      <c r="U1578" s="8" t="s">
        <v>9803</v>
      </c>
      <c r="V1578" s="8" t="s">
        <v>9804</v>
      </c>
      <c r="W1578" s="8" t="s">
        <v>9805</v>
      </c>
    </row>
    <row r="1579" spans="1:23" ht="28" customHeight="1" x14ac:dyDescent="0.3">
      <c r="A1579" s="308">
        <v>43922</v>
      </c>
      <c r="B1579" s="302">
        <v>1394.2560000000001</v>
      </c>
      <c r="C1579" s="8">
        <v>7.9160000000000004</v>
      </c>
      <c r="D1579" s="268">
        <v>5.7000000000000002E-3</v>
      </c>
      <c r="E1579" s="8">
        <v>80.58</v>
      </c>
      <c r="F1579" s="8">
        <v>129.197</v>
      </c>
      <c r="G1579" s="8">
        <v>117.71</v>
      </c>
      <c r="H1579" s="8">
        <v>90.88</v>
      </c>
      <c r="I1579" s="8">
        <v>170.82</v>
      </c>
      <c r="J1579" s="8">
        <v>94.64</v>
      </c>
      <c r="K1579" s="268">
        <v>0.41620000000000001</v>
      </c>
      <c r="L1579" s="268">
        <v>0.3276</v>
      </c>
      <c r="M1579" s="268">
        <v>-1.9400000000000001E-2</v>
      </c>
      <c r="N1579" s="8">
        <v>778.41</v>
      </c>
      <c r="O1579" s="8">
        <v>3786.95</v>
      </c>
      <c r="P1579" s="268">
        <v>0.2056</v>
      </c>
      <c r="Q1579" s="8">
        <v>223</v>
      </c>
      <c r="R1579" s="8">
        <v>0</v>
      </c>
      <c r="S1579" s="8" t="s">
        <v>7642</v>
      </c>
      <c r="T1579" s="8" t="s">
        <v>9806</v>
      </c>
      <c r="U1579" s="8" t="s">
        <v>9807</v>
      </c>
      <c r="V1579" s="8" t="s">
        <v>9808</v>
      </c>
      <c r="W1579" s="8" t="s">
        <v>9809</v>
      </c>
    </row>
    <row r="1580" spans="1:23" ht="28" customHeight="1" x14ac:dyDescent="0.3">
      <c r="A1580" s="308">
        <v>43921</v>
      </c>
      <c r="B1580" s="302">
        <v>1386.34</v>
      </c>
      <c r="C1580" s="8">
        <v>10.183999999999999</v>
      </c>
      <c r="D1580" s="268">
        <v>7.4000000000000003E-3</v>
      </c>
      <c r="E1580" s="8">
        <v>77.989999999999995</v>
      </c>
      <c r="F1580" s="8">
        <v>128.57</v>
      </c>
      <c r="G1580" s="8">
        <v>117.51</v>
      </c>
      <c r="H1580" s="8">
        <v>91.34</v>
      </c>
      <c r="I1580" s="8">
        <v>169.14</v>
      </c>
      <c r="J1580" s="8">
        <v>94.23</v>
      </c>
      <c r="K1580" s="268">
        <v>0.40570000000000001</v>
      </c>
      <c r="L1580" s="268">
        <v>0.31890000000000002</v>
      </c>
      <c r="M1580" s="268">
        <v>-1.83E-2</v>
      </c>
      <c r="N1580" s="8">
        <v>722.3</v>
      </c>
      <c r="O1580" s="8">
        <v>3743.8</v>
      </c>
      <c r="P1580" s="268">
        <v>0.19289999999999999</v>
      </c>
      <c r="Q1580" s="8">
        <v>219</v>
      </c>
      <c r="R1580" s="8">
        <v>0</v>
      </c>
      <c r="S1580" s="8" t="s">
        <v>3563</v>
      </c>
      <c r="T1580" s="8" t="s">
        <v>6170</v>
      </c>
      <c r="U1580" s="8" t="s">
        <v>9810</v>
      </c>
      <c r="V1580" s="8" t="s">
        <v>9811</v>
      </c>
      <c r="W1580" s="8" t="s">
        <v>9812</v>
      </c>
    </row>
    <row r="1581" spans="1:23" ht="28" customHeight="1" x14ac:dyDescent="0.3">
      <c r="A1581" s="308">
        <v>43920</v>
      </c>
      <c r="B1581" s="302">
        <v>1376.1559999999999</v>
      </c>
      <c r="C1581" s="8">
        <v>-0.26200000000000001</v>
      </c>
      <c r="D1581" s="268">
        <v>-2.0000000000000001E-4</v>
      </c>
      <c r="E1581" s="8">
        <v>79.89</v>
      </c>
      <c r="F1581" s="8">
        <v>127.208</v>
      </c>
      <c r="G1581" s="8">
        <v>117.36499999999999</v>
      </c>
      <c r="H1581" s="8">
        <v>91.38</v>
      </c>
      <c r="I1581" s="8">
        <v>166.41</v>
      </c>
      <c r="J1581" s="8">
        <v>95.57</v>
      </c>
      <c r="K1581" s="268">
        <v>0.3921</v>
      </c>
      <c r="L1581" s="268">
        <v>0.31869999999999998</v>
      </c>
      <c r="M1581" s="268">
        <v>-1.6899999999999998E-2</v>
      </c>
      <c r="N1581" s="8">
        <v>648.85</v>
      </c>
      <c r="O1581" s="8">
        <v>3746.01</v>
      </c>
      <c r="P1581" s="268">
        <v>0.17319999999999999</v>
      </c>
      <c r="Q1581" s="8">
        <v>220</v>
      </c>
      <c r="R1581" s="8">
        <v>0</v>
      </c>
      <c r="S1581" s="8" t="s">
        <v>9397</v>
      </c>
      <c r="T1581" s="8" t="s">
        <v>9813</v>
      </c>
      <c r="U1581" s="8" t="s">
        <v>9814</v>
      </c>
      <c r="V1581" s="8" t="s">
        <v>9815</v>
      </c>
      <c r="W1581" s="8" t="s">
        <v>9816</v>
      </c>
    </row>
    <row r="1582" spans="1:23" ht="28" customHeight="1" x14ac:dyDescent="0.3">
      <c r="A1582" s="308">
        <v>43917</v>
      </c>
      <c r="B1582" s="302">
        <v>1376.4179999999999</v>
      </c>
      <c r="C1582" s="8">
        <v>-9.5069999999999997</v>
      </c>
      <c r="D1582" s="268">
        <v>-6.8999999999999999E-3</v>
      </c>
      <c r="E1582" s="8">
        <v>83.33</v>
      </c>
      <c r="F1582" s="8">
        <v>126.745</v>
      </c>
      <c r="G1582" s="8">
        <v>118</v>
      </c>
      <c r="H1582" s="8">
        <v>93.28</v>
      </c>
      <c r="I1582" s="8">
        <v>162.55000000000001</v>
      </c>
      <c r="J1582" s="8">
        <v>90.77</v>
      </c>
      <c r="K1582" s="268">
        <v>0.35799999999999998</v>
      </c>
      <c r="L1582" s="268">
        <v>0.2999</v>
      </c>
      <c r="M1582" s="268">
        <v>-1.7500000000000002E-2</v>
      </c>
      <c r="N1582" s="8">
        <v>774.95</v>
      </c>
      <c r="O1582" s="8">
        <v>3751.55</v>
      </c>
      <c r="P1582" s="268">
        <v>0.20660000000000001</v>
      </c>
      <c r="Q1582" s="8">
        <v>221</v>
      </c>
      <c r="R1582" s="8">
        <v>0</v>
      </c>
      <c r="S1582" s="8" t="s">
        <v>9817</v>
      </c>
      <c r="T1582" s="8" t="s">
        <v>9818</v>
      </c>
      <c r="U1582" s="8" t="s">
        <v>2609</v>
      </c>
      <c r="V1582" s="8" t="s">
        <v>9819</v>
      </c>
      <c r="W1582" s="8" t="s">
        <v>9820</v>
      </c>
    </row>
    <row r="1583" spans="1:23" ht="28" customHeight="1" x14ac:dyDescent="0.3">
      <c r="A1583" s="308">
        <v>43916</v>
      </c>
      <c r="B1583" s="302">
        <v>1385.925</v>
      </c>
      <c r="C1583" s="8">
        <v>-4.952</v>
      </c>
      <c r="D1583" s="268">
        <v>-3.5999999999999999E-3</v>
      </c>
      <c r="E1583" s="8">
        <v>84.42</v>
      </c>
      <c r="F1583" s="8">
        <v>127.68899999999999</v>
      </c>
      <c r="G1583" s="8">
        <v>118.6</v>
      </c>
      <c r="H1583" s="8">
        <v>93.38</v>
      </c>
      <c r="I1583" s="8">
        <v>163.76</v>
      </c>
      <c r="J1583" s="8">
        <v>92.56</v>
      </c>
      <c r="K1583" s="268">
        <v>0.36080000000000001</v>
      </c>
      <c r="L1583" s="268">
        <v>0.30180000000000001</v>
      </c>
      <c r="M1583" s="268">
        <v>-1.9E-2</v>
      </c>
      <c r="N1583" s="8">
        <v>737.71</v>
      </c>
      <c r="O1583" s="8">
        <v>3753.34</v>
      </c>
      <c r="P1583" s="268">
        <v>0.19650000000000001</v>
      </c>
      <c r="Q1583" s="8">
        <v>221</v>
      </c>
      <c r="R1583" s="8">
        <v>0</v>
      </c>
      <c r="S1583" s="8" t="s">
        <v>9524</v>
      </c>
      <c r="T1583" s="8" t="s">
        <v>9821</v>
      </c>
      <c r="U1583" s="8" t="s">
        <v>9822</v>
      </c>
      <c r="V1583" s="8" t="s">
        <v>9823</v>
      </c>
      <c r="W1583" s="8" t="s">
        <v>9499</v>
      </c>
    </row>
    <row r="1584" spans="1:23" ht="28" customHeight="1" x14ac:dyDescent="0.3">
      <c r="A1584" s="308">
        <v>43915</v>
      </c>
      <c r="B1584" s="302">
        <v>1390.877</v>
      </c>
      <c r="C1584" s="8">
        <v>37.186</v>
      </c>
      <c r="D1584" s="268">
        <v>2.75E-2</v>
      </c>
      <c r="E1584" s="8">
        <v>85.93</v>
      </c>
      <c r="F1584" s="8">
        <v>128.01900000000001</v>
      </c>
      <c r="G1584" s="8">
        <v>119.33499999999999</v>
      </c>
      <c r="H1584" s="8">
        <v>93.7</v>
      </c>
      <c r="I1584" s="8">
        <v>162.94</v>
      </c>
      <c r="J1584" s="8">
        <v>89.05</v>
      </c>
      <c r="K1584" s="268">
        <v>0.34920000000000001</v>
      </c>
      <c r="L1584" s="268">
        <v>0.29330000000000001</v>
      </c>
      <c r="M1584" s="268">
        <v>-1.9699999999999999E-2</v>
      </c>
      <c r="N1584" s="8">
        <v>680.07</v>
      </c>
      <c r="O1584" s="8">
        <v>3755.9</v>
      </c>
      <c r="P1584" s="268">
        <v>0.18110000000000001</v>
      </c>
      <c r="Q1584" s="8">
        <v>222</v>
      </c>
      <c r="R1584" s="8">
        <v>0</v>
      </c>
      <c r="S1584" s="8" t="s">
        <v>3662</v>
      </c>
      <c r="T1584" s="8" t="s">
        <v>9824</v>
      </c>
      <c r="U1584" s="8" t="s">
        <v>9825</v>
      </c>
      <c r="V1584" s="8" t="s">
        <v>9826</v>
      </c>
      <c r="W1584" s="8" t="s">
        <v>9827</v>
      </c>
    </row>
    <row r="1585" spans="1:23" ht="28" customHeight="1" x14ac:dyDescent="0.3">
      <c r="A1585" s="308">
        <v>43914</v>
      </c>
      <c r="B1585" s="302">
        <v>1353.691</v>
      </c>
      <c r="C1585" s="8">
        <v>25.917999999999999</v>
      </c>
      <c r="D1585" s="268">
        <v>1.95E-2</v>
      </c>
      <c r="E1585" s="8">
        <v>79.48</v>
      </c>
      <c r="F1585" s="8">
        <v>124.05</v>
      </c>
      <c r="G1585" s="8">
        <v>117.41500000000001</v>
      </c>
      <c r="H1585" s="8">
        <v>92.66</v>
      </c>
      <c r="I1585" s="8">
        <v>158.57</v>
      </c>
      <c r="J1585" s="8">
        <v>89.55</v>
      </c>
      <c r="K1585" s="268">
        <v>0.34520000000000001</v>
      </c>
      <c r="L1585" s="268">
        <v>0.29680000000000001</v>
      </c>
      <c r="M1585" s="268">
        <v>-1.41E-2</v>
      </c>
      <c r="N1585" s="8">
        <v>605.52</v>
      </c>
      <c r="O1585" s="8">
        <v>3760.15</v>
      </c>
      <c r="P1585" s="268">
        <v>0.161</v>
      </c>
      <c r="Q1585" s="8">
        <v>224</v>
      </c>
      <c r="R1585" s="8" t="s">
        <v>9828</v>
      </c>
      <c r="S1585" s="8">
        <v>0</v>
      </c>
      <c r="T1585" s="8" t="s">
        <v>9050</v>
      </c>
      <c r="U1585" s="8" t="s">
        <v>9829</v>
      </c>
      <c r="V1585" s="8" t="s">
        <v>9830</v>
      </c>
      <c r="W1585" s="8" t="s">
        <v>9831</v>
      </c>
    </row>
    <row r="1586" spans="1:23" ht="28" customHeight="1" x14ac:dyDescent="0.3">
      <c r="A1586" s="308">
        <v>43913</v>
      </c>
      <c r="B1586" s="302">
        <v>1327.7729999999999</v>
      </c>
      <c r="C1586" s="8">
        <v>-60.921999999999997</v>
      </c>
      <c r="D1586" s="268">
        <v>-4.3900000000000002E-2</v>
      </c>
      <c r="E1586" s="8">
        <v>73.14</v>
      </c>
      <c r="F1586" s="8">
        <v>121.467</v>
      </c>
      <c r="G1586" s="8">
        <v>115.504</v>
      </c>
      <c r="H1586" s="8">
        <v>90.66</v>
      </c>
      <c r="I1586" s="8">
        <v>155.94</v>
      </c>
      <c r="J1586" s="8">
        <v>95.1</v>
      </c>
      <c r="K1586" s="268">
        <v>0.3448</v>
      </c>
      <c r="L1586" s="268">
        <v>0.29570000000000002</v>
      </c>
      <c r="M1586" s="268">
        <v>-1.01E-2</v>
      </c>
      <c r="N1586" s="8">
        <v>561.76</v>
      </c>
      <c r="O1586" s="8">
        <v>3764.18</v>
      </c>
      <c r="P1586" s="268">
        <v>0.1492</v>
      </c>
      <c r="Q1586" s="8">
        <v>224</v>
      </c>
      <c r="R1586" s="8" t="s">
        <v>9832</v>
      </c>
      <c r="S1586" s="8">
        <v>0</v>
      </c>
      <c r="T1586" s="8" t="s">
        <v>9833</v>
      </c>
      <c r="U1586" s="8" t="s">
        <v>9834</v>
      </c>
      <c r="V1586" s="8" t="s">
        <v>9835</v>
      </c>
      <c r="W1586" s="8" t="s">
        <v>9836</v>
      </c>
    </row>
    <row r="1587" spans="1:23" ht="28" customHeight="1" x14ac:dyDescent="0.3">
      <c r="A1587" s="308">
        <v>43910</v>
      </c>
      <c r="B1587" s="302">
        <v>1388.6949999999999</v>
      </c>
      <c r="C1587" s="8">
        <v>27.616</v>
      </c>
      <c r="D1587" s="268">
        <v>2.0299999999999999E-2</v>
      </c>
      <c r="E1587" s="8">
        <v>85.89</v>
      </c>
      <c r="F1587" s="8">
        <v>128.50800000000001</v>
      </c>
      <c r="G1587" s="8">
        <v>118.63500000000001</v>
      </c>
      <c r="H1587" s="8">
        <v>93.68</v>
      </c>
      <c r="I1587" s="8">
        <v>163.16</v>
      </c>
      <c r="J1587" s="8">
        <v>94.56</v>
      </c>
      <c r="K1587" s="268">
        <v>0.34649999999999997</v>
      </c>
      <c r="L1587" s="268">
        <v>0.29980000000000001</v>
      </c>
      <c r="M1587" s="268">
        <v>-0.02</v>
      </c>
      <c r="N1587" s="8">
        <v>869.6</v>
      </c>
      <c r="O1587" s="8">
        <v>3749.45</v>
      </c>
      <c r="P1587" s="268">
        <v>0.2319</v>
      </c>
      <c r="Q1587" s="8">
        <v>224</v>
      </c>
      <c r="R1587" s="8">
        <v>0</v>
      </c>
      <c r="S1587" s="8" t="s">
        <v>9837</v>
      </c>
      <c r="T1587" s="8" t="s">
        <v>9838</v>
      </c>
      <c r="U1587" s="8" t="s">
        <v>9839</v>
      </c>
      <c r="V1587" s="8" t="s">
        <v>9840</v>
      </c>
      <c r="W1587" s="8" t="s">
        <v>9841</v>
      </c>
    </row>
    <row r="1588" spans="1:23" ht="28" customHeight="1" x14ac:dyDescent="0.3">
      <c r="A1588" s="308">
        <v>43909</v>
      </c>
      <c r="B1588" s="302">
        <v>1361.079</v>
      </c>
      <c r="C1588" s="8">
        <v>17.797999999999998</v>
      </c>
      <c r="D1588" s="268">
        <v>1.32E-2</v>
      </c>
      <c r="E1588" s="8">
        <v>77.27</v>
      </c>
      <c r="F1588" s="8">
        <v>126.938</v>
      </c>
      <c r="G1588" s="8">
        <v>116.1</v>
      </c>
      <c r="H1588" s="8">
        <v>93.01</v>
      </c>
      <c r="I1588" s="8">
        <v>160.76</v>
      </c>
      <c r="J1588" s="8">
        <v>92.31</v>
      </c>
      <c r="K1588" s="268">
        <v>0.3382</v>
      </c>
      <c r="L1588" s="268">
        <v>0.28949999999999998</v>
      </c>
      <c r="M1588" s="268">
        <v>-1.5599999999999999E-2</v>
      </c>
      <c r="N1588" s="8">
        <v>765.94</v>
      </c>
      <c r="O1588" s="8">
        <v>3756.58</v>
      </c>
      <c r="P1588" s="268">
        <v>0.2039</v>
      </c>
      <c r="Q1588" s="8">
        <v>225</v>
      </c>
      <c r="R1588" s="8" t="s">
        <v>6284</v>
      </c>
      <c r="S1588" s="8">
        <v>0</v>
      </c>
      <c r="T1588" s="8" t="s">
        <v>9842</v>
      </c>
      <c r="U1588" s="8" t="s">
        <v>9843</v>
      </c>
      <c r="V1588" s="8" t="s">
        <v>9844</v>
      </c>
      <c r="W1588" s="8" t="s">
        <v>9845</v>
      </c>
    </row>
    <row r="1589" spans="1:23" ht="28" customHeight="1" x14ac:dyDescent="0.3">
      <c r="A1589" s="308">
        <v>43908</v>
      </c>
      <c r="B1589" s="302">
        <v>1343.2809999999999</v>
      </c>
      <c r="C1589" s="8">
        <v>8.94</v>
      </c>
      <c r="D1589" s="268">
        <v>6.7000000000000002E-3</v>
      </c>
      <c r="E1589" s="8">
        <v>76.95</v>
      </c>
      <c r="F1589" s="8">
        <v>124.52</v>
      </c>
      <c r="G1589" s="8">
        <v>116.2</v>
      </c>
      <c r="H1589" s="8">
        <v>92.69</v>
      </c>
      <c r="I1589" s="8">
        <v>157.6</v>
      </c>
      <c r="J1589" s="8">
        <v>92.25</v>
      </c>
      <c r="K1589" s="268">
        <v>0.33079999999999998</v>
      </c>
      <c r="L1589" s="268">
        <v>0.27989999999999998</v>
      </c>
      <c r="M1589" s="268">
        <v>-1.35E-2</v>
      </c>
      <c r="N1589" s="8">
        <v>793.62</v>
      </c>
      <c r="O1589" s="8">
        <v>3752.36</v>
      </c>
      <c r="P1589" s="268">
        <v>0.21149999999999999</v>
      </c>
      <c r="Q1589" s="8">
        <v>224</v>
      </c>
      <c r="R1589" s="8" t="s">
        <v>3598</v>
      </c>
      <c r="S1589" s="8">
        <v>0</v>
      </c>
      <c r="T1589" s="8" t="s">
        <v>9846</v>
      </c>
      <c r="U1589" s="8" t="s">
        <v>9847</v>
      </c>
      <c r="V1589" s="8" t="s">
        <v>9848</v>
      </c>
      <c r="W1589" s="8" t="s">
        <v>9849</v>
      </c>
    </row>
    <row r="1590" spans="1:23" ht="28" customHeight="1" x14ac:dyDescent="0.3">
      <c r="A1590" s="308">
        <v>43907</v>
      </c>
      <c r="B1590" s="302">
        <v>1334.3409999999999</v>
      </c>
      <c r="C1590" s="8">
        <v>6.625</v>
      </c>
      <c r="D1590" s="268">
        <v>5.0000000000000001E-3</v>
      </c>
      <c r="E1590" s="8">
        <v>76.41</v>
      </c>
      <c r="F1590" s="8">
        <v>123.494</v>
      </c>
      <c r="G1590" s="8">
        <v>116.31</v>
      </c>
      <c r="H1590" s="8">
        <v>93.7</v>
      </c>
      <c r="I1590" s="8">
        <v>153.9</v>
      </c>
      <c r="J1590" s="8">
        <v>87.4</v>
      </c>
      <c r="K1590" s="268">
        <v>0.30399999999999999</v>
      </c>
      <c r="L1590" s="268">
        <v>0.251</v>
      </c>
      <c r="M1590" s="268">
        <v>-1.24E-2</v>
      </c>
      <c r="N1590" s="8">
        <v>713.12</v>
      </c>
      <c r="O1590" s="8">
        <v>3757.94</v>
      </c>
      <c r="P1590" s="268">
        <v>0.1898</v>
      </c>
      <c r="Q1590" s="8">
        <v>224</v>
      </c>
      <c r="R1590" s="8" t="s">
        <v>3625</v>
      </c>
      <c r="S1590" s="8">
        <v>0</v>
      </c>
      <c r="T1590" s="8" t="s">
        <v>9850</v>
      </c>
      <c r="U1590" s="8" t="s">
        <v>9851</v>
      </c>
      <c r="V1590" s="8" t="s">
        <v>9852</v>
      </c>
      <c r="W1590" s="8" t="s">
        <v>9853</v>
      </c>
    </row>
    <row r="1591" spans="1:23" ht="28" customHeight="1" x14ac:dyDescent="0.3">
      <c r="A1591" s="308">
        <v>43906</v>
      </c>
      <c r="B1591" s="302">
        <v>1327.7159999999999</v>
      </c>
      <c r="C1591" s="8">
        <v>-25.245999999999999</v>
      </c>
      <c r="D1591" s="268">
        <v>-1.8700000000000001E-2</v>
      </c>
      <c r="E1591" s="8">
        <v>76.709999999999994</v>
      </c>
      <c r="F1591" s="8">
        <v>123.548</v>
      </c>
      <c r="G1591" s="8">
        <v>116.06</v>
      </c>
      <c r="H1591" s="8">
        <v>94.01</v>
      </c>
      <c r="I1591" s="8">
        <v>153.16999999999999</v>
      </c>
      <c r="J1591" s="8">
        <v>85.59</v>
      </c>
      <c r="K1591" s="268">
        <v>0.29620000000000002</v>
      </c>
      <c r="L1591" s="268">
        <v>0.24299999999999999</v>
      </c>
      <c r="M1591" s="268">
        <v>-1.24E-2</v>
      </c>
      <c r="N1591" s="8">
        <v>443.99</v>
      </c>
      <c r="O1591" s="8">
        <v>3760.14</v>
      </c>
      <c r="P1591" s="268">
        <v>0.1181</v>
      </c>
      <c r="Q1591" s="8">
        <v>223</v>
      </c>
      <c r="R1591" s="8" t="s">
        <v>3413</v>
      </c>
      <c r="S1591" s="8" t="s">
        <v>2540</v>
      </c>
      <c r="T1591" s="8" t="s">
        <v>9854</v>
      </c>
      <c r="U1591" s="8" t="s">
        <v>9855</v>
      </c>
      <c r="V1591" s="8" t="s">
        <v>9856</v>
      </c>
      <c r="W1591" s="8" t="s">
        <v>9857</v>
      </c>
    </row>
    <row r="1592" spans="1:23" ht="28" customHeight="1" x14ac:dyDescent="0.3">
      <c r="A1592" s="308">
        <v>43903</v>
      </c>
      <c r="B1592" s="302">
        <v>1352.962</v>
      </c>
      <c r="C1592" s="8">
        <v>-5.1609999999999996</v>
      </c>
      <c r="D1592" s="268">
        <v>-3.8E-3</v>
      </c>
      <c r="E1592" s="8">
        <v>82.49</v>
      </c>
      <c r="F1592" s="8">
        <v>126.04600000000001</v>
      </c>
      <c r="G1592" s="8">
        <v>118.95</v>
      </c>
      <c r="H1592" s="8">
        <v>97.89</v>
      </c>
      <c r="I1592" s="8">
        <v>152.65</v>
      </c>
      <c r="J1592" s="8">
        <v>76.02</v>
      </c>
      <c r="K1592" s="268">
        <v>0.26600000000000001</v>
      </c>
      <c r="L1592" s="268">
        <v>0.21390000000000001</v>
      </c>
      <c r="M1592" s="268">
        <v>-1.72E-2</v>
      </c>
      <c r="N1592" s="8">
        <v>438.31</v>
      </c>
      <c r="O1592" s="8">
        <v>3776.5</v>
      </c>
      <c r="P1592" s="268">
        <v>0.11609999999999999</v>
      </c>
      <c r="Q1592" s="8">
        <v>223</v>
      </c>
      <c r="R1592" s="8" t="s">
        <v>9177</v>
      </c>
      <c r="S1592" s="8" t="s">
        <v>9168</v>
      </c>
      <c r="T1592" s="8" t="s">
        <v>4997</v>
      </c>
      <c r="U1592" s="8" t="s">
        <v>9858</v>
      </c>
      <c r="V1592" s="8" t="s">
        <v>9859</v>
      </c>
      <c r="W1592" s="8" t="s">
        <v>9462</v>
      </c>
    </row>
    <row r="1593" spans="1:23" ht="28" customHeight="1" x14ac:dyDescent="0.3">
      <c r="A1593" s="308">
        <v>43902</v>
      </c>
      <c r="B1593" s="302">
        <v>1358.123</v>
      </c>
      <c r="C1593" s="8">
        <v>-8.9540000000000006</v>
      </c>
      <c r="D1593" s="268">
        <v>-6.6E-3</v>
      </c>
      <c r="E1593" s="8">
        <v>85.48</v>
      </c>
      <c r="F1593" s="8">
        <v>126.68300000000001</v>
      </c>
      <c r="G1593" s="8">
        <v>119.895</v>
      </c>
      <c r="H1593" s="8">
        <v>99.14</v>
      </c>
      <c r="I1593" s="8">
        <v>152.28</v>
      </c>
      <c r="J1593" s="8">
        <v>70.650000000000006</v>
      </c>
      <c r="K1593" s="268">
        <v>0.25600000000000001</v>
      </c>
      <c r="L1593" s="268">
        <v>0.20780000000000001</v>
      </c>
      <c r="M1593" s="268">
        <v>-1.84E-2</v>
      </c>
      <c r="N1593" s="8">
        <v>342.98</v>
      </c>
      <c r="O1593" s="8">
        <v>3785.15</v>
      </c>
      <c r="P1593" s="268">
        <v>9.06E-2</v>
      </c>
      <c r="Q1593" s="8">
        <v>223</v>
      </c>
      <c r="R1593" s="8" t="s">
        <v>9860</v>
      </c>
      <c r="S1593" s="8" t="s">
        <v>3597</v>
      </c>
      <c r="T1593" s="8" t="s">
        <v>9861</v>
      </c>
      <c r="U1593" s="8" t="s">
        <v>9862</v>
      </c>
      <c r="V1593" s="8" t="s">
        <v>9863</v>
      </c>
      <c r="W1593" s="8" t="s">
        <v>9864</v>
      </c>
    </row>
    <row r="1594" spans="1:23" ht="28" customHeight="1" x14ac:dyDescent="0.3">
      <c r="A1594" s="308">
        <v>43901</v>
      </c>
      <c r="B1594" s="302">
        <v>1367.077</v>
      </c>
      <c r="C1594" s="8">
        <v>1.6930000000000001</v>
      </c>
      <c r="D1594" s="268">
        <v>1.1999999999999999E-3</v>
      </c>
      <c r="E1594" s="8">
        <v>89.07</v>
      </c>
      <c r="F1594" s="8">
        <v>127.40600000000001</v>
      </c>
      <c r="G1594" s="8">
        <v>121.545</v>
      </c>
      <c r="H1594" s="8">
        <v>100.62</v>
      </c>
      <c r="I1594" s="8">
        <v>151.57</v>
      </c>
      <c r="J1594" s="8">
        <v>64.599999999999994</v>
      </c>
      <c r="K1594" s="268">
        <v>0.24160000000000001</v>
      </c>
      <c r="L1594" s="268">
        <v>0.1981</v>
      </c>
      <c r="M1594" s="268">
        <v>-0.02</v>
      </c>
      <c r="N1594" s="8">
        <v>311.39</v>
      </c>
      <c r="O1594" s="8">
        <v>3797.57</v>
      </c>
      <c r="P1594" s="268">
        <v>8.2000000000000003E-2</v>
      </c>
      <c r="Q1594" s="8">
        <v>224</v>
      </c>
      <c r="R1594" s="8" t="s">
        <v>9865</v>
      </c>
      <c r="S1594" s="8" t="s">
        <v>9264</v>
      </c>
      <c r="T1594" s="8" t="s">
        <v>9866</v>
      </c>
      <c r="U1594" s="8" t="s">
        <v>7959</v>
      </c>
      <c r="V1594" s="8" t="s">
        <v>6429</v>
      </c>
      <c r="W1594" s="8" t="s">
        <v>9867</v>
      </c>
    </row>
    <row r="1595" spans="1:23" ht="28" customHeight="1" x14ac:dyDescent="0.3">
      <c r="A1595" s="308">
        <v>43900</v>
      </c>
      <c r="B1595" s="302">
        <v>1365.384</v>
      </c>
      <c r="C1595" s="8">
        <v>6.82</v>
      </c>
      <c r="D1595" s="268">
        <v>5.0000000000000001E-3</v>
      </c>
      <c r="E1595" s="8">
        <v>89.79</v>
      </c>
      <c r="F1595" s="8">
        <v>127.286</v>
      </c>
      <c r="G1595" s="8">
        <v>121.3</v>
      </c>
      <c r="H1595" s="8">
        <v>102.36</v>
      </c>
      <c r="I1595" s="8">
        <v>149.94999999999999</v>
      </c>
      <c r="J1595" s="8">
        <v>59.38</v>
      </c>
      <c r="K1595" s="268">
        <v>0.22670000000000001</v>
      </c>
      <c r="L1595" s="268">
        <v>0.18090000000000001</v>
      </c>
      <c r="M1595" s="268">
        <v>-0.02</v>
      </c>
      <c r="N1595" s="8">
        <v>303.31</v>
      </c>
      <c r="O1595" s="8">
        <v>3810.07</v>
      </c>
      <c r="P1595" s="268">
        <v>7.9600000000000004E-2</v>
      </c>
      <c r="Q1595" s="8">
        <v>225</v>
      </c>
      <c r="R1595" s="8" t="s">
        <v>9617</v>
      </c>
      <c r="S1595" s="8">
        <v>0</v>
      </c>
      <c r="T1595" s="8" t="s">
        <v>9868</v>
      </c>
      <c r="U1595" s="8" t="s">
        <v>9869</v>
      </c>
      <c r="V1595" s="8" t="s">
        <v>9870</v>
      </c>
      <c r="W1595" s="8" t="s">
        <v>9871</v>
      </c>
    </row>
    <row r="1596" spans="1:23" ht="28" customHeight="1" x14ac:dyDescent="0.3">
      <c r="A1596" s="308">
        <v>43899</v>
      </c>
      <c r="B1596" s="302">
        <v>1358.5640000000001</v>
      </c>
      <c r="C1596" s="8">
        <v>-20.646999999999998</v>
      </c>
      <c r="D1596" s="268">
        <v>-1.4999999999999999E-2</v>
      </c>
      <c r="E1596" s="8">
        <v>88.37</v>
      </c>
      <c r="F1596" s="8">
        <v>127.747</v>
      </c>
      <c r="G1596" s="8">
        <v>120.001</v>
      </c>
      <c r="H1596" s="8">
        <v>99.83</v>
      </c>
      <c r="I1596" s="8">
        <v>152.83000000000001</v>
      </c>
      <c r="J1596" s="8">
        <v>67.930000000000007</v>
      </c>
      <c r="K1596" s="268">
        <v>0.25080000000000002</v>
      </c>
      <c r="L1596" s="268">
        <v>0.19620000000000001</v>
      </c>
      <c r="M1596" s="268">
        <v>-1.9E-2</v>
      </c>
      <c r="N1596" s="8">
        <v>191.08</v>
      </c>
      <c r="O1596" s="8">
        <v>3815.64</v>
      </c>
      <c r="P1596" s="268">
        <v>5.0099999999999999E-2</v>
      </c>
      <c r="Q1596" s="8">
        <v>225</v>
      </c>
      <c r="R1596" s="8" t="s">
        <v>9397</v>
      </c>
      <c r="S1596" s="8">
        <v>0</v>
      </c>
      <c r="T1596" s="8" t="s">
        <v>9872</v>
      </c>
      <c r="U1596" s="8" t="s">
        <v>9873</v>
      </c>
      <c r="V1596" s="8" t="s">
        <v>9874</v>
      </c>
      <c r="W1596" s="8" t="s">
        <v>9875</v>
      </c>
    </row>
    <row r="1597" spans="1:23" ht="28" customHeight="1" x14ac:dyDescent="0.3">
      <c r="A1597" s="308">
        <v>43896</v>
      </c>
      <c r="B1597" s="302">
        <v>1379.211</v>
      </c>
      <c r="C1597" s="8">
        <v>2.698</v>
      </c>
      <c r="D1597" s="268">
        <v>2E-3</v>
      </c>
      <c r="E1597" s="8">
        <v>93.81</v>
      </c>
      <c r="F1597" s="8">
        <v>129.232</v>
      </c>
      <c r="G1597" s="8">
        <v>123.02</v>
      </c>
      <c r="H1597" s="8">
        <v>102.49</v>
      </c>
      <c r="I1597" s="8">
        <v>151.80000000000001</v>
      </c>
      <c r="J1597" s="8">
        <v>56.79</v>
      </c>
      <c r="K1597" s="268">
        <v>0.22570000000000001</v>
      </c>
      <c r="L1597" s="268">
        <v>0.17560000000000001</v>
      </c>
      <c r="M1597" s="268">
        <v>-2.2700000000000001E-2</v>
      </c>
      <c r="N1597" s="8">
        <v>143.72999999999999</v>
      </c>
      <c r="O1597" s="8">
        <v>3822.13</v>
      </c>
      <c r="P1597" s="268">
        <v>3.7600000000000001E-2</v>
      </c>
      <c r="Q1597" s="8">
        <v>225</v>
      </c>
      <c r="R1597" s="8" t="s">
        <v>9251</v>
      </c>
      <c r="S1597" s="8">
        <v>0</v>
      </c>
      <c r="T1597" s="8" t="s">
        <v>9876</v>
      </c>
      <c r="U1597" s="8" t="s">
        <v>9877</v>
      </c>
      <c r="V1597" s="8" t="s">
        <v>9878</v>
      </c>
      <c r="W1597" s="8" t="s">
        <v>9879</v>
      </c>
    </row>
    <row r="1598" spans="1:23" ht="28" customHeight="1" x14ac:dyDescent="0.3">
      <c r="A1598" s="308">
        <v>43895</v>
      </c>
      <c r="B1598" s="302">
        <v>1376.5129999999999</v>
      </c>
      <c r="C1598" s="8">
        <v>16.349</v>
      </c>
      <c r="D1598" s="268">
        <v>1.2E-2</v>
      </c>
      <c r="E1598" s="8">
        <v>94.64</v>
      </c>
      <c r="F1598" s="8">
        <v>128.90199999999999</v>
      </c>
      <c r="G1598" s="8">
        <v>123</v>
      </c>
      <c r="H1598" s="8">
        <v>103.68</v>
      </c>
      <c r="I1598" s="8">
        <v>150.88999999999999</v>
      </c>
      <c r="J1598" s="8">
        <v>54.33</v>
      </c>
      <c r="K1598" s="268">
        <v>0.2198</v>
      </c>
      <c r="L1598" s="268">
        <v>0.17080000000000001</v>
      </c>
      <c r="M1598" s="268">
        <v>-2.24E-2</v>
      </c>
      <c r="N1598" s="8">
        <v>157.13999999999999</v>
      </c>
      <c r="O1598" s="8">
        <v>3828.74</v>
      </c>
      <c r="P1598" s="268">
        <v>4.1000000000000002E-2</v>
      </c>
      <c r="Q1598" s="8">
        <v>225</v>
      </c>
      <c r="R1598" s="8">
        <v>0</v>
      </c>
      <c r="S1598" s="8" t="s">
        <v>9880</v>
      </c>
      <c r="T1598" s="8" t="s">
        <v>9881</v>
      </c>
      <c r="U1598" s="8" t="s">
        <v>9882</v>
      </c>
      <c r="V1598" s="8" t="s">
        <v>9883</v>
      </c>
      <c r="W1598" s="8" t="s">
        <v>9884</v>
      </c>
    </row>
    <row r="1599" spans="1:23" ht="28" customHeight="1" x14ac:dyDescent="0.3">
      <c r="A1599" s="308">
        <v>43894</v>
      </c>
      <c r="B1599" s="302">
        <v>1360.164</v>
      </c>
      <c r="C1599" s="8">
        <v>0.80200000000000005</v>
      </c>
      <c r="D1599" s="268">
        <v>5.9999999999999995E-4</v>
      </c>
      <c r="E1599" s="8">
        <v>90.91</v>
      </c>
      <c r="F1599" s="8">
        <v>127.357</v>
      </c>
      <c r="G1599" s="8">
        <v>120.87</v>
      </c>
      <c r="H1599" s="8">
        <v>101.8</v>
      </c>
      <c r="I1599" s="8">
        <v>150.30000000000001</v>
      </c>
      <c r="J1599" s="8">
        <v>60.56</v>
      </c>
      <c r="K1599" s="268">
        <v>0.22939999999999999</v>
      </c>
      <c r="L1599" s="268">
        <v>0.1802</v>
      </c>
      <c r="M1599" s="268">
        <v>-1.9800000000000002E-2</v>
      </c>
      <c r="N1599" s="8">
        <v>123.47</v>
      </c>
      <c r="O1599" s="8">
        <v>3832.12</v>
      </c>
      <c r="P1599" s="268">
        <v>3.2199999999999999E-2</v>
      </c>
      <c r="Q1599" s="8">
        <v>225</v>
      </c>
      <c r="R1599" s="8">
        <v>0</v>
      </c>
      <c r="S1599" s="8" t="s">
        <v>2558</v>
      </c>
      <c r="T1599" s="8" t="s">
        <v>9885</v>
      </c>
      <c r="U1599" s="8" t="s">
        <v>9886</v>
      </c>
      <c r="V1599" s="8" t="s">
        <v>9887</v>
      </c>
      <c r="W1599" s="8" t="s">
        <v>9888</v>
      </c>
    </row>
    <row r="1600" spans="1:23" ht="28" customHeight="1" x14ac:dyDescent="0.3">
      <c r="A1600" s="308">
        <v>43893</v>
      </c>
      <c r="B1600" s="302">
        <v>1359.3620000000001</v>
      </c>
      <c r="C1600" s="8">
        <v>9.9719999999999995</v>
      </c>
      <c r="D1600" s="268">
        <v>7.4000000000000003E-3</v>
      </c>
      <c r="E1600" s="8">
        <v>91.59</v>
      </c>
      <c r="F1600" s="8">
        <v>127.405</v>
      </c>
      <c r="G1600" s="8">
        <v>120.28</v>
      </c>
      <c r="H1600" s="8">
        <v>100.97</v>
      </c>
      <c r="I1600" s="8">
        <v>151.53</v>
      </c>
      <c r="J1600" s="8">
        <v>63.92</v>
      </c>
      <c r="K1600" s="268">
        <v>0.24129999999999999</v>
      </c>
      <c r="L1600" s="268">
        <v>0.18709999999999999</v>
      </c>
      <c r="M1600" s="268">
        <v>-1.9699999999999999E-2</v>
      </c>
      <c r="N1600" s="8">
        <v>169.92</v>
      </c>
      <c r="O1600" s="8">
        <v>3841.08</v>
      </c>
      <c r="P1600" s="268">
        <v>4.4200000000000003E-2</v>
      </c>
      <c r="Q1600" s="8">
        <v>226</v>
      </c>
      <c r="R1600" s="8">
        <v>0</v>
      </c>
      <c r="S1600" s="8" t="s">
        <v>9889</v>
      </c>
      <c r="T1600" s="8" t="s">
        <v>9890</v>
      </c>
      <c r="U1600" s="8" t="s">
        <v>9891</v>
      </c>
      <c r="V1600" s="8" t="s">
        <v>9892</v>
      </c>
      <c r="W1600" s="8" t="s">
        <v>9893</v>
      </c>
    </row>
    <row r="1601" spans="1:23" ht="28" customHeight="1" x14ac:dyDescent="0.3">
      <c r="A1601" s="308">
        <v>43892</v>
      </c>
      <c r="B1601" s="302">
        <v>1349.39</v>
      </c>
      <c r="C1601" s="8">
        <v>17.856000000000002</v>
      </c>
      <c r="D1601" s="268">
        <v>1.34E-2</v>
      </c>
      <c r="E1601" s="8">
        <v>89.48</v>
      </c>
      <c r="F1601" s="8">
        <v>126.35299999999999</v>
      </c>
      <c r="G1601" s="8">
        <v>119.84699999999999</v>
      </c>
      <c r="H1601" s="8">
        <v>100.74</v>
      </c>
      <c r="I1601" s="8">
        <v>150.9</v>
      </c>
      <c r="J1601" s="8">
        <v>66.48</v>
      </c>
      <c r="K1601" s="268">
        <v>0.2455</v>
      </c>
      <c r="L1601" s="268">
        <v>0.18770000000000001</v>
      </c>
      <c r="M1601" s="268">
        <v>-1.8100000000000002E-2</v>
      </c>
      <c r="N1601" s="8">
        <v>167.67</v>
      </c>
      <c r="O1601" s="8">
        <v>3845.15</v>
      </c>
      <c r="P1601" s="268">
        <v>4.36E-2</v>
      </c>
      <c r="Q1601" s="8">
        <v>226</v>
      </c>
      <c r="R1601" s="8">
        <v>0</v>
      </c>
      <c r="S1601" s="8" t="s">
        <v>3647</v>
      </c>
      <c r="T1601" s="8" t="s">
        <v>9894</v>
      </c>
      <c r="U1601" s="8" t="s">
        <v>9895</v>
      </c>
      <c r="V1601" s="8" t="s">
        <v>9896</v>
      </c>
      <c r="W1601" s="8" t="s">
        <v>9897</v>
      </c>
    </row>
    <row r="1602" spans="1:23" ht="28" customHeight="1" x14ac:dyDescent="0.3">
      <c r="A1602" s="308">
        <v>43889</v>
      </c>
      <c r="B1602" s="302">
        <v>1331.5340000000001</v>
      </c>
      <c r="C1602" s="8">
        <v>-30.942</v>
      </c>
      <c r="D1602" s="268">
        <v>-2.2700000000000001E-2</v>
      </c>
      <c r="E1602" s="8">
        <v>84.32</v>
      </c>
      <c r="F1602" s="8">
        <v>124.74299999999999</v>
      </c>
      <c r="G1602" s="8">
        <v>118.06100000000001</v>
      </c>
      <c r="H1602" s="8">
        <v>97.09</v>
      </c>
      <c r="I1602" s="8">
        <v>152.65</v>
      </c>
      <c r="J1602" s="8">
        <v>77.78</v>
      </c>
      <c r="K1602" s="268">
        <v>0.27910000000000001</v>
      </c>
      <c r="L1602" s="268">
        <v>0.21390000000000001</v>
      </c>
      <c r="M1602" s="268">
        <v>-1.5100000000000001E-2</v>
      </c>
      <c r="N1602" s="8">
        <v>159.09</v>
      </c>
      <c r="O1602" s="8">
        <v>3830.7</v>
      </c>
      <c r="P1602" s="268">
        <v>4.1500000000000002E-2</v>
      </c>
      <c r="Q1602" s="8">
        <v>225</v>
      </c>
      <c r="R1602" s="8" t="s">
        <v>9898</v>
      </c>
      <c r="S1602" s="8" t="s">
        <v>9899</v>
      </c>
      <c r="T1602" s="8" t="s">
        <v>9900</v>
      </c>
      <c r="U1602" s="8" t="s">
        <v>9901</v>
      </c>
      <c r="V1602" s="8" t="s">
        <v>9902</v>
      </c>
      <c r="W1602" s="8" t="s">
        <v>9903</v>
      </c>
    </row>
    <row r="1603" spans="1:23" ht="28" customHeight="1" x14ac:dyDescent="0.3">
      <c r="A1603" s="308">
        <v>43888</v>
      </c>
      <c r="B1603" s="302">
        <v>1362.4760000000001</v>
      </c>
      <c r="C1603" s="8">
        <v>-1.883</v>
      </c>
      <c r="D1603" s="268">
        <v>-1.4E-3</v>
      </c>
      <c r="E1603" s="8">
        <v>92.87</v>
      </c>
      <c r="F1603" s="8">
        <v>128.024</v>
      </c>
      <c r="G1603" s="8">
        <v>121.33</v>
      </c>
      <c r="H1603" s="8">
        <v>103.47</v>
      </c>
      <c r="I1603" s="8">
        <v>151.47</v>
      </c>
      <c r="J1603" s="8">
        <v>60.81</v>
      </c>
      <c r="K1603" s="268">
        <v>0.23449999999999999</v>
      </c>
      <c r="L1603" s="268">
        <v>0.1825</v>
      </c>
      <c r="M1603" s="268">
        <v>-2.0299999999999999E-2</v>
      </c>
      <c r="N1603" s="8">
        <v>131.01</v>
      </c>
      <c r="O1603" s="8">
        <v>3834.46</v>
      </c>
      <c r="P1603" s="268">
        <v>3.4200000000000001E-2</v>
      </c>
      <c r="Q1603" s="8">
        <v>226</v>
      </c>
      <c r="R1603" s="8">
        <v>0</v>
      </c>
      <c r="S1603" s="8" t="s">
        <v>9904</v>
      </c>
      <c r="T1603" s="8" t="s">
        <v>9905</v>
      </c>
      <c r="U1603" s="8" t="s">
        <v>9906</v>
      </c>
      <c r="V1603" s="8" t="s">
        <v>9907</v>
      </c>
      <c r="W1603" s="8" t="s">
        <v>9908</v>
      </c>
    </row>
    <row r="1604" spans="1:23" ht="28" customHeight="1" x14ac:dyDescent="0.3">
      <c r="A1604" s="308">
        <v>43887</v>
      </c>
      <c r="B1604" s="302">
        <v>1364.3589999999999</v>
      </c>
      <c r="C1604" s="8">
        <v>-23.792999999999999</v>
      </c>
      <c r="D1604" s="268">
        <v>-1.7100000000000001E-2</v>
      </c>
      <c r="E1604" s="8">
        <v>92.12</v>
      </c>
      <c r="F1604" s="8">
        <v>128.18299999999999</v>
      </c>
      <c r="G1604" s="8">
        <v>121.498</v>
      </c>
      <c r="H1604" s="8">
        <v>102.19</v>
      </c>
      <c r="I1604" s="8">
        <v>152.02000000000001</v>
      </c>
      <c r="J1604" s="8">
        <v>65.150000000000006</v>
      </c>
      <c r="K1604" s="268">
        <v>0.2384</v>
      </c>
      <c r="L1604" s="268">
        <v>0.191</v>
      </c>
      <c r="M1604" s="268">
        <v>-2.06E-2</v>
      </c>
      <c r="N1604" s="8">
        <v>139.71</v>
      </c>
      <c r="O1604" s="8">
        <v>3836.65</v>
      </c>
      <c r="P1604" s="268">
        <v>3.6400000000000002E-2</v>
      </c>
      <c r="Q1604" s="8">
        <v>226</v>
      </c>
      <c r="R1604" s="8">
        <v>0</v>
      </c>
      <c r="S1604" s="8" t="s">
        <v>7172</v>
      </c>
      <c r="T1604" s="8" t="s">
        <v>9909</v>
      </c>
      <c r="U1604" s="8" t="s">
        <v>9044</v>
      </c>
      <c r="V1604" s="8" t="s">
        <v>9910</v>
      </c>
      <c r="W1604" s="8" t="s">
        <v>9911</v>
      </c>
    </row>
    <row r="1605" spans="1:23" ht="28" customHeight="1" x14ac:dyDescent="0.3">
      <c r="A1605" s="308">
        <v>43886</v>
      </c>
      <c r="B1605" s="302">
        <v>1388.152</v>
      </c>
      <c r="C1605" s="8">
        <v>-1.4590000000000001</v>
      </c>
      <c r="D1605" s="268">
        <v>-1E-3</v>
      </c>
      <c r="E1605" s="8">
        <v>95.64</v>
      </c>
      <c r="F1605" s="8">
        <v>130.898</v>
      </c>
      <c r="G1605" s="8">
        <v>122.996</v>
      </c>
      <c r="H1605" s="8">
        <v>103.84</v>
      </c>
      <c r="I1605" s="8">
        <v>154.41</v>
      </c>
      <c r="J1605" s="8">
        <v>63.19</v>
      </c>
      <c r="K1605" s="268">
        <v>0.23519999999999999</v>
      </c>
      <c r="L1605" s="268">
        <v>0.18920000000000001</v>
      </c>
      <c r="M1605" s="268">
        <v>-2.4199999999999999E-2</v>
      </c>
      <c r="N1605" s="8">
        <v>171.63</v>
      </c>
      <c r="O1605" s="8">
        <v>3848.37</v>
      </c>
      <c r="P1605" s="268">
        <v>4.4600000000000001E-2</v>
      </c>
      <c r="Q1605" s="8">
        <v>226</v>
      </c>
      <c r="R1605" s="8">
        <v>0</v>
      </c>
      <c r="S1605" s="8" t="s">
        <v>9912</v>
      </c>
      <c r="T1605" s="8" t="s">
        <v>9913</v>
      </c>
      <c r="U1605" s="8" t="s">
        <v>9914</v>
      </c>
      <c r="V1605" s="8" t="s">
        <v>9915</v>
      </c>
      <c r="W1605" s="8" t="s">
        <v>9916</v>
      </c>
    </row>
    <row r="1606" spans="1:23" ht="28" customHeight="1" x14ac:dyDescent="0.3">
      <c r="A1606" s="308">
        <v>43885</v>
      </c>
      <c r="B1606" s="302">
        <v>1389.6110000000001</v>
      </c>
      <c r="C1606" s="8">
        <v>12.244999999999999</v>
      </c>
      <c r="D1606" s="268">
        <v>8.8999999999999999E-3</v>
      </c>
      <c r="E1606" s="8">
        <v>97.22</v>
      </c>
      <c r="F1606" s="8">
        <v>131.04599999999999</v>
      </c>
      <c r="G1606" s="8">
        <v>122.85</v>
      </c>
      <c r="H1606" s="8">
        <v>103.46</v>
      </c>
      <c r="I1606" s="8">
        <v>154.46</v>
      </c>
      <c r="J1606" s="8">
        <v>60.99</v>
      </c>
      <c r="K1606" s="268">
        <v>0.2341</v>
      </c>
      <c r="L1606" s="268">
        <v>0.18990000000000001</v>
      </c>
      <c r="M1606" s="268">
        <v>-2.4500000000000001E-2</v>
      </c>
      <c r="N1606" s="8">
        <v>144.44999999999999</v>
      </c>
      <c r="O1606" s="8">
        <v>3845.29</v>
      </c>
      <c r="P1606" s="268">
        <v>3.7600000000000001E-2</v>
      </c>
      <c r="Q1606" s="8">
        <v>225</v>
      </c>
      <c r="R1606" s="8">
        <v>0</v>
      </c>
      <c r="S1606" s="8" t="s">
        <v>8329</v>
      </c>
      <c r="T1606" s="8" t="s">
        <v>9917</v>
      </c>
      <c r="U1606" s="8" t="s">
        <v>9256</v>
      </c>
      <c r="V1606" s="8" t="s">
        <v>9918</v>
      </c>
      <c r="W1606" s="8" t="s">
        <v>9919</v>
      </c>
    </row>
    <row r="1607" spans="1:23" ht="28" customHeight="1" x14ac:dyDescent="0.3">
      <c r="A1607" s="308">
        <v>43882</v>
      </c>
      <c r="B1607" s="302">
        <v>1377.366</v>
      </c>
      <c r="C1607" s="8">
        <v>12.8</v>
      </c>
      <c r="D1607" s="268">
        <v>9.4000000000000004E-3</v>
      </c>
      <c r="E1607" s="8">
        <v>97.33</v>
      </c>
      <c r="F1607" s="8">
        <v>129.71799999999999</v>
      </c>
      <c r="G1607" s="8">
        <v>121.83</v>
      </c>
      <c r="H1607" s="8">
        <v>103.32</v>
      </c>
      <c r="I1607" s="8">
        <v>153.37</v>
      </c>
      <c r="J1607" s="8">
        <v>62.19</v>
      </c>
      <c r="K1607" s="268">
        <v>0.23649999999999999</v>
      </c>
      <c r="L1607" s="268">
        <v>0.19209999999999999</v>
      </c>
      <c r="M1607" s="268">
        <v>-2.2700000000000001E-2</v>
      </c>
      <c r="N1607" s="8">
        <v>175.12</v>
      </c>
      <c r="O1607" s="8">
        <v>3846.59</v>
      </c>
      <c r="P1607" s="268">
        <v>4.5499999999999999E-2</v>
      </c>
      <c r="Q1607" s="8">
        <v>225</v>
      </c>
      <c r="R1607" s="8">
        <v>0</v>
      </c>
      <c r="S1607" s="8" t="s">
        <v>9920</v>
      </c>
      <c r="T1607" s="8" t="s">
        <v>9921</v>
      </c>
      <c r="U1607" s="8" t="s">
        <v>9922</v>
      </c>
      <c r="V1607" s="8" t="s">
        <v>9923</v>
      </c>
      <c r="W1607" s="8" t="s">
        <v>9924</v>
      </c>
    </row>
    <row r="1608" spans="1:23" ht="28" customHeight="1" x14ac:dyDescent="0.3">
      <c r="A1608" s="308">
        <v>43881</v>
      </c>
      <c r="B1608" s="302">
        <v>1364.566</v>
      </c>
      <c r="C1608" s="8">
        <v>14.246</v>
      </c>
      <c r="D1608" s="268">
        <v>1.0500000000000001E-2</v>
      </c>
      <c r="E1608" s="8">
        <v>96.01</v>
      </c>
      <c r="F1608" s="8">
        <v>128.404</v>
      </c>
      <c r="G1608" s="8">
        <v>121.25</v>
      </c>
      <c r="H1608" s="8">
        <v>101.95</v>
      </c>
      <c r="I1608" s="8">
        <v>152.6</v>
      </c>
      <c r="J1608" s="8">
        <v>65.09</v>
      </c>
      <c r="K1608" s="268">
        <v>0.24199999999999999</v>
      </c>
      <c r="L1608" s="268">
        <v>0.1966</v>
      </c>
      <c r="M1608" s="268">
        <v>-2.0899999999999998E-2</v>
      </c>
      <c r="N1608" s="8">
        <v>151.84</v>
      </c>
      <c r="O1608" s="8">
        <v>3847.61</v>
      </c>
      <c r="P1608" s="268">
        <v>3.95E-2</v>
      </c>
      <c r="Q1608" s="8">
        <v>225</v>
      </c>
      <c r="R1608" s="8">
        <v>0</v>
      </c>
      <c r="S1608" s="8" t="s">
        <v>6371</v>
      </c>
      <c r="T1608" s="8" t="s">
        <v>9925</v>
      </c>
      <c r="U1608" s="8" t="s">
        <v>9926</v>
      </c>
      <c r="V1608" s="8" t="s">
        <v>9927</v>
      </c>
      <c r="W1608" s="8" t="s">
        <v>9928</v>
      </c>
    </row>
    <row r="1609" spans="1:23" ht="28" customHeight="1" x14ac:dyDescent="0.3">
      <c r="A1609" s="308">
        <v>43880</v>
      </c>
      <c r="B1609" s="302">
        <v>1350.32</v>
      </c>
      <c r="C1609" s="8">
        <v>3.367</v>
      </c>
      <c r="D1609" s="268">
        <v>2.5000000000000001E-3</v>
      </c>
      <c r="E1609" s="8">
        <v>93.83</v>
      </c>
      <c r="F1609" s="8">
        <v>127.13200000000001</v>
      </c>
      <c r="G1609" s="8">
        <v>119.76300000000001</v>
      </c>
      <c r="H1609" s="8">
        <v>100.1</v>
      </c>
      <c r="I1609" s="8">
        <v>152.06</v>
      </c>
      <c r="J1609" s="8">
        <v>66.67</v>
      </c>
      <c r="K1609" s="268">
        <v>0.24929999999999999</v>
      </c>
      <c r="L1609" s="268">
        <v>0.2011</v>
      </c>
      <c r="M1609" s="268">
        <v>-1.8800000000000001E-2</v>
      </c>
      <c r="N1609" s="8">
        <v>138.08000000000001</v>
      </c>
      <c r="O1609" s="8">
        <v>3847.73</v>
      </c>
      <c r="P1609" s="268">
        <v>3.5900000000000001E-2</v>
      </c>
      <c r="Q1609" s="8">
        <v>224</v>
      </c>
      <c r="R1609" s="8">
        <v>0</v>
      </c>
      <c r="S1609" s="8" t="s">
        <v>3373</v>
      </c>
      <c r="T1609" s="8" t="s">
        <v>9929</v>
      </c>
      <c r="U1609" s="8" t="s">
        <v>9930</v>
      </c>
      <c r="V1609" s="8" t="s">
        <v>9931</v>
      </c>
      <c r="W1609" s="8" t="s">
        <v>9877</v>
      </c>
    </row>
    <row r="1610" spans="1:23" ht="28" customHeight="1" x14ac:dyDescent="0.3">
      <c r="A1610" s="308">
        <v>43879</v>
      </c>
      <c r="B1610" s="302">
        <v>1346.953</v>
      </c>
      <c r="C1610" s="8">
        <v>11.683999999999999</v>
      </c>
      <c r="D1610" s="268">
        <v>8.8000000000000005E-3</v>
      </c>
      <c r="E1610" s="8">
        <v>92.89</v>
      </c>
      <c r="F1610" s="8">
        <v>127.089</v>
      </c>
      <c r="G1610" s="8">
        <v>119.05</v>
      </c>
      <c r="H1610" s="8">
        <v>99.85</v>
      </c>
      <c r="I1610" s="8">
        <v>151.33000000000001</v>
      </c>
      <c r="J1610" s="8">
        <v>63.64</v>
      </c>
      <c r="K1610" s="268">
        <v>0.2424</v>
      </c>
      <c r="L1610" s="268">
        <v>0.19320000000000001</v>
      </c>
      <c r="M1610" s="268">
        <v>-1.8599999999999998E-2</v>
      </c>
      <c r="N1610" s="8">
        <v>145.72</v>
      </c>
      <c r="O1610" s="8">
        <v>3849.81</v>
      </c>
      <c r="P1610" s="268">
        <v>3.7900000000000003E-2</v>
      </c>
      <c r="Q1610" s="8">
        <v>225</v>
      </c>
      <c r="R1610" s="8">
        <v>0</v>
      </c>
      <c r="S1610" s="8" t="s">
        <v>9932</v>
      </c>
      <c r="T1610" s="8" t="s">
        <v>5266</v>
      </c>
      <c r="U1610" s="8" t="s">
        <v>9933</v>
      </c>
      <c r="V1610" s="8" t="s">
        <v>9923</v>
      </c>
      <c r="W1610" s="8" t="s">
        <v>9934</v>
      </c>
    </row>
    <row r="1611" spans="1:23" ht="28" customHeight="1" x14ac:dyDescent="0.3">
      <c r="A1611" s="308">
        <v>43878</v>
      </c>
      <c r="B1611" s="302">
        <v>1335.269</v>
      </c>
      <c r="C1611" s="8">
        <v>23.417000000000002</v>
      </c>
      <c r="D1611" s="268">
        <v>1.78E-2</v>
      </c>
      <c r="E1611" s="8">
        <v>92.52</v>
      </c>
      <c r="F1611" s="8">
        <v>125.89400000000001</v>
      </c>
      <c r="G1611" s="8">
        <v>118.901</v>
      </c>
      <c r="H1611" s="8">
        <v>98.4</v>
      </c>
      <c r="I1611" s="8">
        <v>150.76</v>
      </c>
      <c r="J1611" s="8">
        <v>67.73</v>
      </c>
      <c r="K1611" s="268">
        <v>0.2487</v>
      </c>
      <c r="L1611" s="268">
        <v>0.19980000000000001</v>
      </c>
      <c r="M1611" s="268">
        <v>-1.6799999999999999E-2</v>
      </c>
      <c r="N1611" s="8">
        <v>157.5</v>
      </c>
      <c r="O1611" s="8">
        <v>3840.1</v>
      </c>
      <c r="P1611" s="268">
        <v>4.1000000000000002E-2</v>
      </c>
      <c r="Q1611" s="8">
        <v>224</v>
      </c>
      <c r="R1611" s="8">
        <v>0</v>
      </c>
      <c r="S1611" s="8" t="s">
        <v>9935</v>
      </c>
      <c r="T1611" s="8" t="s">
        <v>9936</v>
      </c>
      <c r="U1611" s="8" t="s">
        <v>9937</v>
      </c>
      <c r="V1611" s="8" t="s">
        <v>9938</v>
      </c>
      <c r="W1611" s="8" t="s">
        <v>9939</v>
      </c>
    </row>
    <row r="1612" spans="1:23" ht="28" customHeight="1" x14ac:dyDescent="0.3">
      <c r="A1612" s="308">
        <v>43875</v>
      </c>
      <c r="B1612" s="302">
        <v>1311.8520000000001</v>
      </c>
      <c r="C1612" s="8">
        <v>1.232</v>
      </c>
      <c r="D1612" s="268">
        <v>8.9999999999999998E-4</v>
      </c>
      <c r="E1612" s="8">
        <v>87.67</v>
      </c>
      <c r="F1612" s="8">
        <v>123.566</v>
      </c>
      <c r="G1612" s="8">
        <v>116.785</v>
      </c>
      <c r="H1612" s="8">
        <v>94.9</v>
      </c>
      <c r="I1612" s="8">
        <v>150.46</v>
      </c>
      <c r="J1612" s="8">
        <v>77.38</v>
      </c>
      <c r="K1612" s="268">
        <v>0.26889999999999997</v>
      </c>
      <c r="L1612" s="268">
        <v>0.22489999999999999</v>
      </c>
      <c r="M1612" s="268">
        <v>-1.2999999999999999E-2</v>
      </c>
      <c r="N1612" s="8">
        <v>121.74</v>
      </c>
      <c r="O1612" s="8">
        <v>3767.32</v>
      </c>
      <c r="P1612" s="268">
        <v>3.2300000000000002E-2</v>
      </c>
      <c r="Q1612" s="8">
        <v>222</v>
      </c>
      <c r="R1612" s="8">
        <v>0</v>
      </c>
      <c r="S1612" s="8" t="s">
        <v>7100</v>
      </c>
      <c r="T1612" s="8" t="s">
        <v>9940</v>
      </c>
      <c r="U1612" s="8" t="s">
        <v>9941</v>
      </c>
      <c r="V1612" s="8" t="s">
        <v>9942</v>
      </c>
      <c r="W1612" s="8" t="s">
        <v>7417</v>
      </c>
    </row>
    <row r="1613" spans="1:23" ht="28" customHeight="1" x14ac:dyDescent="0.3">
      <c r="A1613" s="308">
        <v>43874</v>
      </c>
      <c r="B1613" s="302">
        <v>1310.6199999999999</v>
      </c>
      <c r="C1613" s="8">
        <v>-2.9950000000000001</v>
      </c>
      <c r="D1613" s="268">
        <v>-2.3E-3</v>
      </c>
      <c r="E1613" s="8">
        <v>87.71</v>
      </c>
      <c r="F1613" s="8">
        <v>123.449</v>
      </c>
      <c r="G1613" s="8">
        <v>115.995</v>
      </c>
      <c r="H1613" s="8">
        <v>93.9</v>
      </c>
      <c r="I1613" s="8">
        <v>150.30000000000001</v>
      </c>
      <c r="J1613" s="8">
        <v>77.05</v>
      </c>
      <c r="K1613" s="268">
        <v>0.26850000000000002</v>
      </c>
      <c r="L1613" s="268">
        <v>0.22439999999999999</v>
      </c>
      <c r="M1613" s="268">
        <v>-1.2800000000000001E-2</v>
      </c>
      <c r="N1613" s="8">
        <v>154.46</v>
      </c>
      <c r="O1613" s="8">
        <v>3768.23</v>
      </c>
      <c r="P1613" s="268">
        <v>4.1000000000000002E-2</v>
      </c>
      <c r="Q1613" s="8">
        <v>222</v>
      </c>
      <c r="R1613" s="8">
        <v>0</v>
      </c>
      <c r="S1613" s="8" t="s">
        <v>9943</v>
      </c>
      <c r="T1613" s="8" t="s">
        <v>9944</v>
      </c>
      <c r="U1613" s="8" t="s">
        <v>9454</v>
      </c>
      <c r="V1613" s="8" t="s">
        <v>9945</v>
      </c>
      <c r="W1613" s="8" t="s">
        <v>9946</v>
      </c>
    </row>
    <row r="1614" spans="1:23" ht="28" customHeight="1" x14ac:dyDescent="0.3">
      <c r="A1614" s="308">
        <v>43873</v>
      </c>
      <c r="B1614" s="302">
        <v>1313.615</v>
      </c>
      <c r="C1614" s="8">
        <v>18.533000000000001</v>
      </c>
      <c r="D1614" s="268">
        <v>1.43E-2</v>
      </c>
      <c r="E1614" s="8">
        <v>88.61</v>
      </c>
      <c r="F1614" s="8">
        <v>123.95099999999999</v>
      </c>
      <c r="G1614" s="8">
        <v>116.71</v>
      </c>
      <c r="H1614" s="8">
        <v>95.91</v>
      </c>
      <c r="I1614" s="8">
        <v>149.88</v>
      </c>
      <c r="J1614" s="8">
        <v>72.239999999999995</v>
      </c>
      <c r="K1614" s="268">
        <v>0.25919999999999999</v>
      </c>
      <c r="L1614" s="268">
        <v>0.21590000000000001</v>
      </c>
      <c r="M1614" s="268">
        <v>-1.3599999999999999E-2</v>
      </c>
      <c r="N1614" s="8">
        <v>145.44</v>
      </c>
      <c r="O1614" s="8">
        <v>3770.2</v>
      </c>
      <c r="P1614" s="268">
        <v>3.8600000000000002E-2</v>
      </c>
      <c r="Q1614" s="8">
        <v>223</v>
      </c>
      <c r="R1614" s="8">
        <v>0</v>
      </c>
      <c r="S1614" s="8" t="s">
        <v>3699</v>
      </c>
      <c r="T1614" s="8" t="s">
        <v>9364</v>
      </c>
      <c r="U1614" s="8" t="s">
        <v>9947</v>
      </c>
      <c r="V1614" s="8" t="s">
        <v>9948</v>
      </c>
      <c r="W1614" s="8" t="s">
        <v>9949</v>
      </c>
    </row>
    <row r="1615" spans="1:23" ht="28" customHeight="1" x14ac:dyDescent="0.3">
      <c r="A1615" s="308">
        <v>43872</v>
      </c>
      <c r="B1615" s="302">
        <v>1295.0820000000001</v>
      </c>
      <c r="C1615" s="8">
        <v>0.41399999999999998</v>
      </c>
      <c r="D1615" s="268">
        <v>2.9999999999999997E-4</v>
      </c>
      <c r="E1615" s="8">
        <v>84.02</v>
      </c>
      <c r="F1615" s="8">
        <v>122.08</v>
      </c>
      <c r="G1615" s="8">
        <v>115.81</v>
      </c>
      <c r="H1615" s="8">
        <v>94.92</v>
      </c>
      <c r="I1615" s="8">
        <v>148.59</v>
      </c>
      <c r="J1615" s="8">
        <v>75</v>
      </c>
      <c r="K1615" s="268">
        <v>0.2651</v>
      </c>
      <c r="L1615" s="268">
        <v>0.22359999999999999</v>
      </c>
      <c r="M1615" s="268">
        <v>-1.06E-2</v>
      </c>
      <c r="N1615" s="8">
        <v>131.63</v>
      </c>
      <c r="O1615" s="8">
        <v>3771.95</v>
      </c>
      <c r="P1615" s="268">
        <v>3.49E-2</v>
      </c>
      <c r="Q1615" s="8">
        <v>223</v>
      </c>
      <c r="R1615" s="8">
        <v>0</v>
      </c>
      <c r="S1615" s="8" t="s">
        <v>9950</v>
      </c>
      <c r="T1615" s="8" t="s">
        <v>9707</v>
      </c>
      <c r="U1615" s="8" t="s">
        <v>9951</v>
      </c>
      <c r="V1615" s="8" t="s">
        <v>9952</v>
      </c>
      <c r="W1615" s="8" t="s">
        <v>9953</v>
      </c>
    </row>
    <row r="1616" spans="1:23" ht="28" customHeight="1" x14ac:dyDescent="0.3">
      <c r="A1616" s="308">
        <v>43871</v>
      </c>
      <c r="B1616" s="302">
        <v>1294.6679999999999</v>
      </c>
      <c r="C1616" s="8">
        <v>11.433999999999999</v>
      </c>
      <c r="D1616" s="268">
        <v>8.8999999999999999E-3</v>
      </c>
      <c r="E1616" s="8">
        <v>84.56</v>
      </c>
      <c r="F1616" s="8">
        <v>122.23399999999999</v>
      </c>
      <c r="G1616" s="8">
        <v>115.44</v>
      </c>
      <c r="H1616" s="8">
        <v>95.4</v>
      </c>
      <c r="I1616" s="8">
        <v>148.1</v>
      </c>
      <c r="J1616" s="8">
        <v>74</v>
      </c>
      <c r="K1616" s="268">
        <v>0.2586</v>
      </c>
      <c r="L1616" s="268">
        <v>0.20979999999999999</v>
      </c>
      <c r="M1616" s="268">
        <v>-1.0800000000000001E-2</v>
      </c>
      <c r="N1616" s="8">
        <v>138.03</v>
      </c>
      <c r="O1616" s="8">
        <v>3771.53</v>
      </c>
      <c r="P1616" s="268">
        <v>3.6600000000000001E-2</v>
      </c>
      <c r="Q1616" s="8">
        <v>222</v>
      </c>
      <c r="R1616" s="8">
        <v>0</v>
      </c>
      <c r="S1616" s="8" t="s">
        <v>9954</v>
      </c>
      <c r="T1616" s="8" t="s">
        <v>9955</v>
      </c>
      <c r="U1616" s="8" t="s">
        <v>6816</v>
      </c>
      <c r="V1616" s="8" t="s">
        <v>9956</v>
      </c>
      <c r="W1616" s="8" t="s">
        <v>9957</v>
      </c>
    </row>
    <row r="1617" spans="1:23" ht="28" customHeight="1" x14ac:dyDescent="0.3">
      <c r="A1617" s="308">
        <v>43868</v>
      </c>
      <c r="B1617" s="302">
        <v>1283.2339999999999</v>
      </c>
      <c r="C1617" s="8">
        <v>-1.22</v>
      </c>
      <c r="D1617" s="268">
        <v>-1E-3</v>
      </c>
      <c r="E1617" s="8">
        <v>82.08</v>
      </c>
      <c r="F1617" s="8">
        <v>121.532</v>
      </c>
      <c r="G1617" s="8">
        <v>115.68899999999999</v>
      </c>
      <c r="H1617" s="8">
        <v>95.55</v>
      </c>
      <c r="I1617" s="8">
        <v>148.43</v>
      </c>
      <c r="J1617" s="8">
        <v>78.540000000000006</v>
      </c>
      <c r="K1617" s="268">
        <v>0.26889999999999997</v>
      </c>
      <c r="L1617" s="268">
        <v>0.22389999999999999</v>
      </c>
      <c r="M1617" s="268">
        <v>-9.4000000000000004E-3</v>
      </c>
      <c r="N1617" s="8">
        <v>136.78</v>
      </c>
      <c r="O1617" s="8">
        <v>3774.89</v>
      </c>
      <c r="P1617" s="268">
        <v>3.6200000000000003E-2</v>
      </c>
      <c r="Q1617" s="8">
        <v>223</v>
      </c>
      <c r="R1617" s="8">
        <v>0</v>
      </c>
      <c r="S1617" s="8" t="s">
        <v>9958</v>
      </c>
      <c r="T1617" s="8" t="s">
        <v>9959</v>
      </c>
      <c r="U1617" s="8" t="s">
        <v>7481</v>
      </c>
      <c r="V1617" s="8" t="s">
        <v>9960</v>
      </c>
      <c r="W1617" s="8" t="s">
        <v>9961</v>
      </c>
    </row>
    <row r="1618" spans="1:23" ht="28" customHeight="1" x14ac:dyDescent="0.3">
      <c r="A1618" s="308">
        <v>43867</v>
      </c>
      <c r="B1618" s="302">
        <v>1284.454</v>
      </c>
      <c r="C1618" s="8">
        <v>18.995000000000001</v>
      </c>
      <c r="D1618" s="268">
        <v>1.4999999999999999E-2</v>
      </c>
      <c r="E1618" s="8">
        <v>81.97</v>
      </c>
      <c r="F1618" s="8">
        <v>121.749</v>
      </c>
      <c r="G1618" s="8">
        <v>115.7</v>
      </c>
      <c r="H1618" s="8">
        <v>94.26</v>
      </c>
      <c r="I1618" s="8">
        <v>149.85</v>
      </c>
      <c r="J1618" s="8">
        <v>85.32</v>
      </c>
      <c r="K1618" s="268">
        <v>0.28100000000000003</v>
      </c>
      <c r="L1618" s="268">
        <v>0.22969999999999999</v>
      </c>
      <c r="M1618" s="268">
        <v>-9.5999999999999992E-3</v>
      </c>
      <c r="N1618" s="8">
        <v>160.08000000000001</v>
      </c>
      <c r="O1618" s="8">
        <v>3776.05</v>
      </c>
      <c r="P1618" s="268">
        <v>4.24E-2</v>
      </c>
      <c r="Q1618" s="8">
        <v>223</v>
      </c>
      <c r="R1618" s="8">
        <v>0</v>
      </c>
      <c r="S1618" s="8" t="s">
        <v>3886</v>
      </c>
      <c r="T1618" s="8" t="s">
        <v>4817</v>
      </c>
      <c r="U1618" s="8" t="s">
        <v>9962</v>
      </c>
      <c r="V1618" s="8" t="s">
        <v>9963</v>
      </c>
      <c r="W1618" s="8" t="s">
        <v>9964</v>
      </c>
    </row>
    <row r="1619" spans="1:23" ht="28" customHeight="1" x14ac:dyDescent="0.3">
      <c r="A1619" s="308">
        <v>43866</v>
      </c>
      <c r="B1619" s="302">
        <v>1265.4590000000001</v>
      </c>
      <c r="C1619" s="8">
        <v>21.324000000000002</v>
      </c>
      <c r="D1619" s="268">
        <v>1.7100000000000001E-2</v>
      </c>
      <c r="E1619" s="8">
        <v>76.69</v>
      </c>
      <c r="F1619" s="8">
        <v>120.012</v>
      </c>
      <c r="G1619" s="8">
        <v>115</v>
      </c>
      <c r="H1619" s="8">
        <v>92.16</v>
      </c>
      <c r="I1619" s="8">
        <v>149.38</v>
      </c>
      <c r="J1619" s="8">
        <v>88.09</v>
      </c>
      <c r="K1619" s="268">
        <v>0.29370000000000002</v>
      </c>
      <c r="L1619" s="268">
        <v>0.2397</v>
      </c>
      <c r="M1619" s="268">
        <v>-7.0000000000000001E-3</v>
      </c>
      <c r="N1619" s="8">
        <v>146.47999999999999</v>
      </c>
      <c r="O1619" s="8">
        <v>3778.89</v>
      </c>
      <c r="P1619" s="268">
        <v>3.8800000000000001E-2</v>
      </c>
      <c r="Q1619" s="8">
        <v>225</v>
      </c>
      <c r="R1619" s="8">
        <v>0</v>
      </c>
      <c r="S1619" s="8" t="s">
        <v>9965</v>
      </c>
      <c r="T1619" s="8" t="s">
        <v>9966</v>
      </c>
      <c r="U1619" s="8" t="s">
        <v>9967</v>
      </c>
      <c r="V1619" s="8" t="s">
        <v>9968</v>
      </c>
      <c r="W1619" s="8" t="s">
        <v>9969</v>
      </c>
    </row>
    <row r="1620" spans="1:23" ht="28" customHeight="1" x14ac:dyDescent="0.3">
      <c r="A1620" s="308">
        <v>43865</v>
      </c>
      <c r="B1620" s="302">
        <v>1244.135</v>
      </c>
      <c r="C1620" s="8">
        <v>34.204999999999998</v>
      </c>
      <c r="D1620" s="268">
        <v>2.8299999999999999E-2</v>
      </c>
      <c r="E1620" s="8">
        <v>68.290000000000006</v>
      </c>
      <c r="F1620" s="8">
        <v>117.706</v>
      </c>
      <c r="G1620" s="8">
        <v>113.5</v>
      </c>
      <c r="H1620" s="8">
        <v>90.03</v>
      </c>
      <c r="I1620" s="8">
        <v>148.62</v>
      </c>
      <c r="J1620" s="8">
        <v>96.84</v>
      </c>
      <c r="K1620" s="268">
        <v>0.30919999999999997</v>
      </c>
      <c r="L1620" s="268">
        <v>0.25590000000000002</v>
      </c>
      <c r="M1620" s="268">
        <v>-3.2000000000000002E-3</v>
      </c>
      <c r="N1620" s="8">
        <v>130.13999999999999</v>
      </c>
      <c r="O1620" s="8">
        <v>3734.95</v>
      </c>
      <c r="P1620" s="268">
        <v>3.4799999999999998E-2</v>
      </c>
      <c r="Q1620" s="8">
        <v>223</v>
      </c>
      <c r="R1620" s="8" t="s">
        <v>9970</v>
      </c>
      <c r="S1620" s="8" t="s">
        <v>9971</v>
      </c>
      <c r="T1620" s="8" t="s">
        <v>5416</v>
      </c>
      <c r="U1620" s="8" t="s">
        <v>9972</v>
      </c>
      <c r="V1620" s="8" t="s">
        <v>9973</v>
      </c>
      <c r="W1620" s="8" t="s">
        <v>9974</v>
      </c>
    </row>
    <row r="1621" spans="1:23" ht="28" customHeight="1" x14ac:dyDescent="0.3">
      <c r="A1621" s="308">
        <v>43864</v>
      </c>
      <c r="B1621" s="302">
        <v>1209.93</v>
      </c>
      <c r="C1621" s="8">
        <v>-62.89</v>
      </c>
      <c r="D1621" s="268">
        <v>-4.9399999999999999E-2</v>
      </c>
      <c r="E1621" s="8">
        <v>51.61</v>
      </c>
      <c r="F1621" s="8">
        <v>114.271</v>
      </c>
      <c r="G1621" s="8">
        <v>110.861</v>
      </c>
      <c r="H1621" s="8">
        <v>90.96</v>
      </c>
      <c r="I1621" s="8">
        <v>141.97999999999999</v>
      </c>
      <c r="J1621" s="8">
        <v>96.09</v>
      </c>
      <c r="K1621" s="268">
        <v>0.27710000000000001</v>
      </c>
      <c r="L1621" s="268">
        <v>0.23619999999999999</v>
      </c>
      <c r="M1621" s="268">
        <v>2.8E-3</v>
      </c>
      <c r="N1621" s="8">
        <v>125.73</v>
      </c>
      <c r="O1621" s="8">
        <v>3737.42</v>
      </c>
      <c r="P1621" s="268">
        <v>3.3599999999999998E-2</v>
      </c>
      <c r="Q1621" s="8">
        <v>223</v>
      </c>
      <c r="R1621" s="8" t="s">
        <v>9975</v>
      </c>
      <c r="S1621" s="8" t="s">
        <v>9976</v>
      </c>
      <c r="T1621" s="8" t="s">
        <v>9977</v>
      </c>
      <c r="U1621" s="8" t="s">
        <v>9978</v>
      </c>
      <c r="V1621" s="8" t="s">
        <v>9979</v>
      </c>
      <c r="W1621" s="8" t="s">
        <v>9980</v>
      </c>
    </row>
    <row r="1622" spans="1:23" ht="28" customHeight="1" x14ac:dyDescent="0.3">
      <c r="A1622" s="308">
        <v>43853</v>
      </c>
      <c r="B1622" s="302">
        <v>1272.82</v>
      </c>
      <c r="C1622" s="8">
        <v>-24.533000000000001</v>
      </c>
      <c r="D1622" s="268">
        <v>-1.89E-2</v>
      </c>
      <c r="E1622" s="8">
        <v>82.64</v>
      </c>
      <c r="F1622" s="8">
        <v>120.715</v>
      </c>
      <c r="G1622" s="8">
        <v>116.14</v>
      </c>
      <c r="H1622" s="8">
        <v>99.76</v>
      </c>
      <c r="I1622" s="8">
        <v>142.80000000000001</v>
      </c>
      <c r="J1622" s="8">
        <v>74</v>
      </c>
      <c r="K1622" s="268">
        <v>0.22090000000000001</v>
      </c>
      <c r="L1622" s="268">
        <v>0.1721</v>
      </c>
      <c r="M1622" s="268">
        <v>-8.6E-3</v>
      </c>
      <c r="N1622" s="8">
        <v>98.55</v>
      </c>
      <c r="O1622" s="8">
        <v>3729.64</v>
      </c>
      <c r="P1622" s="268">
        <v>2.64E-2</v>
      </c>
      <c r="Q1622" s="8">
        <v>221</v>
      </c>
      <c r="R1622" s="8" t="s">
        <v>7673</v>
      </c>
      <c r="S1622" s="8" t="s">
        <v>9981</v>
      </c>
      <c r="T1622" s="8" t="s">
        <v>9982</v>
      </c>
      <c r="U1622" s="8" t="s">
        <v>9983</v>
      </c>
      <c r="V1622" s="8" t="s">
        <v>9984</v>
      </c>
      <c r="W1622" s="8" t="s">
        <v>9985</v>
      </c>
    </row>
    <row r="1623" spans="1:23" ht="28" customHeight="1" x14ac:dyDescent="0.3">
      <c r="A1623" s="308">
        <v>43852</v>
      </c>
      <c r="B1623" s="302">
        <v>1297.3530000000001</v>
      </c>
      <c r="C1623" s="8">
        <v>6.5830000000000002</v>
      </c>
      <c r="D1623" s="268">
        <v>5.1000000000000004E-3</v>
      </c>
      <c r="E1623" s="8">
        <v>90.07</v>
      </c>
      <c r="F1623" s="8">
        <v>123.26300000000001</v>
      </c>
      <c r="G1623" s="8">
        <v>117.85599999999999</v>
      </c>
      <c r="H1623" s="8">
        <v>102.28</v>
      </c>
      <c r="I1623" s="8">
        <v>143.41</v>
      </c>
      <c r="J1623" s="8">
        <v>60.37</v>
      </c>
      <c r="K1623" s="268">
        <v>0.20150000000000001</v>
      </c>
      <c r="L1623" s="268">
        <v>0.14799999999999999</v>
      </c>
      <c r="M1623" s="268">
        <v>-1.29E-2</v>
      </c>
      <c r="N1623" s="8">
        <v>103.64</v>
      </c>
      <c r="O1623" s="8">
        <v>3716.88</v>
      </c>
      <c r="P1623" s="268">
        <v>2.7900000000000001E-2</v>
      </c>
      <c r="Q1623" s="8">
        <v>218</v>
      </c>
      <c r="R1623" s="8" t="s">
        <v>9986</v>
      </c>
      <c r="S1623" s="8" t="s">
        <v>2378</v>
      </c>
      <c r="T1623" s="8" t="s">
        <v>6726</v>
      </c>
      <c r="U1623" s="8" t="s">
        <v>9987</v>
      </c>
      <c r="V1623" s="8" t="s">
        <v>9988</v>
      </c>
      <c r="W1623" s="8" t="s">
        <v>9989</v>
      </c>
    </row>
    <row r="1624" spans="1:23" ht="28" customHeight="1" x14ac:dyDescent="0.3">
      <c r="A1624" s="308">
        <v>43851</v>
      </c>
      <c r="B1624" s="302">
        <v>1290.77</v>
      </c>
      <c r="C1624" s="8">
        <v>-2.5350000000000001</v>
      </c>
      <c r="D1624" s="268">
        <v>-2E-3</v>
      </c>
      <c r="E1624" s="8">
        <v>90.34</v>
      </c>
      <c r="F1624" s="8">
        <v>122.574</v>
      </c>
      <c r="G1624" s="8">
        <v>117.82</v>
      </c>
      <c r="H1624" s="8">
        <v>103.1</v>
      </c>
      <c r="I1624" s="8">
        <v>142.69</v>
      </c>
      <c r="J1624" s="8">
        <v>58.95</v>
      </c>
      <c r="K1624" s="268">
        <v>0.2011</v>
      </c>
      <c r="L1624" s="268">
        <v>0.14119999999999999</v>
      </c>
      <c r="M1624" s="268">
        <v>-1.2E-2</v>
      </c>
      <c r="N1624" s="8">
        <v>83.52</v>
      </c>
      <c r="O1624" s="8">
        <v>3707.58</v>
      </c>
      <c r="P1624" s="268">
        <v>2.2499999999999999E-2</v>
      </c>
      <c r="Q1624" s="8">
        <v>216</v>
      </c>
      <c r="R1624" s="8">
        <v>0</v>
      </c>
      <c r="S1624" s="8" t="s">
        <v>3062</v>
      </c>
      <c r="T1624" s="8" t="s">
        <v>5050</v>
      </c>
      <c r="U1624" s="8" t="s">
        <v>9707</v>
      </c>
      <c r="V1624" s="8" t="s">
        <v>6237</v>
      </c>
      <c r="W1624" s="8" t="s">
        <v>9990</v>
      </c>
    </row>
    <row r="1625" spans="1:23" ht="28" customHeight="1" x14ac:dyDescent="0.3">
      <c r="A1625" s="308">
        <v>43850</v>
      </c>
      <c r="B1625" s="302">
        <v>1293.3050000000001</v>
      </c>
      <c r="C1625" s="8">
        <v>14.211</v>
      </c>
      <c r="D1625" s="268">
        <v>1.11E-2</v>
      </c>
      <c r="E1625" s="8">
        <v>92.12</v>
      </c>
      <c r="F1625" s="8">
        <v>122.895</v>
      </c>
      <c r="G1625" s="8">
        <v>117.9</v>
      </c>
      <c r="H1625" s="8">
        <v>105.13</v>
      </c>
      <c r="I1625" s="8">
        <v>141.88999999999999</v>
      </c>
      <c r="J1625" s="8">
        <v>47.48</v>
      </c>
      <c r="K1625" s="268">
        <v>0.19</v>
      </c>
      <c r="L1625" s="268">
        <v>0.1298</v>
      </c>
      <c r="M1625" s="268">
        <v>-1.2500000000000001E-2</v>
      </c>
      <c r="N1625" s="8">
        <v>78.66</v>
      </c>
      <c r="O1625" s="8">
        <v>3706.64</v>
      </c>
      <c r="P1625" s="268">
        <v>2.12E-2</v>
      </c>
      <c r="Q1625" s="8">
        <v>215</v>
      </c>
      <c r="R1625" s="8" t="s">
        <v>9991</v>
      </c>
      <c r="S1625" s="8" t="s">
        <v>3339</v>
      </c>
      <c r="T1625" s="8" t="s">
        <v>9992</v>
      </c>
      <c r="U1625" s="8" t="s">
        <v>8642</v>
      </c>
      <c r="V1625" s="8" t="s">
        <v>9993</v>
      </c>
      <c r="W1625" s="8" t="s">
        <v>9994</v>
      </c>
    </row>
    <row r="1626" spans="1:23" ht="28" customHeight="1" x14ac:dyDescent="0.3">
      <c r="A1626" s="308">
        <v>43847</v>
      </c>
      <c r="B1626" s="302">
        <v>1279.0940000000001</v>
      </c>
      <c r="C1626" s="8">
        <v>0.25600000000000001</v>
      </c>
      <c r="D1626" s="268">
        <v>2.0000000000000001E-4</v>
      </c>
      <c r="E1626" s="8">
        <v>88.46</v>
      </c>
      <c r="F1626" s="8">
        <v>121.46899999999999</v>
      </c>
      <c r="G1626" s="8">
        <v>117.434</v>
      </c>
      <c r="H1626" s="8">
        <v>103.81</v>
      </c>
      <c r="I1626" s="8">
        <v>140.9</v>
      </c>
      <c r="J1626" s="8">
        <v>53.88</v>
      </c>
      <c r="K1626" s="268">
        <v>0.1943</v>
      </c>
      <c r="L1626" s="268">
        <v>0.1404</v>
      </c>
      <c r="M1626" s="268">
        <v>-1.0200000000000001E-2</v>
      </c>
      <c r="N1626" s="8">
        <v>73.92</v>
      </c>
      <c r="O1626" s="8">
        <v>3705.97</v>
      </c>
      <c r="P1626" s="268">
        <v>1.9900000000000001E-2</v>
      </c>
      <c r="Q1626" s="8">
        <v>214</v>
      </c>
      <c r="R1626" s="8" t="s">
        <v>9397</v>
      </c>
      <c r="S1626" s="8" t="s">
        <v>7485</v>
      </c>
      <c r="T1626" s="8" t="s">
        <v>9995</v>
      </c>
      <c r="U1626" s="8" t="s">
        <v>9996</v>
      </c>
      <c r="V1626" s="8" t="s">
        <v>9332</v>
      </c>
      <c r="W1626" s="8" t="s">
        <v>9997</v>
      </c>
    </row>
    <row r="1627" spans="1:23" ht="28" customHeight="1" x14ac:dyDescent="0.3">
      <c r="A1627" s="308">
        <v>43846</v>
      </c>
      <c r="B1627" s="302">
        <v>1278.838</v>
      </c>
      <c r="C1627" s="8">
        <v>-4.2990000000000004</v>
      </c>
      <c r="D1627" s="268">
        <v>-3.3999999999999998E-3</v>
      </c>
      <c r="E1627" s="8">
        <v>88.6</v>
      </c>
      <c r="F1627" s="8">
        <v>121.657</v>
      </c>
      <c r="G1627" s="8">
        <v>117.675</v>
      </c>
      <c r="H1627" s="8">
        <v>104.83</v>
      </c>
      <c r="I1627" s="8">
        <v>140.81</v>
      </c>
      <c r="J1627" s="8">
        <v>49.74</v>
      </c>
      <c r="K1627" s="268">
        <v>0.19159999999999999</v>
      </c>
      <c r="L1627" s="268">
        <v>0.13880000000000001</v>
      </c>
      <c r="M1627" s="268">
        <v>-1.0500000000000001E-2</v>
      </c>
      <c r="N1627" s="8">
        <v>55.92</v>
      </c>
      <c r="O1627" s="8">
        <v>3670.6</v>
      </c>
      <c r="P1627" s="268">
        <v>1.52E-2</v>
      </c>
      <c r="Q1627" s="8">
        <v>212</v>
      </c>
      <c r="R1627" s="8" t="s">
        <v>3597</v>
      </c>
      <c r="S1627" s="8" t="s">
        <v>9998</v>
      </c>
      <c r="T1627" s="8" t="s">
        <v>7121</v>
      </c>
      <c r="U1627" s="8" t="s">
        <v>9999</v>
      </c>
      <c r="V1627" s="8" t="s">
        <v>10000</v>
      </c>
      <c r="W1627" s="8" t="s">
        <v>10001</v>
      </c>
    </row>
    <row r="1628" spans="1:23" ht="28" customHeight="1" x14ac:dyDescent="0.3">
      <c r="A1628" s="308">
        <v>43845</v>
      </c>
      <c r="B1628" s="302">
        <v>1283.1369999999999</v>
      </c>
      <c r="C1628" s="8">
        <v>-6.72</v>
      </c>
      <c r="D1628" s="268">
        <v>-5.1999999999999998E-3</v>
      </c>
      <c r="E1628" s="8">
        <v>90.88</v>
      </c>
      <c r="F1628" s="8">
        <v>122.018</v>
      </c>
      <c r="G1628" s="8">
        <v>118.35</v>
      </c>
      <c r="H1628" s="8">
        <v>104.6</v>
      </c>
      <c r="I1628" s="8">
        <v>141.03</v>
      </c>
      <c r="J1628" s="8">
        <v>48.67</v>
      </c>
      <c r="K1628" s="268">
        <v>0.19009999999999999</v>
      </c>
      <c r="L1628" s="268">
        <v>0.13619999999999999</v>
      </c>
      <c r="M1628" s="268">
        <v>-1.1299999999999999E-2</v>
      </c>
      <c r="N1628" s="8">
        <v>71.83</v>
      </c>
      <c r="O1628" s="8">
        <v>3673.25</v>
      </c>
      <c r="P1628" s="268">
        <v>1.9599999999999999E-2</v>
      </c>
      <c r="Q1628" s="8">
        <v>212</v>
      </c>
      <c r="R1628" s="8" t="s">
        <v>9307</v>
      </c>
      <c r="S1628" s="8" t="s">
        <v>10002</v>
      </c>
      <c r="T1628" s="8" t="s">
        <v>10003</v>
      </c>
      <c r="U1628" s="8" t="s">
        <v>10004</v>
      </c>
      <c r="V1628" s="8" t="s">
        <v>10005</v>
      </c>
      <c r="W1628" s="8" t="s">
        <v>10006</v>
      </c>
    </row>
    <row r="1629" spans="1:23" ht="28" customHeight="1" x14ac:dyDescent="0.3">
      <c r="A1629" s="308">
        <v>43844</v>
      </c>
      <c r="B1629" s="302">
        <v>1289.857</v>
      </c>
      <c r="C1629" s="8">
        <v>4.5759999999999996</v>
      </c>
      <c r="D1629" s="268">
        <v>3.5999999999999999E-3</v>
      </c>
      <c r="E1629" s="8">
        <v>94.45</v>
      </c>
      <c r="F1629" s="8">
        <v>122.657</v>
      </c>
      <c r="G1629" s="8">
        <v>118.8</v>
      </c>
      <c r="H1629" s="8">
        <v>105.28</v>
      </c>
      <c r="I1629" s="8">
        <v>141.78</v>
      </c>
      <c r="J1629" s="8">
        <v>49.87</v>
      </c>
      <c r="K1629" s="268">
        <v>0.1913</v>
      </c>
      <c r="L1629" s="268">
        <v>0.1384</v>
      </c>
      <c r="M1629" s="268">
        <v>-1.2500000000000001E-2</v>
      </c>
      <c r="N1629" s="8">
        <v>93.6</v>
      </c>
      <c r="O1629" s="8">
        <v>3659.39</v>
      </c>
      <c r="P1629" s="268">
        <v>2.5600000000000001E-2</v>
      </c>
      <c r="Q1629" s="8">
        <v>210</v>
      </c>
      <c r="R1629" s="8" t="s">
        <v>9828</v>
      </c>
      <c r="S1629" s="8" t="s">
        <v>10007</v>
      </c>
      <c r="T1629" s="8" t="s">
        <v>10008</v>
      </c>
      <c r="U1629" s="8" t="s">
        <v>10009</v>
      </c>
      <c r="V1629" s="8" t="s">
        <v>10010</v>
      </c>
      <c r="W1629" s="8" t="s">
        <v>10011</v>
      </c>
    </row>
    <row r="1630" spans="1:23" ht="28" customHeight="1" x14ac:dyDescent="0.3">
      <c r="A1630" s="308">
        <v>43843</v>
      </c>
      <c r="B1630" s="302">
        <v>1285.2809999999999</v>
      </c>
      <c r="C1630" s="8">
        <v>8.6809999999999992</v>
      </c>
      <c r="D1630" s="268">
        <v>6.7999999999999996E-3</v>
      </c>
      <c r="E1630" s="8">
        <v>93.79</v>
      </c>
      <c r="F1630" s="8">
        <v>122.31699999999999</v>
      </c>
      <c r="G1630" s="8">
        <v>118</v>
      </c>
      <c r="H1630" s="8">
        <v>104.27</v>
      </c>
      <c r="I1630" s="8">
        <v>141.22999999999999</v>
      </c>
      <c r="J1630" s="8">
        <v>47.38</v>
      </c>
      <c r="K1630" s="268">
        <v>0.18909999999999999</v>
      </c>
      <c r="L1630" s="268">
        <v>0.13400000000000001</v>
      </c>
      <c r="M1630" s="268">
        <v>-1.17E-2</v>
      </c>
      <c r="N1630" s="8">
        <v>76.2</v>
      </c>
      <c r="O1630" s="8">
        <v>3635.73</v>
      </c>
      <c r="P1630" s="268">
        <v>2.1000000000000001E-2</v>
      </c>
      <c r="Q1630" s="8">
        <v>209</v>
      </c>
      <c r="R1630" s="8" t="s">
        <v>2737</v>
      </c>
      <c r="S1630" s="8" t="s">
        <v>9312</v>
      </c>
      <c r="T1630" s="8" t="s">
        <v>10012</v>
      </c>
      <c r="U1630" s="8" t="s">
        <v>10013</v>
      </c>
      <c r="V1630" s="8" t="s">
        <v>10014</v>
      </c>
      <c r="W1630" s="8" t="s">
        <v>10015</v>
      </c>
    </row>
    <row r="1631" spans="1:23" ht="28" customHeight="1" x14ac:dyDescent="0.3">
      <c r="A1631" s="308">
        <v>43840</v>
      </c>
      <c r="B1631" s="302">
        <v>1276.5999999999999</v>
      </c>
      <c r="C1631" s="8">
        <v>-3.7509999999999999</v>
      </c>
      <c r="D1631" s="268">
        <v>-2.8999999999999998E-3</v>
      </c>
      <c r="E1631" s="8">
        <v>93.18</v>
      </c>
      <c r="F1631" s="8">
        <v>121.367</v>
      </c>
      <c r="G1631" s="8">
        <v>117.69</v>
      </c>
      <c r="H1631" s="8">
        <v>102.35</v>
      </c>
      <c r="I1631" s="8">
        <v>141.32</v>
      </c>
      <c r="J1631" s="8">
        <v>50.87</v>
      </c>
      <c r="K1631" s="268">
        <v>0.1996</v>
      </c>
      <c r="L1631" s="268">
        <v>0.14779999999999999</v>
      </c>
      <c r="M1631" s="268">
        <v>-1.0500000000000001E-2</v>
      </c>
      <c r="N1631" s="8">
        <v>67.02</v>
      </c>
      <c r="O1631" s="8">
        <v>3559.41</v>
      </c>
      <c r="P1631" s="268">
        <v>1.8800000000000001E-2</v>
      </c>
      <c r="Q1631" s="8">
        <v>203</v>
      </c>
      <c r="R1631" s="8" t="s">
        <v>6153</v>
      </c>
      <c r="S1631" s="8" t="s">
        <v>4493</v>
      </c>
      <c r="T1631" s="8" t="s">
        <v>6149</v>
      </c>
      <c r="U1631" s="8" t="s">
        <v>8080</v>
      </c>
      <c r="V1631" s="8" t="s">
        <v>10016</v>
      </c>
      <c r="W1631" s="8" t="s">
        <v>10017</v>
      </c>
    </row>
    <row r="1632" spans="1:23" ht="28" customHeight="1" x14ac:dyDescent="0.3">
      <c r="A1632" s="308">
        <v>43839</v>
      </c>
      <c r="B1632" s="302">
        <v>1280.3510000000001</v>
      </c>
      <c r="C1632" s="8">
        <v>13.090999999999999</v>
      </c>
      <c r="D1632" s="268">
        <v>1.03E-2</v>
      </c>
      <c r="E1632" s="8">
        <v>94.79</v>
      </c>
      <c r="F1632" s="8">
        <v>121.676</v>
      </c>
      <c r="G1632" s="8">
        <v>117.98</v>
      </c>
      <c r="H1632" s="8">
        <v>102.17</v>
      </c>
      <c r="I1632" s="8">
        <v>141.74</v>
      </c>
      <c r="J1632" s="8">
        <v>53.15</v>
      </c>
      <c r="K1632" s="268">
        <v>0.2006</v>
      </c>
      <c r="L1632" s="268">
        <v>0.1464</v>
      </c>
      <c r="M1632" s="268">
        <v>-1.1299999999999999E-2</v>
      </c>
      <c r="N1632" s="8">
        <v>76.989999999999995</v>
      </c>
      <c r="O1632" s="8">
        <v>3559.48</v>
      </c>
      <c r="P1632" s="268">
        <v>2.1600000000000001E-2</v>
      </c>
      <c r="Q1632" s="8">
        <v>202</v>
      </c>
      <c r="R1632" s="8" t="s">
        <v>9713</v>
      </c>
      <c r="S1632" s="8" t="s">
        <v>8170</v>
      </c>
      <c r="T1632" s="8" t="s">
        <v>10018</v>
      </c>
      <c r="U1632" s="8" t="s">
        <v>10019</v>
      </c>
      <c r="V1632" s="8" t="s">
        <v>10020</v>
      </c>
      <c r="W1632" s="8" t="s">
        <v>10021</v>
      </c>
    </row>
    <row r="1633" spans="1:23" ht="28" customHeight="1" x14ac:dyDescent="0.3">
      <c r="A1633" s="308">
        <v>43838</v>
      </c>
      <c r="B1633" s="302">
        <v>1267.26</v>
      </c>
      <c r="C1633" s="8">
        <v>-7.2779999999999996</v>
      </c>
      <c r="D1633" s="268">
        <v>-5.7000000000000002E-3</v>
      </c>
      <c r="E1633" s="8">
        <v>91.43</v>
      </c>
      <c r="F1633" s="8">
        <v>120.42</v>
      </c>
      <c r="G1633" s="8">
        <v>117.21</v>
      </c>
      <c r="H1633" s="8">
        <v>99.78</v>
      </c>
      <c r="I1633" s="8">
        <v>141.5</v>
      </c>
      <c r="J1633" s="8">
        <v>55.65</v>
      </c>
      <c r="K1633" s="268">
        <v>0.21079999999999999</v>
      </c>
      <c r="L1633" s="268">
        <v>0.15429999999999999</v>
      </c>
      <c r="M1633" s="268">
        <v>-9.1999999999999998E-3</v>
      </c>
      <c r="N1633" s="8">
        <v>74.239999999999995</v>
      </c>
      <c r="O1633" s="8">
        <v>3537.28</v>
      </c>
      <c r="P1633" s="268">
        <v>2.1000000000000001E-2</v>
      </c>
      <c r="Q1633" s="8">
        <v>201</v>
      </c>
      <c r="R1633" s="8">
        <v>0</v>
      </c>
      <c r="S1633" s="8" t="s">
        <v>9958</v>
      </c>
      <c r="T1633" s="8" t="s">
        <v>10022</v>
      </c>
      <c r="U1633" s="8" t="s">
        <v>10023</v>
      </c>
      <c r="V1633" s="8" t="s">
        <v>10024</v>
      </c>
      <c r="W1633" s="8" t="s">
        <v>10025</v>
      </c>
    </row>
    <row r="1634" spans="1:23" ht="28" customHeight="1" x14ac:dyDescent="0.3">
      <c r="A1634" s="308">
        <v>43837</v>
      </c>
      <c r="B1634" s="302">
        <v>1274.538</v>
      </c>
      <c r="C1634" s="8">
        <v>9.1489999999999991</v>
      </c>
      <c r="D1634" s="268">
        <v>7.1999999999999998E-3</v>
      </c>
      <c r="E1634" s="8">
        <v>94.4</v>
      </c>
      <c r="F1634" s="8">
        <v>121.154</v>
      </c>
      <c r="G1634" s="8">
        <v>118</v>
      </c>
      <c r="H1634" s="8">
        <v>100.88</v>
      </c>
      <c r="I1634" s="8">
        <v>141.47</v>
      </c>
      <c r="J1634" s="8">
        <v>51.59</v>
      </c>
      <c r="K1634" s="268">
        <v>0.20319999999999999</v>
      </c>
      <c r="L1634" s="268">
        <v>0.1467</v>
      </c>
      <c r="M1634" s="268">
        <v>-1.06E-2</v>
      </c>
      <c r="N1634" s="8">
        <v>75.52</v>
      </c>
      <c r="O1634" s="8">
        <v>3518.79</v>
      </c>
      <c r="P1634" s="268">
        <v>2.1499999999999998E-2</v>
      </c>
      <c r="Q1634" s="8">
        <v>199</v>
      </c>
      <c r="R1634" s="8" t="s">
        <v>10026</v>
      </c>
      <c r="S1634" s="8" t="s">
        <v>10027</v>
      </c>
      <c r="T1634" s="8" t="s">
        <v>10028</v>
      </c>
      <c r="U1634" s="8" t="s">
        <v>10029</v>
      </c>
      <c r="V1634" s="8" t="s">
        <v>10030</v>
      </c>
      <c r="W1634" s="8" t="s">
        <v>10031</v>
      </c>
    </row>
    <row r="1635" spans="1:23" ht="28" customHeight="1" x14ac:dyDescent="0.3">
      <c r="A1635" s="308">
        <v>43836</v>
      </c>
      <c r="B1635" s="302">
        <v>1265.3889999999999</v>
      </c>
      <c r="C1635" s="8">
        <v>7.359</v>
      </c>
      <c r="D1635" s="268">
        <v>5.7999999999999996E-3</v>
      </c>
      <c r="E1635" s="8">
        <v>93.57</v>
      </c>
      <c r="F1635" s="8">
        <v>120.295</v>
      </c>
      <c r="G1635" s="8">
        <v>117.47</v>
      </c>
      <c r="H1635" s="8">
        <v>99.47</v>
      </c>
      <c r="I1635" s="8">
        <v>141.49</v>
      </c>
      <c r="J1635" s="8">
        <v>55.83</v>
      </c>
      <c r="K1635" s="268">
        <v>0.21199999999999999</v>
      </c>
      <c r="L1635" s="268">
        <v>0.15540000000000001</v>
      </c>
      <c r="M1635" s="268">
        <v>-9.1000000000000004E-3</v>
      </c>
      <c r="N1635" s="8">
        <v>83.95</v>
      </c>
      <c r="O1635" s="8">
        <v>3517.22</v>
      </c>
      <c r="P1635" s="268">
        <v>2.3900000000000001E-2</v>
      </c>
      <c r="Q1635" s="8">
        <v>198</v>
      </c>
      <c r="R1635" s="8" t="s">
        <v>10032</v>
      </c>
      <c r="S1635" s="8" t="s">
        <v>6646</v>
      </c>
      <c r="T1635" s="8" t="s">
        <v>4949</v>
      </c>
      <c r="U1635" s="8" t="s">
        <v>10033</v>
      </c>
      <c r="V1635" s="8" t="s">
        <v>10034</v>
      </c>
      <c r="W1635" s="8" t="s">
        <v>10035</v>
      </c>
    </row>
    <row r="1636" spans="1:23" ht="28" customHeight="1" x14ac:dyDescent="0.3">
      <c r="A1636" s="308">
        <v>43833</v>
      </c>
      <c r="B1636" s="302">
        <v>1258.03</v>
      </c>
      <c r="C1636" s="8">
        <v>2.1850000000000001</v>
      </c>
      <c r="D1636" s="268">
        <v>1.6999999999999999E-3</v>
      </c>
      <c r="E1636" s="8">
        <v>93.42</v>
      </c>
      <c r="F1636" s="8">
        <v>119.544</v>
      </c>
      <c r="G1636" s="8">
        <v>117</v>
      </c>
      <c r="H1636" s="8">
        <v>98.62</v>
      </c>
      <c r="I1636" s="8">
        <v>141.28</v>
      </c>
      <c r="J1636" s="8">
        <v>58.19</v>
      </c>
      <c r="K1636" s="268">
        <v>0.21740000000000001</v>
      </c>
      <c r="L1636" s="268">
        <v>0.16120000000000001</v>
      </c>
      <c r="M1636" s="268">
        <v>-7.7999999999999996E-3</v>
      </c>
      <c r="N1636" s="8">
        <v>65.8</v>
      </c>
      <c r="O1636" s="8">
        <v>3500.37</v>
      </c>
      <c r="P1636" s="268">
        <v>1.8800000000000001E-2</v>
      </c>
      <c r="Q1636" s="8">
        <v>197</v>
      </c>
      <c r="R1636" s="8" t="s">
        <v>6127</v>
      </c>
      <c r="S1636" s="8" t="s">
        <v>10036</v>
      </c>
      <c r="T1636" s="8" t="s">
        <v>3971</v>
      </c>
      <c r="U1636" s="8" t="s">
        <v>10037</v>
      </c>
      <c r="V1636" s="8" t="s">
        <v>10038</v>
      </c>
      <c r="W1636" s="8" t="s">
        <v>10039</v>
      </c>
    </row>
    <row r="1637" spans="1:23" ht="28" customHeight="1" x14ac:dyDescent="0.3">
      <c r="A1637" s="308">
        <v>43832</v>
      </c>
      <c r="B1637" s="302">
        <v>1255.845</v>
      </c>
      <c r="C1637" s="8">
        <v>15.48</v>
      </c>
      <c r="D1637" s="268">
        <v>1.2500000000000001E-2</v>
      </c>
      <c r="E1637" s="8">
        <v>93.41</v>
      </c>
      <c r="F1637" s="8">
        <v>119.364</v>
      </c>
      <c r="G1637" s="8">
        <v>116.77</v>
      </c>
      <c r="H1637" s="8">
        <v>98.68</v>
      </c>
      <c r="I1637" s="8">
        <v>141.35</v>
      </c>
      <c r="J1637" s="8">
        <v>58.4</v>
      </c>
      <c r="K1637" s="268">
        <v>0.21990000000000001</v>
      </c>
      <c r="L1637" s="268">
        <v>0.1628</v>
      </c>
      <c r="M1637" s="268">
        <v>-7.4000000000000003E-3</v>
      </c>
      <c r="N1637" s="8">
        <v>76.45</v>
      </c>
      <c r="O1637" s="8">
        <v>3499.95</v>
      </c>
      <c r="P1637" s="268">
        <v>2.18E-2</v>
      </c>
      <c r="Q1637" s="8">
        <v>196</v>
      </c>
      <c r="R1637" s="8" t="s">
        <v>9168</v>
      </c>
      <c r="S1637" s="8" t="s">
        <v>10040</v>
      </c>
      <c r="T1637" s="8" t="s">
        <v>5601</v>
      </c>
      <c r="U1637" s="8" t="s">
        <v>10041</v>
      </c>
      <c r="V1637" s="8" t="s">
        <v>10042</v>
      </c>
      <c r="W1637" s="8" t="s">
        <v>10043</v>
      </c>
    </row>
    <row r="1638" spans="1:23" ht="28" customHeight="1" x14ac:dyDescent="0.3">
      <c r="A1638" s="308">
        <v>43830</v>
      </c>
      <c r="B1638" s="302">
        <v>1240.365</v>
      </c>
      <c r="C1638" s="8">
        <v>7.5010000000000003</v>
      </c>
      <c r="D1638" s="268">
        <v>6.1000000000000004E-3</v>
      </c>
      <c r="E1638" s="8">
        <v>89.51</v>
      </c>
      <c r="F1638" s="8">
        <v>117.83</v>
      </c>
      <c r="G1638" s="8">
        <v>116.25</v>
      </c>
      <c r="H1638" s="8">
        <v>97.69</v>
      </c>
      <c r="I1638" s="8">
        <v>140.44</v>
      </c>
      <c r="J1638" s="8">
        <v>62.2</v>
      </c>
      <c r="K1638" s="268">
        <v>0.2261</v>
      </c>
      <c r="L1638" s="268">
        <v>0.16719999999999999</v>
      </c>
      <c r="M1638" s="268">
        <v>-4.7000000000000002E-3</v>
      </c>
      <c r="N1638" s="8">
        <v>53.22</v>
      </c>
      <c r="O1638" s="8">
        <v>3494.11</v>
      </c>
      <c r="P1638" s="268">
        <v>1.52E-2</v>
      </c>
      <c r="Q1638" s="8">
        <v>196</v>
      </c>
      <c r="R1638" s="8" t="s">
        <v>10044</v>
      </c>
      <c r="S1638" s="8" t="s">
        <v>10045</v>
      </c>
      <c r="T1638" s="8" t="s">
        <v>10046</v>
      </c>
      <c r="U1638" s="8" t="s">
        <v>10047</v>
      </c>
      <c r="V1638" s="8" t="s">
        <v>10048</v>
      </c>
      <c r="W1638" s="8" t="s">
        <v>10049</v>
      </c>
    </row>
    <row r="1639" spans="1:23" ht="28" customHeight="1" x14ac:dyDescent="0.3">
      <c r="A1639" s="308">
        <v>43829</v>
      </c>
      <c r="B1639" s="302">
        <v>1232.864</v>
      </c>
      <c r="C1639" s="8">
        <v>4.2679999999999998</v>
      </c>
      <c r="D1639" s="268">
        <v>3.5000000000000001E-3</v>
      </c>
      <c r="E1639" s="8">
        <v>87.81</v>
      </c>
      <c r="F1639" s="8">
        <v>117.11199999999999</v>
      </c>
      <c r="G1639" s="8">
        <v>114.845</v>
      </c>
      <c r="H1639" s="8">
        <v>97.1</v>
      </c>
      <c r="I1639" s="8">
        <v>139.6</v>
      </c>
      <c r="J1639" s="8">
        <v>64.09</v>
      </c>
      <c r="K1639" s="268">
        <v>0.22489999999999999</v>
      </c>
      <c r="L1639" s="268">
        <v>0.16170000000000001</v>
      </c>
      <c r="M1639" s="268">
        <v>-3.3E-3</v>
      </c>
      <c r="N1639" s="8">
        <v>59.2</v>
      </c>
      <c r="O1639" s="8">
        <v>3496.34</v>
      </c>
      <c r="P1639" s="268">
        <v>1.6899999999999998E-2</v>
      </c>
      <c r="Q1639" s="8">
        <v>196</v>
      </c>
      <c r="R1639" s="8" t="s">
        <v>6284</v>
      </c>
      <c r="S1639" s="8" t="s">
        <v>10050</v>
      </c>
      <c r="T1639" s="8" t="s">
        <v>10051</v>
      </c>
      <c r="U1639" s="8" t="s">
        <v>10052</v>
      </c>
      <c r="V1639" s="8" t="s">
        <v>10053</v>
      </c>
      <c r="W1639" s="8" t="s">
        <v>3653</v>
      </c>
    </row>
    <row r="1640" spans="1:23" ht="28" customHeight="1" x14ac:dyDescent="0.3">
      <c r="A1640" s="308">
        <v>43826</v>
      </c>
      <c r="B1640" s="302">
        <v>1228.596</v>
      </c>
      <c r="C1640" s="8">
        <v>-2.2200000000000002</v>
      </c>
      <c r="D1640" s="268">
        <v>-1.8E-3</v>
      </c>
      <c r="E1640" s="8">
        <v>87.29</v>
      </c>
      <c r="F1640" s="8">
        <v>116.717</v>
      </c>
      <c r="G1640" s="8">
        <v>113.75</v>
      </c>
      <c r="H1640" s="8">
        <v>96.67</v>
      </c>
      <c r="I1640" s="8">
        <v>139.69999999999999</v>
      </c>
      <c r="J1640" s="8">
        <v>65.34</v>
      </c>
      <c r="K1640" s="268">
        <v>0.22989999999999999</v>
      </c>
      <c r="L1640" s="268">
        <v>0.1633</v>
      </c>
      <c r="M1640" s="268">
        <v>-2.5999999999999999E-3</v>
      </c>
      <c r="N1640" s="8">
        <v>64.45</v>
      </c>
      <c r="O1640" s="8">
        <v>3497.71</v>
      </c>
      <c r="P1640" s="268">
        <v>1.84E-2</v>
      </c>
      <c r="Q1640" s="8">
        <v>196</v>
      </c>
      <c r="R1640" s="8" t="s">
        <v>6153</v>
      </c>
      <c r="S1640" s="8" t="s">
        <v>10054</v>
      </c>
      <c r="T1640" s="8" t="s">
        <v>10055</v>
      </c>
      <c r="U1640" s="8" t="s">
        <v>10056</v>
      </c>
      <c r="V1640" s="8" t="s">
        <v>10057</v>
      </c>
      <c r="W1640" s="8" t="s">
        <v>10058</v>
      </c>
    </row>
    <row r="1641" spans="1:23" ht="28" customHeight="1" x14ac:dyDescent="0.3">
      <c r="A1641" s="308">
        <v>43825</v>
      </c>
      <c r="B1641" s="302">
        <v>1230.816</v>
      </c>
      <c r="C1641" s="8">
        <v>7.55</v>
      </c>
      <c r="D1641" s="268">
        <v>6.1999999999999998E-3</v>
      </c>
      <c r="E1641" s="8">
        <v>88.21</v>
      </c>
      <c r="F1641" s="8">
        <v>117.02</v>
      </c>
      <c r="G1641" s="8">
        <v>113.93300000000001</v>
      </c>
      <c r="H1641" s="8">
        <v>97.06</v>
      </c>
      <c r="I1641" s="8">
        <v>139.9</v>
      </c>
      <c r="J1641" s="8">
        <v>61.41</v>
      </c>
      <c r="K1641" s="268">
        <v>0.2288</v>
      </c>
      <c r="L1641" s="268">
        <v>0.1661</v>
      </c>
      <c r="M1641" s="268">
        <v>-2.8999999999999998E-3</v>
      </c>
      <c r="N1641" s="8">
        <v>69.97</v>
      </c>
      <c r="O1641" s="8">
        <v>3498.28</v>
      </c>
      <c r="P1641" s="268">
        <v>0.02</v>
      </c>
      <c r="Q1641" s="8">
        <v>196</v>
      </c>
      <c r="R1641" s="8" t="s">
        <v>10059</v>
      </c>
      <c r="S1641" s="8" t="s">
        <v>10060</v>
      </c>
      <c r="T1641" s="8" t="s">
        <v>5464</v>
      </c>
      <c r="U1641" s="8" t="s">
        <v>7997</v>
      </c>
      <c r="V1641" s="8" t="s">
        <v>10061</v>
      </c>
      <c r="W1641" s="8" t="s">
        <v>10062</v>
      </c>
    </row>
    <row r="1642" spans="1:23" ht="28" customHeight="1" x14ac:dyDescent="0.3">
      <c r="A1642" s="308">
        <v>43824</v>
      </c>
      <c r="B1642" s="302">
        <v>1223.2660000000001</v>
      </c>
      <c r="C1642" s="8">
        <v>2.0529999999999999</v>
      </c>
      <c r="D1642" s="268">
        <v>1.6999999999999999E-3</v>
      </c>
      <c r="E1642" s="8">
        <v>84.29</v>
      </c>
      <c r="F1642" s="8">
        <v>116.248</v>
      </c>
      <c r="G1642" s="8">
        <v>113.093</v>
      </c>
      <c r="H1642" s="8">
        <v>96.36</v>
      </c>
      <c r="I1642" s="8">
        <v>139.53</v>
      </c>
      <c r="J1642" s="8">
        <v>63.11</v>
      </c>
      <c r="K1642" s="268">
        <v>0.23280000000000001</v>
      </c>
      <c r="L1642" s="268">
        <v>0.17249999999999999</v>
      </c>
      <c r="M1642" s="268">
        <v>-1.4E-3</v>
      </c>
      <c r="N1642" s="8">
        <v>45.15</v>
      </c>
      <c r="O1642" s="8">
        <v>3468.11</v>
      </c>
      <c r="P1642" s="268">
        <v>1.2999999999999999E-2</v>
      </c>
      <c r="Q1642" s="8">
        <v>195</v>
      </c>
      <c r="R1642" s="8" t="s">
        <v>10063</v>
      </c>
      <c r="S1642" s="8" t="s">
        <v>10064</v>
      </c>
      <c r="T1642" s="8" t="s">
        <v>10065</v>
      </c>
      <c r="U1642" s="8" t="s">
        <v>10066</v>
      </c>
      <c r="V1642" s="8" t="s">
        <v>10067</v>
      </c>
      <c r="W1642" s="8" t="s">
        <v>10068</v>
      </c>
    </row>
    <row r="1643" spans="1:23" ht="28" customHeight="1" x14ac:dyDescent="0.3">
      <c r="A1643" s="308">
        <v>43823</v>
      </c>
      <c r="B1643" s="302">
        <v>1221.213</v>
      </c>
      <c r="C1643" s="8">
        <v>11.069000000000001</v>
      </c>
      <c r="D1643" s="268">
        <v>9.1999999999999998E-3</v>
      </c>
      <c r="E1643" s="8">
        <v>83.9</v>
      </c>
      <c r="F1643" s="8">
        <v>116.068</v>
      </c>
      <c r="G1643" s="8">
        <v>113.1</v>
      </c>
      <c r="H1643" s="8">
        <v>96.34</v>
      </c>
      <c r="I1643" s="8">
        <v>139.44</v>
      </c>
      <c r="J1643" s="8">
        <v>63.16</v>
      </c>
      <c r="K1643" s="268">
        <v>0.23380000000000001</v>
      </c>
      <c r="L1643" s="268">
        <v>0.1648</v>
      </c>
      <c r="M1643" s="268">
        <v>-1.1000000000000001E-3</v>
      </c>
      <c r="N1643" s="8">
        <v>46.72</v>
      </c>
      <c r="O1643" s="8">
        <v>3468.43</v>
      </c>
      <c r="P1643" s="268">
        <v>1.35E-2</v>
      </c>
      <c r="Q1643" s="8">
        <v>195</v>
      </c>
      <c r="R1643" s="8">
        <v>0</v>
      </c>
      <c r="S1643" s="8" t="s">
        <v>10069</v>
      </c>
      <c r="T1643" s="8" t="s">
        <v>10070</v>
      </c>
      <c r="U1643" s="8" t="s">
        <v>10071</v>
      </c>
      <c r="V1643" s="8" t="s">
        <v>10072</v>
      </c>
      <c r="W1643" s="8" t="s">
        <v>10073</v>
      </c>
    </row>
    <row r="1644" spans="1:23" ht="28" customHeight="1" x14ac:dyDescent="0.3">
      <c r="A1644" s="308">
        <v>43822</v>
      </c>
      <c r="B1644" s="302">
        <v>1210.144</v>
      </c>
      <c r="C1644" s="8">
        <v>-9.0079999999999991</v>
      </c>
      <c r="D1644" s="268">
        <v>-7.4000000000000003E-3</v>
      </c>
      <c r="E1644" s="8">
        <v>75.540000000000006</v>
      </c>
      <c r="F1644" s="8">
        <v>114.98399999999999</v>
      </c>
      <c r="G1644" s="8">
        <v>112.289</v>
      </c>
      <c r="H1644" s="8">
        <v>94.49</v>
      </c>
      <c r="I1644" s="8">
        <v>139.74</v>
      </c>
      <c r="J1644" s="8">
        <v>68.180000000000007</v>
      </c>
      <c r="K1644" s="268">
        <v>0.2475</v>
      </c>
      <c r="L1644" s="268">
        <v>0.18590000000000001</v>
      </c>
      <c r="M1644" s="268">
        <v>8.0000000000000004E-4</v>
      </c>
      <c r="N1644" s="8">
        <v>40.81</v>
      </c>
      <c r="O1644" s="8">
        <v>3469.08</v>
      </c>
      <c r="P1644" s="268">
        <v>1.18E-2</v>
      </c>
      <c r="Q1644" s="8">
        <v>195</v>
      </c>
      <c r="R1644" s="8">
        <v>0</v>
      </c>
      <c r="S1644" s="8" t="s">
        <v>10074</v>
      </c>
      <c r="T1644" s="8" t="s">
        <v>10075</v>
      </c>
      <c r="U1644" s="8" t="s">
        <v>10076</v>
      </c>
      <c r="V1644" s="8" t="s">
        <v>10077</v>
      </c>
      <c r="W1644" s="8" t="s">
        <v>10078</v>
      </c>
    </row>
    <row r="1645" spans="1:23" ht="28" customHeight="1" x14ac:dyDescent="0.3">
      <c r="A1645" s="308">
        <v>43819</v>
      </c>
      <c r="B1645" s="302">
        <v>1219.152</v>
      </c>
      <c r="C1645" s="8">
        <v>-1.425</v>
      </c>
      <c r="D1645" s="268">
        <v>-1.1999999999999999E-3</v>
      </c>
      <c r="E1645" s="8">
        <v>82.76</v>
      </c>
      <c r="F1645" s="8">
        <v>115.872</v>
      </c>
      <c r="G1645" s="8">
        <v>113.26</v>
      </c>
      <c r="H1645" s="8">
        <v>96.07</v>
      </c>
      <c r="I1645" s="8">
        <v>139.19</v>
      </c>
      <c r="J1645" s="8">
        <v>62.12</v>
      </c>
      <c r="K1645" s="268">
        <v>0.23319999999999999</v>
      </c>
      <c r="L1645" s="268">
        <v>0.17610000000000001</v>
      </c>
      <c r="M1645" s="268">
        <v>-8.0000000000000004E-4</v>
      </c>
      <c r="N1645" s="8">
        <v>55.88</v>
      </c>
      <c r="O1645" s="8">
        <v>3470</v>
      </c>
      <c r="P1645" s="268">
        <v>1.61E-2</v>
      </c>
      <c r="Q1645" s="8">
        <v>195</v>
      </c>
      <c r="R1645" s="8">
        <v>0</v>
      </c>
      <c r="S1645" s="8" t="s">
        <v>10079</v>
      </c>
      <c r="T1645" s="8" t="s">
        <v>6964</v>
      </c>
      <c r="U1645" s="8" t="s">
        <v>10080</v>
      </c>
      <c r="V1645" s="8" t="s">
        <v>10081</v>
      </c>
      <c r="W1645" s="8" t="s">
        <v>10082</v>
      </c>
    </row>
    <row r="1646" spans="1:23" ht="28" customHeight="1" x14ac:dyDescent="0.3">
      <c r="A1646" s="308">
        <v>43818</v>
      </c>
      <c r="B1646" s="302">
        <v>1220.577</v>
      </c>
      <c r="C1646" s="8">
        <v>-0.73799999999999999</v>
      </c>
      <c r="D1646" s="268">
        <v>-5.9999999999999995E-4</v>
      </c>
      <c r="E1646" s="8">
        <v>84.66</v>
      </c>
      <c r="F1646" s="8">
        <v>116.011</v>
      </c>
      <c r="G1646" s="8">
        <v>113.255</v>
      </c>
      <c r="H1646" s="8">
        <v>97.44</v>
      </c>
      <c r="I1646" s="8">
        <v>138.57</v>
      </c>
      <c r="J1646" s="8">
        <v>53.04</v>
      </c>
      <c r="K1646" s="268">
        <v>0.22559999999999999</v>
      </c>
      <c r="L1646" s="268">
        <v>0.1603</v>
      </c>
      <c r="M1646" s="268">
        <v>-1.1000000000000001E-3</v>
      </c>
      <c r="N1646" s="8">
        <v>52.05</v>
      </c>
      <c r="O1646" s="8">
        <v>3469.36</v>
      </c>
      <c r="P1646" s="268">
        <v>1.4999999999999999E-2</v>
      </c>
      <c r="Q1646" s="8">
        <v>194</v>
      </c>
      <c r="R1646" s="8">
        <v>0</v>
      </c>
      <c r="S1646" s="8" t="s">
        <v>10083</v>
      </c>
      <c r="T1646" s="8" t="s">
        <v>10084</v>
      </c>
      <c r="U1646" s="8" t="s">
        <v>6082</v>
      </c>
      <c r="V1646" s="8" t="s">
        <v>10085</v>
      </c>
      <c r="W1646" s="8" t="s">
        <v>10086</v>
      </c>
    </row>
    <row r="1647" spans="1:23" ht="28" customHeight="1" x14ac:dyDescent="0.3">
      <c r="A1647" s="308">
        <v>43817</v>
      </c>
      <c r="B1647" s="302">
        <v>1221.3150000000001</v>
      </c>
      <c r="C1647" s="8">
        <v>3.9910000000000001</v>
      </c>
      <c r="D1647" s="268">
        <v>3.3E-3</v>
      </c>
      <c r="E1647" s="8">
        <v>85.06</v>
      </c>
      <c r="F1647" s="8">
        <v>116.128</v>
      </c>
      <c r="G1647" s="8">
        <v>113.496</v>
      </c>
      <c r="H1647" s="8">
        <v>96.52</v>
      </c>
      <c r="I1647" s="8">
        <v>139.56</v>
      </c>
      <c r="J1647" s="8">
        <v>58.65</v>
      </c>
      <c r="K1647" s="268">
        <v>0.23430000000000001</v>
      </c>
      <c r="L1647" s="268">
        <v>0.17130000000000001</v>
      </c>
      <c r="M1647" s="268">
        <v>-1.1999999999999999E-3</v>
      </c>
      <c r="N1647" s="8">
        <v>65.010000000000005</v>
      </c>
      <c r="O1647" s="8">
        <v>3470.81</v>
      </c>
      <c r="P1647" s="268">
        <v>1.8700000000000001E-2</v>
      </c>
      <c r="Q1647" s="8">
        <v>194</v>
      </c>
      <c r="R1647" s="8">
        <v>0</v>
      </c>
      <c r="S1647" s="8" t="s">
        <v>10087</v>
      </c>
      <c r="T1647" s="8" t="s">
        <v>10088</v>
      </c>
      <c r="U1647" s="8" t="s">
        <v>10089</v>
      </c>
      <c r="V1647" s="8" t="s">
        <v>6564</v>
      </c>
      <c r="W1647" s="8" t="s">
        <v>10090</v>
      </c>
    </row>
    <row r="1648" spans="1:23" ht="28" customHeight="1" x14ac:dyDescent="0.3">
      <c r="A1648" s="308">
        <v>43816</v>
      </c>
      <c r="B1648" s="302">
        <v>1217.3240000000001</v>
      </c>
      <c r="C1648" s="8">
        <v>10.238</v>
      </c>
      <c r="D1648" s="268">
        <v>8.5000000000000006E-3</v>
      </c>
      <c r="E1648" s="8">
        <v>83.84</v>
      </c>
      <c r="F1648" s="8">
        <v>114.96899999999999</v>
      </c>
      <c r="G1648" s="8">
        <v>113.11</v>
      </c>
      <c r="H1648" s="8">
        <v>96.07</v>
      </c>
      <c r="I1648" s="8">
        <v>138.72999999999999</v>
      </c>
      <c r="J1648" s="8">
        <v>60.22</v>
      </c>
      <c r="K1648" s="268">
        <v>0.23760000000000001</v>
      </c>
      <c r="L1648" s="268">
        <v>0.1782</v>
      </c>
      <c r="M1648" s="268">
        <v>4.0000000000000002E-4</v>
      </c>
      <c r="N1648" s="8">
        <v>86.2</v>
      </c>
      <c r="O1648" s="8">
        <v>3469.16</v>
      </c>
      <c r="P1648" s="268">
        <v>2.4799999999999999E-2</v>
      </c>
      <c r="Q1648" s="8">
        <v>192</v>
      </c>
      <c r="R1648" s="8">
        <v>0</v>
      </c>
      <c r="S1648" s="8" t="s">
        <v>10091</v>
      </c>
      <c r="T1648" s="8" t="s">
        <v>10092</v>
      </c>
      <c r="U1648" s="8" t="s">
        <v>10093</v>
      </c>
      <c r="V1648" s="8" t="s">
        <v>10094</v>
      </c>
      <c r="W1648" s="8" t="s">
        <v>10095</v>
      </c>
    </row>
    <row r="1649" spans="1:23" ht="28" customHeight="1" x14ac:dyDescent="0.3">
      <c r="A1649" s="308">
        <v>43815</v>
      </c>
      <c r="B1649" s="302">
        <v>1207.086</v>
      </c>
      <c r="C1649" s="8">
        <v>12.667</v>
      </c>
      <c r="D1649" s="268">
        <v>1.06E-2</v>
      </c>
      <c r="E1649" s="8">
        <v>79.959999999999994</v>
      </c>
      <c r="F1649" s="8">
        <v>114.86799999999999</v>
      </c>
      <c r="G1649" s="8">
        <v>112.348</v>
      </c>
      <c r="H1649" s="8">
        <v>95.42</v>
      </c>
      <c r="I1649" s="8">
        <v>139.08000000000001</v>
      </c>
      <c r="J1649" s="8">
        <v>64.59</v>
      </c>
      <c r="K1649" s="268">
        <v>0.24210000000000001</v>
      </c>
      <c r="L1649" s="268">
        <v>0.17460000000000001</v>
      </c>
      <c r="M1649" s="268">
        <v>1E-3</v>
      </c>
      <c r="N1649" s="8">
        <v>64.97</v>
      </c>
      <c r="O1649" s="8">
        <v>3446.37</v>
      </c>
      <c r="P1649" s="268">
        <v>1.89E-2</v>
      </c>
      <c r="Q1649" s="8">
        <v>194</v>
      </c>
      <c r="R1649" s="8">
        <v>0</v>
      </c>
      <c r="S1649" s="8" t="s">
        <v>10096</v>
      </c>
      <c r="T1649" s="8" t="s">
        <v>10097</v>
      </c>
      <c r="U1649" s="8" t="s">
        <v>10098</v>
      </c>
      <c r="V1649" s="8" t="s">
        <v>10099</v>
      </c>
      <c r="W1649" s="8" t="s">
        <v>10100</v>
      </c>
    </row>
    <row r="1650" spans="1:23" ht="28" customHeight="1" x14ac:dyDescent="0.3">
      <c r="A1650" s="308">
        <v>43812</v>
      </c>
      <c r="B1650" s="302">
        <v>1194.4190000000001</v>
      </c>
      <c r="C1650" s="8">
        <v>6.5490000000000004</v>
      </c>
      <c r="D1650" s="268">
        <v>5.4999999999999997E-3</v>
      </c>
      <c r="E1650" s="8">
        <v>73.599999999999994</v>
      </c>
      <c r="F1650" s="8">
        <v>113.595</v>
      </c>
      <c r="G1650" s="8">
        <v>110.77200000000001</v>
      </c>
      <c r="H1650" s="8">
        <v>93.89</v>
      </c>
      <c r="I1650" s="8">
        <v>138.66999999999999</v>
      </c>
      <c r="J1650" s="8">
        <v>68.55</v>
      </c>
      <c r="K1650" s="268">
        <v>0.25069999999999998</v>
      </c>
      <c r="L1650" s="268">
        <v>0.18410000000000001</v>
      </c>
      <c r="M1650" s="268">
        <v>3.2000000000000002E-3</v>
      </c>
      <c r="N1650" s="8">
        <v>56.66</v>
      </c>
      <c r="O1650" s="8">
        <v>3450.04</v>
      </c>
      <c r="P1650" s="268">
        <v>1.6400000000000001E-2</v>
      </c>
      <c r="Q1650" s="8">
        <v>194</v>
      </c>
      <c r="R1650" s="8" t="s">
        <v>10101</v>
      </c>
      <c r="S1650" s="8" t="s">
        <v>10102</v>
      </c>
      <c r="T1650" s="8" t="s">
        <v>10103</v>
      </c>
      <c r="U1650" s="8" t="s">
        <v>10104</v>
      </c>
      <c r="V1650" s="8" t="s">
        <v>10105</v>
      </c>
      <c r="W1650" s="8" t="s">
        <v>10106</v>
      </c>
    </row>
    <row r="1651" spans="1:23" ht="28" customHeight="1" x14ac:dyDescent="0.3">
      <c r="A1651" s="308">
        <v>43811</v>
      </c>
      <c r="B1651" s="302">
        <v>1187.8699999999999</v>
      </c>
      <c r="C1651" s="8">
        <v>0.14499999999999999</v>
      </c>
      <c r="D1651" s="268">
        <v>1E-4</v>
      </c>
      <c r="E1651" s="8">
        <v>67.36</v>
      </c>
      <c r="F1651" s="8">
        <v>113.02500000000001</v>
      </c>
      <c r="G1651" s="8">
        <v>110.06</v>
      </c>
      <c r="H1651" s="8">
        <v>92.31</v>
      </c>
      <c r="I1651" s="8">
        <v>139.13999999999999</v>
      </c>
      <c r="J1651" s="8">
        <v>75.61</v>
      </c>
      <c r="K1651" s="268">
        <v>0.2611</v>
      </c>
      <c r="L1651" s="268">
        <v>0.19919999999999999</v>
      </c>
      <c r="M1651" s="268">
        <v>4.3E-3</v>
      </c>
      <c r="N1651" s="8">
        <v>45.15</v>
      </c>
      <c r="O1651" s="8">
        <v>3427.2</v>
      </c>
      <c r="P1651" s="268">
        <v>1.32E-2</v>
      </c>
      <c r="Q1651" s="8">
        <v>192</v>
      </c>
      <c r="R1651" s="8" t="s">
        <v>10107</v>
      </c>
      <c r="S1651" s="8" t="s">
        <v>10108</v>
      </c>
      <c r="T1651" s="8" t="s">
        <v>10109</v>
      </c>
      <c r="U1651" s="8" t="s">
        <v>10110</v>
      </c>
      <c r="V1651" s="8" t="s">
        <v>10111</v>
      </c>
      <c r="W1651" s="8" t="s">
        <v>10112</v>
      </c>
    </row>
    <row r="1652" spans="1:23" ht="28" customHeight="1" x14ac:dyDescent="0.3">
      <c r="A1652" s="308">
        <v>43810</v>
      </c>
      <c r="B1652" s="302">
        <v>1187.7249999999999</v>
      </c>
      <c r="C1652" s="8">
        <v>2.7240000000000002</v>
      </c>
      <c r="D1652" s="268">
        <v>2.3E-3</v>
      </c>
      <c r="E1652" s="8">
        <v>68.75</v>
      </c>
      <c r="F1652" s="8">
        <v>112.97199999999999</v>
      </c>
      <c r="G1652" s="8">
        <v>110.13</v>
      </c>
      <c r="H1652" s="8">
        <v>92.33</v>
      </c>
      <c r="I1652" s="8">
        <v>138.78</v>
      </c>
      <c r="J1652" s="8">
        <v>73.39</v>
      </c>
      <c r="K1652" s="268">
        <v>0.2581</v>
      </c>
      <c r="L1652" s="268">
        <v>0.19689999999999999</v>
      </c>
      <c r="M1652" s="268">
        <v>4.3E-3</v>
      </c>
      <c r="N1652" s="8">
        <v>51.83</v>
      </c>
      <c r="O1652" s="8">
        <v>3430.25</v>
      </c>
      <c r="P1652" s="268">
        <v>1.5100000000000001E-2</v>
      </c>
      <c r="Q1652" s="8">
        <v>191</v>
      </c>
      <c r="R1652" s="8">
        <v>0</v>
      </c>
      <c r="S1652" s="8" t="s">
        <v>10113</v>
      </c>
      <c r="T1652" s="8" t="s">
        <v>10114</v>
      </c>
      <c r="U1652" s="8" t="s">
        <v>10115</v>
      </c>
      <c r="V1652" s="8" t="s">
        <v>10116</v>
      </c>
      <c r="W1652" s="8" t="s">
        <v>10117</v>
      </c>
    </row>
    <row r="1653" spans="1:23" ht="28" customHeight="1" x14ac:dyDescent="0.3">
      <c r="A1653" s="308">
        <v>43809</v>
      </c>
      <c r="B1653" s="302">
        <v>1185.001</v>
      </c>
      <c r="C1653" s="8">
        <v>5.23</v>
      </c>
      <c r="D1653" s="268">
        <v>4.4000000000000003E-3</v>
      </c>
      <c r="E1653" s="8">
        <v>67.47</v>
      </c>
      <c r="F1653" s="8">
        <v>112.61499999999999</v>
      </c>
      <c r="G1653" s="8">
        <v>109.95</v>
      </c>
      <c r="H1653" s="8">
        <v>92.37</v>
      </c>
      <c r="I1653" s="8">
        <v>137.91999999999999</v>
      </c>
      <c r="J1653" s="8">
        <v>69.84</v>
      </c>
      <c r="K1653" s="268">
        <v>0.253</v>
      </c>
      <c r="L1653" s="268">
        <v>0.18459999999999999</v>
      </c>
      <c r="M1653" s="268">
        <v>5.1000000000000004E-3</v>
      </c>
      <c r="N1653" s="8">
        <v>54.66</v>
      </c>
      <c r="O1653" s="8">
        <v>3440.49</v>
      </c>
      <c r="P1653" s="268">
        <v>1.5900000000000001E-2</v>
      </c>
      <c r="Q1653" s="8">
        <v>192</v>
      </c>
      <c r="R1653" s="8">
        <v>0</v>
      </c>
      <c r="S1653" s="8" t="s">
        <v>10118</v>
      </c>
      <c r="T1653" s="8" t="s">
        <v>10119</v>
      </c>
      <c r="U1653" s="8" t="s">
        <v>10120</v>
      </c>
      <c r="V1653" s="8" t="s">
        <v>10121</v>
      </c>
      <c r="W1653" s="8" t="s">
        <v>10122</v>
      </c>
    </row>
    <row r="1654" spans="1:23" ht="28" customHeight="1" x14ac:dyDescent="0.3">
      <c r="A1654" s="308">
        <v>43808</v>
      </c>
      <c r="B1654" s="302">
        <v>1179.771</v>
      </c>
      <c r="C1654" s="8">
        <v>1.948</v>
      </c>
      <c r="D1654" s="268">
        <v>1.6999999999999999E-3</v>
      </c>
      <c r="E1654" s="8">
        <v>65.66</v>
      </c>
      <c r="F1654" s="8">
        <v>112.08</v>
      </c>
      <c r="G1654" s="8">
        <v>109.185</v>
      </c>
      <c r="H1654" s="8">
        <v>92.88</v>
      </c>
      <c r="I1654" s="8">
        <v>137.61000000000001</v>
      </c>
      <c r="J1654" s="8">
        <v>66.89</v>
      </c>
      <c r="K1654" s="268">
        <v>0.25530000000000003</v>
      </c>
      <c r="L1654" s="268">
        <v>0.17449999999999999</v>
      </c>
      <c r="M1654" s="268">
        <v>6.0000000000000001E-3</v>
      </c>
      <c r="N1654" s="8">
        <v>35.54</v>
      </c>
      <c r="O1654" s="8">
        <v>3370.75</v>
      </c>
      <c r="P1654" s="268">
        <v>1.0500000000000001E-2</v>
      </c>
      <c r="Q1654" s="8">
        <v>190</v>
      </c>
      <c r="R1654" s="8" t="s">
        <v>3574</v>
      </c>
      <c r="S1654" s="8" t="s">
        <v>7159</v>
      </c>
      <c r="T1654" s="8" t="s">
        <v>10123</v>
      </c>
      <c r="U1654" s="8" t="s">
        <v>8687</v>
      </c>
      <c r="V1654" s="8" t="s">
        <v>10124</v>
      </c>
      <c r="W1654" s="8" t="s">
        <v>10125</v>
      </c>
    </row>
    <row r="1655" spans="1:23" ht="28" customHeight="1" x14ac:dyDescent="0.3">
      <c r="A1655" s="308">
        <v>43805</v>
      </c>
      <c r="B1655" s="302">
        <v>1177.8230000000001</v>
      </c>
      <c r="C1655" s="8">
        <v>4.0780000000000003</v>
      </c>
      <c r="D1655" s="268">
        <v>3.5000000000000001E-3</v>
      </c>
      <c r="E1655" s="8">
        <v>65.59</v>
      </c>
      <c r="F1655" s="8">
        <v>111.89400000000001</v>
      </c>
      <c r="G1655" s="8">
        <v>108.983</v>
      </c>
      <c r="H1655" s="8">
        <v>92.95</v>
      </c>
      <c r="I1655" s="8">
        <v>137.38</v>
      </c>
      <c r="J1655" s="8">
        <v>63.83</v>
      </c>
      <c r="K1655" s="268">
        <v>0.25480000000000003</v>
      </c>
      <c r="L1655" s="268">
        <v>0.17799999999999999</v>
      </c>
      <c r="M1655" s="268">
        <v>6.3E-3</v>
      </c>
      <c r="N1655" s="8">
        <v>36.57</v>
      </c>
      <c r="O1655" s="8">
        <v>3374.5</v>
      </c>
      <c r="P1655" s="268">
        <v>1.0800000000000001E-2</v>
      </c>
      <c r="Q1655" s="8">
        <v>190</v>
      </c>
      <c r="R1655" s="8">
        <v>0</v>
      </c>
      <c r="S1655" s="8" t="s">
        <v>10126</v>
      </c>
      <c r="T1655" s="8" t="s">
        <v>6032</v>
      </c>
      <c r="U1655" s="8" t="s">
        <v>10127</v>
      </c>
      <c r="V1655" s="8" t="s">
        <v>10128</v>
      </c>
      <c r="W1655" s="8" t="s">
        <v>10129</v>
      </c>
    </row>
    <row r="1656" spans="1:23" ht="28" customHeight="1" x14ac:dyDescent="0.3">
      <c r="A1656" s="308">
        <v>43804</v>
      </c>
      <c r="B1656" s="302">
        <v>1173.7449999999999</v>
      </c>
      <c r="C1656" s="8">
        <v>5.6790000000000003</v>
      </c>
      <c r="D1656" s="268">
        <v>4.8999999999999998E-3</v>
      </c>
      <c r="E1656" s="8">
        <v>63.04</v>
      </c>
      <c r="F1656" s="8">
        <v>111.479</v>
      </c>
      <c r="G1656" s="8">
        <v>108.601</v>
      </c>
      <c r="H1656" s="8">
        <v>92.38</v>
      </c>
      <c r="I1656" s="8">
        <v>137.46</v>
      </c>
      <c r="J1656" s="8">
        <v>66.67</v>
      </c>
      <c r="K1656" s="268">
        <v>0.25979999999999998</v>
      </c>
      <c r="L1656" s="268">
        <v>0.182</v>
      </c>
      <c r="M1656" s="268">
        <v>7.0000000000000001E-3</v>
      </c>
      <c r="N1656" s="8">
        <v>41.16</v>
      </c>
      <c r="O1656" s="8">
        <v>3378.47</v>
      </c>
      <c r="P1656" s="268">
        <v>1.2200000000000001E-2</v>
      </c>
      <c r="Q1656" s="8">
        <v>190</v>
      </c>
      <c r="R1656" s="8">
        <v>0</v>
      </c>
      <c r="S1656" s="8" t="s">
        <v>10130</v>
      </c>
      <c r="T1656" s="8" t="s">
        <v>10131</v>
      </c>
      <c r="U1656" s="8" t="s">
        <v>10046</v>
      </c>
      <c r="V1656" s="8" t="s">
        <v>10132</v>
      </c>
      <c r="W1656" s="8" t="s">
        <v>4419</v>
      </c>
    </row>
    <row r="1657" spans="1:23" ht="28" customHeight="1" x14ac:dyDescent="0.3">
      <c r="A1657" s="308">
        <v>43803</v>
      </c>
      <c r="B1657" s="302">
        <v>1168.066</v>
      </c>
      <c r="C1657" s="8">
        <v>1.748</v>
      </c>
      <c r="D1657" s="268">
        <v>1.5E-3</v>
      </c>
      <c r="E1657" s="8">
        <v>56.35</v>
      </c>
      <c r="F1657" s="8">
        <v>110.926</v>
      </c>
      <c r="G1657" s="8">
        <v>108.41800000000001</v>
      </c>
      <c r="H1657" s="8">
        <v>91.7</v>
      </c>
      <c r="I1657" s="8">
        <v>137.58000000000001</v>
      </c>
      <c r="J1657" s="8">
        <v>72.28</v>
      </c>
      <c r="K1657" s="268">
        <v>0.26650000000000001</v>
      </c>
      <c r="L1657" s="268">
        <v>0.189</v>
      </c>
      <c r="M1657" s="268">
        <v>7.9000000000000008E-3</v>
      </c>
      <c r="N1657" s="8">
        <v>32.840000000000003</v>
      </c>
      <c r="O1657" s="8">
        <v>3373.63</v>
      </c>
      <c r="P1657" s="268">
        <v>9.7000000000000003E-3</v>
      </c>
      <c r="Q1657" s="8">
        <v>189</v>
      </c>
      <c r="R1657" s="8">
        <v>0</v>
      </c>
      <c r="S1657" s="8" t="s">
        <v>10133</v>
      </c>
      <c r="T1657" s="8" t="s">
        <v>10134</v>
      </c>
      <c r="U1657" s="8" t="s">
        <v>10135</v>
      </c>
      <c r="V1657" s="8" t="s">
        <v>10136</v>
      </c>
      <c r="W1657" s="8" t="s">
        <v>10137</v>
      </c>
    </row>
    <row r="1658" spans="1:23" ht="28" customHeight="1" x14ac:dyDescent="0.3">
      <c r="A1658" s="308">
        <v>43802</v>
      </c>
      <c r="B1658" s="302">
        <v>1166.318</v>
      </c>
      <c r="C1658" s="8">
        <v>1.694</v>
      </c>
      <c r="D1658" s="268">
        <v>1.4E-3</v>
      </c>
      <c r="E1658" s="8">
        <v>53.57</v>
      </c>
      <c r="F1658" s="8">
        <v>110.759</v>
      </c>
      <c r="G1658" s="8">
        <v>108.07</v>
      </c>
      <c r="H1658" s="8">
        <v>90.78</v>
      </c>
      <c r="I1658" s="8">
        <v>137.76</v>
      </c>
      <c r="J1658" s="8">
        <v>75.150000000000006</v>
      </c>
      <c r="K1658" s="268">
        <v>0.27</v>
      </c>
      <c r="L1658" s="268">
        <v>0.1893</v>
      </c>
      <c r="M1658" s="268">
        <v>8.3000000000000001E-3</v>
      </c>
      <c r="N1658" s="8">
        <v>31.06</v>
      </c>
      <c r="O1658" s="8">
        <v>3383.24</v>
      </c>
      <c r="P1658" s="268">
        <v>9.1999999999999998E-3</v>
      </c>
      <c r="Q1658" s="8">
        <v>190</v>
      </c>
      <c r="R1658" s="8" t="s">
        <v>9617</v>
      </c>
      <c r="S1658" s="8" t="s">
        <v>4728</v>
      </c>
      <c r="T1658" s="8" t="s">
        <v>10138</v>
      </c>
      <c r="U1658" s="8" t="s">
        <v>10139</v>
      </c>
      <c r="V1658" s="8" t="s">
        <v>10140</v>
      </c>
      <c r="W1658" s="8" t="s">
        <v>10141</v>
      </c>
    </row>
    <row r="1659" spans="1:23" ht="28" customHeight="1" x14ac:dyDescent="0.3">
      <c r="A1659" s="308">
        <v>43801</v>
      </c>
      <c r="B1659" s="302">
        <v>1164.624</v>
      </c>
      <c r="C1659" s="8">
        <v>-0.55500000000000005</v>
      </c>
      <c r="D1659" s="268">
        <v>-5.0000000000000001E-4</v>
      </c>
      <c r="E1659" s="8">
        <v>53.56</v>
      </c>
      <c r="F1659" s="8">
        <v>110.551</v>
      </c>
      <c r="G1659" s="8">
        <v>107.8</v>
      </c>
      <c r="H1659" s="8">
        <v>90.86</v>
      </c>
      <c r="I1659" s="8">
        <v>138.19999999999999</v>
      </c>
      <c r="J1659" s="8">
        <v>79.17</v>
      </c>
      <c r="K1659" s="268">
        <v>0.27650000000000002</v>
      </c>
      <c r="L1659" s="268">
        <v>0.19270000000000001</v>
      </c>
      <c r="M1659" s="268">
        <v>8.6E-3</v>
      </c>
      <c r="N1659" s="8">
        <v>24.47</v>
      </c>
      <c r="O1659" s="8">
        <v>3344.16</v>
      </c>
      <c r="P1659" s="268">
        <v>7.3000000000000001E-3</v>
      </c>
      <c r="Q1659" s="8">
        <v>189</v>
      </c>
      <c r="R1659" s="8" t="s">
        <v>9321</v>
      </c>
      <c r="S1659" s="8" t="s">
        <v>4728</v>
      </c>
      <c r="T1659" s="8" t="s">
        <v>8601</v>
      </c>
      <c r="U1659" s="8" t="s">
        <v>10142</v>
      </c>
      <c r="V1659" s="8" t="s">
        <v>10143</v>
      </c>
      <c r="W1659" s="8" t="s">
        <v>10144</v>
      </c>
    </row>
    <row r="1660" spans="1:23" ht="28" customHeight="1" x14ac:dyDescent="0.3">
      <c r="A1660" s="308">
        <v>43798</v>
      </c>
      <c r="B1660" s="302">
        <v>1165.1790000000001</v>
      </c>
      <c r="C1660" s="8">
        <v>-1.325</v>
      </c>
      <c r="D1660" s="268">
        <v>-1.1000000000000001E-3</v>
      </c>
      <c r="E1660" s="8">
        <v>53.02</v>
      </c>
      <c r="F1660" s="8">
        <v>110.65600000000001</v>
      </c>
      <c r="G1660" s="8">
        <v>107.8</v>
      </c>
      <c r="H1660" s="8">
        <v>90.29</v>
      </c>
      <c r="I1660" s="8">
        <v>138.29</v>
      </c>
      <c r="J1660" s="8">
        <v>80.540000000000006</v>
      </c>
      <c r="K1660" s="268">
        <v>0.27629999999999999</v>
      </c>
      <c r="L1660" s="268">
        <v>0.1988</v>
      </c>
      <c r="M1660" s="268">
        <v>8.3999999999999995E-3</v>
      </c>
      <c r="N1660" s="8">
        <v>28.2</v>
      </c>
      <c r="O1660" s="8">
        <v>3344.69</v>
      </c>
      <c r="P1660" s="268">
        <v>8.3999999999999995E-3</v>
      </c>
      <c r="Q1660" s="8">
        <v>189</v>
      </c>
      <c r="R1660" s="8" t="s">
        <v>3636</v>
      </c>
      <c r="S1660" s="8" t="s">
        <v>10145</v>
      </c>
      <c r="T1660" s="8" t="s">
        <v>10146</v>
      </c>
      <c r="U1660" s="8" t="s">
        <v>10147</v>
      </c>
      <c r="V1660" s="8" t="s">
        <v>10148</v>
      </c>
      <c r="W1660" s="8" t="s">
        <v>10149</v>
      </c>
    </row>
    <row r="1661" spans="1:23" ht="28" customHeight="1" x14ac:dyDescent="0.3">
      <c r="A1661" s="308">
        <v>43797</v>
      </c>
      <c r="B1661" s="302">
        <v>1166.5039999999999</v>
      </c>
      <c r="C1661" s="8">
        <v>-2.5070000000000001</v>
      </c>
      <c r="D1661" s="268">
        <v>-2.0999999999999999E-3</v>
      </c>
      <c r="E1661" s="8">
        <v>54.07</v>
      </c>
      <c r="F1661" s="8">
        <v>110.821</v>
      </c>
      <c r="G1661" s="8">
        <v>108.22499999999999</v>
      </c>
      <c r="H1661" s="8">
        <v>89.02</v>
      </c>
      <c r="I1661" s="8">
        <v>138.94999999999999</v>
      </c>
      <c r="J1661" s="8">
        <v>83.84</v>
      </c>
      <c r="K1661" s="268">
        <v>0.28129999999999999</v>
      </c>
      <c r="L1661" s="268">
        <v>0.20219999999999999</v>
      </c>
      <c r="M1661" s="268">
        <v>8.0999999999999996E-3</v>
      </c>
      <c r="N1661" s="8">
        <v>26.7</v>
      </c>
      <c r="O1661" s="8">
        <v>3303.54</v>
      </c>
      <c r="P1661" s="268">
        <v>8.0999999999999996E-3</v>
      </c>
      <c r="Q1661" s="8">
        <v>186</v>
      </c>
      <c r="R1661" s="8" t="s">
        <v>6115</v>
      </c>
      <c r="S1661" s="8" t="s">
        <v>10150</v>
      </c>
      <c r="T1661" s="8" t="s">
        <v>3492</v>
      </c>
      <c r="U1661" s="8" t="s">
        <v>10151</v>
      </c>
      <c r="V1661" s="8" t="s">
        <v>10152</v>
      </c>
      <c r="W1661" s="8" t="s">
        <v>8112</v>
      </c>
    </row>
    <row r="1662" spans="1:23" ht="28" customHeight="1" x14ac:dyDescent="0.3">
      <c r="A1662" s="308">
        <v>43796</v>
      </c>
      <c r="B1662" s="302">
        <v>1169.011</v>
      </c>
      <c r="C1662" s="8">
        <v>-0.55600000000000005</v>
      </c>
      <c r="D1662" s="268">
        <v>-5.0000000000000001E-4</v>
      </c>
      <c r="E1662" s="8">
        <v>57.14</v>
      </c>
      <c r="F1662" s="8">
        <v>111.09399999999999</v>
      </c>
      <c r="G1662" s="8">
        <v>108.5</v>
      </c>
      <c r="H1662" s="8">
        <v>90.5</v>
      </c>
      <c r="I1662" s="8">
        <v>138.97</v>
      </c>
      <c r="J1662" s="8">
        <v>82.98</v>
      </c>
      <c r="K1662" s="268">
        <v>0.27879999999999999</v>
      </c>
      <c r="L1662" s="268">
        <v>0.2046</v>
      </c>
      <c r="M1662" s="268">
        <v>7.4999999999999997E-3</v>
      </c>
      <c r="N1662" s="8">
        <v>29.08</v>
      </c>
      <c r="O1662" s="8">
        <v>3333.24</v>
      </c>
      <c r="P1662" s="268">
        <v>8.6999999999999994E-3</v>
      </c>
      <c r="Q1662" s="8">
        <v>187</v>
      </c>
      <c r="R1662" s="8" t="s">
        <v>6190</v>
      </c>
      <c r="S1662" s="8" t="s">
        <v>10153</v>
      </c>
      <c r="T1662" s="8" t="s">
        <v>10154</v>
      </c>
      <c r="U1662" s="8" t="s">
        <v>10155</v>
      </c>
      <c r="V1662" s="8" t="s">
        <v>10156</v>
      </c>
      <c r="W1662" s="8" t="s">
        <v>10157</v>
      </c>
    </row>
    <row r="1663" spans="1:23" ht="28" customHeight="1" x14ac:dyDescent="0.3">
      <c r="A1663" s="308">
        <v>43795</v>
      </c>
      <c r="B1663" s="302">
        <v>1169.567</v>
      </c>
      <c r="C1663" s="8">
        <v>1.083</v>
      </c>
      <c r="D1663" s="268">
        <v>8.9999999999999998E-4</v>
      </c>
      <c r="E1663" s="8">
        <v>57.98</v>
      </c>
      <c r="F1663" s="8">
        <v>111.15300000000001</v>
      </c>
      <c r="G1663" s="8">
        <v>108.03</v>
      </c>
      <c r="H1663" s="8">
        <v>89.5</v>
      </c>
      <c r="I1663" s="8">
        <v>138.82</v>
      </c>
      <c r="J1663" s="8">
        <v>81.33</v>
      </c>
      <c r="K1663" s="268">
        <v>0.2767</v>
      </c>
      <c r="L1663" s="268">
        <v>0.2</v>
      </c>
      <c r="M1663" s="268">
        <v>7.3000000000000001E-3</v>
      </c>
      <c r="N1663" s="8">
        <v>35.03</v>
      </c>
      <c r="O1663" s="8">
        <v>3335.83</v>
      </c>
      <c r="P1663" s="268">
        <v>1.0500000000000001E-2</v>
      </c>
      <c r="Q1663" s="8">
        <v>187</v>
      </c>
      <c r="R1663" s="8" t="s">
        <v>9975</v>
      </c>
      <c r="S1663" s="8" t="s">
        <v>10158</v>
      </c>
      <c r="T1663" s="8" t="s">
        <v>10159</v>
      </c>
      <c r="U1663" s="8" t="s">
        <v>6647</v>
      </c>
      <c r="V1663" s="8" t="s">
        <v>10160</v>
      </c>
      <c r="W1663" s="8" t="s">
        <v>3199</v>
      </c>
    </row>
    <row r="1664" spans="1:23" ht="28" customHeight="1" x14ac:dyDescent="0.3">
      <c r="A1664" s="308">
        <v>43794</v>
      </c>
      <c r="B1664" s="302">
        <v>1168.4839999999999</v>
      </c>
      <c r="C1664" s="8">
        <v>-1.2190000000000001</v>
      </c>
      <c r="D1664" s="268">
        <v>-1E-3</v>
      </c>
      <c r="E1664" s="8">
        <v>56.75</v>
      </c>
      <c r="F1664" s="8">
        <v>111.05800000000001</v>
      </c>
      <c r="G1664" s="8">
        <v>108.309</v>
      </c>
      <c r="H1664" s="8">
        <v>89.2</v>
      </c>
      <c r="I1664" s="8">
        <v>138.87</v>
      </c>
      <c r="J1664" s="8">
        <v>81.22</v>
      </c>
      <c r="K1664" s="268">
        <v>0.27810000000000001</v>
      </c>
      <c r="L1664" s="268">
        <v>0.2006</v>
      </c>
      <c r="M1664" s="268">
        <v>7.3000000000000001E-3</v>
      </c>
      <c r="N1664" s="8">
        <v>31.46</v>
      </c>
      <c r="O1664" s="8">
        <v>3332.49</v>
      </c>
      <c r="P1664" s="268">
        <v>9.4000000000000004E-3</v>
      </c>
      <c r="Q1664" s="8">
        <v>186</v>
      </c>
      <c r="R1664" s="8">
        <v>0</v>
      </c>
      <c r="S1664" s="8" t="s">
        <v>10161</v>
      </c>
      <c r="T1664" s="8" t="s">
        <v>10162</v>
      </c>
      <c r="U1664" s="8" t="s">
        <v>10163</v>
      </c>
      <c r="V1664" s="8" t="s">
        <v>10164</v>
      </c>
      <c r="W1664" s="8" t="s">
        <v>10165</v>
      </c>
    </row>
    <row r="1665" spans="1:23" ht="28" customHeight="1" x14ac:dyDescent="0.3">
      <c r="A1665" s="308">
        <v>43791</v>
      </c>
      <c r="B1665" s="302">
        <v>1169.703</v>
      </c>
      <c r="C1665" s="8">
        <v>-3.63</v>
      </c>
      <c r="D1665" s="268">
        <v>-3.0999999999999999E-3</v>
      </c>
      <c r="E1665" s="8">
        <v>56.56</v>
      </c>
      <c r="F1665" s="8">
        <v>111.26</v>
      </c>
      <c r="G1665" s="8">
        <v>108.05</v>
      </c>
      <c r="H1665" s="8">
        <v>89.36</v>
      </c>
      <c r="I1665" s="8">
        <v>139.63</v>
      </c>
      <c r="J1665" s="8">
        <v>82.2</v>
      </c>
      <c r="K1665" s="268">
        <v>0.2838</v>
      </c>
      <c r="L1665" s="268">
        <v>0.2031</v>
      </c>
      <c r="M1665" s="268">
        <v>7.1000000000000004E-3</v>
      </c>
      <c r="N1665" s="8">
        <v>37.9</v>
      </c>
      <c r="O1665" s="8">
        <v>3319.53</v>
      </c>
      <c r="P1665" s="268">
        <v>1.14E-2</v>
      </c>
      <c r="Q1665" s="8">
        <v>184</v>
      </c>
      <c r="R1665" s="8">
        <v>0</v>
      </c>
      <c r="S1665" s="8" t="s">
        <v>10166</v>
      </c>
      <c r="T1665" s="8" t="s">
        <v>10167</v>
      </c>
      <c r="U1665" s="8" t="s">
        <v>10168</v>
      </c>
      <c r="V1665" s="8" t="s">
        <v>10169</v>
      </c>
      <c r="W1665" s="8" t="s">
        <v>10170</v>
      </c>
    </row>
    <row r="1666" spans="1:23" ht="28" customHeight="1" x14ac:dyDescent="0.3">
      <c r="A1666" s="308">
        <v>43790</v>
      </c>
      <c r="B1666" s="302">
        <v>1173.3330000000001</v>
      </c>
      <c r="C1666" s="8">
        <v>-3.1819999999999999</v>
      </c>
      <c r="D1666" s="268">
        <v>-2.7000000000000001E-3</v>
      </c>
      <c r="E1666" s="8">
        <v>60.57</v>
      </c>
      <c r="F1666" s="8">
        <v>112.056</v>
      </c>
      <c r="G1666" s="8">
        <v>108.36199999999999</v>
      </c>
      <c r="H1666" s="8">
        <v>90.26</v>
      </c>
      <c r="I1666" s="8">
        <v>139.87</v>
      </c>
      <c r="J1666" s="8">
        <v>79.040000000000006</v>
      </c>
      <c r="K1666" s="268">
        <v>0.27810000000000001</v>
      </c>
      <c r="L1666" s="268">
        <v>0.193</v>
      </c>
      <c r="M1666" s="268">
        <v>6.0000000000000001E-3</v>
      </c>
      <c r="N1666" s="8">
        <v>33.270000000000003</v>
      </c>
      <c r="O1666" s="8">
        <v>3310.74</v>
      </c>
      <c r="P1666" s="268">
        <v>1.01E-2</v>
      </c>
      <c r="Q1666" s="8">
        <v>182</v>
      </c>
      <c r="R1666" s="8">
        <v>0</v>
      </c>
      <c r="S1666" s="8" t="s">
        <v>2447</v>
      </c>
      <c r="T1666" s="8" t="s">
        <v>8012</v>
      </c>
      <c r="U1666" s="8" t="s">
        <v>9723</v>
      </c>
      <c r="V1666" s="8" t="s">
        <v>10171</v>
      </c>
      <c r="W1666" s="8" t="s">
        <v>10172</v>
      </c>
    </row>
    <row r="1667" spans="1:23" ht="28" customHeight="1" x14ac:dyDescent="0.3">
      <c r="A1667" s="308">
        <v>43789</v>
      </c>
      <c r="B1667" s="302">
        <v>1176.5150000000001</v>
      </c>
      <c r="C1667" s="8">
        <v>-0.96499999999999997</v>
      </c>
      <c r="D1667" s="268">
        <v>-8.0000000000000004E-4</v>
      </c>
      <c r="E1667" s="8">
        <v>62.8</v>
      </c>
      <c r="F1667" s="8">
        <v>112.35599999999999</v>
      </c>
      <c r="G1667" s="8">
        <v>108.85</v>
      </c>
      <c r="H1667" s="8">
        <v>90.55</v>
      </c>
      <c r="I1667" s="8">
        <v>140.54</v>
      </c>
      <c r="J1667" s="8">
        <v>80.099999999999994</v>
      </c>
      <c r="K1667" s="268">
        <v>0.28189999999999998</v>
      </c>
      <c r="L1667" s="268">
        <v>0.19620000000000001</v>
      </c>
      <c r="M1667" s="268">
        <v>5.3E-3</v>
      </c>
      <c r="N1667" s="8">
        <v>40.18</v>
      </c>
      <c r="O1667" s="8">
        <v>3312.06</v>
      </c>
      <c r="P1667" s="268">
        <v>1.21E-2</v>
      </c>
      <c r="Q1667" s="8">
        <v>182</v>
      </c>
      <c r="R1667" s="8">
        <v>0</v>
      </c>
      <c r="S1667" s="8" t="s">
        <v>10173</v>
      </c>
      <c r="T1667" s="8" t="s">
        <v>10174</v>
      </c>
      <c r="U1667" s="8" t="s">
        <v>3287</v>
      </c>
      <c r="V1667" s="8" t="s">
        <v>10175</v>
      </c>
      <c r="W1667" s="8" t="s">
        <v>10176</v>
      </c>
    </row>
    <row r="1668" spans="1:23" ht="28" customHeight="1" x14ac:dyDescent="0.3">
      <c r="A1668" s="308">
        <v>43788</v>
      </c>
      <c r="B1668" s="302">
        <v>1177.48</v>
      </c>
      <c r="C1668" s="8">
        <v>7.0229999999999997</v>
      </c>
      <c r="D1668" s="268">
        <v>6.0000000000000001E-3</v>
      </c>
      <c r="E1668" s="8">
        <v>64.25</v>
      </c>
      <c r="F1668" s="8">
        <v>112.465</v>
      </c>
      <c r="G1668" s="8">
        <v>108.81</v>
      </c>
      <c r="H1668" s="8">
        <v>91.28</v>
      </c>
      <c r="I1668" s="8">
        <v>139.77000000000001</v>
      </c>
      <c r="J1668" s="8">
        <v>73.319999999999993</v>
      </c>
      <c r="K1668" s="268">
        <v>0.27300000000000002</v>
      </c>
      <c r="L1668" s="268">
        <v>0.18820000000000001</v>
      </c>
      <c r="M1668" s="268">
        <v>4.8999999999999998E-3</v>
      </c>
      <c r="N1668" s="8">
        <v>50.63</v>
      </c>
      <c r="O1668" s="8">
        <v>3312.72</v>
      </c>
      <c r="P1668" s="268">
        <v>1.5299999999999999E-2</v>
      </c>
      <c r="Q1668" s="8">
        <v>182</v>
      </c>
      <c r="R1668" s="8">
        <v>0</v>
      </c>
      <c r="S1668" s="8" t="s">
        <v>8510</v>
      </c>
      <c r="T1668" s="8" t="s">
        <v>10177</v>
      </c>
      <c r="U1668" s="8" t="s">
        <v>10178</v>
      </c>
      <c r="V1668" s="8" t="s">
        <v>10179</v>
      </c>
      <c r="W1668" s="8" t="s">
        <v>10180</v>
      </c>
    </row>
    <row r="1669" spans="1:23" ht="28" customHeight="1" x14ac:dyDescent="0.3">
      <c r="A1669" s="308">
        <v>43787</v>
      </c>
      <c r="B1669" s="302">
        <v>1170.4570000000001</v>
      </c>
      <c r="C1669" s="8">
        <v>2.468</v>
      </c>
      <c r="D1669" s="268">
        <v>2.0999999999999999E-3</v>
      </c>
      <c r="E1669" s="8">
        <v>59.39</v>
      </c>
      <c r="F1669" s="8">
        <v>111.76300000000001</v>
      </c>
      <c r="G1669" s="8">
        <v>108.18</v>
      </c>
      <c r="H1669" s="8">
        <v>90.15</v>
      </c>
      <c r="I1669" s="8">
        <v>140.5</v>
      </c>
      <c r="J1669" s="8">
        <v>79.56</v>
      </c>
      <c r="K1669" s="268">
        <v>0.28739999999999999</v>
      </c>
      <c r="L1669" s="268">
        <v>0.20230000000000001</v>
      </c>
      <c r="M1669" s="268">
        <v>6.3E-3</v>
      </c>
      <c r="N1669" s="8">
        <v>55.41</v>
      </c>
      <c r="O1669" s="8">
        <v>3313.37</v>
      </c>
      <c r="P1669" s="268">
        <v>1.67E-2</v>
      </c>
      <c r="Q1669" s="8">
        <v>182</v>
      </c>
      <c r="R1669" s="8">
        <v>0</v>
      </c>
      <c r="S1669" s="8" t="s">
        <v>10181</v>
      </c>
      <c r="T1669" s="8" t="s">
        <v>9690</v>
      </c>
      <c r="U1669" s="8" t="s">
        <v>4856</v>
      </c>
      <c r="V1669" s="8" t="s">
        <v>10182</v>
      </c>
      <c r="W1669" s="8" t="s">
        <v>10183</v>
      </c>
    </row>
    <row r="1670" spans="1:23" ht="28" customHeight="1" x14ac:dyDescent="0.3">
      <c r="A1670" s="308">
        <v>43784</v>
      </c>
      <c r="B1670" s="302">
        <v>1167.989</v>
      </c>
      <c r="C1670" s="8">
        <v>-4.6429999999999998</v>
      </c>
      <c r="D1670" s="268">
        <v>-4.0000000000000001E-3</v>
      </c>
      <c r="E1670" s="8">
        <v>57.83</v>
      </c>
      <c r="F1670" s="8">
        <v>111.54600000000001</v>
      </c>
      <c r="G1670" s="8">
        <v>107.7</v>
      </c>
      <c r="H1670" s="8">
        <v>89.62</v>
      </c>
      <c r="I1670" s="8">
        <v>141.13</v>
      </c>
      <c r="J1670" s="8">
        <v>85.16</v>
      </c>
      <c r="K1670" s="268">
        <v>0.2959</v>
      </c>
      <c r="L1670" s="268">
        <v>0.2165</v>
      </c>
      <c r="M1670" s="268">
        <v>6.3E-3</v>
      </c>
      <c r="N1670" s="8">
        <v>25.43</v>
      </c>
      <c r="O1670" s="8">
        <v>2814.04</v>
      </c>
      <c r="P1670" s="268">
        <v>8.9999999999999993E-3</v>
      </c>
      <c r="Q1670" s="8">
        <v>181</v>
      </c>
      <c r="R1670" s="8">
        <v>0</v>
      </c>
      <c r="S1670" s="8" t="s">
        <v>10184</v>
      </c>
      <c r="T1670" s="8" t="s">
        <v>10185</v>
      </c>
      <c r="U1670" s="8" t="s">
        <v>10186</v>
      </c>
      <c r="V1670" s="8" t="s">
        <v>10187</v>
      </c>
      <c r="W1670" s="8" t="s">
        <v>10188</v>
      </c>
    </row>
    <row r="1671" spans="1:23" ht="28" customHeight="1" x14ac:dyDescent="0.3">
      <c r="A1671" s="308">
        <v>43783</v>
      </c>
      <c r="B1671" s="302">
        <v>1172.6320000000001</v>
      </c>
      <c r="C1671" s="8">
        <v>1.66</v>
      </c>
      <c r="D1671" s="268">
        <v>1.4E-3</v>
      </c>
      <c r="E1671" s="8">
        <v>59.74</v>
      </c>
      <c r="F1671" s="8">
        <v>112.027</v>
      </c>
      <c r="G1671" s="8">
        <v>108.3</v>
      </c>
      <c r="H1671" s="8">
        <v>89.68</v>
      </c>
      <c r="I1671" s="8">
        <v>140.41999999999999</v>
      </c>
      <c r="J1671" s="8">
        <v>78.48</v>
      </c>
      <c r="K1671" s="268">
        <v>0.28389999999999999</v>
      </c>
      <c r="L1671" s="268">
        <v>0.2097</v>
      </c>
      <c r="M1671" s="268">
        <v>5.4000000000000003E-3</v>
      </c>
      <c r="N1671" s="8">
        <v>27.32</v>
      </c>
      <c r="O1671" s="8">
        <v>2817.11</v>
      </c>
      <c r="P1671" s="268">
        <v>9.7000000000000003E-3</v>
      </c>
      <c r="Q1671" s="8">
        <v>181</v>
      </c>
      <c r="R1671" s="8">
        <v>0</v>
      </c>
      <c r="S1671" s="8" t="s">
        <v>10189</v>
      </c>
      <c r="T1671" s="8" t="s">
        <v>10190</v>
      </c>
      <c r="U1671" s="8" t="s">
        <v>3332</v>
      </c>
      <c r="V1671" s="8" t="s">
        <v>10191</v>
      </c>
      <c r="W1671" s="8" t="s">
        <v>10192</v>
      </c>
    </row>
    <row r="1672" spans="1:23" ht="28" customHeight="1" x14ac:dyDescent="0.3">
      <c r="A1672" s="308">
        <v>43782</v>
      </c>
      <c r="B1672" s="302">
        <v>1170.972</v>
      </c>
      <c r="C1672" s="8">
        <v>-1.998</v>
      </c>
      <c r="D1672" s="268">
        <v>-1.6999999999999999E-3</v>
      </c>
      <c r="E1672" s="8">
        <v>60.78</v>
      </c>
      <c r="F1672" s="8">
        <v>111.83199999999999</v>
      </c>
      <c r="G1672" s="8">
        <v>108.25</v>
      </c>
      <c r="H1672" s="8">
        <v>89.52</v>
      </c>
      <c r="I1672" s="8">
        <v>140.5</v>
      </c>
      <c r="J1672" s="8">
        <v>80.33</v>
      </c>
      <c r="K1672" s="268">
        <v>0.28670000000000001</v>
      </c>
      <c r="L1672" s="268">
        <v>0.20680000000000001</v>
      </c>
      <c r="M1672" s="268">
        <v>5.4999999999999997E-3</v>
      </c>
      <c r="N1672" s="8">
        <v>22.45</v>
      </c>
      <c r="O1672" s="8">
        <v>2817.91</v>
      </c>
      <c r="P1672" s="268">
        <v>8.0000000000000002E-3</v>
      </c>
      <c r="Q1672" s="8">
        <v>181</v>
      </c>
      <c r="R1672" s="8">
        <v>0</v>
      </c>
      <c r="S1672" s="8" t="s">
        <v>10193</v>
      </c>
      <c r="T1672" s="8" t="s">
        <v>10194</v>
      </c>
      <c r="U1672" s="8" t="s">
        <v>10151</v>
      </c>
      <c r="V1672" s="8" t="s">
        <v>10195</v>
      </c>
      <c r="W1672" s="8" t="s">
        <v>10196</v>
      </c>
    </row>
    <row r="1673" spans="1:23" ht="28" customHeight="1" x14ac:dyDescent="0.3">
      <c r="A1673" s="308">
        <v>43781</v>
      </c>
      <c r="B1673" s="302">
        <v>1172.97</v>
      </c>
      <c r="C1673" s="8">
        <v>-0.98099999999999998</v>
      </c>
      <c r="D1673" s="268">
        <v>-8.0000000000000004E-4</v>
      </c>
      <c r="E1673" s="8">
        <v>60.79</v>
      </c>
      <c r="F1673" s="8">
        <v>112.039</v>
      </c>
      <c r="G1673" s="8">
        <v>108.157</v>
      </c>
      <c r="H1673" s="8">
        <v>89.36</v>
      </c>
      <c r="I1673" s="8">
        <v>140.21</v>
      </c>
      <c r="J1673" s="8">
        <v>78.540000000000006</v>
      </c>
      <c r="K1673" s="268">
        <v>0.28170000000000001</v>
      </c>
      <c r="L1673" s="268">
        <v>0.19789999999999999</v>
      </c>
      <c r="M1673" s="268">
        <v>5.1000000000000004E-3</v>
      </c>
      <c r="N1673" s="8">
        <v>26.64</v>
      </c>
      <c r="O1673" s="8">
        <v>2818.21</v>
      </c>
      <c r="P1673" s="268">
        <v>9.4999999999999998E-3</v>
      </c>
      <c r="Q1673" s="8">
        <v>181</v>
      </c>
      <c r="R1673" s="8">
        <v>0</v>
      </c>
      <c r="S1673" s="8" t="s">
        <v>10197</v>
      </c>
      <c r="T1673" s="8" t="s">
        <v>10198</v>
      </c>
      <c r="U1673" s="8" t="s">
        <v>4167</v>
      </c>
      <c r="V1673" s="8" t="s">
        <v>10199</v>
      </c>
      <c r="W1673" s="8" t="s">
        <v>10200</v>
      </c>
    </row>
    <row r="1674" spans="1:23" ht="28" customHeight="1" x14ac:dyDescent="0.3">
      <c r="A1674" s="308">
        <v>43780</v>
      </c>
      <c r="B1674" s="302">
        <v>1173.951</v>
      </c>
      <c r="C1674" s="8">
        <v>-8.1159999999999997</v>
      </c>
      <c r="D1674" s="268">
        <v>-6.8999999999999999E-3</v>
      </c>
      <c r="E1674" s="8">
        <v>62.5</v>
      </c>
      <c r="F1674" s="8">
        <v>112.13500000000001</v>
      </c>
      <c r="G1674" s="8">
        <v>108.3</v>
      </c>
      <c r="H1674" s="8">
        <v>89.46</v>
      </c>
      <c r="I1674" s="8">
        <v>140.51</v>
      </c>
      <c r="J1674" s="8">
        <v>82.93</v>
      </c>
      <c r="K1674" s="268">
        <v>0.2838</v>
      </c>
      <c r="L1674" s="268">
        <v>0.20780000000000001</v>
      </c>
      <c r="M1674" s="268">
        <v>4.7999999999999996E-3</v>
      </c>
      <c r="N1674" s="8">
        <v>29.86</v>
      </c>
      <c r="O1674" s="8">
        <v>2818.94</v>
      </c>
      <c r="P1674" s="268">
        <v>1.06E-2</v>
      </c>
      <c r="Q1674" s="8">
        <v>181</v>
      </c>
      <c r="R1674" s="8">
        <v>0</v>
      </c>
      <c r="S1674" s="8" t="s">
        <v>10201</v>
      </c>
      <c r="T1674" s="8" t="s">
        <v>10202</v>
      </c>
      <c r="U1674" s="8" t="s">
        <v>10203</v>
      </c>
      <c r="V1674" s="8" t="s">
        <v>10204</v>
      </c>
      <c r="W1674" s="8" t="s">
        <v>10205</v>
      </c>
    </row>
    <row r="1675" spans="1:23" ht="28" customHeight="1" x14ac:dyDescent="0.3">
      <c r="A1675" s="308">
        <v>43777</v>
      </c>
      <c r="B1675" s="302">
        <v>1182.067</v>
      </c>
      <c r="C1675" s="8">
        <v>-0.80100000000000005</v>
      </c>
      <c r="D1675" s="268">
        <v>-6.9999999999999999E-4</v>
      </c>
      <c r="E1675" s="8">
        <v>69.34</v>
      </c>
      <c r="F1675" s="8">
        <v>113.071</v>
      </c>
      <c r="G1675" s="8">
        <v>109.057</v>
      </c>
      <c r="H1675" s="8">
        <v>91.66</v>
      </c>
      <c r="I1675" s="8">
        <v>139.13999999999999</v>
      </c>
      <c r="J1675" s="8">
        <v>74.2</v>
      </c>
      <c r="K1675" s="268">
        <v>0.26069999999999999</v>
      </c>
      <c r="L1675" s="268">
        <v>0.1797</v>
      </c>
      <c r="M1675" s="268">
        <v>2.8999999999999998E-3</v>
      </c>
      <c r="N1675" s="8">
        <v>37.92</v>
      </c>
      <c r="O1675" s="8">
        <v>2803.63</v>
      </c>
      <c r="P1675" s="268">
        <v>1.35E-2</v>
      </c>
      <c r="Q1675" s="8">
        <v>178</v>
      </c>
      <c r="R1675" s="8">
        <v>0</v>
      </c>
      <c r="S1675" s="8" t="s">
        <v>10206</v>
      </c>
      <c r="T1675" s="8" t="s">
        <v>10207</v>
      </c>
      <c r="U1675" s="8" t="s">
        <v>10208</v>
      </c>
      <c r="V1675" s="8" t="s">
        <v>10209</v>
      </c>
      <c r="W1675" s="8" t="s">
        <v>10210</v>
      </c>
    </row>
    <row r="1676" spans="1:23" ht="28" customHeight="1" x14ac:dyDescent="0.3">
      <c r="A1676" s="308">
        <v>43776</v>
      </c>
      <c r="B1676" s="302">
        <v>1182.8679999999999</v>
      </c>
      <c r="C1676" s="8">
        <v>5.4379999999999997</v>
      </c>
      <c r="D1676" s="268">
        <v>4.5999999999999999E-3</v>
      </c>
      <c r="E1676" s="8">
        <v>68.010000000000005</v>
      </c>
      <c r="F1676" s="8">
        <v>113.24</v>
      </c>
      <c r="G1676" s="8">
        <v>108.9</v>
      </c>
      <c r="H1676" s="8">
        <v>91.81</v>
      </c>
      <c r="I1676" s="8">
        <v>139.31</v>
      </c>
      <c r="J1676" s="8">
        <v>70.78</v>
      </c>
      <c r="K1676" s="268">
        <v>0.26069999999999999</v>
      </c>
      <c r="L1676" s="268">
        <v>0.1744</v>
      </c>
      <c r="M1676" s="268">
        <v>2.5999999999999999E-3</v>
      </c>
      <c r="N1676" s="8">
        <v>47.33</v>
      </c>
      <c r="O1676" s="8">
        <v>2787.77</v>
      </c>
      <c r="P1676" s="268">
        <v>1.7000000000000001E-2</v>
      </c>
      <c r="Q1676" s="8">
        <v>176</v>
      </c>
      <c r="R1676" s="8">
        <v>0</v>
      </c>
      <c r="S1676" s="8" t="s">
        <v>10054</v>
      </c>
      <c r="T1676" s="8" t="s">
        <v>10211</v>
      </c>
      <c r="U1676" s="8" t="s">
        <v>10212</v>
      </c>
      <c r="V1676" s="8" t="s">
        <v>10213</v>
      </c>
      <c r="W1676" s="8" t="s">
        <v>10214</v>
      </c>
    </row>
    <row r="1677" spans="1:23" ht="28" customHeight="1" x14ac:dyDescent="0.3">
      <c r="A1677" s="308">
        <v>43775</v>
      </c>
      <c r="B1677" s="302">
        <v>1177.43</v>
      </c>
      <c r="C1677" s="8">
        <v>-1.7849999999999999</v>
      </c>
      <c r="D1677" s="268">
        <v>-1.5E-3</v>
      </c>
      <c r="E1677" s="8">
        <v>66.319999999999993</v>
      </c>
      <c r="F1677" s="8">
        <v>112.69</v>
      </c>
      <c r="G1677" s="8">
        <v>108.723</v>
      </c>
      <c r="H1677" s="8">
        <v>91.61</v>
      </c>
      <c r="I1677" s="8">
        <v>138.97999999999999</v>
      </c>
      <c r="J1677" s="8">
        <v>75.650000000000006</v>
      </c>
      <c r="K1677" s="268">
        <v>0.26290000000000002</v>
      </c>
      <c r="L1677" s="268">
        <v>0.1762</v>
      </c>
      <c r="M1677" s="268">
        <v>3.5999999999999999E-3</v>
      </c>
      <c r="N1677" s="8">
        <v>39.21</v>
      </c>
      <c r="O1677" s="8">
        <v>2789.49</v>
      </c>
      <c r="P1677" s="268">
        <v>1.41E-2</v>
      </c>
      <c r="Q1677" s="8">
        <v>176</v>
      </c>
      <c r="R1677" s="8">
        <v>0</v>
      </c>
      <c r="S1677" s="8" t="s">
        <v>10215</v>
      </c>
      <c r="T1677" s="8" t="s">
        <v>10216</v>
      </c>
      <c r="U1677" s="8" t="s">
        <v>6507</v>
      </c>
      <c r="V1677" s="8" t="s">
        <v>10217</v>
      </c>
      <c r="W1677" s="8" t="s">
        <v>4286</v>
      </c>
    </row>
    <row r="1678" spans="1:23" ht="28" customHeight="1" x14ac:dyDescent="0.3">
      <c r="A1678" s="308">
        <v>43774</v>
      </c>
      <c r="B1678" s="302">
        <v>1179.2149999999999</v>
      </c>
      <c r="C1678" s="8">
        <v>4.3540000000000001</v>
      </c>
      <c r="D1678" s="268">
        <v>3.7000000000000002E-3</v>
      </c>
      <c r="E1678" s="8">
        <v>68.680000000000007</v>
      </c>
      <c r="F1678" s="8">
        <v>112.908</v>
      </c>
      <c r="G1678" s="8">
        <v>108.678</v>
      </c>
      <c r="H1678" s="8">
        <v>92.44</v>
      </c>
      <c r="I1678" s="8">
        <v>138.32</v>
      </c>
      <c r="J1678" s="8">
        <v>71.760000000000005</v>
      </c>
      <c r="K1678" s="268">
        <v>0.25409999999999999</v>
      </c>
      <c r="L1678" s="268">
        <v>0.17760000000000001</v>
      </c>
      <c r="M1678" s="268">
        <v>3.2000000000000002E-3</v>
      </c>
      <c r="N1678" s="8">
        <v>48.01</v>
      </c>
      <c r="O1678" s="8">
        <v>2790.78</v>
      </c>
      <c r="P1678" s="268">
        <v>1.72E-2</v>
      </c>
      <c r="Q1678" s="8">
        <v>176</v>
      </c>
      <c r="R1678" s="8">
        <v>0</v>
      </c>
      <c r="S1678" s="8" t="s">
        <v>10218</v>
      </c>
      <c r="T1678" s="8" t="s">
        <v>10219</v>
      </c>
      <c r="U1678" s="8" t="s">
        <v>10220</v>
      </c>
      <c r="V1678" s="8" t="s">
        <v>10221</v>
      </c>
      <c r="W1678" s="8" t="s">
        <v>10222</v>
      </c>
    </row>
    <row r="1679" spans="1:23" ht="28" customHeight="1" x14ac:dyDescent="0.3">
      <c r="A1679" s="308">
        <v>43773</v>
      </c>
      <c r="B1679" s="302">
        <v>1174.8610000000001</v>
      </c>
      <c r="C1679" s="8">
        <v>3.6240000000000001</v>
      </c>
      <c r="D1679" s="268">
        <v>3.0999999999999999E-3</v>
      </c>
      <c r="E1679" s="8">
        <v>64.67</v>
      </c>
      <c r="F1679" s="8">
        <v>112.535</v>
      </c>
      <c r="G1679" s="8">
        <v>108.425</v>
      </c>
      <c r="H1679" s="8">
        <v>92.23</v>
      </c>
      <c r="I1679" s="8">
        <v>137.94999999999999</v>
      </c>
      <c r="J1679" s="8">
        <v>71.81</v>
      </c>
      <c r="K1679" s="268">
        <v>0.25409999999999999</v>
      </c>
      <c r="L1679" s="268">
        <v>0.18129999999999999</v>
      </c>
      <c r="M1679" s="268">
        <v>3.8999999999999998E-3</v>
      </c>
      <c r="N1679" s="8">
        <v>43.81</v>
      </c>
      <c r="O1679" s="8">
        <v>2788.97</v>
      </c>
      <c r="P1679" s="268">
        <v>1.5699999999999999E-2</v>
      </c>
      <c r="Q1679" s="8">
        <v>176</v>
      </c>
      <c r="R1679" s="8">
        <v>0</v>
      </c>
      <c r="S1679" s="8" t="s">
        <v>10223</v>
      </c>
      <c r="T1679" s="8" t="s">
        <v>10224</v>
      </c>
      <c r="U1679" s="8" t="s">
        <v>10225</v>
      </c>
      <c r="V1679" s="8" t="s">
        <v>10226</v>
      </c>
      <c r="W1679" s="8" t="s">
        <v>10227</v>
      </c>
    </row>
    <row r="1680" spans="1:23" ht="28" customHeight="1" x14ac:dyDescent="0.3">
      <c r="A1680" s="308">
        <v>43770</v>
      </c>
      <c r="B1680" s="302">
        <v>1171.2370000000001</v>
      </c>
      <c r="C1680" s="8">
        <v>4.1550000000000002</v>
      </c>
      <c r="D1680" s="268">
        <v>3.5999999999999999E-3</v>
      </c>
      <c r="E1680" s="8">
        <v>63.03</v>
      </c>
      <c r="F1680" s="8">
        <v>112.11799999999999</v>
      </c>
      <c r="G1680" s="8">
        <v>108.545</v>
      </c>
      <c r="H1680" s="8">
        <v>91.82</v>
      </c>
      <c r="I1680" s="8">
        <v>137.69</v>
      </c>
      <c r="J1680" s="8">
        <v>71.5</v>
      </c>
      <c r="K1680" s="268">
        <v>0.25569999999999998</v>
      </c>
      <c r="L1680" s="268">
        <v>0.17599999999999999</v>
      </c>
      <c r="M1680" s="268">
        <v>4.5999999999999999E-3</v>
      </c>
      <c r="N1680" s="8">
        <v>35.880000000000003</v>
      </c>
      <c r="O1680" s="8">
        <v>2790.21</v>
      </c>
      <c r="P1680" s="268">
        <v>1.29E-2</v>
      </c>
      <c r="Q1680" s="8">
        <v>176</v>
      </c>
      <c r="R1680" s="8">
        <v>0</v>
      </c>
      <c r="S1680" s="8" t="s">
        <v>10228</v>
      </c>
      <c r="T1680" s="8" t="s">
        <v>10229</v>
      </c>
      <c r="U1680" s="8" t="s">
        <v>10230</v>
      </c>
      <c r="V1680" s="8" t="s">
        <v>10231</v>
      </c>
      <c r="W1680" s="8" t="s">
        <v>10232</v>
      </c>
    </row>
    <row r="1681" spans="1:23" ht="28" customHeight="1" x14ac:dyDescent="0.3">
      <c r="A1681" s="308">
        <v>43769</v>
      </c>
      <c r="B1681" s="302">
        <v>1167.0820000000001</v>
      </c>
      <c r="C1681" s="8">
        <v>-4.7640000000000002</v>
      </c>
      <c r="D1681" s="268">
        <v>-4.1000000000000003E-3</v>
      </c>
      <c r="E1681" s="8">
        <v>59.96</v>
      </c>
      <c r="F1681" s="8">
        <v>111.791</v>
      </c>
      <c r="G1681" s="8">
        <v>108.31699999999999</v>
      </c>
      <c r="H1681" s="8">
        <v>91.26</v>
      </c>
      <c r="I1681" s="8">
        <v>138.22999999999999</v>
      </c>
      <c r="J1681" s="8">
        <v>74.599999999999994</v>
      </c>
      <c r="K1681" s="268">
        <v>0.26440000000000002</v>
      </c>
      <c r="L1681" s="268">
        <v>0.18279999999999999</v>
      </c>
      <c r="M1681" s="268">
        <v>5.1999999999999998E-3</v>
      </c>
      <c r="N1681" s="8">
        <v>31.97</v>
      </c>
      <c r="O1681" s="8">
        <v>2781.92</v>
      </c>
      <c r="P1681" s="268">
        <v>1.15E-2</v>
      </c>
      <c r="Q1681" s="8">
        <v>174</v>
      </c>
      <c r="R1681" s="8">
        <v>0</v>
      </c>
      <c r="S1681" s="8" t="s">
        <v>10233</v>
      </c>
      <c r="T1681" s="8" t="s">
        <v>10234</v>
      </c>
      <c r="U1681" s="8" t="s">
        <v>10235</v>
      </c>
      <c r="V1681" s="8" t="s">
        <v>10236</v>
      </c>
      <c r="W1681" s="8" t="s">
        <v>10237</v>
      </c>
    </row>
    <row r="1682" spans="1:23" ht="28" customHeight="1" x14ac:dyDescent="0.3">
      <c r="A1682" s="308">
        <v>43768</v>
      </c>
      <c r="B1682" s="302">
        <v>1171.846</v>
      </c>
      <c r="C1682" s="8">
        <v>-10.208</v>
      </c>
      <c r="D1682" s="268">
        <v>-8.6E-3</v>
      </c>
      <c r="E1682" s="8">
        <v>61.42</v>
      </c>
      <c r="F1682" s="8">
        <v>112.307</v>
      </c>
      <c r="G1682" s="8">
        <v>108.82599999999999</v>
      </c>
      <c r="H1682" s="8">
        <v>92.1</v>
      </c>
      <c r="I1682" s="8">
        <v>138.13999999999999</v>
      </c>
      <c r="J1682" s="8">
        <v>73.319999999999993</v>
      </c>
      <c r="K1682" s="268">
        <v>0.25829999999999997</v>
      </c>
      <c r="L1682" s="268">
        <v>0.18</v>
      </c>
      <c r="M1682" s="268">
        <v>4.1999999999999997E-3</v>
      </c>
      <c r="N1682" s="8">
        <v>35.090000000000003</v>
      </c>
      <c r="O1682" s="8">
        <v>2782.96</v>
      </c>
      <c r="P1682" s="268">
        <v>1.26E-2</v>
      </c>
      <c r="Q1682" s="8">
        <v>174</v>
      </c>
      <c r="R1682" s="8">
        <v>0</v>
      </c>
      <c r="S1682" s="8" t="s">
        <v>10238</v>
      </c>
      <c r="T1682" s="8" t="s">
        <v>10239</v>
      </c>
      <c r="U1682" s="8" t="s">
        <v>10240</v>
      </c>
      <c r="V1682" s="8" t="s">
        <v>10241</v>
      </c>
      <c r="W1682" s="8" t="s">
        <v>10242</v>
      </c>
    </row>
    <row r="1683" spans="1:23" ht="28" customHeight="1" x14ac:dyDescent="0.3">
      <c r="A1683" s="308">
        <v>43767</v>
      </c>
      <c r="B1683" s="302">
        <v>1182.0540000000001</v>
      </c>
      <c r="C1683" s="8">
        <v>-3.9020000000000001</v>
      </c>
      <c r="D1683" s="268">
        <v>-3.3E-3</v>
      </c>
      <c r="E1683" s="8">
        <v>68.53</v>
      </c>
      <c r="F1683" s="8">
        <v>113.39100000000001</v>
      </c>
      <c r="G1683" s="8">
        <v>109.7</v>
      </c>
      <c r="H1683" s="8">
        <v>93.38</v>
      </c>
      <c r="I1683" s="8">
        <v>138.46</v>
      </c>
      <c r="J1683" s="8">
        <v>65.77</v>
      </c>
      <c r="K1683" s="268">
        <v>0.25069999999999998</v>
      </c>
      <c r="L1683" s="268">
        <v>0.1812</v>
      </c>
      <c r="M1683" s="268">
        <v>2.3E-3</v>
      </c>
      <c r="N1683" s="8">
        <v>43.74</v>
      </c>
      <c r="O1683" s="8">
        <v>2791.91</v>
      </c>
      <c r="P1683" s="268">
        <v>1.5699999999999999E-2</v>
      </c>
      <c r="Q1683" s="8">
        <v>175</v>
      </c>
      <c r="R1683" s="8">
        <v>0</v>
      </c>
      <c r="S1683" s="8" t="s">
        <v>10243</v>
      </c>
      <c r="T1683" s="8" t="s">
        <v>10244</v>
      </c>
      <c r="U1683" s="8" t="s">
        <v>10245</v>
      </c>
      <c r="V1683" s="8" t="s">
        <v>10246</v>
      </c>
      <c r="W1683" s="8" t="s">
        <v>10247</v>
      </c>
    </row>
    <row r="1684" spans="1:23" ht="28" customHeight="1" x14ac:dyDescent="0.3">
      <c r="A1684" s="308">
        <v>43766</v>
      </c>
      <c r="B1684" s="302">
        <v>1185.9559999999999</v>
      </c>
      <c r="C1684" s="8">
        <v>9.92</v>
      </c>
      <c r="D1684" s="268">
        <v>8.3999999999999995E-3</v>
      </c>
      <c r="E1684" s="8">
        <v>70.430000000000007</v>
      </c>
      <c r="F1684" s="8">
        <v>113.80500000000001</v>
      </c>
      <c r="G1684" s="8">
        <v>110.16</v>
      </c>
      <c r="H1684" s="8">
        <v>94.64</v>
      </c>
      <c r="I1684" s="8">
        <v>137.5</v>
      </c>
      <c r="J1684" s="8">
        <v>64.709999999999994</v>
      </c>
      <c r="K1684" s="268">
        <v>0.2369</v>
      </c>
      <c r="L1684" s="268">
        <v>0.1653</v>
      </c>
      <c r="M1684" s="268">
        <v>1.4E-3</v>
      </c>
      <c r="N1684" s="8">
        <v>46.19</v>
      </c>
      <c r="O1684" s="8">
        <v>2794</v>
      </c>
      <c r="P1684" s="268">
        <v>1.6500000000000001E-2</v>
      </c>
      <c r="Q1684" s="8">
        <v>175</v>
      </c>
      <c r="R1684" s="8">
        <v>0</v>
      </c>
      <c r="S1684" s="8" t="s">
        <v>10248</v>
      </c>
      <c r="T1684" s="8" t="s">
        <v>10249</v>
      </c>
      <c r="U1684" s="8" t="s">
        <v>10250</v>
      </c>
      <c r="V1684" s="8" t="s">
        <v>10251</v>
      </c>
      <c r="W1684" s="8" t="s">
        <v>10252</v>
      </c>
    </row>
    <row r="1685" spans="1:23" ht="28" customHeight="1" x14ac:dyDescent="0.3">
      <c r="A1685" s="308">
        <v>43763</v>
      </c>
      <c r="B1685" s="302">
        <v>1176.0360000000001</v>
      </c>
      <c r="C1685" s="8">
        <v>5.34</v>
      </c>
      <c r="D1685" s="268">
        <v>4.5999999999999999E-3</v>
      </c>
      <c r="E1685" s="8">
        <v>67.33</v>
      </c>
      <c r="F1685" s="8">
        <v>112.708</v>
      </c>
      <c r="G1685" s="8">
        <v>109.563</v>
      </c>
      <c r="H1685" s="8">
        <v>93.11</v>
      </c>
      <c r="I1685" s="8">
        <v>137.88999999999999</v>
      </c>
      <c r="J1685" s="8">
        <v>70.33</v>
      </c>
      <c r="K1685" s="268">
        <v>0.25180000000000002</v>
      </c>
      <c r="L1685" s="268">
        <v>0.1666</v>
      </c>
      <c r="M1685" s="268">
        <v>3.3E-3</v>
      </c>
      <c r="N1685" s="8">
        <v>26.79</v>
      </c>
      <c r="O1685" s="8">
        <v>2800.72</v>
      </c>
      <c r="P1685" s="268">
        <v>9.5999999999999992E-3</v>
      </c>
      <c r="Q1685" s="8">
        <v>176</v>
      </c>
      <c r="R1685" s="8">
        <v>0</v>
      </c>
      <c r="S1685" s="8" t="s">
        <v>10054</v>
      </c>
      <c r="T1685" s="8" t="s">
        <v>10253</v>
      </c>
      <c r="U1685" s="8" t="s">
        <v>10254</v>
      </c>
      <c r="V1685" s="8" t="s">
        <v>10255</v>
      </c>
      <c r="W1685" s="8" t="s">
        <v>10256</v>
      </c>
    </row>
    <row r="1686" spans="1:23" ht="28" customHeight="1" x14ac:dyDescent="0.3">
      <c r="A1686" s="308">
        <v>43762</v>
      </c>
      <c r="B1686" s="302">
        <v>1170.6959999999999</v>
      </c>
      <c r="C1686" s="8">
        <v>-3.379</v>
      </c>
      <c r="D1686" s="268">
        <v>-2.8999999999999998E-3</v>
      </c>
      <c r="E1686" s="8">
        <v>63.7</v>
      </c>
      <c r="F1686" s="8">
        <v>112.15300000000001</v>
      </c>
      <c r="G1686" s="8">
        <v>109.005</v>
      </c>
      <c r="H1686" s="8">
        <v>92.53</v>
      </c>
      <c r="I1686" s="8">
        <v>137.75</v>
      </c>
      <c r="J1686" s="8">
        <v>72.75</v>
      </c>
      <c r="K1686" s="268">
        <v>0.25590000000000002</v>
      </c>
      <c r="L1686" s="268">
        <v>0.17380000000000001</v>
      </c>
      <c r="M1686" s="268">
        <v>4.3E-3</v>
      </c>
      <c r="N1686" s="8">
        <v>26.25</v>
      </c>
      <c r="O1686" s="8">
        <v>2801.22</v>
      </c>
      <c r="P1686" s="268">
        <v>9.4000000000000004E-3</v>
      </c>
      <c r="Q1686" s="8">
        <v>176</v>
      </c>
      <c r="R1686" s="8">
        <v>0</v>
      </c>
      <c r="S1686" s="8" t="s">
        <v>10257</v>
      </c>
      <c r="T1686" s="8" t="s">
        <v>10258</v>
      </c>
      <c r="U1686" s="8" t="s">
        <v>10259</v>
      </c>
      <c r="V1686" s="8" t="s">
        <v>10260</v>
      </c>
      <c r="W1686" s="8" t="s">
        <v>10261</v>
      </c>
    </row>
    <row r="1687" spans="1:23" ht="28" customHeight="1" x14ac:dyDescent="0.3">
      <c r="A1687" s="308">
        <v>43761</v>
      </c>
      <c r="B1687" s="302">
        <v>1174.075</v>
      </c>
      <c r="C1687" s="8">
        <v>-1.875</v>
      </c>
      <c r="D1687" s="268">
        <v>-1.6000000000000001E-3</v>
      </c>
      <c r="E1687" s="8">
        <v>66.92</v>
      </c>
      <c r="F1687" s="8">
        <v>112.48099999999999</v>
      </c>
      <c r="G1687" s="8">
        <v>109.22799999999999</v>
      </c>
      <c r="H1687" s="8">
        <v>92.45</v>
      </c>
      <c r="I1687" s="8">
        <v>138.38999999999999</v>
      </c>
      <c r="J1687" s="8">
        <v>74.86</v>
      </c>
      <c r="K1687" s="268">
        <v>0.2591</v>
      </c>
      <c r="L1687" s="268">
        <v>0.18410000000000001</v>
      </c>
      <c r="M1687" s="268">
        <v>3.5000000000000001E-3</v>
      </c>
      <c r="N1687" s="8">
        <v>25.38</v>
      </c>
      <c r="O1687" s="8">
        <v>2801.79</v>
      </c>
      <c r="P1687" s="268">
        <v>9.1000000000000004E-3</v>
      </c>
      <c r="Q1687" s="8">
        <v>176</v>
      </c>
      <c r="R1687" s="8">
        <v>0</v>
      </c>
      <c r="S1687" s="8" t="s">
        <v>10262</v>
      </c>
      <c r="T1687" s="8" t="s">
        <v>10263</v>
      </c>
      <c r="U1687" s="8" t="s">
        <v>8697</v>
      </c>
      <c r="V1687" s="8" t="s">
        <v>10264</v>
      </c>
      <c r="W1687" s="8" t="s">
        <v>10265</v>
      </c>
    </row>
    <row r="1688" spans="1:23" ht="28" customHeight="1" x14ac:dyDescent="0.3">
      <c r="A1688" s="308">
        <v>43760</v>
      </c>
      <c r="B1688" s="302">
        <v>1175.95</v>
      </c>
      <c r="C1688" s="8">
        <v>3.1840000000000002</v>
      </c>
      <c r="D1688" s="268">
        <v>2.7000000000000001E-3</v>
      </c>
      <c r="E1688" s="8">
        <v>67.459999999999994</v>
      </c>
      <c r="F1688" s="8">
        <v>112.676</v>
      </c>
      <c r="G1688" s="8">
        <v>109.175</v>
      </c>
      <c r="H1688" s="8">
        <v>92.95</v>
      </c>
      <c r="I1688" s="8">
        <v>138.08000000000001</v>
      </c>
      <c r="J1688" s="8">
        <v>73.48</v>
      </c>
      <c r="K1688" s="268">
        <v>0.254</v>
      </c>
      <c r="L1688" s="268">
        <v>0.17480000000000001</v>
      </c>
      <c r="M1688" s="268">
        <v>3.0999999999999999E-3</v>
      </c>
      <c r="N1688" s="8">
        <v>25.25</v>
      </c>
      <c r="O1688" s="8">
        <v>2802.58</v>
      </c>
      <c r="P1688" s="268">
        <v>8.9999999999999993E-3</v>
      </c>
      <c r="Q1688" s="8">
        <v>176</v>
      </c>
      <c r="R1688" s="8">
        <v>0</v>
      </c>
      <c r="S1688" s="8" t="s">
        <v>2944</v>
      </c>
      <c r="T1688" s="8" t="s">
        <v>10266</v>
      </c>
      <c r="U1688" s="8" t="s">
        <v>7919</v>
      </c>
      <c r="V1688" s="8" t="s">
        <v>10267</v>
      </c>
      <c r="W1688" s="8" t="s">
        <v>8751</v>
      </c>
    </row>
    <row r="1689" spans="1:23" ht="28" customHeight="1" x14ac:dyDescent="0.3">
      <c r="A1689" s="308">
        <v>43759</v>
      </c>
      <c r="B1689" s="302">
        <v>1172.7660000000001</v>
      </c>
      <c r="C1689" s="8">
        <v>-5.6580000000000004</v>
      </c>
      <c r="D1689" s="268">
        <v>-4.7999999999999996E-3</v>
      </c>
      <c r="E1689" s="8">
        <v>67.44</v>
      </c>
      <c r="F1689" s="8">
        <v>112.36199999999999</v>
      </c>
      <c r="G1689" s="8">
        <v>108.851</v>
      </c>
      <c r="H1689" s="8">
        <v>91.38</v>
      </c>
      <c r="I1689" s="8">
        <v>138.72</v>
      </c>
      <c r="J1689" s="8">
        <v>75.930000000000007</v>
      </c>
      <c r="K1689" s="268">
        <v>0.2636</v>
      </c>
      <c r="L1689" s="268">
        <v>0.2</v>
      </c>
      <c r="M1689" s="268">
        <v>3.7000000000000002E-3</v>
      </c>
      <c r="N1689" s="8">
        <v>25.32</v>
      </c>
      <c r="O1689" s="8">
        <v>2792.02</v>
      </c>
      <c r="P1689" s="268">
        <v>9.1000000000000004E-3</v>
      </c>
      <c r="Q1689" s="8">
        <v>175</v>
      </c>
      <c r="R1689" s="8">
        <v>0</v>
      </c>
      <c r="S1689" s="8" t="s">
        <v>10268</v>
      </c>
      <c r="T1689" s="8" t="s">
        <v>7620</v>
      </c>
      <c r="U1689" s="8" t="s">
        <v>10269</v>
      </c>
      <c r="V1689" s="8" t="s">
        <v>10270</v>
      </c>
      <c r="W1689" s="8" t="s">
        <v>10271</v>
      </c>
    </row>
    <row r="1690" spans="1:23" ht="28" customHeight="1" x14ac:dyDescent="0.3">
      <c r="A1690" s="308">
        <v>43756</v>
      </c>
      <c r="B1690" s="302">
        <v>1178.424</v>
      </c>
      <c r="C1690" s="8">
        <v>-4.7880000000000003</v>
      </c>
      <c r="D1690" s="268">
        <v>-4.1000000000000003E-3</v>
      </c>
      <c r="E1690" s="8">
        <v>69.900000000000006</v>
      </c>
      <c r="F1690" s="8">
        <v>112.932</v>
      </c>
      <c r="G1690" s="8">
        <v>109.80800000000001</v>
      </c>
      <c r="H1690" s="8">
        <v>92.86</v>
      </c>
      <c r="I1690" s="8">
        <v>139.19</v>
      </c>
      <c r="J1690" s="8">
        <v>76.09</v>
      </c>
      <c r="K1690" s="268">
        <v>0.2626</v>
      </c>
      <c r="L1690" s="268">
        <v>0.1991</v>
      </c>
      <c r="M1690" s="268">
        <v>2.5999999999999999E-3</v>
      </c>
      <c r="N1690" s="8">
        <v>29.7</v>
      </c>
      <c r="O1690" s="8">
        <v>2793.32</v>
      </c>
      <c r="P1690" s="268">
        <v>1.06E-2</v>
      </c>
      <c r="Q1690" s="8">
        <v>175</v>
      </c>
      <c r="R1690" s="8">
        <v>0</v>
      </c>
      <c r="S1690" s="8" t="s">
        <v>10272</v>
      </c>
      <c r="T1690" s="8" t="s">
        <v>10273</v>
      </c>
      <c r="U1690" s="8" t="s">
        <v>10274</v>
      </c>
      <c r="V1690" s="8" t="s">
        <v>10275</v>
      </c>
      <c r="W1690" s="8" t="s">
        <v>10276</v>
      </c>
    </row>
    <row r="1691" spans="1:23" ht="28" customHeight="1" x14ac:dyDescent="0.3">
      <c r="A1691" s="308">
        <v>43755</v>
      </c>
      <c r="B1691" s="302">
        <v>1183.212</v>
      </c>
      <c r="C1691" s="8">
        <v>-0.33500000000000002</v>
      </c>
      <c r="D1691" s="268">
        <v>-2.9999999999999997E-4</v>
      </c>
      <c r="E1691" s="8">
        <v>73.400000000000006</v>
      </c>
      <c r="F1691" s="8">
        <v>113.43</v>
      </c>
      <c r="G1691" s="8">
        <v>110.3</v>
      </c>
      <c r="H1691" s="8">
        <v>93.9</v>
      </c>
      <c r="I1691" s="8">
        <v>138.55000000000001</v>
      </c>
      <c r="J1691" s="8">
        <v>69.09</v>
      </c>
      <c r="K1691" s="268">
        <v>0.25119999999999998</v>
      </c>
      <c r="L1691" s="268">
        <v>0.17979999999999999</v>
      </c>
      <c r="M1691" s="268">
        <v>1.8E-3</v>
      </c>
      <c r="N1691" s="8">
        <v>23.2</v>
      </c>
      <c r="O1691" s="8">
        <v>2795.17</v>
      </c>
      <c r="P1691" s="268">
        <v>8.3000000000000001E-3</v>
      </c>
      <c r="Q1691" s="8">
        <v>175</v>
      </c>
      <c r="R1691" s="8">
        <v>0</v>
      </c>
      <c r="S1691" s="8" t="s">
        <v>10277</v>
      </c>
      <c r="T1691" s="8" t="s">
        <v>10278</v>
      </c>
      <c r="U1691" s="8" t="s">
        <v>6294</v>
      </c>
      <c r="V1691" s="8" t="s">
        <v>3239</v>
      </c>
      <c r="W1691" s="8" t="s">
        <v>2827</v>
      </c>
    </row>
    <row r="1692" spans="1:23" ht="28" customHeight="1" x14ac:dyDescent="0.3">
      <c r="A1692" s="308">
        <v>43754</v>
      </c>
      <c r="B1692" s="302">
        <v>1183.547</v>
      </c>
      <c r="C1692" s="8">
        <v>-2.7050000000000001</v>
      </c>
      <c r="D1692" s="268">
        <v>-2.3E-3</v>
      </c>
      <c r="E1692" s="8">
        <v>75</v>
      </c>
      <c r="F1692" s="8">
        <v>113.474</v>
      </c>
      <c r="G1692" s="8">
        <v>110.29</v>
      </c>
      <c r="H1692" s="8">
        <v>94.01</v>
      </c>
      <c r="I1692" s="8">
        <v>138.52000000000001</v>
      </c>
      <c r="J1692" s="8">
        <v>68.650000000000006</v>
      </c>
      <c r="K1692" s="268">
        <v>0.2505</v>
      </c>
      <c r="L1692" s="268">
        <v>0.17979999999999999</v>
      </c>
      <c r="M1692" s="268">
        <v>1.5E-3</v>
      </c>
      <c r="N1692" s="8">
        <v>26.23</v>
      </c>
      <c r="O1692" s="8">
        <v>2795.97</v>
      </c>
      <c r="P1692" s="268">
        <v>9.4000000000000004E-3</v>
      </c>
      <c r="Q1692" s="8">
        <v>175</v>
      </c>
      <c r="R1692" s="8">
        <v>0</v>
      </c>
      <c r="S1692" s="8" t="s">
        <v>10279</v>
      </c>
      <c r="T1692" s="8" t="s">
        <v>10280</v>
      </c>
      <c r="U1692" s="8" t="s">
        <v>10281</v>
      </c>
      <c r="V1692" s="8" t="s">
        <v>10282</v>
      </c>
      <c r="W1692" s="8" t="s">
        <v>10283</v>
      </c>
    </row>
    <row r="1693" spans="1:23" ht="28" customHeight="1" x14ac:dyDescent="0.3">
      <c r="A1693" s="308">
        <v>43753</v>
      </c>
      <c r="B1693" s="302">
        <v>1186.252</v>
      </c>
      <c r="C1693" s="8">
        <v>-5.5439999999999996</v>
      </c>
      <c r="D1693" s="268">
        <v>-4.7000000000000002E-3</v>
      </c>
      <c r="E1693" s="8">
        <v>77.34</v>
      </c>
      <c r="F1693" s="8">
        <v>113.78700000000001</v>
      </c>
      <c r="G1693" s="8">
        <v>110.58</v>
      </c>
      <c r="H1693" s="8">
        <v>95.2</v>
      </c>
      <c r="I1693" s="8">
        <v>138.04</v>
      </c>
      <c r="J1693" s="8">
        <v>69.91</v>
      </c>
      <c r="K1693" s="268">
        <v>0.24249999999999999</v>
      </c>
      <c r="L1693" s="268">
        <v>0.17180000000000001</v>
      </c>
      <c r="M1693" s="268">
        <v>6.9999999999999999E-4</v>
      </c>
      <c r="N1693" s="8">
        <v>40.36</v>
      </c>
      <c r="O1693" s="8">
        <v>2793.81</v>
      </c>
      <c r="P1693" s="268">
        <v>1.44E-2</v>
      </c>
      <c r="Q1693" s="8">
        <v>175</v>
      </c>
      <c r="R1693" s="8">
        <v>0</v>
      </c>
      <c r="S1693" s="8" t="s">
        <v>10284</v>
      </c>
      <c r="T1693" s="8" t="s">
        <v>2697</v>
      </c>
      <c r="U1693" s="8" t="s">
        <v>10285</v>
      </c>
      <c r="V1693" s="8" t="s">
        <v>10286</v>
      </c>
      <c r="W1693" s="8" t="s">
        <v>10287</v>
      </c>
    </row>
    <row r="1694" spans="1:23" ht="28" customHeight="1" x14ac:dyDescent="0.3">
      <c r="A1694" s="308">
        <v>43752</v>
      </c>
      <c r="B1694" s="302">
        <v>1191.796</v>
      </c>
      <c r="C1694" s="8">
        <v>7.5549999999999997</v>
      </c>
      <c r="D1694" s="268">
        <v>6.4000000000000003E-3</v>
      </c>
      <c r="E1694" s="8">
        <v>80.87</v>
      </c>
      <c r="F1694" s="8">
        <v>114.459</v>
      </c>
      <c r="G1694" s="8">
        <v>110.881</v>
      </c>
      <c r="H1694" s="8">
        <v>96.34</v>
      </c>
      <c r="I1694" s="8">
        <v>137.65</v>
      </c>
      <c r="J1694" s="8">
        <v>64.98</v>
      </c>
      <c r="K1694" s="268">
        <v>0.2319</v>
      </c>
      <c r="L1694" s="268">
        <v>0.15379999999999999</v>
      </c>
      <c r="M1694" s="268">
        <v>-8.0000000000000004E-4</v>
      </c>
      <c r="N1694" s="8">
        <v>66.62</v>
      </c>
      <c r="O1694" s="8">
        <v>2800.61</v>
      </c>
      <c r="P1694" s="268">
        <v>2.3800000000000002E-2</v>
      </c>
      <c r="Q1694" s="8">
        <v>176</v>
      </c>
      <c r="R1694" s="8">
        <v>0</v>
      </c>
      <c r="S1694" s="8" t="s">
        <v>10288</v>
      </c>
      <c r="T1694" s="8" t="s">
        <v>10289</v>
      </c>
      <c r="U1694" s="8" t="s">
        <v>10290</v>
      </c>
      <c r="V1694" s="8" t="s">
        <v>10291</v>
      </c>
      <c r="W1694" s="8" t="s">
        <v>10292</v>
      </c>
    </row>
    <row r="1695" spans="1:23" ht="28" customHeight="1" x14ac:dyDescent="0.3">
      <c r="A1695" s="308">
        <v>43749</v>
      </c>
      <c r="B1695" s="302">
        <v>1184.241</v>
      </c>
      <c r="C1695" s="8">
        <v>3.3679999999999999</v>
      </c>
      <c r="D1695" s="268">
        <v>2.8E-3</v>
      </c>
      <c r="E1695" s="8">
        <v>76.989999999999995</v>
      </c>
      <c r="F1695" s="8">
        <v>113.696</v>
      </c>
      <c r="G1695" s="8">
        <v>110.13500000000001</v>
      </c>
      <c r="H1695" s="8">
        <v>94.62</v>
      </c>
      <c r="I1695" s="8">
        <v>138.36000000000001</v>
      </c>
      <c r="J1695" s="8">
        <v>69.849999999999994</v>
      </c>
      <c r="K1695" s="268">
        <v>0.2467</v>
      </c>
      <c r="L1695" s="268">
        <v>0.16880000000000001</v>
      </c>
      <c r="M1695" s="268">
        <v>8.0000000000000004E-4</v>
      </c>
      <c r="N1695" s="8">
        <v>41.31</v>
      </c>
      <c r="O1695" s="8">
        <v>2805.75</v>
      </c>
      <c r="P1695" s="268">
        <v>1.47E-2</v>
      </c>
      <c r="Q1695" s="8">
        <v>176</v>
      </c>
      <c r="R1695" s="8">
        <v>0</v>
      </c>
      <c r="S1695" s="8" t="s">
        <v>10293</v>
      </c>
      <c r="T1695" s="8" t="s">
        <v>10294</v>
      </c>
      <c r="U1695" s="8" t="s">
        <v>7108</v>
      </c>
      <c r="V1695" s="8" t="s">
        <v>10295</v>
      </c>
      <c r="W1695" s="8" t="s">
        <v>10296</v>
      </c>
    </row>
    <row r="1696" spans="1:23" ht="28" customHeight="1" x14ac:dyDescent="0.3">
      <c r="A1696" s="308">
        <v>43748</v>
      </c>
      <c r="B1696" s="302">
        <v>1180.873</v>
      </c>
      <c r="C1696" s="8">
        <v>7.81</v>
      </c>
      <c r="D1696" s="268">
        <v>6.7000000000000002E-3</v>
      </c>
      <c r="E1696" s="8">
        <v>74.150000000000006</v>
      </c>
      <c r="F1696" s="8">
        <v>113.486</v>
      </c>
      <c r="G1696" s="8">
        <v>110</v>
      </c>
      <c r="H1696" s="8">
        <v>94.76</v>
      </c>
      <c r="I1696" s="8">
        <v>137.61000000000001</v>
      </c>
      <c r="J1696" s="8">
        <v>68.75</v>
      </c>
      <c r="K1696" s="268">
        <v>0.24129999999999999</v>
      </c>
      <c r="L1696" s="268">
        <v>0.1618</v>
      </c>
      <c r="M1696" s="268">
        <v>1E-3</v>
      </c>
      <c r="N1696" s="8">
        <v>38.64</v>
      </c>
      <c r="O1696" s="8">
        <v>2809.45</v>
      </c>
      <c r="P1696" s="268">
        <v>1.38E-2</v>
      </c>
      <c r="Q1696" s="8">
        <v>177</v>
      </c>
      <c r="R1696" s="8">
        <v>0</v>
      </c>
      <c r="S1696" s="8" t="s">
        <v>10060</v>
      </c>
      <c r="T1696" s="8" t="s">
        <v>10297</v>
      </c>
      <c r="U1696" s="8" t="s">
        <v>10014</v>
      </c>
      <c r="V1696" s="8" t="s">
        <v>10298</v>
      </c>
      <c r="W1696" s="8" t="s">
        <v>10299</v>
      </c>
    </row>
    <row r="1697" spans="1:23" ht="28" customHeight="1" x14ac:dyDescent="0.3">
      <c r="A1697" s="308">
        <v>43747</v>
      </c>
      <c r="B1697" s="302">
        <v>1173.0630000000001</v>
      </c>
      <c r="C1697" s="8">
        <v>1.923</v>
      </c>
      <c r="D1697" s="268">
        <v>1.6000000000000001E-3</v>
      </c>
      <c r="E1697" s="8">
        <v>71.849999999999994</v>
      </c>
      <c r="F1697" s="8">
        <v>112.749</v>
      </c>
      <c r="G1697" s="8">
        <v>109.099</v>
      </c>
      <c r="H1697" s="8">
        <v>94.38</v>
      </c>
      <c r="I1697" s="8">
        <v>137.41</v>
      </c>
      <c r="J1697" s="8">
        <v>74.09</v>
      </c>
      <c r="K1697" s="268">
        <v>0.24660000000000001</v>
      </c>
      <c r="L1697" s="268">
        <v>0.1588</v>
      </c>
      <c r="M1697" s="268">
        <v>2.3E-3</v>
      </c>
      <c r="N1697" s="8">
        <v>33.29</v>
      </c>
      <c r="O1697" s="8">
        <v>2812.18</v>
      </c>
      <c r="P1697" s="268">
        <v>1.18E-2</v>
      </c>
      <c r="Q1697" s="8">
        <v>178</v>
      </c>
      <c r="R1697" s="8">
        <v>0</v>
      </c>
      <c r="S1697" s="8" t="s">
        <v>10300</v>
      </c>
      <c r="T1697" s="8" t="s">
        <v>10301</v>
      </c>
      <c r="U1697" s="8" t="s">
        <v>10302</v>
      </c>
      <c r="V1697" s="8" t="s">
        <v>10303</v>
      </c>
      <c r="W1697" s="8" t="s">
        <v>10304</v>
      </c>
    </row>
    <row r="1698" spans="1:23" ht="28" customHeight="1" x14ac:dyDescent="0.3">
      <c r="A1698" s="308">
        <v>43746</v>
      </c>
      <c r="B1698" s="302">
        <v>1171.1400000000001</v>
      </c>
      <c r="C1698" s="8">
        <v>-3.3000000000000002E-2</v>
      </c>
      <c r="D1698" s="268">
        <v>0</v>
      </c>
      <c r="E1698" s="8">
        <v>71.489999999999995</v>
      </c>
      <c r="F1698" s="8">
        <v>112.557</v>
      </c>
      <c r="G1698" s="8">
        <v>109.036</v>
      </c>
      <c r="H1698" s="8">
        <v>93.61</v>
      </c>
      <c r="I1698" s="8">
        <v>138.16999999999999</v>
      </c>
      <c r="J1698" s="8">
        <v>77.599999999999994</v>
      </c>
      <c r="K1698" s="268">
        <v>0.25619999999999998</v>
      </c>
      <c r="L1698" s="268">
        <v>0.17080000000000001</v>
      </c>
      <c r="M1698" s="268">
        <v>2.5999999999999999E-3</v>
      </c>
      <c r="N1698" s="8">
        <v>22.98</v>
      </c>
      <c r="O1698" s="8">
        <v>2813.68</v>
      </c>
      <c r="P1698" s="268">
        <v>8.2000000000000007E-3</v>
      </c>
      <c r="Q1698" s="8">
        <v>178</v>
      </c>
      <c r="R1698" s="8">
        <v>0</v>
      </c>
      <c r="S1698" s="8" t="s">
        <v>10305</v>
      </c>
      <c r="T1698" s="8" t="s">
        <v>10306</v>
      </c>
      <c r="U1698" s="8" t="s">
        <v>10307</v>
      </c>
      <c r="V1698" s="8" t="s">
        <v>10308</v>
      </c>
      <c r="W1698" s="8" t="s">
        <v>10309</v>
      </c>
    </row>
    <row r="1699" spans="1:23" ht="28" customHeight="1" x14ac:dyDescent="0.3">
      <c r="A1699" s="308">
        <v>43738</v>
      </c>
      <c r="B1699" s="302">
        <v>1171.173</v>
      </c>
      <c r="C1699" s="8">
        <v>-1.907</v>
      </c>
      <c r="D1699" s="268">
        <v>-1.6000000000000001E-3</v>
      </c>
      <c r="E1699" s="8">
        <v>72.28</v>
      </c>
      <c r="F1699" s="8">
        <v>112.55200000000001</v>
      </c>
      <c r="G1699" s="8">
        <v>108.84399999999999</v>
      </c>
      <c r="H1699" s="8">
        <v>93.23</v>
      </c>
      <c r="I1699" s="8">
        <v>138.56</v>
      </c>
      <c r="J1699" s="8">
        <v>77.680000000000007</v>
      </c>
      <c r="K1699" s="268">
        <v>0.2601</v>
      </c>
      <c r="L1699" s="268">
        <v>0.17749999999999999</v>
      </c>
      <c r="M1699" s="268">
        <v>2.5000000000000001E-3</v>
      </c>
      <c r="N1699" s="8">
        <v>17.89</v>
      </c>
      <c r="O1699" s="8">
        <v>2814.28</v>
      </c>
      <c r="P1699" s="268">
        <v>6.4000000000000003E-3</v>
      </c>
      <c r="Q1699" s="8">
        <v>178</v>
      </c>
      <c r="R1699" s="8">
        <v>0</v>
      </c>
      <c r="S1699" s="8" t="s">
        <v>8370</v>
      </c>
      <c r="T1699" s="8" t="s">
        <v>10310</v>
      </c>
      <c r="U1699" s="8" t="s">
        <v>10311</v>
      </c>
      <c r="V1699" s="8" t="s">
        <v>10312</v>
      </c>
      <c r="W1699" s="8" t="s">
        <v>10313</v>
      </c>
    </row>
    <row r="1700" spans="1:23" ht="28" customHeight="1" x14ac:dyDescent="0.3">
      <c r="A1700" s="308">
        <v>43735</v>
      </c>
      <c r="B1700" s="302">
        <v>1173.08</v>
      </c>
      <c r="C1700" s="8">
        <v>2.7749999999999999</v>
      </c>
      <c r="D1700" s="268">
        <v>2.3999999999999998E-3</v>
      </c>
      <c r="E1700" s="8">
        <v>70.349999999999994</v>
      </c>
      <c r="F1700" s="8">
        <v>112.759</v>
      </c>
      <c r="G1700" s="8">
        <v>109.23099999999999</v>
      </c>
      <c r="H1700" s="8">
        <v>94.21</v>
      </c>
      <c r="I1700" s="8">
        <v>137.56</v>
      </c>
      <c r="J1700" s="8">
        <v>71.569999999999993</v>
      </c>
      <c r="K1700" s="268">
        <v>0.248</v>
      </c>
      <c r="L1700" s="268">
        <v>0.16339999999999999</v>
      </c>
      <c r="M1700" s="268">
        <v>2.7000000000000001E-3</v>
      </c>
      <c r="N1700" s="8">
        <v>37.31</v>
      </c>
      <c r="O1700" s="8">
        <v>2815.79</v>
      </c>
      <c r="P1700" s="268">
        <v>1.32E-2</v>
      </c>
      <c r="Q1700" s="8">
        <v>178</v>
      </c>
      <c r="R1700" s="8">
        <v>0</v>
      </c>
      <c r="S1700" s="8" t="s">
        <v>10314</v>
      </c>
      <c r="T1700" s="8" t="s">
        <v>10266</v>
      </c>
      <c r="U1700" s="8" t="s">
        <v>10315</v>
      </c>
      <c r="V1700" s="8" t="s">
        <v>10316</v>
      </c>
      <c r="W1700" s="8" t="s">
        <v>10317</v>
      </c>
    </row>
    <row r="1701" spans="1:23" ht="28" customHeight="1" x14ac:dyDescent="0.3">
      <c r="A1701" s="308">
        <v>43734</v>
      </c>
      <c r="B1701" s="302">
        <v>1170.3050000000001</v>
      </c>
      <c r="C1701" s="8">
        <v>-10.131</v>
      </c>
      <c r="D1701" s="268">
        <v>-8.6E-3</v>
      </c>
      <c r="E1701" s="8">
        <v>71.05</v>
      </c>
      <c r="F1701" s="8">
        <v>112.497</v>
      </c>
      <c r="G1701" s="8">
        <v>108.55</v>
      </c>
      <c r="H1701" s="8">
        <v>93.64</v>
      </c>
      <c r="I1701" s="8">
        <v>138.05000000000001</v>
      </c>
      <c r="J1701" s="8">
        <v>75.05</v>
      </c>
      <c r="K1701" s="268">
        <v>0.2555</v>
      </c>
      <c r="L1701" s="268">
        <v>0.17710000000000001</v>
      </c>
      <c r="M1701" s="268">
        <v>3.2000000000000002E-3</v>
      </c>
      <c r="N1701" s="8">
        <v>36.840000000000003</v>
      </c>
      <c r="O1701" s="8">
        <v>2815.06</v>
      </c>
      <c r="P1701" s="268">
        <v>1.3100000000000001E-2</v>
      </c>
      <c r="Q1701" s="8">
        <v>177</v>
      </c>
      <c r="R1701" s="8">
        <v>0</v>
      </c>
      <c r="S1701" s="8" t="s">
        <v>10318</v>
      </c>
      <c r="T1701" s="8" t="s">
        <v>10319</v>
      </c>
      <c r="U1701" s="8" t="s">
        <v>10320</v>
      </c>
      <c r="V1701" s="8" t="s">
        <v>10321</v>
      </c>
      <c r="W1701" s="8" t="s">
        <v>10322</v>
      </c>
    </row>
    <row r="1702" spans="1:23" ht="28" customHeight="1" x14ac:dyDescent="0.3">
      <c r="A1702" s="308">
        <v>43733</v>
      </c>
      <c r="B1702" s="302">
        <v>1180.4359999999999</v>
      </c>
      <c r="C1702" s="8">
        <v>-7.4989999999999997</v>
      </c>
      <c r="D1702" s="268">
        <v>-6.3E-3</v>
      </c>
      <c r="E1702" s="8">
        <v>75.61</v>
      </c>
      <c r="F1702" s="8">
        <v>113.622</v>
      </c>
      <c r="G1702" s="8">
        <v>109.568</v>
      </c>
      <c r="H1702" s="8">
        <v>94.69</v>
      </c>
      <c r="I1702" s="8">
        <v>137.47999999999999</v>
      </c>
      <c r="J1702" s="8">
        <v>70.59</v>
      </c>
      <c r="K1702" s="268">
        <v>0.23860000000000001</v>
      </c>
      <c r="L1702" s="268">
        <v>0.15989999999999999</v>
      </c>
      <c r="M1702" s="268">
        <v>1.4E-3</v>
      </c>
      <c r="N1702" s="8">
        <v>40.799999999999997</v>
      </c>
      <c r="O1702" s="8">
        <v>2816.07</v>
      </c>
      <c r="P1702" s="268">
        <v>1.4500000000000001E-2</v>
      </c>
      <c r="Q1702" s="8">
        <v>177</v>
      </c>
      <c r="R1702" s="8">
        <v>0</v>
      </c>
      <c r="S1702" s="8" t="s">
        <v>10323</v>
      </c>
      <c r="T1702" s="8" t="s">
        <v>10324</v>
      </c>
      <c r="U1702" s="8" t="s">
        <v>10325</v>
      </c>
      <c r="V1702" s="8" t="s">
        <v>10326</v>
      </c>
      <c r="W1702" s="8" t="s">
        <v>10327</v>
      </c>
    </row>
    <row r="1703" spans="1:23" ht="28" customHeight="1" x14ac:dyDescent="0.3">
      <c r="A1703" s="308">
        <v>43732</v>
      </c>
      <c r="B1703" s="302">
        <v>1187.9349999999999</v>
      </c>
      <c r="C1703" s="8">
        <v>1.9610000000000001</v>
      </c>
      <c r="D1703" s="268">
        <v>1.6999999999999999E-3</v>
      </c>
      <c r="E1703" s="8">
        <v>77.48</v>
      </c>
      <c r="F1703" s="8">
        <v>114.428</v>
      </c>
      <c r="G1703" s="8">
        <v>109.73</v>
      </c>
      <c r="H1703" s="8">
        <v>96.81</v>
      </c>
      <c r="I1703" s="8">
        <v>136.81</v>
      </c>
      <c r="J1703" s="8">
        <v>62.99</v>
      </c>
      <c r="K1703" s="268">
        <v>0.2238</v>
      </c>
      <c r="L1703" s="268">
        <v>0.15010000000000001</v>
      </c>
      <c r="M1703" s="268">
        <v>1E-4</v>
      </c>
      <c r="N1703" s="8">
        <v>46.39</v>
      </c>
      <c r="O1703" s="8">
        <v>2817.96</v>
      </c>
      <c r="P1703" s="268">
        <v>1.6500000000000001E-2</v>
      </c>
      <c r="Q1703" s="8">
        <v>177</v>
      </c>
      <c r="R1703" s="8">
        <v>0</v>
      </c>
      <c r="S1703" s="8" t="s">
        <v>10328</v>
      </c>
      <c r="T1703" s="8" t="s">
        <v>10207</v>
      </c>
      <c r="U1703" s="8" t="s">
        <v>10235</v>
      </c>
      <c r="V1703" s="8" t="s">
        <v>10329</v>
      </c>
      <c r="W1703" s="8" t="s">
        <v>10330</v>
      </c>
    </row>
    <row r="1704" spans="1:23" ht="28" customHeight="1" x14ac:dyDescent="0.3">
      <c r="A1704" s="308">
        <v>43731</v>
      </c>
      <c r="B1704" s="302">
        <v>1185.9739999999999</v>
      </c>
      <c r="C1704" s="8">
        <v>-5.5309999999999997</v>
      </c>
      <c r="D1704" s="268">
        <v>-4.5999999999999999E-3</v>
      </c>
      <c r="E1704" s="8">
        <v>79.099999999999994</v>
      </c>
      <c r="F1704" s="8">
        <v>114.22799999999999</v>
      </c>
      <c r="G1704" s="8">
        <v>109.35</v>
      </c>
      <c r="H1704" s="8">
        <v>95.3</v>
      </c>
      <c r="I1704" s="8">
        <v>137.07</v>
      </c>
      <c r="J1704" s="8">
        <v>65.680000000000007</v>
      </c>
      <c r="K1704" s="268">
        <v>0.22839999999999999</v>
      </c>
      <c r="L1704" s="268">
        <v>0.15559999999999999</v>
      </c>
      <c r="M1704" s="268">
        <v>5.0000000000000001E-4</v>
      </c>
      <c r="N1704" s="8">
        <v>36.520000000000003</v>
      </c>
      <c r="O1704" s="8">
        <v>2819.17</v>
      </c>
      <c r="P1704" s="268">
        <v>1.2999999999999999E-2</v>
      </c>
      <c r="Q1704" s="8">
        <v>177</v>
      </c>
      <c r="R1704" s="8">
        <v>0</v>
      </c>
      <c r="S1704" s="8" t="s">
        <v>10331</v>
      </c>
      <c r="T1704" s="8" t="s">
        <v>10332</v>
      </c>
      <c r="U1704" s="8" t="s">
        <v>9525</v>
      </c>
      <c r="V1704" s="8" t="s">
        <v>10333</v>
      </c>
      <c r="W1704" s="8" t="s">
        <v>10334</v>
      </c>
    </row>
    <row r="1705" spans="1:23" ht="28" customHeight="1" x14ac:dyDescent="0.3">
      <c r="A1705" s="308">
        <v>43728</v>
      </c>
      <c r="B1705" s="302">
        <v>1191.5050000000001</v>
      </c>
      <c r="C1705" s="8">
        <v>4.8570000000000002</v>
      </c>
      <c r="D1705" s="268">
        <v>4.1000000000000003E-3</v>
      </c>
      <c r="E1705" s="8">
        <v>81.36</v>
      </c>
      <c r="F1705" s="8">
        <v>114.79900000000001</v>
      </c>
      <c r="G1705" s="8">
        <v>109.8</v>
      </c>
      <c r="H1705" s="8">
        <v>96.24</v>
      </c>
      <c r="I1705" s="8">
        <v>137.19999999999999</v>
      </c>
      <c r="J1705" s="8">
        <v>60.66</v>
      </c>
      <c r="K1705" s="268">
        <v>0.224</v>
      </c>
      <c r="L1705" s="268">
        <v>0.15429999999999999</v>
      </c>
      <c r="M1705" s="268">
        <v>-5.9999999999999995E-4</v>
      </c>
      <c r="N1705" s="8">
        <v>37.97</v>
      </c>
      <c r="O1705" s="8">
        <v>2819.74</v>
      </c>
      <c r="P1705" s="268">
        <v>1.35E-2</v>
      </c>
      <c r="Q1705" s="8">
        <v>177</v>
      </c>
      <c r="R1705" s="8">
        <v>0</v>
      </c>
      <c r="S1705" s="8" t="s">
        <v>10335</v>
      </c>
      <c r="T1705" s="8" t="s">
        <v>10336</v>
      </c>
      <c r="U1705" s="8" t="s">
        <v>10337</v>
      </c>
      <c r="V1705" s="8" t="s">
        <v>10338</v>
      </c>
      <c r="W1705" s="8" t="s">
        <v>10339</v>
      </c>
    </row>
    <row r="1706" spans="1:23" ht="28" customHeight="1" x14ac:dyDescent="0.3">
      <c r="A1706" s="308">
        <v>43727</v>
      </c>
      <c r="B1706" s="302">
        <v>1186.6479999999999</v>
      </c>
      <c r="C1706" s="8">
        <v>5.0250000000000004</v>
      </c>
      <c r="D1706" s="268">
        <v>4.1999999999999997E-3</v>
      </c>
      <c r="E1706" s="8">
        <v>80.489999999999995</v>
      </c>
      <c r="F1706" s="8">
        <v>114.35899999999999</v>
      </c>
      <c r="G1706" s="8">
        <v>109.501</v>
      </c>
      <c r="H1706" s="8">
        <v>96.11</v>
      </c>
      <c r="I1706" s="8">
        <v>136.69999999999999</v>
      </c>
      <c r="J1706" s="8">
        <v>61.46</v>
      </c>
      <c r="K1706" s="268">
        <v>0.22339999999999999</v>
      </c>
      <c r="L1706" s="268">
        <v>0.15409999999999999</v>
      </c>
      <c r="M1706" s="268">
        <v>2.9999999999999997E-4</v>
      </c>
      <c r="N1706" s="8">
        <v>41.79</v>
      </c>
      <c r="O1706" s="8">
        <v>2820.72</v>
      </c>
      <c r="P1706" s="268">
        <v>1.4800000000000001E-2</v>
      </c>
      <c r="Q1706" s="8">
        <v>177</v>
      </c>
      <c r="R1706" s="8">
        <v>0</v>
      </c>
      <c r="S1706" s="8" t="s">
        <v>3101</v>
      </c>
      <c r="T1706" s="8" t="s">
        <v>10340</v>
      </c>
      <c r="U1706" s="8" t="s">
        <v>10341</v>
      </c>
      <c r="V1706" s="8" t="s">
        <v>10342</v>
      </c>
      <c r="W1706" s="8" t="s">
        <v>10343</v>
      </c>
    </row>
    <row r="1707" spans="1:23" ht="28" customHeight="1" x14ac:dyDescent="0.3">
      <c r="A1707" s="308">
        <v>43726</v>
      </c>
      <c r="B1707" s="302">
        <v>1181.623</v>
      </c>
      <c r="C1707" s="8">
        <v>0.13100000000000001</v>
      </c>
      <c r="D1707" s="268">
        <v>1E-4</v>
      </c>
      <c r="E1707" s="8">
        <v>78.97</v>
      </c>
      <c r="F1707" s="8">
        <v>113.892</v>
      </c>
      <c r="G1707" s="8">
        <v>109.23</v>
      </c>
      <c r="H1707" s="8">
        <v>94.78</v>
      </c>
      <c r="I1707" s="8">
        <v>136.97</v>
      </c>
      <c r="J1707" s="8">
        <v>65.510000000000005</v>
      </c>
      <c r="K1707" s="268">
        <v>0.23080000000000001</v>
      </c>
      <c r="L1707" s="268">
        <v>0.16009999999999999</v>
      </c>
      <c r="M1707" s="268">
        <v>1.1999999999999999E-3</v>
      </c>
      <c r="N1707" s="8">
        <v>49.62</v>
      </c>
      <c r="O1707" s="8">
        <v>2823.13</v>
      </c>
      <c r="P1707" s="268">
        <v>1.7600000000000001E-2</v>
      </c>
      <c r="Q1707" s="8">
        <v>178</v>
      </c>
      <c r="R1707" s="8">
        <v>0</v>
      </c>
      <c r="S1707" s="8" t="s">
        <v>10344</v>
      </c>
      <c r="T1707" s="8" t="s">
        <v>10345</v>
      </c>
      <c r="U1707" s="8" t="s">
        <v>10346</v>
      </c>
      <c r="V1707" s="8" t="s">
        <v>10156</v>
      </c>
      <c r="W1707" s="8" t="s">
        <v>10277</v>
      </c>
    </row>
    <row r="1708" spans="1:23" ht="28" customHeight="1" x14ac:dyDescent="0.3">
      <c r="A1708" s="308">
        <v>43725</v>
      </c>
      <c r="B1708" s="302">
        <v>1181.492</v>
      </c>
      <c r="C1708" s="8">
        <v>-14.284000000000001</v>
      </c>
      <c r="D1708" s="268">
        <v>-1.2E-2</v>
      </c>
      <c r="E1708" s="8">
        <v>78.5</v>
      </c>
      <c r="F1708" s="8">
        <v>113.917</v>
      </c>
      <c r="G1708" s="8">
        <v>109.065</v>
      </c>
      <c r="H1708" s="8">
        <v>94.78</v>
      </c>
      <c r="I1708" s="8">
        <v>137.07</v>
      </c>
      <c r="J1708" s="8">
        <v>65.72</v>
      </c>
      <c r="K1708" s="268">
        <v>0.23150000000000001</v>
      </c>
      <c r="L1708" s="268">
        <v>0.16259999999999999</v>
      </c>
      <c r="M1708" s="268">
        <v>1.1999999999999999E-3</v>
      </c>
      <c r="N1708" s="8">
        <v>53.93</v>
      </c>
      <c r="O1708" s="8">
        <v>2858.36</v>
      </c>
      <c r="P1708" s="268">
        <v>1.89E-2</v>
      </c>
      <c r="Q1708" s="8">
        <v>178</v>
      </c>
      <c r="R1708" s="8">
        <v>0</v>
      </c>
      <c r="S1708" s="8" t="s">
        <v>10347</v>
      </c>
      <c r="T1708" s="8" t="s">
        <v>10348</v>
      </c>
      <c r="U1708" s="8" t="s">
        <v>10349</v>
      </c>
      <c r="V1708" s="8" t="s">
        <v>10350</v>
      </c>
      <c r="W1708" s="8" t="s">
        <v>10351</v>
      </c>
    </row>
    <row r="1709" spans="1:23" ht="28" customHeight="1" x14ac:dyDescent="0.3">
      <c r="A1709" s="308">
        <v>43724</v>
      </c>
      <c r="B1709" s="302">
        <v>1195.7760000000001</v>
      </c>
      <c r="C1709" s="8">
        <v>-0.60599999999999998</v>
      </c>
      <c r="D1709" s="268">
        <v>-5.0000000000000001E-4</v>
      </c>
      <c r="E1709" s="8">
        <v>85.6</v>
      </c>
      <c r="F1709" s="8">
        <v>115.44</v>
      </c>
      <c r="G1709" s="8">
        <v>110.41</v>
      </c>
      <c r="H1709" s="8">
        <v>96.39</v>
      </c>
      <c r="I1709" s="8">
        <v>137.41</v>
      </c>
      <c r="J1709" s="8">
        <v>56.16</v>
      </c>
      <c r="K1709" s="268">
        <v>0.21959999999999999</v>
      </c>
      <c r="L1709" s="268">
        <v>0.1469</v>
      </c>
      <c r="M1709" s="268">
        <v>-1.5E-3</v>
      </c>
      <c r="N1709" s="8">
        <v>43.98</v>
      </c>
      <c r="O1709" s="8">
        <v>2874.84</v>
      </c>
      <c r="P1709" s="268">
        <v>1.5299999999999999E-2</v>
      </c>
      <c r="Q1709" s="8">
        <v>176</v>
      </c>
      <c r="R1709" s="8">
        <v>0</v>
      </c>
      <c r="S1709" s="8" t="s">
        <v>10352</v>
      </c>
      <c r="T1709" s="8" t="s">
        <v>10353</v>
      </c>
      <c r="U1709" s="8" t="s">
        <v>10354</v>
      </c>
      <c r="V1709" s="8" t="s">
        <v>4850</v>
      </c>
      <c r="W1709" s="8" t="s">
        <v>10355</v>
      </c>
    </row>
    <row r="1710" spans="1:23" ht="28" customHeight="1" x14ac:dyDescent="0.3">
      <c r="A1710" s="308">
        <v>43720</v>
      </c>
      <c r="B1710" s="302">
        <v>1196.3820000000001</v>
      </c>
      <c r="C1710" s="8">
        <v>1.1879999999999999</v>
      </c>
      <c r="D1710" s="268">
        <v>1E-3</v>
      </c>
      <c r="E1710" s="8">
        <v>86.21</v>
      </c>
      <c r="F1710" s="8">
        <v>115.523</v>
      </c>
      <c r="G1710" s="8">
        <v>110.66</v>
      </c>
      <c r="H1710" s="8">
        <v>96.55</v>
      </c>
      <c r="I1710" s="8">
        <v>138.04</v>
      </c>
      <c r="J1710" s="8">
        <v>58.82</v>
      </c>
      <c r="K1710" s="268">
        <v>0.22520000000000001</v>
      </c>
      <c r="L1710" s="268">
        <v>0.14599999999999999</v>
      </c>
      <c r="M1710" s="268">
        <v>-1.8E-3</v>
      </c>
      <c r="N1710" s="8">
        <v>53.78</v>
      </c>
      <c r="O1710" s="8">
        <v>2994.3</v>
      </c>
      <c r="P1710" s="268">
        <v>1.7999999999999999E-2</v>
      </c>
      <c r="Q1710" s="8">
        <v>175</v>
      </c>
      <c r="R1710" s="8">
        <v>0</v>
      </c>
      <c r="S1710" s="8" t="s">
        <v>10356</v>
      </c>
      <c r="T1710" s="8" t="s">
        <v>10357</v>
      </c>
      <c r="U1710" s="8" t="s">
        <v>10358</v>
      </c>
      <c r="V1710" s="8" t="s">
        <v>7647</v>
      </c>
      <c r="W1710" s="8" t="s">
        <v>10359</v>
      </c>
    </row>
    <row r="1711" spans="1:23" ht="28" customHeight="1" x14ac:dyDescent="0.3">
      <c r="A1711" s="308">
        <v>43719</v>
      </c>
      <c r="B1711" s="302">
        <v>1195.194</v>
      </c>
      <c r="C1711" s="8">
        <v>-4.9429999999999996</v>
      </c>
      <c r="D1711" s="268">
        <v>-4.1000000000000003E-3</v>
      </c>
      <c r="E1711" s="8">
        <v>86.59</v>
      </c>
      <c r="F1711" s="8">
        <v>115.404</v>
      </c>
      <c r="G1711" s="8">
        <v>110.96</v>
      </c>
      <c r="H1711" s="8">
        <v>95.62</v>
      </c>
      <c r="I1711" s="8">
        <v>138.57</v>
      </c>
      <c r="J1711" s="8">
        <v>62.82</v>
      </c>
      <c r="K1711" s="268">
        <v>0.23169999999999999</v>
      </c>
      <c r="L1711" s="268">
        <v>0.15570000000000001</v>
      </c>
      <c r="M1711" s="268">
        <v>-8.9999999999999998E-4</v>
      </c>
      <c r="N1711" s="8">
        <v>54.45</v>
      </c>
      <c r="O1711" s="8">
        <v>2995.86</v>
      </c>
      <c r="P1711" s="268">
        <v>1.8200000000000001E-2</v>
      </c>
      <c r="Q1711" s="8">
        <v>174</v>
      </c>
      <c r="R1711" s="8">
        <v>0</v>
      </c>
      <c r="S1711" s="8" t="s">
        <v>3105</v>
      </c>
      <c r="T1711" s="8" t="s">
        <v>10360</v>
      </c>
      <c r="U1711" s="8" t="s">
        <v>9626</v>
      </c>
      <c r="V1711" s="8" t="s">
        <v>10361</v>
      </c>
      <c r="W1711" s="8" t="s">
        <v>10362</v>
      </c>
    </row>
    <row r="1712" spans="1:23" ht="28" customHeight="1" x14ac:dyDescent="0.3">
      <c r="A1712" s="308">
        <v>43718</v>
      </c>
      <c r="B1712" s="302">
        <v>1200.1369999999999</v>
      </c>
      <c r="C1712" s="8">
        <v>1.925</v>
      </c>
      <c r="D1712" s="268">
        <v>1.6000000000000001E-3</v>
      </c>
      <c r="E1712" s="8">
        <v>88.59</v>
      </c>
      <c r="F1712" s="8">
        <v>115.93300000000001</v>
      </c>
      <c r="G1712" s="8">
        <v>111.226</v>
      </c>
      <c r="H1712" s="8">
        <v>96.15</v>
      </c>
      <c r="I1712" s="8">
        <v>138.81</v>
      </c>
      <c r="J1712" s="8">
        <v>59.24</v>
      </c>
      <c r="K1712" s="268">
        <v>0.2288</v>
      </c>
      <c r="L1712" s="268">
        <v>0.1555</v>
      </c>
      <c r="M1712" s="268">
        <v>-1.8E-3</v>
      </c>
      <c r="N1712" s="8">
        <v>58.7</v>
      </c>
      <c r="O1712" s="8">
        <v>2994.08</v>
      </c>
      <c r="P1712" s="268">
        <v>1.9599999999999999E-2</v>
      </c>
      <c r="Q1712" s="8">
        <v>173</v>
      </c>
      <c r="R1712" s="8">
        <v>0</v>
      </c>
      <c r="S1712" s="8" t="s">
        <v>2970</v>
      </c>
      <c r="T1712" s="8" t="s">
        <v>7537</v>
      </c>
      <c r="U1712" s="8" t="s">
        <v>10363</v>
      </c>
      <c r="V1712" s="8" t="s">
        <v>2713</v>
      </c>
      <c r="W1712" s="8" t="s">
        <v>10364</v>
      </c>
    </row>
    <row r="1713" spans="1:23" ht="28" customHeight="1" x14ac:dyDescent="0.3">
      <c r="A1713" s="308">
        <v>43717</v>
      </c>
      <c r="B1713" s="302">
        <v>1198.212</v>
      </c>
      <c r="C1713" s="8">
        <v>12.385</v>
      </c>
      <c r="D1713" s="268">
        <v>1.04E-2</v>
      </c>
      <c r="E1713" s="8">
        <v>88.55</v>
      </c>
      <c r="F1713" s="8">
        <v>115.79300000000001</v>
      </c>
      <c r="G1713" s="8">
        <v>110.96</v>
      </c>
      <c r="H1713" s="8">
        <v>95.19</v>
      </c>
      <c r="I1713" s="8">
        <v>138.66999999999999</v>
      </c>
      <c r="J1713" s="8">
        <v>57.91</v>
      </c>
      <c r="K1713" s="268">
        <v>0.2288</v>
      </c>
      <c r="L1713" s="268">
        <v>0.15870000000000001</v>
      </c>
      <c r="M1713" s="268">
        <v>-1.5E-3</v>
      </c>
      <c r="N1713" s="8">
        <v>79</v>
      </c>
      <c r="O1713" s="8">
        <v>2998.98</v>
      </c>
      <c r="P1713" s="268">
        <v>2.63E-2</v>
      </c>
      <c r="Q1713" s="8">
        <v>173</v>
      </c>
      <c r="R1713" s="8">
        <v>0</v>
      </c>
      <c r="S1713" s="8" t="s">
        <v>10365</v>
      </c>
      <c r="T1713" s="8" t="s">
        <v>10366</v>
      </c>
      <c r="U1713" s="8" t="s">
        <v>10367</v>
      </c>
      <c r="V1713" s="8" t="s">
        <v>10368</v>
      </c>
      <c r="W1713" s="8" t="s">
        <v>10369</v>
      </c>
    </row>
    <row r="1714" spans="1:23" ht="28" customHeight="1" x14ac:dyDescent="0.3">
      <c r="A1714" s="308">
        <v>43714</v>
      </c>
      <c r="B1714" s="302">
        <v>1185.827</v>
      </c>
      <c r="C1714" s="8">
        <v>5.78</v>
      </c>
      <c r="D1714" s="268">
        <v>4.8999999999999998E-3</v>
      </c>
      <c r="E1714" s="8">
        <v>87.39</v>
      </c>
      <c r="F1714" s="8">
        <v>114.533</v>
      </c>
      <c r="G1714" s="8">
        <v>110.01</v>
      </c>
      <c r="H1714" s="8">
        <v>94.23</v>
      </c>
      <c r="I1714" s="8">
        <v>138.65</v>
      </c>
      <c r="J1714" s="8">
        <v>67.2</v>
      </c>
      <c r="K1714" s="268">
        <v>0.2412</v>
      </c>
      <c r="L1714" s="268">
        <v>0.16619999999999999</v>
      </c>
      <c r="M1714" s="268">
        <v>8.0000000000000004E-4</v>
      </c>
      <c r="N1714" s="8">
        <v>60.4</v>
      </c>
      <c r="O1714" s="8">
        <v>3001.92</v>
      </c>
      <c r="P1714" s="268">
        <v>2.01E-2</v>
      </c>
      <c r="Q1714" s="8">
        <v>173</v>
      </c>
      <c r="R1714" s="8">
        <v>0</v>
      </c>
      <c r="S1714" s="8" t="s">
        <v>10370</v>
      </c>
      <c r="T1714" s="8" t="s">
        <v>10371</v>
      </c>
      <c r="U1714" s="8" t="s">
        <v>10372</v>
      </c>
      <c r="V1714" s="8" t="s">
        <v>10373</v>
      </c>
      <c r="W1714" s="8" t="s">
        <v>10374</v>
      </c>
    </row>
    <row r="1715" spans="1:23" ht="28" customHeight="1" x14ac:dyDescent="0.3">
      <c r="A1715" s="308">
        <v>43713</v>
      </c>
      <c r="B1715" s="302">
        <v>1180.047</v>
      </c>
      <c r="C1715" s="8">
        <v>9.4619999999999997</v>
      </c>
      <c r="D1715" s="268">
        <v>8.0999999999999996E-3</v>
      </c>
      <c r="E1715" s="8">
        <v>84.87</v>
      </c>
      <c r="F1715" s="8">
        <v>113.937</v>
      </c>
      <c r="G1715" s="8">
        <v>109.8</v>
      </c>
      <c r="H1715" s="8">
        <v>93.71</v>
      </c>
      <c r="I1715" s="8">
        <v>138.37</v>
      </c>
      <c r="J1715" s="8">
        <v>66.39</v>
      </c>
      <c r="K1715" s="268">
        <v>0.24429999999999999</v>
      </c>
      <c r="L1715" s="268">
        <v>0.16789999999999999</v>
      </c>
      <c r="M1715" s="268">
        <v>1.8E-3</v>
      </c>
      <c r="N1715" s="8">
        <v>93.34</v>
      </c>
      <c r="O1715" s="8">
        <v>3008.92</v>
      </c>
      <c r="P1715" s="268">
        <v>3.1E-2</v>
      </c>
      <c r="Q1715" s="8">
        <v>173</v>
      </c>
      <c r="R1715" s="8">
        <v>0</v>
      </c>
      <c r="S1715" s="8" t="s">
        <v>10375</v>
      </c>
      <c r="T1715" s="8" t="s">
        <v>10376</v>
      </c>
      <c r="U1715" s="8" t="s">
        <v>10377</v>
      </c>
      <c r="V1715" s="8" t="s">
        <v>8386</v>
      </c>
      <c r="W1715" s="8" t="s">
        <v>10378</v>
      </c>
    </row>
    <row r="1716" spans="1:23" ht="28" customHeight="1" x14ac:dyDescent="0.3">
      <c r="A1716" s="308">
        <v>43712</v>
      </c>
      <c r="B1716" s="302">
        <v>1170.585</v>
      </c>
      <c r="C1716" s="8">
        <v>2.2200000000000002</v>
      </c>
      <c r="D1716" s="268">
        <v>1.9E-3</v>
      </c>
      <c r="E1716" s="8">
        <v>79.959999999999994</v>
      </c>
      <c r="F1716" s="8">
        <v>112.91800000000001</v>
      </c>
      <c r="G1716" s="8">
        <v>108.52</v>
      </c>
      <c r="H1716" s="8">
        <v>92.37</v>
      </c>
      <c r="I1716" s="8">
        <v>137.63999999999999</v>
      </c>
      <c r="J1716" s="8">
        <v>68.650000000000006</v>
      </c>
      <c r="K1716" s="268">
        <v>0.24729999999999999</v>
      </c>
      <c r="L1716" s="268">
        <v>0.1694</v>
      </c>
      <c r="M1716" s="268">
        <v>3.5999999999999999E-3</v>
      </c>
      <c r="N1716" s="8">
        <v>52.95</v>
      </c>
      <c r="O1716" s="8">
        <v>2997.03</v>
      </c>
      <c r="P1716" s="268">
        <v>1.77E-2</v>
      </c>
      <c r="Q1716" s="8">
        <v>172</v>
      </c>
      <c r="R1716" s="8">
        <v>0</v>
      </c>
      <c r="S1716" s="8" t="s">
        <v>5395</v>
      </c>
      <c r="T1716" s="8" t="s">
        <v>10379</v>
      </c>
      <c r="U1716" s="8" t="s">
        <v>4756</v>
      </c>
      <c r="V1716" s="8" t="s">
        <v>10380</v>
      </c>
      <c r="W1716" s="8" t="s">
        <v>10381</v>
      </c>
    </row>
    <row r="1717" spans="1:23" ht="28" customHeight="1" x14ac:dyDescent="0.3">
      <c r="A1717" s="308">
        <v>43711</v>
      </c>
      <c r="B1717" s="302">
        <v>1168.365</v>
      </c>
      <c r="C1717" s="8">
        <v>3.5830000000000002</v>
      </c>
      <c r="D1717" s="268">
        <v>3.0999999999999999E-3</v>
      </c>
      <c r="E1717" s="8">
        <v>78.87</v>
      </c>
      <c r="F1717" s="8">
        <v>112.93300000000001</v>
      </c>
      <c r="G1717" s="8">
        <v>108.35</v>
      </c>
      <c r="H1717" s="8">
        <v>91.39</v>
      </c>
      <c r="I1717" s="8">
        <v>138.28</v>
      </c>
      <c r="J1717" s="8">
        <v>74.239999999999995</v>
      </c>
      <c r="K1717" s="268">
        <v>0.25340000000000001</v>
      </c>
      <c r="L1717" s="268">
        <v>0.17469999999999999</v>
      </c>
      <c r="M1717" s="268">
        <v>3.5000000000000001E-3</v>
      </c>
      <c r="N1717" s="8">
        <v>53.35</v>
      </c>
      <c r="O1717" s="8">
        <v>2999.76</v>
      </c>
      <c r="P1717" s="268">
        <v>1.78E-2</v>
      </c>
      <c r="Q1717" s="8">
        <v>173</v>
      </c>
      <c r="R1717" s="8">
        <v>0</v>
      </c>
      <c r="S1717" s="8" t="s">
        <v>10382</v>
      </c>
      <c r="T1717" s="8" t="s">
        <v>10383</v>
      </c>
      <c r="U1717" s="8" t="s">
        <v>10384</v>
      </c>
      <c r="V1717" s="8" t="s">
        <v>10385</v>
      </c>
      <c r="W1717" s="8" t="s">
        <v>10386</v>
      </c>
    </row>
    <row r="1718" spans="1:23" ht="28" customHeight="1" x14ac:dyDescent="0.3">
      <c r="A1718" s="308">
        <v>43710</v>
      </c>
      <c r="B1718" s="302">
        <v>1164.7819999999999</v>
      </c>
      <c r="C1718" s="8">
        <v>7.9459999999999997</v>
      </c>
      <c r="D1718" s="268">
        <v>6.8999999999999999E-3</v>
      </c>
      <c r="E1718" s="8">
        <v>79.69</v>
      </c>
      <c r="F1718" s="8">
        <v>112.517</v>
      </c>
      <c r="G1718" s="8">
        <v>108.3</v>
      </c>
      <c r="H1718" s="8">
        <v>91.13</v>
      </c>
      <c r="I1718" s="8">
        <v>138.16</v>
      </c>
      <c r="J1718" s="8">
        <v>76.27</v>
      </c>
      <c r="K1718" s="268">
        <v>0.25640000000000002</v>
      </c>
      <c r="L1718" s="268">
        <v>0.18959999999999999</v>
      </c>
      <c r="M1718" s="268">
        <v>4.0000000000000001E-3</v>
      </c>
      <c r="N1718" s="8">
        <v>55.11</v>
      </c>
      <c r="O1718" s="8">
        <v>3008.9</v>
      </c>
      <c r="P1718" s="268">
        <v>1.83E-2</v>
      </c>
      <c r="Q1718" s="8">
        <v>173</v>
      </c>
      <c r="R1718" s="8">
        <v>0</v>
      </c>
      <c r="S1718" s="8" t="s">
        <v>10387</v>
      </c>
      <c r="T1718" s="8" t="s">
        <v>10388</v>
      </c>
      <c r="U1718" s="8" t="s">
        <v>10389</v>
      </c>
      <c r="V1718" s="8" t="s">
        <v>10390</v>
      </c>
      <c r="W1718" s="8" t="s">
        <v>10391</v>
      </c>
    </row>
    <row r="1719" spans="1:23" ht="28" customHeight="1" x14ac:dyDescent="0.3">
      <c r="A1719" s="308">
        <v>43707</v>
      </c>
      <c r="B1719" s="302">
        <v>1156.836</v>
      </c>
      <c r="C1719" s="8">
        <v>-2.9750000000000001</v>
      </c>
      <c r="D1719" s="268">
        <v>-2.5999999999999999E-3</v>
      </c>
      <c r="E1719" s="8">
        <v>74.319999999999993</v>
      </c>
      <c r="F1719" s="8">
        <v>111.69199999999999</v>
      </c>
      <c r="G1719" s="8">
        <v>108</v>
      </c>
      <c r="H1719" s="8">
        <v>89.53</v>
      </c>
      <c r="I1719" s="8">
        <v>139.27000000000001</v>
      </c>
      <c r="J1719" s="8">
        <v>82.67</v>
      </c>
      <c r="K1719" s="268">
        <v>0.27579999999999999</v>
      </c>
      <c r="L1719" s="268">
        <v>0.21149999999999999</v>
      </c>
      <c r="M1719" s="268">
        <v>5.4999999999999997E-3</v>
      </c>
      <c r="N1719" s="8">
        <v>47.22</v>
      </c>
      <c r="O1719" s="8">
        <v>3010.97</v>
      </c>
      <c r="P1719" s="268">
        <v>1.5699999999999999E-2</v>
      </c>
      <c r="Q1719" s="8">
        <v>173</v>
      </c>
      <c r="R1719" s="8">
        <v>0</v>
      </c>
      <c r="S1719" s="8" t="s">
        <v>10199</v>
      </c>
      <c r="T1719" s="8" t="s">
        <v>10392</v>
      </c>
      <c r="U1719" s="8" t="s">
        <v>10393</v>
      </c>
      <c r="V1719" s="8" t="s">
        <v>10394</v>
      </c>
      <c r="W1719" s="8" t="s">
        <v>10395</v>
      </c>
    </row>
    <row r="1720" spans="1:23" ht="28" customHeight="1" x14ac:dyDescent="0.3">
      <c r="A1720" s="308">
        <v>43706</v>
      </c>
      <c r="B1720" s="302">
        <v>1159.8109999999999</v>
      </c>
      <c r="C1720" s="8">
        <v>-0.25700000000000001</v>
      </c>
      <c r="D1720" s="268">
        <v>-2.0000000000000001E-4</v>
      </c>
      <c r="E1720" s="8">
        <v>76.599999999999994</v>
      </c>
      <c r="F1720" s="8">
        <v>112.05500000000001</v>
      </c>
      <c r="G1720" s="8">
        <v>108.5</v>
      </c>
      <c r="H1720" s="8">
        <v>90.86</v>
      </c>
      <c r="I1720" s="8">
        <v>138.18</v>
      </c>
      <c r="J1720" s="8">
        <v>75.569999999999993</v>
      </c>
      <c r="K1720" s="268">
        <v>0.26119999999999999</v>
      </c>
      <c r="L1720" s="268">
        <v>0.19520000000000001</v>
      </c>
      <c r="M1720" s="268">
        <v>4.8999999999999998E-3</v>
      </c>
      <c r="N1720" s="8">
        <v>49.5</v>
      </c>
      <c r="O1720" s="8">
        <v>3014.76</v>
      </c>
      <c r="P1720" s="268">
        <v>1.6400000000000001E-2</v>
      </c>
      <c r="Q1720" s="8">
        <v>173</v>
      </c>
      <c r="R1720" s="8">
        <v>0</v>
      </c>
      <c r="S1720" s="8" t="s">
        <v>5205</v>
      </c>
      <c r="T1720" s="8" t="s">
        <v>10396</v>
      </c>
      <c r="U1720" s="8" t="s">
        <v>10397</v>
      </c>
      <c r="V1720" s="8" t="s">
        <v>10398</v>
      </c>
      <c r="W1720" s="8" t="s">
        <v>10399</v>
      </c>
    </row>
    <row r="1721" spans="1:23" ht="28" customHeight="1" x14ac:dyDescent="0.3">
      <c r="A1721" s="308">
        <v>43705</v>
      </c>
      <c r="B1721" s="302">
        <v>1160.068</v>
      </c>
      <c r="C1721" s="8">
        <v>1.819</v>
      </c>
      <c r="D1721" s="268">
        <v>1.6000000000000001E-3</v>
      </c>
      <c r="E1721" s="8">
        <v>78.23</v>
      </c>
      <c r="F1721" s="8">
        <v>112.084</v>
      </c>
      <c r="G1721" s="8">
        <v>108.62</v>
      </c>
      <c r="H1721" s="8">
        <v>91.32</v>
      </c>
      <c r="I1721" s="8">
        <v>138.05000000000001</v>
      </c>
      <c r="J1721" s="8">
        <v>73.73</v>
      </c>
      <c r="K1721" s="268">
        <v>0.25969999999999999</v>
      </c>
      <c r="L1721" s="268">
        <v>0.19850000000000001</v>
      </c>
      <c r="M1721" s="268">
        <v>4.7999999999999996E-3</v>
      </c>
      <c r="N1721" s="8">
        <v>59.63</v>
      </c>
      <c r="O1721" s="8">
        <v>3020.05</v>
      </c>
      <c r="P1721" s="268">
        <v>1.9699999999999999E-2</v>
      </c>
      <c r="Q1721" s="8">
        <v>173</v>
      </c>
      <c r="R1721" s="8">
        <v>0</v>
      </c>
      <c r="S1721" s="8" t="s">
        <v>10400</v>
      </c>
      <c r="T1721" s="8" t="s">
        <v>10401</v>
      </c>
      <c r="U1721" s="8" t="s">
        <v>10402</v>
      </c>
      <c r="V1721" s="8" t="s">
        <v>10215</v>
      </c>
      <c r="W1721" s="8" t="s">
        <v>10403</v>
      </c>
    </row>
    <row r="1722" spans="1:23" ht="28" customHeight="1" x14ac:dyDescent="0.3">
      <c r="A1722" s="308">
        <v>43704</v>
      </c>
      <c r="B1722" s="302">
        <v>1158.249</v>
      </c>
      <c r="C1722" s="8">
        <v>8.4009999999999998</v>
      </c>
      <c r="D1722" s="268">
        <v>7.3000000000000001E-3</v>
      </c>
      <c r="E1722" s="8">
        <v>76.319999999999993</v>
      </c>
      <c r="F1722" s="8">
        <v>111.883</v>
      </c>
      <c r="G1722" s="8">
        <v>108.17</v>
      </c>
      <c r="H1722" s="8">
        <v>90.81</v>
      </c>
      <c r="I1722" s="8">
        <v>137.77000000000001</v>
      </c>
      <c r="J1722" s="8">
        <v>75.069999999999993</v>
      </c>
      <c r="K1722" s="268">
        <v>0.25879999999999997</v>
      </c>
      <c r="L1722" s="268">
        <v>0.1928</v>
      </c>
      <c r="M1722" s="268">
        <v>5.1999999999999998E-3</v>
      </c>
      <c r="N1722" s="8">
        <v>73.87</v>
      </c>
      <c r="O1722" s="8">
        <v>3026.89</v>
      </c>
      <c r="P1722" s="268">
        <v>2.4400000000000002E-2</v>
      </c>
      <c r="Q1722" s="8">
        <v>173</v>
      </c>
      <c r="R1722" s="8">
        <v>0</v>
      </c>
      <c r="S1722" s="8" t="s">
        <v>10404</v>
      </c>
      <c r="T1722" s="8" t="s">
        <v>10405</v>
      </c>
      <c r="U1722" s="8" t="s">
        <v>10406</v>
      </c>
      <c r="V1722" s="8" t="s">
        <v>10407</v>
      </c>
      <c r="W1722" s="8" t="s">
        <v>5120</v>
      </c>
    </row>
    <row r="1723" spans="1:23" ht="28" customHeight="1" x14ac:dyDescent="0.3">
      <c r="A1723" s="308">
        <v>43703</v>
      </c>
      <c r="B1723" s="302">
        <v>1149.848</v>
      </c>
      <c r="C1723" s="8">
        <v>-2.105</v>
      </c>
      <c r="D1723" s="268">
        <v>-1.8E-3</v>
      </c>
      <c r="E1723" s="8">
        <v>71.41</v>
      </c>
      <c r="F1723" s="8">
        <v>111.029</v>
      </c>
      <c r="G1723" s="8">
        <v>107.87</v>
      </c>
      <c r="H1723" s="8">
        <v>89.21</v>
      </c>
      <c r="I1723" s="8">
        <v>138.54</v>
      </c>
      <c r="J1723" s="8">
        <v>83.14</v>
      </c>
      <c r="K1723" s="268">
        <v>0.2752</v>
      </c>
      <c r="L1723" s="268">
        <v>0.2102</v>
      </c>
      <c r="M1723" s="268">
        <v>6.7000000000000002E-3</v>
      </c>
      <c r="N1723" s="8">
        <v>63.95</v>
      </c>
      <c r="O1723" s="8">
        <v>3035.76</v>
      </c>
      <c r="P1723" s="268">
        <v>2.1100000000000001E-2</v>
      </c>
      <c r="Q1723" s="8">
        <v>173</v>
      </c>
      <c r="R1723" s="8">
        <v>0</v>
      </c>
      <c r="S1723" s="8" t="s">
        <v>10408</v>
      </c>
      <c r="T1723" s="8" t="s">
        <v>8479</v>
      </c>
      <c r="U1723" s="8" t="s">
        <v>10409</v>
      </c>
      <c r="V1723" s="8" t="s">
        <v>10410</v>
      </c>
      <c r="W1723" s="8" t="s">
        <v>10411</v>
      </c>
    </row>
    <row r="1724" spans="1:23" ht="28" customHeight="1" x14ac:dyDescent="0.3">
      <c r="A1724" s="308">
        <v>43700</v>
      </c>
      <c r="B1724" s="302">
        <v>1151.953</v>
      </c>
      <c r="C1724" s="8">
        <v>2.5209999999999999</v>
      </c>
      <c r="D1724" s="268">
        <v>2.2000000000000001E-3</v>
      </c>
      <c r="E1724" s="8">
        <v>74.77</v>
      </c>
      <c r="F1724" s="8">
        <v>111.20399999999999</v>
      </c>
      <c r="G1724" s="8">
        <v>107.79300000000001</v>
      </c>
      <c r="H1724" s="8">
        <v>89.9</v>
      </c>
      <c r="I1724" s="8">
        <v>138.07</v>
      </c>
      <c r="J1724" s="8">
        <v>81.47</v>
      </c>
      <c r="K1724" s="268">
        <v>0.26860000000000001</v>
      </c>
      <c r="L1724" s="268">
        <v>0.20660000000000001</v>
      </c>
      <c r="M1724" s="268">
        <v>6.1000000000000004E-3</v>
      </c>
      <c r="N1724" s="8">
        <v>64.599999999999994</v>
      </c>
      <c r="O1724" s="8">
        <v>3038.44</v>
      </c>
      <c r="P1724" s="268">
        <v>2.1299999999999999E-2</v>
      </c>
      <c r="Q1724" s="8">
        <v>172</v>
      </c>
      <c r="R1724" s="8">
        <v>0</v>
      </c>
      <c r="S1724" s="8" t="s">
        <v>10412</v>
      </c>
      <c r="T1724" s="8" t="s">
        <v>10413</v>
      </c>
      <c r="U1724" s="8" t="s">
        <v>10414</v>
      </c>
      <c r="V1724" s="8" t="s">
        <v>10415</v>
      </c>
      <c r="W1724" s="8" t="s">
        <v>10416</v>
      </c>
    </row>
    <row r="1725" spans="1:23" ht="28" customHeight="1" x14ac:dyDescent="0.3">
      <c r="A1725" s="308">
        <v>43699</v>
      </c>
      <c r="B1725" s="302">
        <v>1149.432</v>
      </c>
      <c r="C1725" s="8">
        <v>-0.27700000000000002</v>
      </c>
      <c r="D1725" s="268">
        <v>-2.0000000000000001E-4</v>
      </c>
      <c r="E1725" s="8">
        <v>73.53</v>
      </c>
      <c r="F1725" s="8">
        <v>110.971</v>
      </c>
      <c r="G1725" s="8">
        <v>107.49</v>
      </c>
      <c r="H1725" s="8">
        <v>90.08</v>
      </c>
      <c r="I1725" s="8">
        <v>137.41999999999999</v>
      </c>
      <c r="J1725" s="8">
        <v>77.41</v>
      </c>
      <c r="K1725" s="268">
        <v>0.26450000000000001</v>
      </c>
      <c r="L1725" s="268">
        <v>0.1938</v>
      </c>
      <c r="M1725" s="268">
        <v>6.6E-3</v>
      </c>
      <c r="N1725" s="8">
        <v>52.59</v>
      </c>
      <c r="O1725" s="8">
        <v>3043.79</v>
      </c>
      <c r="P1725" s="268">
        <v>1.7299999999999999E-2</v>
      </c>
      <c r="Q1725" s="8">
        <v>172</v>
      </c>
      <c r="R1725" s="8">
        <v>0</v>
      </c>
      <c r="S1725" s="8" t="s">
        <v>8890</v>
      </c>
      <c r="T1725" s="8" t="s">
        <v>10417</v>
      </c>
      <c r="U1725" s="8" t="s">
        <v>10418</v>
      </c>
      <c r="V1725" s="8" t="s">
        <v>10419</v>
      </c>
      <c r="W1725" s="8" t="s">
        <v>10420</v>
      </c>
    </row>
    <row r="1726" spans="1:23" ht="28" customHeight="1" x14ac:dyDescent="0.3">
      <c r="A1726" s="308">
        <v>43698</v>
      </c>
      <c r="B1726" s="302">
        <v>1149.7090000000001</v>
      </c>
      <c r="C1726" s="8">
        <v>0.55500000000000005</v>
      </c>
      <c r="D1726" s="268">
        <v>5.0000000000000001E-4</v>
      </c>
      <c r="E1726" s="8">
        <v>75</v>
      </c>
      <c r="F1726" s="8">
        <v>111.068</v>
      </c>
      <c r="G1726" s="8">
        <v>107.7</v>
      </c>
      <c r="H1726" s="8">
        <v>90.91</v>
      </c>
      <c r="I1726" s="8">
        <v>137.65</v>
      </c>
      <c r="J1726" s="8">
        <v>78.34</v>
      </c>
      <c r="K1726" s="268">
        <v>0.26579999999999998</v>
      </c>
      <c r="L1726" s="268">
        <v>0.19420000000000001</v>
      </c>
      <c r="M1726" s="268">
        <v>6.4000000000000003E-3</v>
      </c>
      <c r="N1726" s="8">
        <v>67.22</v>
      </c>
      <c r="O1726" s="8">
        <v>2742.26</v>
      </c>
      <c r="P1726" s="268">
        <v>2.4500000000000001E-2</v>
      </c>
      <c r="Q1726" s="8">
        <v>173</v>
      </c>
      <c r="R1726" s="8">
        <v>0</v>
      </c>
      <c r="S1726" s="8" t="s">
        <v>10421</v>
      </c>
      <c r="T1726" s="8" t="s">
        <v>10422</v>
      </c>
      <c r="U1726" s="8" t="s">
        <v>10423</v>
      </c>
      <c r="V1726" s="8" t="s">
        <v>10424</v>
      </c>
      <c r="W1726" s="8" t="s">
        <v>10425</v>
      </c>
    </row>
    <row r="1727" spans="1:23" ht="28" customHeight="1" x14ac:dyDescent="0.3">
      <c r="A1727" s="308">
        <v>43697</v>
      </c>
      <c r="B1727" s="302">
        <v>1149.154</v>
      </c>
      <c r="C1727" s="8">
        <v>0.70299999999999996</v>
      </c>
      <c r="D1727" s="268">
        <v>5.9999999999999995E-4</v>
      </c>
      <c r="E1727" s="8">
        <v>75.3</v>
      </c>
      <c r="F1727" s="8">
        <v>111.09399999999999</v>
      </c>
      <c r="G1727" s="8">
        <v>107.774</v>
      </c>
      <c r="H1727" s="8">
        <v>90.65</v>
      </c>
      <c r="I1727" s="8">
        <v>137.74</v>
      </c>
      <c r="J1727" s="8">
        <v>80.92</v>
      </c>
      <c r="K1727" s="268">
        <v>0.26650000000000001</v>
      </c>
      <c r="L1727" s="268">
        <v>0.18759999999999999</v>
      </c>
      <c r="M1727" s="268">
        <v>6.4999999999999997E-3</v>
      </c>
      <c r="N1727" s="8">
        <v>66.78</v>
      </c>
      <c r="O1727" s="8">
        <v>2742.26</v>
      </c>
      <c r="P1727" s="268">
        <v>2.4400000000000002E-2</v>
      </c>
      <c r="Q1727" s="8">
        <v>173</v>
      </c>
      <c r="R1727" s="8">
        <v>0</v>
      </c>
      <c r="S1727" s="8" t="s">
        <v>4117</v>
      </c>
      <c r="T1727" s="8" t="s">
        <v>10426</v>
      </c>
      <c r="U1727" s="8" t="s">
        <v>10427</v>
      </c>
      <c r="V1727" s="8" t="s">
        <v>10428</v>
      </c>
      <c r="W1727" s="8" t="s">
        <v>10429</v>
      </c>
    </row>
    <row r="1728" spans="1:23" ht="28" customHeight="1" x14ac:dyDescent="0.3">
      <c r="A1728" s="308">
        <v>43696</v>
      </c>
      <c r="B1728" s="302">
        <v>1148.451</v>
      </c>
      <c r="C1728" s="8">
        <v>14.6</v>
      </c>
      <c r="D1728" s="268">
        <v>1.29E-2</v>
      </c>
      <c r="E1728" s="8">
        <v>73.17</v>
      </c>
      <c r="F1728" s="8">
        <v>111.009</v>
      </c>
      <c r="G1728" s="8">
        <v>107.596</v>
      </c>
      <c r="H1728" s="8">
        <v>90.52</v>
      </c>
      <c r="I1728" s="8">
        <v>137.53</v>
      </c>
      <c r="J1728" s="8">
        <v>79.849999999999994</v>
      </c>
      <c r="K1728" s="268">
        <v>0.26519999999999999</v>
      </c>
      <c r="L1728" s="268">
        <v>0.1893</v>
      </c>
      <c r="M1728" s="268">
        <v>6.6E-3</v>
      </c>
      <c r="N1728" s="8">
        <v>70.7</v>
      </c>
      <c r="O1728" s="8">
        <v>2742.26</v>
      </c>
      <c r="P1728" s="268">
        <v>2.58E-2</v>
      </c>
      <c r="Q1728" s="8">
        <v>173</v>
      </c>
      <c r="R1728" s="8">
        <v>0</v>
      </c>
      <c r="S1728" s="8" t="s">
        <v>7237</v>
      </c>
      <c r="T1728" s="8" t="s">
        <v>10430</v>
      </c>
      <c r="U1728" s="8" t="s">
        <v>10431</v>
      </c>
      <c r="V1728" s="8" t="s">
        <v>10432</v>
      </c>
      <c r="W1728" s="8" t="s">
        <v>10433</v>
      </c>
    </row>
    <row r="1729" spans="1:23" ht="28" customHeight="1" x14ac:dyDescent="0.3">
      <c r="A1729" s="308">
        <v>43693</v>
      </c>
      <c r="B1729" s="302">
        <v>1133.8510000000001</v>
      </c>
      <c r="C1729" s="8">
        <v>5.0629999999999997</v>
      </c>
      <c r="D1729" s="268">
        <v>4.4999999999999997E-3</v>
      </c>
      <c r="E1729" s="8">
        <v>64.650000000000006</v>
      </c>
      <c r="F1729" s="8">
        <v>109.46599999999999</v>
      </c>
      <c r="G1729" s="8">
        <v>106.15</v>
      </c>
      <c r="H1729" s="8">
        <v>88.08</v>
      </c>
      <c r="I1729" s="8">
        <v>138.41</v>
      </c>
      <c r="J1729" s="8">
        <v>88.97</v>
      </c>
      <c r="K1729" s="268">
        <v>0.28939999999999999</v>
      </c>
      <c r="L1729" s="268">
        <v>0.20810000000000001</v>
      </c>
      <c r="M1729" s="268">
        <v>9.1999999999999998E-3</v>
      </c>
      <c r="N1729" s="8">
        <v>48.65</v>
      </c>
      <c r="O1729" s="8">
        <v>2742.26</v>
      </c>
      <c r="P1729" s="268">
        <v>1.77E-2</v>
      </c>
      <c r="Q1729" s="8">
        <v>173</v>
      </c>
      <c r="R1729" s="8">
        <v>0</v>
      </c>
      <c r="S1729" s="8" t="s">
        <v>10434</v>
      </c>
      <c r="T1729" s="8" t="s">
        <v>10435</v>
      </c>
      <c r="U1729" s="8" t="s">
        <v>9894</v>
      </c>
      <c r="V1729" s="8" t="s">
        <v>10436</v>
      </c>
      <c r="W1729" s="8" t="s">
        <v>10437</v>
      </c>
    </row>
    <row r="1730" spans="1:23" ht="28" customHeight="1" x14ac:dyDescent="0.3">
      <c r="A1730" s="308">
        <v>43692</v>
      </c>
      <c r="B1730" s="302">
        <v>1128.788</v>
      </c>
      <c r="C1730" s="8">
        <v>1.7310000000000001</v>
      </c>
      <c r="D1730" s="268">
        <v>1.5E-3</v>
      </c>
      <c r="E1730" s="8">
        <v>61.45</v>
      </c>
      <c r="F1730" s="8">
        <v>108.962</v>
      </c>
      <c r="G1730" s="8">
        <v>106.07</v>
      </c>
      <c r="H1730" s="8">
        <v>88.16</v>
      </c>
      <c r="I1730" s="8">
        <v>137.97999999999999</v>
      </c>
      <c r="J1730" s="8">
        <v>87.59</v>
      </c>
      <c r="K1730" s="268">
        <v>0.29020000000000001</v>
      </c>
      <c r="L1730" s="268">
        <v>0.21379999999999999</v>
      </c>
      <c r="M1730" s="268">
        <v>1.0200000000000001E-2</v>
      </c>
      <c r="N1730" s="8">
        <v>45.03</v>
      </c>
      <c r="O1730" s="8">
        <v>2742.26</v>
      </c>
      <c r="P1730" s="268">
        <v>1.6400000000000001E-2</v>
      </c>
      <c r="Q1730" s="8">
        <v>173</v>
      </c>
      <c r="R1730" s="8">
        <v>0</v>
      </c>
      <c r="S1730" s="8" t="s">
        <v>10438</v>
      </c>
      <c r="T1730" s="8" t="s">
        <v>10439</v>
      </c>
      <c r="U1730" s="8" t="s">
        <v>10440</v>
      </c>
      <c r="V1730" s="8" t="s">
        <v>10441</v>
      </c>
      <c r="W1730" s="8" t="s">
        <v>10442</v>
      </c>
    </row>
    <row r="1731" spans="1:23" ht="28" customHeight="1" x14ac:dyDescent="0.3">
      <c r="A1731" s="308">
        <v>43691</v>
      </c>
      <c r="B1731" s="302">
        <v>1127.057</v>
      </c>
      <c r="C1731" s="8">
        <v>1.887</v>
      </c>
      <c r="D1731" s="268">
        <v>1.6999999999999999E-3</v>
      </c>
      <c r="E1731" s="8">
        <v>59.46</v>
      </c>
      <c r="F1731" s="8">
        <v>108.77500000000001</v>
      </c>
      <c r="G1731" s="8">
        <v>106.02</v>
      </c>
      <c r="H1731" s="8">
        <v>87.58</v>
      </c>
      <c r="I1731" s="8">
        <v>138.08000000000001</v>
      </c>
      <c r="J1731" s="8">
        <v>88.31</v>
      </c>
      <c r="K1731" s="268">
        <v>0.29310000000000003</v>
      </c>
      <c r="L1731" s="268">
        <v>0.21640000000000001</v>
      </c>
      <c r="M1731" s="268">
        <v>1.0500000000000001E-2</v>
      </c>
      <c r="N1731" s="8">
        <v>48.13</v>
      </c>
      <c r="O1731" s="8">
        <v>2742.26</v>
      </c>
      <c r="P1731" s="268">
        <v>1.7600000000000001E-2</v>
      </c>
      <c r="Q1731" s="8">
        <v>173</v>
      </c>
      <c r="R1731" s="8">
        <v>0</v>
      </c>
      <c r="S1731" s="8" t="s">
        <v>10443</v>
      </c>
      <c r="T1731" s="8" t="s">
        <v>10444</v>
      </c>
      <c r="U1731" s="8" t="s">
        <v>10445</v>
      </c>
      <c r="V1731" s="8" t="s">
        <v>10446</v>
      </c>
      <c r="W1731" s="8" t="s">
        <v>10447</v>
      </c>
    </row>
    <row r="1732" spans="1:23" ht="28" customHeight="1" x14ac:dyDescent="0.3">
      <c r="A1732" s="308">
        <v>43690</v>
      </c>
      <c r="B1732" s="302">
        <v>1125.17</v>
      </c>
      <c r="C1732" s="8">
        <v>-0.40400000000000003</v>
      </c>
      <c r="D1732" s="268">
        <v>-4.0000000000000002E-4</v>
      </c>
      <c r="E1732" s="8">
        <v>58.34</v>
      </c>
      <c r="F1732" s="8">
        <v>108.63800000000001</v>
      </c>
      <c r="G1732" s="8">
        <v>106.08499999999999</v>
      </c>
      <c r="H1732" s="8">
        <v>86.9</v>
      </c>
      <c r="I1732" s="8">
        <v>138.53</v>
      </c>
      <c r="J1732" s="8">
        <v>91.74</v>
      </c>
      <c r="K1732" s="268">
        <v>0.2989</v>
      </c>
      <c r="L1732" s="268">
        <v>0.21379999999999999</v>
      </c>
      <c r="M1732" s="268">
        <v>1.0800000000000001E-2</v>
      </c>
      <c r="N1732" s="8">
        <v>44.43</v>
      </c>
      <c r="O1732" s="8">
        <v>2738.96</v>
      </c>
      <c r="P1732" s="268">
        <v>1.6199999999999999E-2</v>
      </c>
      <c r="Q1732" s="8">
        <v>172</v>
      </c>
      <c r="R1732" s="8">
        <v>0</v>
      </c>
      <c r="S1732" s="8" t="s">
        <v>10448</v>
      </c>
      <c r="T1732" s="8" t="s">
        <v>10449</v>
      </c>
      <c r="U1732" s="8" t="s">
        <v>5430</v>
      </c>
      <c r="V1732" s="8" t="s">
        <v>10450</v>
      </c>
      <c r="W1732" s="8" t="s">
        <v>5583</v>
      </c>
    </row>
    <row r="1733" spans="1:23" ht="28" customHeight="1" x14ac:dyDescent="0.3">
      <c r="A1733" s="308">
        <v>43689</v>
      </c>
      <c r="B1733" s="302">
        <v>1125.5740000000001</v>
      </c>
      <c r="C1733" s="8">
        <v>5.0570000000000004</v>
      </c>
      <c r="D1733" s="268">
        <v>4.4999999999999997E-3</v>
      </c>
      <c r="E1733" s="8">
        <v>58.55</v>
      </c>
      <c r="F1733" s="8">
        <v>108.69199999999999</v>
      </c>
      <c r="G1733" s="8">
        <v>106.206</v>
      </c>
      <c r="H1733" s="8">
        <v>87</v>
      </c>
      <c r="I1733" s="8">
        <v>137.97</v>
      </c>
      <c r="J1733" s="8">
        <v>89.67</v>
      </c>
      <c r="K1733" s="268">
        <v>0.2928</v>
      </c>
      <c r="L1733" s="268">
        <v>0.20549999999999999</v>
      </c>
      <c r="M1733" s="268">
        <v>1.0699999999999999E-2</v>
      </c>
      <c r="N1733" s="8">
        <v>53.35</v>
      </c>
      <c r="O1733" s="8">
        <v>2738.96</v>
      </c>
      <c r="P1733" s="268">
        <v>1.95E-2</v>
      </c>
      <c r="Q1733" s="8">
        <v>172</v>
      </c>
      <c r="R1733" s="8">
        <v>0</v>
      </c>
      <c r="S1733" s="8" t="s">
        <v>10451</v>
      </c>
      <c r="T1733" s="8" t="s">
        <v>10452</v>
      </c>
      <c r="U1733" s="8" t="s">
        <v>10453</v>
      </c>
      <c r="V1733" s="8" t="s">
        <v>10454</v>
      </c>
      <c r="W1733" s="8" t="s">
        <v>10455</v>
      </c>
    </row>
    <row r="1734" spans="1:23" ht="28" customHeight="1" x14ac:dyDescent="0.3">
      <c r="A1734" s="308">
        <v>43686</v>
      </c>
      <c r="B1734" s="302">
        <v>1120.5170000000001</v>
      </c>
      <c r="C1734" s="8">
        <v>-1.1779999999999999</v>
      </c>
      <c r="D1734" s="268">
        <v>-1E-3</v>
      </c>
      <c r="E1734" s="8">
        <v>56.72</v>
      </c>
      <c r="F1734" s="8">
        <v>108.16500000000001</v>
      </c>
      <c r="G1734" s="8">
        <v>105.83</v>
      </c>
      <c r="H1734" s="8">
        <v>84.96</v>
      </c>
      <c r="I1734" s="8">
        <v>138.99</v>
      </c>
      <c r="J1734" s="8">
        <v>95.52</v>
      </c>
      <c r="K1734" s="268">
        <v>0.30830000000000002</v>
      </c>
      <c r="L1734" s="268">
        <v>0.22109999999999999</v>
      </c>
      <c r="M1734" s="268">
        <v>1.17E-2</v>
      </c>
      <c r="N1734" s="8">
        <v>45.4</v>
      </c>
      <c r="O1734" s="8">
        <v>2738.96</v>
      </c>
      <c r="P1734" s="268">
        <v>1.66E-2</v>
      </c>
      <c r="Q1734" s="8">
        <v>172</v>
      </c>
      <c r="R1734" s="8">
        <v>0</v>
      </c>
      <c r="S1734" s="8" t="s">
        <v>10456</v>
      </c>
      <c r="T1734" s="8" t="s">
        <v>7622</v>
      </c>
      <c r="U1734" s="8" t="s">
        <v>9494</v>
      </c>
      <c r="V1734" s="8" t="s">
        <v>10457</v>
      </c>
      <c r="W1734" s="8" t="s">
        <v>10458</v>
      </c>
    </row>
    <row r="1735" spans="1:23" ht="28" customHeight="1" x14ac:dyDescent="0.3">
      <c r="A1735" s="308">
        <v>43685</v>
      </c>
      <c r="B1735" s="302">
        <v>1121.6949999999999</v>
      </c>
      <c r="C1735" s="8">
        <v>2.911</v>
      </c>
      <c r="D1735" s="268">
        <v>2.5999999999999999E-3</v>
      </c>
      <c r="E1735" s="8">
        <v>56.92</v>
      </c>
      <c r="F1735" s="8">
        <v>108.30500000000001</v>
      </c>
      <c r="G1735" s="8">
        <v>105.765</v>
      </c>
      <c r="H1735" s="8">
        <v>86.45</v>
      </c>
      <c r="I1735" s="8">
        <v>137.97999999999999</v>
      </c>
      <c r="J1735" s="8">
        <v>91.89</v>
      </c>
      <c r="K1735" s="268">
        <v>0.29680000000000001</v>
      </c>
      <c r="L1735" s="268">
        <v>0.20649999999999999</v>
      </c>
      <c r="M1735" s="268">
        <v>1.15E-2</v>
      </c>
      <c r="N1735" s="8">
        <v>54.87</v>
      </c>
      <c r="O1735" s="8">
        <v>2738.96</v>
      </c>
      <c r="P1735" s="268">
        <v>0.02</v>
      </c>
      <c r="Q1735" s="8">
        <v>172</v>
      </c>
      <c r="R1735" s="8">
        <v>0</v>
      </c>
      <c r="S1735" s="8" t="s">
        <v>10459</v>
      </c>
      <c r="T1735" s="8" t="s">
        <v>10460</v>
      </c>
      <c r="U1735" s="8" t="s">
        <v>3825</v>
      </c>
      <c r="V1735" s="8" t="s">
        <v>10461</v>
      </c>
      <c r="W1735" s="8" t="s">
        <v>10462</v>
      </c>
    </row>
    <row r="1736" spans="1:23" ht="28" customHeight="1" x14ac:dyDescent="0.3">
      <c r="A1736" s="308">
        <v>43684</v>
      </c>
      <c r="B1736" s="302">
        <v>1118.7840000000001</v>
      </c>
      <c r="C1736" s="8">
        <v>4.7300000000000004</v>
      </c>
      <c r="D1736" s="268">
        <v>4.1999999999999997E-3</v>
      </c>
      <c r="E1736" s="8">
        <v>54.92</v>
      </c>
      <c r="F1736" s="8">
        <v>107.991</v>
      </c>
      <c r="G1736" s="8">
        <v>105.785</v>
      </c>
      <c r="H1736" s="8">
        <v>86.28</v>
      </c>
      <c r="I1736" s="8">
        <v>138.02000000000001</v>
      </c>
      <c r="J1736" s="8">
        <v>94.49</v>
      </c>
      <c r="K1736" s="268">
        <v>0.30030000000000001</v>
      </c>
      <c r="L1736" s="268">
        <v>0.21440000000000001</v>
      </c>
      <c r="M1736" s="268">
        <v>1.2E-2</v>
      </c>
      <c r="N1736" s="8">
        <v>42.92</v>
      </c>
      <c r="O1736" s="8">
        <v>2738.96</v>
      </c>
      <c r="P1736" s="268">
        <v>1.5699999999999999E-2</v>
      </c>
      <c r="Q1736" s="8">
        <v>172</v>
      </c>
      <c r="R1736" s="8">
        <v>0</v>
      </c>
      <c r="S1736" s="8" t="s">
        <v>8344</v>
      </c>
      <c r="T1736" s="8" t="s">
        <v>10463</v>
      </c>
      <c r="U1736" s="8" t="s">
        <v>10464</v>
      </c>
      <c r="V1736" s="8" t="s">
        <v>10465</v>
      </c>
      <c r="W1736" s="8" t="s">
        <v>10466</v>
      </c>
    </row>
    <row r="1737" spans="1:23" ht="28" customHeight="1" x14ac:dyDescent="0.3">
      <c r="A1737" s="308">
        <v>43683</v>
      </c>
      <c r="B1737" s="302">
        <v>1114.0540000000001</v>
      </c>
      <c r="C1737" s="8">
        <v>-8.6460000000000008</v>
      </c>
      <c r="D1737" s="268">
        <v>-7.7000000000000002E-3</v>
      </c>
      <c r="E1737" s="8">
        <v>51.49</v>
      </c>
      <c r="F1737" s="8">
        <v>107.53100000000001</v>
      </c>
      <c r="G1737" s="8">
        <v>105.55</v>
      </c>
      <c r="H1737" s="8">
        <v>86.9</v>
      </c>
      <c r="I1737" s="8">
        <v>137.11000000000001</v>
      </c>
      <c r="J1737" s="8">
        <v>94.1</v>
      </c>
      <c r="K1737" s="268">
        <v>0.29580000000000001</v>
      </c>
      <c r="L1737" s="268">
        <v>0.20480000000000001</v>
      </c>
      <c r="M1737" s="268">
        <v>1.29E-2</v>
      </c>
      <c r="N1737" s="8">
        <v>52.12</v>
      </c>
      <c r="O1737" s="8">
        <v>2738.96</v>
      </c>
      <c r="P1737" s="268">
        <v>1.9E-2</v>
      </c>
      <c r="Q1737" s="8">
        <v>172</v>
      </c>
      <c r="R1737" s="8">
        <v>0</v>
      </c>
      <c r="S1737" s="8" t="s">
        <v>10467</v>
      </c>
      <c r="T1737" s="8" t="s">
        <v>10468</v>
      </c>
      <c r="U1737" s="8" t="s">
        <v>10469</v>
      </c>
      <c r="V1737" s="8" t="s">
        <v>10470</v>
      </c>
      <c r="W1737" s="8" t="s">
        <v>10471</v>
      </c>
    </row>
    <row r="1738" spans="1:23" ht="28" customHeight="1" x14ac:dyDescent="0.3">
      <c r="A1738" s="308">
        <v>43682</v>
      </c>
      <c r="B1738" s="302">
        <v>1122.7</v>
      </c>
      <c r="C1738" s="8">
        <v>-6.415</v>
      </c>
      <c r="D1738" s="268">
        <v>-5.7000000000000002E-3</v>
      </c>
      <c r="E1738" s="8">
        <v>60</v>
      </c>
      <c r="F1738" s="8">
        <v>108.476</v>
      </c>
      <c r="G1738" s="8">
        <v>106.01</v>
      </c>
      <c r="H1738" s="8">
        <v>89.78</v>
      </c>
      <c r="I1738" s="8">
        <v>134.91999999999999</v>
      </c>
      <c r="J1738" s="8">
        <v>87.81</v>
      </c>
      <c r="K1738" s="268">
        <v>0.26450000000000001</v>
      </c>
      <c r="L1738" s="268">
        <v>0.1832</v>
      </c>
      <c r="M1738" s="268">
        <v>1.12E-2</v>
      </c>
      <c r="N1738" s="8">
        <v>51.16</v>
      </c>
      <c r="O1738" s="8">
        <v>2732.36</v>
      </c>
      <c r="P1738" s="268">
        <v>1.8700000000000001E-2</v>
      </c>
      <c r="Q1738" s="8">
        <v>171</v>
      </c>
      <c r="R1738" s="8">
        <v>0</v>
      </c>
      <c r="S1738" s="8" t="s">
        <v>10472</v>
      </c>
      <c r="T1738" s="8" t="s">
        <v>10473</v>
      </c>
      <c r="U1738" s="8" t="s">
        <v>10474</v>
      </c>
      <c r="V1738" s="8" t="s">
        <v>10475</v>
      </c>
      <c r="W1738" s="8" t="s">
        <v>10476</v>
      </c>
    </row>
    <row r="1739" spans="1:23" ht="28" customHeight="1" x14ac:dyDescent="0.3">
      <c r="A1739" s="308">
        <v>43679</v>
      </c>
      <c r="B1739" s="302">
        <v>1129.115</v>
      </c>
      <c r="C1739" s="8">
        <v>-4.5170000000000003</v>
      </c>
      <c r="D1739" s="268">
        <v>-4.0000000000000001E-3</v>
      </c>
      <c r="E1739" s="8">
        <v>62.61</v>
      </c>
      <c r="F1739" s="8">
        <v>109.123</v>
      </c>
      <c r="G1739" s="8">
        <v>106.66</v>
      </c>
      <c r="H1739" s="8">
        <v>90.47</v>
      </c>
      <c r="I1739" s="8">
        <v>134.44999999999999</v>
      </c>
      <c r="J1739" s="8">
        <v>82.78</v>
      </c>
      <c r="K1739" s="268">
        <v>0.25319999999999998</v>
      </c>
      <c r="L1739" s="268">
        <v>0.17780000000000001</v>
      </c>
      <c r="M1739" s="268">
        <v>9.9000000000000008E-3</v>
      </c>
      <c r="N1739" s="8">
        <v>58.94</v>
      </c>
      <c r="O1739" s="8">
        <v>2732.36</v>
      </c>
      <c r="P1739" s="268">
        <v>2.1600000000000001E-2</v>
      </c>
      <c r="Q1739" s="8">
        <v>171</v>
      </c>
      <c r="R1739" s="8">
        <v>0</v>
      </c>
      <c r="S1739" s="8" t="s">
        <v>10477</v>
      </c>
      <c r="T1739" s="8" t="s">
        <v>10478</v>
      </c>
      <c r="U1739" s="8" t="s">
        <v>10479</v>
      </c>
      <c r="V1739" s="8" t="s">
        <v>10480</v>
      </c>
      <c r="W1739" s="8" t="s">
        <v>10481</v>
      </c>
    </row>
    <row r="1740" spans="1:23" ht="28" customHeight="1" x14ac:dyDescent="0.3">
      <c r="A1740" s="308">
        <v>43678</v>
      </c>
      <c r="B1740" s="302">
        <v>1133.6320000000001</v>
      </c>
      <c r="C1740" s="8">
        <v>-2.4169999999999998</v>
      </c>
      <c r="D1740" s="268">
        <v>-2.0999999999999999E-3</v>
      </c>
      <c r="E1740" s="8">
        <v>66.75</v>
      </c>
      <c r="F1740" s="8">
        <v>109.602</v>
      </c>
      <c r="G1740" s="8">
        <v>107.1</v>
      </c>
      <c r="H1740" s="8">
        <v>91.65</v>
      </c>
      <c r="I1740" s="8">
        <v>133.29</v>
      </c>
      <c r="J1740" s="8">
        <v>74.63</v>
      </c>
      <c r="K1740" s="268">
        <v>0.2369</v>
      </c>
      <c r="L1740" s="268">
        <v>0.1618</v>
      </c>
      <c r="M1740" s="268">
        <v>8.9999999999999993E-3</v>
      </c>
      <c r="N1740" s="8">
        <v>52.72</v>
      </c>
      <c r="O1740" s="8">
        <v>2704.06</v>
      </c>
      <c r="P1740" s="268">
        <v>1.95E-2</v>
      </c>
      <c r="Q1740" s="8">
        <v>170</v>
      </c>
      <c r="R1740" s="8">
        <v>0</v>
      </c>
      <c r="S1740" s="8" t="s">
        <v>10482</v>
      </c>
      <c r="T1740" s="8" t="s">
        <v>10483</v>
      </c>
      <c r="U1740" s="8" t="s">
        <v>10484</v>
      </c>
      <c r="V1740" s="8" t="s">
        <v>10485</v>
      </c>
      <c r="W1740" s="8" t="s">
        <v>10486</v>
      </c>
    </row>
    <row r="1741" spans="1:23" ht="28" customHeight="1" x14ac:dyDescent="0.3">
      <c r="A1741" s="308">
        <v>43677</v>
      </c>
      <c r="B1741" s="302">
        <v>1136.049</v>
      </c>
      <c r="C1741" s="8">
        <v>1.1100000000000001</v>
      </c>
      <c r="D1741" s="268">
        <v>1E-3</v>
      </c>
      <c r="E1741" s="8">
        <v>70.06</v>
      </c>
      <c r="F1741" s="8">
        <v>110.20699999999999</v>
      </c>
      <c r="G1741" s="8">
        <v>107.51</v>
      </c>
      <c r="H1741" s="8">
        <v>92.19</v>
      </c>
      <c r="I1741" s="8">
        <v>133.56</v>
      </c>
      <c r="J1741" s="8">
        <v>74.86</v>
      </c>
      <c r="K1741" s="268">
        <v>0.23350000000000001</v>
      </c>
      <c r="L1741" s="268">
        <v>0.15659999999999999</v>
      </c>
      <c r="M1741" s="268">
        <v>8.0000000000000002E-3</v>
      </c>
      <c r="N1741" s="8">
        <v>45.09</v>
      </c>
      <c r="O1741" s="8">
        <v>2704.16</v>
      </c>
      <c r="P1741" s="268">
        <v>1.67E-2</v>
      </c>
      <c r="Q1741" s="8">
        <v>171</v>
      </c>
      <c r="R1741" s="8">
        <v>0</v>
      </c>
      <c r="S1741" s="8" t="s">
        <v>10487</v>
      </c>
      <c r="T1741" s="8" t="s">
        <v>10488</v>
      </c>
      <c r="U1741" s="8" t="s">
        <v>4757</v>
      </c>
      <c r="V1741" s="8" t="s">
        <v>10489</v>
      </c>
      <c r="W1741" s="8" t="s">
        <v>10490</v>
      </c>
    </row>
    <row r="1742" spans="1:23" ht="28" customHeight="1" x14ac:dyDescent="0.3">
      <c r="A1742" s="308">
        <v>43676</v>
      </c>
      <c r="B1742" s="302">
        <v>1134.9390000000001</v>
      </c>
      <c r="C1742" s="8">
        <v>5.3659999999999997</v>
      </c>
      <c r="D1742" s="268">
        <v>4.7000000000000002E-3</v>
      </c>
      <c r="E1742" s="8">
        <v>70.209999999999994</v>
      </c>
      <c r="F1742" s="8">
        <v>110.15300000000001</v>
      </c>
      <c r="G1742" s="8">
        <v>107.435</v>
      </c>
      <c r="H1742" s="8">
        <v>92.73</v>
      </c>
      <c r="I1742" s="8">
        <v>132.68</v>
      </c>
      <c r="J1742" s="8">
        <v>67.319999999999993</v>
      </c>
      <c r="K1742" s="268">
        <v>0.2253</v>
      </c>
      <c r="L1742" s="268">
        <v>0.1464</v>
      </c>
      <c r="M1742" s="268">
        <v>8.0999999999999996E-3</v>
      </c>
      <c r="N1742" s="8">
        <v>63.31</v>
      </c>
      <c r="O1742" s="8">
        <v>2702.22</v>
      </c>
      <c r="P1742" s="268">
        <v>2.3400000000000001E-2</v>
      </c>
      <c r="Q1742" s="8">
        <v>170</v>
      </c>
      <c r="R1742" s="8">
        <v>0</v>
      </c>
      <c r="S1742" s="8" t="s">
        <v>10491</v>
      </c>
      <c r="T1742" s="8" t="s">
        <v>10492</v>
      </c>
      <c r="U1742" s="8" t="s">
        <v>10493</v>
      </c>
      <c r="V1742" s="8" t="s">
        <v>10494</v>
      </c>
      <c r="W1742" s="8" t="s">
        <v>10495</v>
      </c>
    </row>
    <row r="1743" spans="1:23" ht="28" customHeight="1" x14ac:dyDescent="0.3">
      <c r="A1743" s="308">
        <v>43675</v>
      </c>
      <c r="B1743" s="302">
        <v>1129.5730000000001</v>
      </c>
      <c r="C1743" s="8">
        <v>2.367</v>
      </c>
      <c r="D1743" s="268">
        <v>2.0999999999999999E-3</v>
      </c>
      <c r="E1743" s="8">
        <v>64.02</v>
      </c>
      <c r="F1743" s="8">
        <v>109.63500000000001</v>
      </c>
      <c r="G1743" s="8">
        <v>107.17</v>
      </c>
      <c r="H1743" s="8">
        <v>92.15</v>
      </c>
      <c r="I1743" s="8">
        <v>132.05000000000001</v>
      </c>
      <c r="J1743" s="8">
        <v>68.400000000000006</v>
      </c>
      <c r="K1743" s="268">
        <v>0.22409999999999999</v>
      </c>
      <c r="L1743" s="268">
        <v>0.1434</v>
      </c>
      <c r="M1743" s="268">
        <v>9.1000000000000004E-3</v>
      </c>
      <c r="N1743" s="8">
        <v>54.38</v>
      </c>
      <c r="O1743" s="8">
        <v>2702.22</v>
      </c>
      <c r="P1743" s="268">
        <v>2.01E-2</v>
      </c>
      <c r="Q1743" s="8">
        <v>170</v>
      </c>
      <c r="R1743" s="8">
        <v>0</v>
      </c>
      <c r="S1743" s="8" t="s">
        <v>7647</v>
      </c>
      <c r="T1743" s="8" t="s">
        <v>10496</v>
      </c>
      <c r="U1743" s="8" t="s">
        <v>7256</v>
      </c>
      <c r="V1743" s="8" t="s">
        <v>3074</v>
      </c>
      <c r="W1743" s="8" t="s">
        <v>10497</v>
      </c>
    </row>
    <row r="1744" spans="1:23" ht="28" customHeight="1" x14ac:dyDescent="0.3">
      <c r="A1744" s="308">
        <v>43672</v>
      </c>
      <c r="B1744" s="302">
        <v>1127.2059999999999</v>
      </c>
      <c r="C1744" s="8">
        <v>5.2329999999999997</v>
      </c>
      <c r="D1744" s="268">
        <v>4.7000000000000002E-3</v>
      </c>
      <c r="E1744" s="8">
        <v>63.43</v>
      </c>
      <c r="F1744" s="8">
        <v>109.4</v>
      </c>
      <c r="G1744" s="8">
        <v>106.88</v>
      </c>
      <c r="H1744" s="8">
        <v>92.43</v>
      </c>
      <c r="I1744" s="8">
        <v>131.88999999999999</v>
      </c>
      <c r="J1744" s="8">
        <v>71.12</v>
      </c>
      <c r="K1744" s="268">
        <v>0.22489999999999999</v>
      </c>
      <c r="L1744" s="268">
        <v>0.14649999999999999</v>
      </c>
      <c r="M1744" s="268">
        <v>9.4000000000000004E-3</v>
      </c>
      <c r="N1744" s="8">
        <v>50.65</v>
      </c>
      <c r="O1744" s="8">
        <v>2699.23</v>
      </c>
      <c r="P1744" s="268">
        <v>1.8800000000000001E-2</v>
      </c>
      <c r="Q1744" s="8">
        <v>169</v>
      </c>
      <c r="R1744" s="8">
        <v>0</v>
      </c>
      <c r="S1744" s="8" t="s">
        <v>10498</v>
      </c>
      <c r="T1744" s="8" t="s">
        <v>10499</v>
      </c>
      <c r="U1744" s="8" t="s">
        <v>5321</v>
      </c>
      <c r="V1744" s="8" t="s">
        <v>10500</v>
      </c>
      <c r="W1744" s="8" t="s">
        <v>10501</v>
      </c>
    </row>
    <row r="1745" spans="1:23" ht="28" customHeight="1" x14ac:dyDescent="0.3">
      <c r="A1745" s="308">
        <v>43671</v>
      </c>
      <c r="B1745" s="302">
        <v>1121.973</v>
      </c>
      <c r="C1745" s="8">
        <v>5.1059999999999999</v>
      </c>
      <c r="D1745" s="268">
        <v>4.5999999999999999E-3</v>
      </c>
      <c r="E1745" s="8">
        <v>60.49</v>
      </c>
      <c r="F1745" s="8">
        <v>108.88200000000001</v>
      </c>
      <c r="G1745" s="8">
        <v>105.94</v>
      </c>
      <c r="H1745" s="8">
        <v>92.26</v>
      </c>
      <c r="I1745" s="8">
        <v>131.36000000000001</v>
      </c>
      <c r="J1745" s="8">
        <v>66.67</v>
      </c>
      <c r="K1745" s="268">
        <v>0.22470000000000001</v>
      </c>
      <c r="L1745" s="268">
        <v>0.1389</v>
      </c>
      <c r="M1745" s="268">
        <v>1.04E-2</v>
      </c>
      <c r="N1745" s="8">
        <v>50.44</v>
      </c>
      <c r="O1745" s="8">
        <v>2699.23</v>
      </c>
      <c r="P1745" s="268">
        <v>1.8700000000000001E-2</v>
      </c>
      <c r="Q1745" s="8">
        <v>169</v>
      </c>
      <c r="R1745" s="8">
        <v>0</v>
      </c>
      <c r="S1745" s="8" t="s">
        <v>10502</v>
      </c>
      <c r="T1745" s="8" t="s">
        <v>10503</v>
      </c>
      <c r="U1745" s="8" t="s">
        <v>10504</v>
      </c>
      <c r="V1745" s="8" t="s">
        <v>10505</v>
      </c>
      <c r="W1745" s="8" t="s">
        <v>10506</v>
      </c>
    </row>
    <row r="1746" spans="1:23" ht="28" customHeight="1" x14ac:dyDescent="0.3">
      <c r="A1746" s="308">
        <v>43670</v>
      </c>
      <c r="B1746" s="302">
        <v>1116.867</v>
      </c>
      <c r="C1746" s="8">
        <v>3.5139999999999998</v>
      </c>
      <c r="D1746" s="268">
        <v>3.2000000000000002E-3</v>
      </c>
      <c r="E1746" s="8">
        <v>57.14</v>
      </c>
      <c r="F1746" s="8">
        <v>108.35299999999999</v>
      </c>
      <c r="G1746" s="8">
        <v>105.55</v>
      </c>
      <c r="H1746" s="8">
        <v>91.77</v>
      </c>
      <c r="I1746" s="8">
        <v>130.69</v>
      </c>
      <c r="J1746" s="8">
        <v>66.78</v>
      </c>
      <c r="K1746" s="268">
        <v>0.2233</v>
      </c>
      <c r="L1746" s="268">
        <v>0.14130000000000001</v>
      </c>
      <c r="M1746" s="268">
        <v>1.1299999999999999E-2</v>
      </c>
      <c r="N1746" s="8">
        <v>48.87</v>
      </c>
      <c r="O1746" s="8">
        <v>2699.23</v>
      </c>
      <c r="P1746" s="268">
        <v>1.8100000000000002E-2</v>
      </c>
      <c r="Q1746" s="8">
        <v>169</v>
      </c>
      <c r="R1746" s="8">
        <v>0</v>
      </c>
      <c r="S1746" s="8" t="s">
        <v>10507</v>
      </c>
      <c r="T1746" s="8" t="s">
        <v>10508</v>
      </c>
      <c r="U1746" s="8" t="s">
        <v>4070</v>
      </c>
      <c r="V1746" s="8" t="s">
        <v>3049</v>
      </c>
      <c r="W1746" s="8" t="s">
        <v>8125</v>
      </c>
    </row>
    <row r="1747" spans="1:23" ht="28" customHeight="1" x14ac:dyDescent="0.3">
      <c r="A1747" s="308">
        <v>43669</v>
      </c>
      <c r="B1747" s="302">
        <v>1113.3530000000001</v>
      </c>
      <c r="C1747" s="8">
        <v>2.5489999999999999</v>
      </c>
      <c r="D1747" s="268">
        <v>2.3E-3</v>
      </c>
      <c r="E1747" s="8">
        <v>54.57</v>
      </c>
      <c r="F1747" s="8">
        <v>108.044</v>
      </c>
      <c r="G1747" s="8">
        <v>105.255</v>
      </c>
      <c r="H1747" s="8">
        <v>91.1</v>
      </c>
      <c r="I1747" s="8">
        <v>131.47</v>
      </c>
      <c r="J1747" s="8">
        <v>76.38</v>
      </c>
      <c r="K1747" s="268">
        <v>0.23430000000000001</v>
      </c>
      <c r="L1747" s="268">
        <v>0.14349999999999999</v>
      </c>
      <c r="M1747" s="268">
        <v>1.1900000000000001E-2</v>
      </c>
      <c r="N1747" s="8">
        <v>39.28</v>
      </c>
      <c r="O1747" s="8">
        <v>2696.93</v>
      </c>
      <c r="P1747" s="268">
        <v>1.46E-2</v>
      </c>
      <c r="Q1747" s="8">
        <v>168</v>
      </c>
      <c r="R1747" s="8">
        <v>0</v>
      </c>
      <c r="S1747" s="8" t="s">
        <v>9402</v>
      </c>
      <c r="T1747" s="8" t="s">
        <v>10509</v>
      </c>
      <c r="U1747" s="8" t="s">
        <v>3679</v>
      </c>
      <c r="V1747" s="8" t="s">
        <v>10510</v>
      </c>
      <c r="W1747" s="8" t="s">
        <v>10511</v>
      </c>
    </row>
    <row r="1748" spans="1:23" ht="28" customHeight="1" x14ac:dyDescent="0.3">
      <c r="A1748" s="308">
        <v>43668</v>
      </c>
      <c r="B1748" s="302">
        <v>1110.8040000000001</v>
      </c>
      <c r="C1748" s="8">
        <v>-8.9179999999999993</v>
      </c>
      <c r="D1748" s="268">
        <v>-8.0000000000000002E-3</v>
      </c>
      <c r="E1748" s="8">
        <v>52.16</v>
      </c>
      <c r="F1748" s="8">
        <v>107.768</v>
      </c>
      <c r="G1748" s="8">
        <v>105.23</v>
      </c>
      <c r="H1748" s="8">
        <v>90.18</v>
      </c>
      <c r="I1748" s="8">
        <v>132.46</v>
      </c>
      <c r="J1748" s="8">
        <v>83.35</v>
      </c>
      <c r="K1748" s="268">
        <v>0.247</v>
      </c>
      <c r="L1748" s="268">
        <v>0.16930000000000001</v>
      </c>
      <c r="M1748" s="268">
        <v>1.24E-2</v>
      </c>
      <c r="N1748" s="8">
        <v>32.22</v>
      </c>
      <c r="O1748" s="8">
        <v>2718.4</v>
      </c>
      <c r="P1748" s="268">
        <v>1.1900000000000001E-2</v>
      </c>
      <c r="Q1748" s="8">
        <v>168</v>
      </c>
      <c r="R1748" s="8">
        <v>0</v>
      </c>
      <c r="S1748" s="8" t="s">
        <v>10512</v>
      </c>
      <c r="T1748" s="8" t="s">
        <v>10513</v>
      </c>
      <c r="U1748" s="8" t="s">
        <v>10514</v>
      </c>
      <c r="V1748" s="8" t="s">
        <v>9689</v>
      </c>
      <c r="W1748" s="8" t="s">
        <v>10515</v>
      </c>
    </row>
    <row r="1749" spans="1:23" ht="28" customHeight="1" x14ac:dyDescent="0.3">
      <c r="A1749" s="308">
        <v>43665</v>
      </c>
      <c r="B1749" s="302">
        <v>1119.722</v>
      </c>
      <c r="C1749" s="8">
        <v>1.9910000000000001</v>
      </c>
      <c r="D1749" s="268">
        <v>1.8E-3</v>
      </c>
      <c r="E1749" s="8">
        <v>58.82</v>
      </c>
      <c r="F1749" s="8">
        <v>108.718</v>
      </c>
      <c r="G1749" s="8">
        <v>106.126</v>
      </c>
      <c r="H1749" s="8">
        <v>92.78</v>
      </c>
      <c r="I1749" s="8">
        <v>130.94</v>
      </c>
      <c r="J1749" s="8">
        <v>70.92</v>
      </c>
      <c r="K1749" s="268">
        <v>0.22220000000000001</v>
      </c>
      <c r="L1749" s="268">
        <v>0.1452</v>
      </c>
      <c r="M1749" s="268">
        <v>1.06E-2</v>
      </c>
      <c r="N1749" s="8">
        <v>38.61</v>
      </c>
      <c r="O1749" s="8">
        <v>2718.4</v>
      </c>
      <c r="P1749" s="268">
        <v>1.4200000000000001E-2</v>
      </c>
      <c r="Q1749" s="8">
        <v>168</v>
      </c>
      <c r="R1749" s="8">
        <v>0</v>
      </c>
      <c r="S1749" s="8" t="s">
        <v>10516</v>
      </c>
      <c r="T1749" s="8" t="s">
        <v>10517</v>
      </c>
      <c r="U1749" s="8" t="s">
        <v>8744</v>
      </c>
      <c r="V1749" s="8" t="s">
        <v>8228</v>
      </c>
      <c r="W1749" s="8" t="s">
        <v>10518</v>
      </c>
    </row>
    <row r="1750" spans="1:23" ht="28" customHeight="1" x14ac:dyDescent="0.3">
      <c r="A1750" s="308">
        <v>43664</v>
      </c>
      <c r="B1750" s="302">
        <v>1117.731</v>
      </c>
      <c r="C1750" s="8">
        <v>-6.5069999999999997</v>
      </c>
      <c r="D1750" s="268">
        <v>-5.7999999999999996E-3</v>
      </c>
      <c r="E1750" s="8">
        <v>57.32</v>
      </c>
      <c r="F1750" s="8">
        <v>108.512</v>
      </c>
      <c r="G1750" s="8">
        <v>106.051</v>
      </c>
      <c r="H1750" s="8">
        <v>92.57</v>
      </c>
      <c r="I1750" s="8">
        <v>130.99</v>
      </c>
      <c r="J1750" s="8">
        <v>73.650000000000006</v>
      </c>
      <c r="K1750" s="268">
        <v>0.2248</v>
      </c>
      <c r="L1750" s="268">
        <v>0.14949999999999999</v>
      </c>
      <c r="M1750" s="268">
        <v>1.11E-2</v>
      </c>
      <c r="N1750" s="8">
        <v>32.78</v>
      </c>
      <c r="O1750" s="8">
        <v>2718.4</v>
      </c>
      <c r="P1750" s="268">
        <v>1.21E-2</v>
      </c>
      <c r="Q1750" s="8">
        <v>168</v>
      </c>
      <c r="R1750" s="8">
        <v>0</v>
      </c>
      <c r="S1750" s="8" t="s">
        <v>4792</v>
      </c>
      <c r="T1750" s="8" t="s">
        <v>10519</v>
      </c>
      <c r="U1750" s="8" t="s">
        <v>10520</v>
      </c>
      <c r="V1750" s="8" t="s">
        <v>10521</v>
      </c>
      <c r="W1750" s="8" t="s">
        <v>10522</v>
      </c>
    </row>
    <row r="1751" spans="1:23" ht="28" customHeight="1" x14ac:dyDescent="0.3">
      <c r="A1751" s="308">
        <v>43663</v>
      </c>
      <c r="B1751" s="302">
        <v>1124.2380000000001</v>
      </c>
      <c r="C1751" s="8">
        <v>2.746</v>
      </c>
      <c r="D1751" s="268">
        <v>2.3999999999999998E-3</v>
      </c>
      <c r="E1751" s="8">
        <v>61.41</v>
      </c>
      <c r="F1751" s="8">
        <v>109.20399999999999</v>
      </c>
      <c r="G1751" s="8">
        <v>106.429</v>
      </c>
      <c r="H1751" s="8">
        <v>94.08</v>
      </c>
      <c r="I1751" s="8">
        <v>130.09</v>
      </c>
      <c r="J1751" s="8">
        <v>62.54</v>
      </c>
      <c r="K1751" s="268">
        <v>0.2089</v>
      </c>
      <c r="L1751" s="268">
        <v>0.13489999999999999</v>
      </c>
      <c r="M1751" s="268">
        <v>9.9000000000000008E-3</v>
      </c>
      <c r="N1751" s="8">
        <v>37.479999999999997</v>
      </c>
      <c r="O1751" s="8">
        <v>2718.4</v>
      </c>
      <c r="P1751" s="268">
        <v>1.38E-2</v>
      </c>
      <c r="Q1751" s="8">
        <v>168</v>
      </c>
      <c r="R1751" s="8">
        <v>0</v>
      </c>
      <c r="S1751" s="8" t="s">
        <v>6564</v>
      </c>
      <c r="T1751" s="8" t="s">
        <v>10523</v>
      </c>
      <c r="U1751" s="8" t="s">
        <v>10524</v>
      </c>
      <c r="V1751" s="8" t="s">
        <v>10525</v>
      </c>
      <c r="W1751" s="8" t="s">
        <v>5772</v>
      </c>
    </row>
    <row r="1752" spans="1:23" ht="28" customHeight="1" x14ac:dyDescent="0.3">
      <c r="A1752" s="308">
        <v>43662</v>
      </c>
      <c r="B1752" s="302">
        <v>1121.492</v>
      </c>
      <c r="C1752" s="8">
        <v>1.1240000000000001</v>
      </c>
      <c r="D1752" s="268">
        <v>1E-3</v>
      </c>
      <c r="E1752" s="8">
        <v>58.94</v>
      </c>
      <c r="F1752" s="8">
        <v>108.907</v>
      </c>
      <c r="G1752" s="8">
        <v>106.283</v>
      </c>
      <c r="H1752" s="8">
        <v>94.98</v>
      </c>
      <c r="I1752" s="8">
        <v>129.9</v>
      </c>
      <c r="J1752" s="8">
        <v>61.77</v>
      </c>
      <c r="K1752" s="268">
        <v>0.2099</v>
      </c>
      <c r="L1752" s="268">
        <v>0.13450000000000001</v>
      </c>
      <c r="M1752" s="268">
        <v>1.0500000000000001E-2</v>
      </c>
      <c r="N1752" s="8">
        <v>38.409999999999997</v>
      </c>
      <c r="O1752" s="8">
        <v>2720.34</v>
      </c>
      <c r="P1752" s="268">
        <v>1.41E-2</v>
      </c>
      <c r="Q1752" s="8">
        <v>169</v>
      </c>
      <c r="R1752" s="8">
        <v>0</v>
      </c>
      <c r="S1752" s="8" t="s">
        <v>10526</v>
      </c>
      <c r="T1752" s="8" t="s">
        <v>10527</v>
      </c>
      <c r="U1752" s="8" t="s">
        <v>10528</v>
      </c>
      <c r="V1752" s="8" t="s">
        <v>10529</v>
      </c>
      <c r="W1752" s="8" t="s">
        <v>10530</v>
      </c>
    </row>
    <row r="1753" spans="1:23" ht="28" customHeight="1" x14ac:dyDescent="0.3">
      <c r="A1753" s="308">
        <v>43661</v>
      </c>
      <c r="B1753" s="302">
        <v>1120.3679999999999</v>
      </c>
      <c r="C1753" s="8">
        <v>2.1520000000000001</v>
      </c>
      <c r="D1753" s="268">
        <v>1.9E-3</v>
      </c>
      <c r="E1753" s="8">
        <v>58.58</v>
      </c>
      <c r="F1753" s="8">
        <v>108.81100000000001</v>
      </c>
      <c r="G1753" s="8">
        <v>105.875</v>
      </c>
      <c r="H1753" s="8">
        <v>92.77</v>
      </c>
      <c r="I1753" s="8">
        <v>130.13</v>
      </c>
      <c r="J1753" s="8">
        <v>63.43</v>
      </c>
      <c r="K1753" s="268">
        <v>0.2132</v>
      </c>
      <c r="L1753" s="268">
        <v>0.13439999999999999</v>
      </c>
      <c r="M1753" s="268">
        <v>1.06E-2</v>
      </c>
      <c r="N1753" s="8">
        <v>39.270000000000003</v>
      </c>
      <c r="O1753" s="8">
        <v>2715.44</v>
      </c>
      <c r="P1753" s="268">
        <v>1.4500000000000001E-2</v>
      </c>
      <c r="Q1753" s="8">
        <v>168</v>
      </c>
      <c r="R1753" s="8">
        <v>0</v>
      </c>
      <c r="S1753" s="8" t="s">
        <v>7173</v>
      </c>
      <c r="T1753" s="8" t="s">
        <v>10531</v>
      </c>
      <c r="U1753" s="8" t="s">
        <v>10532</v>
      </c>
      <c r="V1753" s="8" t="s">
        <v>10533</v>
      </c>
      <c r="W1753" s="8" t="s">
        <v>10534</v>
      </c>
    </row>
    <row r="1754" spans="1:23" ht="28" customHeight="1" x14ac:dyDescent="0.3">
      <c r="A1754" s="308">
        <v>43658</v>
      </c>
      <c r="B1754" s="302">
        <v>1118.2159999999999</v>
      </c>
      <c r="C1754" s="8">
        <v>2.1579999999999999</v>
      </c>
      <c r="D1754" s="268">
        <v>1.9E-3</v>
      </c>
      <c r="E1754" s="8">
        <v>59.43</v>
      </c>
      <c r="F1754" s="8">
        <v>108.574</v>
      </c>
      <c r="G1754" s="8">
        <v>105.855</v>
      </c>
      <c r="H1754" s="8">
        <v>91.73</v>
      </c>
      <c r="I1754" s="8">
        <v>130.24</v>
      </c>
      <c r="J1754" s="8">
        <v>67.23</v>
      </c>
      <c r="K1754" s="268">
        <v>0.21659999999999999</v>
      </c>
      <c r="L1754" s="268">
        <v>0.14280000000000001</v>
      </c>
      <c r="M1754" s="268">
        <v>1.09E-2</v>
      </c>
      <c r="N1754" s="8">
        <v>36.590000000000003</v>
      </c>
      <c r="O1754" s="8">
        <v>2715.44</v>
      </c>
      <c r="P1754" s="268">
        <v>1.35E-2</v>
      </c>
      <c r="Q1754" s="8">
        <v>168</v>
      </c>
      <c r="R1754" s="8">
        <v>0</v>
      </c>
      <c r="S1754" s="8" t="s">
        <v>10535</v>
      </c>
      <c r="T1754" s="8" t="s">
        <v>10536</v>
      </c>
      <c r="U1754" s="8" t="s">
        <v>10537</v>
      </c>
      <c r="V1754" s="8" t="s">
        <v>10538</v>
      </c>
      <c r="W1754" s="8" t="s">
        <v>2571</v>
      </c>
    </row>
    <row r="1755" spans="1:23" ht="28" customHeight="1" x14ac:dyDescent="0.3">
      <c r="A1755" s="308">
        <v>43657</v>
      </c>
      <c r="B1755" s="302">
        <v>1116.058</v>
      </c>
      <c r="C1755" s="8">
        <v>-0.16400000000000001</v>
      </c>
      <c r="D1755" s="268">
        <v>-1E-4</v>
      </c>
      <c r="E1755" s="8">
        <v>55.36</v>
      </c>
      <c r="F1755" s="8">
        <v>108.41</v>
      </c>
      <c r="G1755" s="8">
        <v>105.66</v>
      </c>
      <c r="H1755" s="8">
        <v>91.93</v>
      </c>
      <c r="I1755" s="8">
        <v>130.34</v>
      </c>
      <c r="J1755" s="8">
        <v>71.430000000000007</v>
      </c>
      <c r="K1755" s="268">
        <v>0.21929999999999999</v>
      </c>
      <c r="L1755" s="268">
        <v>0.15179999999999999</v>
      </c>
      <c r="M1755" s="268">
        <v>1.12E-2</v>
      </c>
      <c r="N1755" s="8">
        <v>41.76</v>
      </c>
      <c r="O1755" s="8">
        <v>2712.44</v>
      </c>
      <c r="P1755" s="268">
        <v>1.54E-2</v>
      </c>
      <c r="Q1755" s="8">
        <v>167</v>
      </c>
      <c r="R1755" s="8">
        <v>0</v>
      </c>
      <c r="S1755" s="8" t="s">
        <v>10539</v>
      </c>
      <c r="T1755" s="8" t="s">
        <v>10540</v>
      </c>
      <c r="U1755" s="8" t="s">
        <v>10528</v>
      </c>
      <c r="V1755" s="8" t="s">
        <v>10541</v>
      </c>
      <c r="W1755" s="8" t="s">
        <v>3768</v>
      </c>
    </row>
    <row r="1756" spans="1:23" ht="28" customHeight="1" x14ac:dyDescent="0.3">
      <c r="A1756" s="308">
        <v>43656</v>
      </c>
      <c r="B1756" s="302">
        <v>1116.222</v>
      </c>
      <c r="C1756" s="8">
        <v>-2.8660000000000001</v>
      </c>
      <c r="D1756" s="268">
        <v>-2.5999999999999999E-3</v>
      </c>
      <c r="E1756" s="8">
        <v>57.19</v>
      </c>
      <c r="F1756" s="8">
        <v>108.479</v>
      </c>
      <c r="G1756" s="8">
        <v>105.801</v>
      </c>
      <c r="H1756" s="8">
        <v>90.96</v>
      </c>
      <c r="I1756" s="8">
        <v>130.54</v>
      </c>
      <c r="J1756" s="8">
        <v>69.97</v>
      </c>
      <c r="K1756" s="268">
        <v>0.22059999999999999</v>
      </c>
      <c r="L1756" s="268">
        <v>0.15409999999999999</v>
      </c>
      <c r="M1756" s="268">
        <v>1.11E-2</v>
      </c>
      <c r="N1756" s="8">
        <v>40.159999999999997</v>
      </c>
      <c r="O1756" s="8">
        <v>2706.04</v>
      </c>
      <c r="P1756" s="268">
        <v>1.4800000000000001E-2</v>
      </c>
      <c r="Q1756" s="8">
        <v>166</v>
      </c>
      <c r="R1756" s="8">
        <v>0</v>
      </c>
      <c r="S1756" s="8" t="s">
        <v>10542</v>
      </c>
      <c r="T1756" s="8" t="s">
        <v>10543</v>
      </c>
      <c r="U1756" s="8" t="s">
        <v>10544</v>
      </c>
      <c r="V1756" s="8" t="s">
        <v>10545</v>
      </c>
      <c r="W1756" s="8" t="s">
        <v>10546</v>
      </c>
    </row>
    <row r="1757" spans="1:23" ht="28" customHeight="1" x14ac:dyDescent="0.3">
      <c r="A1757" s="308">
        <v>43655</v>
      </c>
      <c r="B1757" s="302">
        <v>1119.088</v>
      </c>
      <c r="C1757" s="8">
        <v>-0.64300000000000002</v>
      </c>
      <c r="D1757" s="268">
        <v>-5.9999999999999995E-4</v>
      </c>
      <c r="E1757" s="8">
        <v>57.53</v>
      </c>
      <c r="F1757" s="8">
        <v>108.81</v>
      </c>
      <c r="G1757" s="8">
        <v>105.97499999999999</v>
      </c>
      <c r="H1757" s="8">
        <v>91.25</v>
      </c>
      <c r="I1757" s="8">
        <v>130.37</v>
      </c>
      <c r="J1757" s="8">
        <v>66.67</v>
      </c>
      <c r="K1757" s="268">
        <v>0.21560000000000001</v>
      </c>
      <c r="L1757" s="268">
        <v>0.1464</v>
      </c>
      <c r="M1757" s="268">
        <v>1.06E-2</v>
      </c>
      <c r="N1757" s="8">
        <v>46.95</v>
      </c>
      <c r="O1757" s="8">
        <v>2706.04</v>
      </c>
      <c r="P1757" s="268">
        <v>1.7299999999999999E-2</v>
      </c>
      <c r="Q1757" s="8">
        <v>166</v>
      </c>
      <c r="R1757" s="8">
        <v>0</v>
      </c>
      <c r="S1757" s="8" t="s">
        <v>7147</v>
      </c>
      <c r="T1757" s="8" t="s">
        <v>10547</v>
      </c>
      <c r="U1757" s="8" t="s">
        <v>10548</v>
      </c>
      <c r="V1757" s="8" t="s">
        <v>10549</v>
      </c>
      <c r="W1757" s="8" t="s">
        <v>6428</v>
      </c>
    </row>
    <row r="1758" spans="1:23" ht="28" customHeight="1" x14ac:dyDescent="0.3">
      <c r="A1758" s="308">
        <v>43654</v>
      </c>
      <c r="B1758" s="302">
        <v>1119.731</v>
      </c>
      <c r="C1758" s="8">
        <v>-13.137</v>
      </c>
      <c r="D1758" s="268">
        <v>-1.1599999999999999E-2</v>
      </c>
      <c r="E1758" s="8">
        <v>55.35</v>
      </c>
      <c r="F1758" s="8">
        <v>108.85599999999999</v>
      </c>
      <c r="G1758" s="8">
        <v>105.88</v>
      </c>
      <c r="H1758" s="8">
        <v>90.84</v>
      </c>
      <c r="I1758" s="8">
        <v>130.84</v>
      </c>
      <c r="J1758" s="8">
        <v>69.84</v>
      </c>
      <c r="K1758" s="268">
        <v>0.21990000000000001</v>
      </c>
      <c r="L1758" s="268">
        <v>0.15490000000000001</v>
      </c>
      <c r="M1758" s="268">
        <v>1.0500000000000001E-2</v>
      </c>
      <c r="N1758" s="8">
        <v>49.26</v>
      </c>
      <c r="O1758" s="8">
        <v>2684.34</v>
      </c>
      <c r="P1758" s="268">
        <v>1.84E-2</v>
      </c>
      <c r="Q1758" s="8">
        <v>165</v>
      </c>
      <c r="R1758" s="8">
        <v>0</v>
      </c>
      <c r="S1758" s="8" t="s">
        <v>10550</v>
      </c>
      <c r="T1758" s="8" t="s">
        <v>10551</v>
      </c>
      <c r="U1758" s="8" t="s">
        <v>10169</v>
      </c>
      <c r="V1758" s="8" t="s">
        <v>10552</v>
      </c>
      <c r="W1758" s="8" t="s">
        <v>10553</v>
      </c>
    </row>
    <row r="1759" spans="1:23" ht="28" customHeight="1" x14ac:dyDescent="0.3">
      <c r="A1759" s="308">
        <v>43651</v>
      </c>
      <c r="B1759" s="302">
        <v>1132.8679999999999</v>
      </c>
      <c r="C1759" s="8">
        <v>-0.441</v>
      </c>
      <c r="D1759" s="268">
        <v>-4.0000000000000002E-4</v>
      </c>
      <c r="E1759" s="8">
        <v>65</v>
      </c>
      <c r="F1759" s="8">
        <v>110.292</v>
      </c>
      <c r="G1759" s="8">
        <v>107.137</v>
      </c>
      <c r="H1759" s="8">
        <v>93.94</v>
      </c>
      <c r="I1759" s="8">
        <v>129.80000000000001</v>
      </c>
      <c r="J1759" s="8">
        <v>55.38</v>
      </c>
      <c r="K1759" s="268">
        <v>0.19500000000000001</v>
      </c>
      <c r="L1759" s="268">
        <v>0.1285</v>
      </c>
      <c r="M1759" s="268">
        <v>7.9000000000000008E-3</v>
      </c>
      <c r="N1759" s="8">
        <v>64.790000000000006</v>
      </c>
      <c r="O1759" s="8">
        <v>2676.34</v>
      </c>
      <c r="P1759" s="268">
        <v>2.4199999999999999E-2</v>
      </c>
      <c r="Q1759" s="8">
        <v>164</v>
      </c>
      <c r="R1759" s="8">
        <v>0</v>
      </c>
      <c r="S1759" s="8" t="s">
        <v>10554</v>
      </c>
      <c r="T1759" s="8" t="s">
        <v>10555</v>
      </c>
      <c r="U1759" s="8" t="s">
        <v>10556</v>
      </c>
      <c r="V1759" s="8" t="s">
        <v>10557</v>
      </c>
      <c r="W1759" s="8" t="s">
        <v>10558</v>
      </c>
    </row>
    <row r="1760" spans="1:23" ht="28" customHeight="1" x14ac:dyDescent="0.3">
      <c r="A1760" s="308">
        <v>43650</v>
      </c>
      <c r="B1760" s="302">
        <v>1133.309</v>
      </c>
      <c r="C1760" s="8">
        <v>-0.26100000000000001</v>
      </c>
      <c r="D1760" s="268">
        <v>-2.0000000000000001E-4</v>
      </c>
      <c r="E1760" s="8">
        <v>65.63</v>
      </c>
      <c r="F1760" s="8">
        <v>110.565</v>
      </c>
      <c r="G1760" s="8">
        <v>107.13</v>
      </c>
      <c r="H1760" s="8">
        <v>94.1</v>
      </c>
      <c r="I1760" s="8">
        <v>130.28</v>
      </c>
      <c r="J1760" s="8">
        <v>53.83</v>
      </c>
      <c r="K1760" s="268">
        <v>0.1971</v>
      </c>
      <c r="L1760" s="268">
        <v>0.13450000000000001</v>
      </c>
      <c r="M1760" s="268">
        <v>7.4000000000000003E-3</v>
      </c>
      <c r="N1760" s="8">
        <v>82.67</v>
      </c>
      <c r="O1760" s="8">
        <v>2672.98</v>
      </c>
      <c r="P1760" s="268">
        <v>3.09E-2</v>
      </c>
      <c r="Q1760" s="8">
        <v>164</v>
      </c>
      <c r="R1760" s="8">
        <v>0</v>
      </c>
      <c r="S1760" s="8" t="s">
        <v>2497</v>
      </c>
      <c r="T1760" s="8" t="s">
        <v>10559</v>
      </c>
      <c r="U1760" s="8" t="s">
        <v>2399</v>
      </c>
      <c r="V1760" s="8" t="s">
        <v>10560</v>
      </c>
      <c r="W1760" s="8" t="s">
        <v>3914</v>
      </c>
    </row>
    <row r="1761" spans="1:23" ht="28" customHeight="1" x14ac:dyDescent="0.3">
      <c r="A1761" s="308">
        <v>43649</v>
      </c>
      <c r="B1761" s="302">
        <v>1133.57</v>
      </c>
      <c r="C1761" s="8">
        <v>-4.5199999999999996</v>
      </c>
      <c r="D1761" s="268">
        <v>-4.0000000000000001E-3</v>
      </c>
      <c r="E1761" s="8">
        <v>66.180000000000007</v>
      </c>
      <c r="F1761" s="8">
        <v>110.645</v>
      </c>
      <c r="G1761" s="8">
        <v>107.08499999999999</v>
      </c>
      <c r="H1761" s="8">
        <v>93.53</v>
      </c>
      <c r="I1761" s="8">
        <v>130.38</v>
      </c>
      <c r="J1761" s="8">
        <v>55.35</v>
      </c>
      <c r="K1761" s="268">
        <v>0.19739999999999999</v>
      </c>
      <c r="L1761" s="268">
        <v>0.13489999999999999</v>
      </c>
      <c r="M1761" s="268">
        <v>7.4000000000000003E-3</v>
      </c>
      <c r="N1761" s="8">
        <v>74.09</v>
      </c>
      <c r="O1761" s="8">
        <v>2672.98</v>
      </c>
      <c r="P1761" s="268">
        <v>2.7699999999999999E-2</v>
      </c>
      <c r="Q1761" s="8">
        <v>164</v>
      </c>
      <c r="R1761" s="8">
        <v>0</v>
      </c>
      <c r="S1761" s="8" t="s">
        <v>10561</v>
      </c>
      <c r="T1761" s="8" t="s">
        <v>9310</v>
      </c>
      <c r="U1761" s="8" t="s">
        <v>7292</v>
      </c>
      <c r="V1761" s="8" t="s">
        <v>10562</v>
      </c>
      <c r="W1761" s="8" t="s">
        <v>10563</v>
      </c>
    </row>
    <row r="1762" spans="1:23" ht="28" customHeight="1" x14ac:dyDescent="0.3">
      <c r="A1762" s="308">
        <v>43648</v>
      </c>
      <c r="B1762" s="302">
        <v>1138.0899999999999</v>
      </c>
      <c r="C1762" s="8">
        <v>-0.50800000000000001</v>
      </c>
      <c r="D1762" s="268">
        <v>-4.0000000000000002E-4</v>
      </c>
      <c r="E1762" s="8">
        <v>68.75</v>
      </c>
      <c r="F1762" s="8">
        <v>111.212</v>
      </c>
      <c r="G1762" s="8">
        <v>107.29</v>
      </c>
      <c r="H1762" s="8">
        <v>94.35</v>
      </c>
      <c r="I1762" s="8">
        <v>130.19999999999999</v>
      </c>
      <c r="J1762" s="8">
        <v>49.57</v>
      </c>
      <c r="K1762" s="268">
        <v>0.18990000000000001</v>
      </c>
      <c r="L1762" s="268">
        <v>0.129</v>
      </c>
      <c r="M1762" s="268">
        <v>6.6E-3</v>
      </c>
      <c r="N1762" s="8">
        <v>86.96</v>
      </c>
      <c r="O1762" s="8">
        <v>2672.98</v>
      </c>
      <c r="P1762" s="268">
        <v>3.2500000000000001E-2</v>
      </c>
      <c r="Q1762" s="8">
        <v>164</v>
      </c>
      <c r="R1762" s="8">
        <v>0</v>
      </c>
      <c r="S1762" s="8" t="s">
        <v>10564</v>
      </c>
      <c r="T1762" s="8" t="s">
        <v>10565</v>
      </c>
      <c r="U1762" s="8" t="s">
        <v>10566</v>
      </c>
      <c r="V1762" s="8" t="s">
        <v>10567</v>
      </c>
      <c r="W1762" s="8" t="s">
        <v>10568</v>
      </c>
    </row>
    <row r="1763" spans="1:23" ht="28" customHeight="1" x14ac:dyDescent="0.3">
      <c r="A1763" s="308">
        <v>43647</v>
      </c>
      <c r="B1763" s="302">
        <v>1138.598</v>
      </c>
      <c r="C1763" s="8">
        <v>17.516999999999999</v>
      </c>
      <c r="D1763" s="268">
        <v>1.5599999999999999E-2</v>
      </c>
      <c r="E1763" s="8">
        <v>68.319999999999993</v>
      </c>
      <c r="F1763" s="8">
        <v>111.503</v>
      </c>
      <c r="G1763" s="8">
        <v>106.794</v>
      </c>
      <c r="H1763" s="8">
        <v>94.86</v>
      </c>
      <c r="I1763" s="8">
        <v>130.88999999999999</v>
      </c>
      <c r="J1763" s="8">
        <v>48.58</v>
      </c>
      <c r="K1763" s="268">
        <v>0.19389999999999999</v>
      </c>
      <c r="L1763" s="268">
        <v>0.13370000000000001</v>
      </c>
      <c r="M1763" s="268">
        <v>6.6E-3</v>
      </c>
      <c r="N1763" s="8">
        <v>89.7</v>
      </c>
      <c r="O1763" s="8">
        <v>2664.61</v>
      </c>
      <c r="P1763" s="268">
        <v>3.3700000000000001E-2</v>
      </c>
      <c r="Q1763" s="8">
        <v>162</v>
      </c>
      <c r="R1763" s="8">
        <v>0</v>
      </c>
      <c r="S1763" s="8" t="s">
        <v>10569</v>
      </c>
      <c r="T1763" s="8" t="s">
        <v>10570</v>
      </c>
      <c r="U1763" s="8" t="s">
        <v>10571</v>
      </c>
      <c r="V1763" s="8" t="s">
        <v>10572</v>
      </c>
      <c r="W1763" s="8" t="s">
        <v>10573</v>
      </c>
    </row>
    <row r="1764" spans="1:23" ht="28" customHeight="1" x14ac:dyDescent="0.3">
      <c r="A1764" s="308">
        <v>43644</v>
      </c>
      <c r="B1764" s="302">
        <v>1121.0809999999999</v>
      </c>
      <c r="C1764" s="8">
        <v>-0.11899999999999999</v>
      </c>
      <c r="D1764" s="268">
        <v>-1E-4</v>
      </c>
      <c r="E1764" s="8">
        <v>58.45</v>
      </c>
      <c r="F1764" s="8">
        <v>109.60899999999999</v>
      </c>
      <c r="G1764" s="8">
        <v>105.52500000000001</v>
      </c>
      <c r="H1764" s="8">
        <v>92.49</v>
      </c>
      <c r="I1764" s="8">
        <v>130.84</v>
      </c>
      <c r="J1764" s="8">
        <v>60.44</v>
      </c>
      <c r="K1764" s="268">
        <v>0.21229999999999999</v>
      </c>
      <c r="L1764" s="268">
        <v>0.13669999999999999</v>
      </c>
      <c r="M1764" s="268">
        <v>9.5999999999999992E-3</v>
      </c>
      <c r="N1764" s="8">
        <v>46.62</v>
      </c>
      <c r="O1764" s="8">
        <v>2664.61</v>
      </c>
      <c r="P1764" s="268">
        <v>1.7500000000000002E-2</v>
      </c>
      <c r="Q1764" s="8">
        <v>162</v>
      </c>
      <c r="R1764" s="8">
        <v>0</v>
      </c>
      <c r="S1764" s="8" t="s">
        <v>10574</v>
      </c>
      <c r="T1764" s="8" t="s">
        <v>10575</v>
      </c>
      <c r="U1764" s="8" t="s">
        <v>10576</v>
      </c>
      <c r="V1764" s="8" t="s">
        <v>10447</v>
      </c>
      <c r="W1764" s="8" t="s">
        <v>10577</v>
      </c>
    </row>
    <row r="1765" spans="1:23" ht="28" customHeight="1" x14ac:dyDescent="0.3">
      <c r="A1765" s="308">
        <v>43643</v>
      </c>
      <c r="B1765" s="302">
        <v>1121.2</v>
      </c>
      <c r="C1765" s="8">
        <v>6.649</v>
      </c>
      <c r="D1765" s="268">
        <v>6.0000000000000001E-3</v>
      </c>
      <c r="E1765" s="8">
        <v>60.77</v>
      </c>
      <c r="F1765" s="8">
        <v>109.64</v>
      </c>
      <c r="G1765" s="8">
        <v>106.11499999999999</v>
      </c>
      <c r="H1765" s="8">
        <v>93.52</v>
      </c>
      <c r="I1765" s="8">
        <v>129.46</v>
      </c>
      <c r="J1765" s="8">
        <v>50.37</v>
      </c>
      <c r="K1765" s="268">
        <v>0.19819999999999999</v>
      </c>
      <c r="L1765" s="268">
        <v>0.13550000000000001</v>
      </c>
      <c r="M1765" s="268">
        <v>9.4999999999999998E-3</v>
      </c>
      <c r="N1765" s="8">
        <v>74.97</v>
      </c>
      <c r="O1765" s="8">
        <v>2664.61</v>
      </c>
      <c r="P1765" s="268">
        <v>2.81E-2</v>
      </c>
      <c r="Q1765" s="8">
        <v>162</v>
      </c>
      <c r="R1765" s="8">
        <v>0</v>
      </c>
      <c r="S1765" s="8" t="s">
        <v>10578</v>
      </c>
      <c r="T1765" s="8" t="s">
        <v>10294</v>
      </c>
      <c r="U1765" s="8" t="s">
        <v>10579</v>
      </c>
      <c r="V1765" s="8" t="s">
        <v>10580</v>
      </c>
      <c r="W1765" s="8" t="s">
        <v>10581</v>
      </c>
    </row>
    <row r="1766" spans="1:23" ht="28" customHeight="1" x14ac:dyDescent="0.3">
      <c r="A1766" s="308">
        <v>43642</v>
      </c>
      <c r="B1766" s="302">
        <v>1114.5509999999999</v>
      </c>
      <c r="C1766" s="8">
        <v>3.5289999999999999</v>
      </c>
      <c r="D1766" s="268">
        <v>3.2000000000000002E-3</v>
      </c>
      <c r="E1766" s="8">
        <v>54.55</v>
      </c>
      <c r="F1766" s="8">
        <v>108.892</v>
      </c>
      <c r="G1766" s="8">
        <v>105.58</v>
      </c>
      <c r="H1766" s="8">
        <v>92.04</v>
      </c>
      <c r="I1766" s="8">
        <v>129.11000000000001</v>
      </c>
      <c r="J1766" s="8">
        <v>53.71</v>
      </c>
      <c r="K1766" s="268">
        <v>0.20219999999999999</v>
      </c>
      <c r="L1766" s="268">
        <v>0.14180000000000001</v>
      </c>
      <c r="M1766" s="268">
        <v>1.09E-2</v>
      </c>
      <c r="N1766" s="8">
        <v>40.450000000000003</v>
      </c>
      <c r="O1766" s="8">
        <v>2653.44</v>
      </c>
      <c r="P1766" s="268">
        <v>1.52E-2</v>
      </c>
      <c r="Q1766" s="8">
        <v>161</v>
      </c>
      <c r="R1766" s="8">
        <v>0</v>
      </c>
      <c r="S1766" s="8" t="s">
        <v>9427</v>
      </c>
      <c r="T1766" s="8" t="s">
        <v>7822</v>
      </c>
      <c r="U1766" s="8" t="s">
        <v>10582</v>
      </c>
      <c r="V1766" s="8" t="s">
        <v>10583</v>
      </c>
      <c r="W1766" s="8" t="s">
        <v>5820</v>
      </c>
    </row>
    <row r="1767" spans="1:23" ht="28" customHeight="1" x14ac:dyDescent="0.3">
      <c r="A1767" s="308">
        <v>43641</v>
      </c>
      <c r="B1767" s="302">
        <v>1111.0219999999999</v>
      </c>
      <c r="C1767" s="8">
        <v>-5.25</v>
      </c>
      <c r="D1767" s="268">
        <v>-4.7000000000000002E-3</v>
      </c>
      <c r="E1767" s="8">
        <v>51.28</v>
      </c>
      <c r="F1767" s="8">
        <v>108.54300000000001</v>
      </c>
      <c r="G1767" s="8">
        <v>105.5</v>
      </c>
      <c r="H1767" s="8">
        <v>92.58</v>
      </c>
      <c r="I1767" s="8">
        <v>128.22</v>
      </c>
      <c r="J1767" s="8">
        <v>51.22</v>
      </c>
      <c r="K1767" s="268">
        <v>0.1968</v>
      </c>
      <c r="L1767" s="268">
        <v>0.13370000000000001</v>
      </c>
      <c r="M1767" s="268">
        <v>1.15E-2</v>
      </c>
      <c r="N1767" s="8">
        <v>51.23</v>
      </c>
      <c r="O1767" s="8">
        <v>2653.44</v>
      </c>
      <c r="P1767" s="268">
        <v>1.9300000000000001E-2</v>
      </c>
      <c r="Q1767" s="8">
        <v>161</v>
      </c>
      <c r="R1767" s="8">
        <v>0</v>
      </c>
      <c r="S1767" s="8" t="s">
        <v>10584</v>
      </c>
      <c r="T1767" s="8" t="s">
        <v>10585</v>
      </c>
      <c r="U1767" s="8" t="s">
        <v>10586</v>
      </c>
      <c r="V1767" s="8" t="s">
        <v>10587</v>
      </c>
      <c r="W1767" s="8" t="s">
        <v>10276</v>
      </c>
    </row>
    <row r="1768" spans="1:23" ht="28" customHeight="1" x14ac:dyDescent="0.3">
      <c r="A1768" s="308">
        <v>43640</v>
      </c>
      <c r="B1768" s="302">
        <v>1116.2719999999999</v>
      </c>
      <c r="C1768" s="8">
        <v>-0.64900000000000002</v>
      </c>
      <c r="D1768" s="268">
        <v>-5.9999999999999995E-4</v>
      </c>
      <c r="E1768" s="8">
        <v>57.32</v>
      </c>
      <c r="F1768" s="8">
        <v>109.13500000000001</v>
      </c>
      <c r="G1768" s="8">
        <v>105.71</v>
      </c>
      <c r="H1768" s="8">
        <v>92.43</v>
      </c>
      <c r="I1768" s="8">
        <v>128.13999999999999</v>
      </c>
      <c r="J1768" s="8">
        <v>43.98</v>
      </c>
      <c r="K1768" s="268">
        <v>0.19</v>
      </c>
      <c r="L1768" s="268">
        <v>0.1288</v>
      </c>
      <c r="M1768" s="268">
        <v>1.04E-2</v>
      </c>
      <c r="N1768" s="8">
        <v>44.54</v>
      </c>
      <c r="O1768" s="8">
        <v>2651.52</v>
      </c>
      <c r="P1768" s="268">
        <v>1.6799999999999999E-2</v>
      </c>
      <c r="Q1768" s="8">
        <v>160</v>
      </c>
      <c r="R1768" s="8">
        <v>0</v>
      </c>
      <c r="S1768" s="8" t="s">
        <v>6626</v>
      </c>
      <c r="T1768" s="8" t="s">
        <v>10588</v>
      </c>
      <c r="U1768" s="8" t="s">
        <v>10589</v>
      </c>
      <c r="V1768" s="8" t="s">
        <v>10590</v>
      </c>
      <c r="W1768" s="8" t="s">
        <v>6694</v>
      </c>
    </row>
    <row r="1769" spans="1:23" ht="28" customHeight="1" x14ac:dyDescent="0.3">
      <c r="A1769" s="308">
        <v>43637</v>
      </c>
      <c r="B1769" s="302">
        <v>1116.921</v>
      </c>
      <c r="C1769" s="8">
        <v>10.867000000000001</v>
      </c>
      <c r="D1769" s="268">
        <v>9.7999999999999997E-3</v>
      </c>
      <c r="E1769" s="8">
        <v>58.7</v>
      </c>
      <c r="F1769" s="8">
        <v>109.306</v>
      </c>
      <c r="G1769" s="8">
        <v>105.815</v>
      </c>
      <c r="H1769" s="8">
        <v>92.76</v>
      </c>
      <c r="I1769" s="8">
        <v>128.4</v>
      </c>
      <c r="J1769" s="8">
        <v>44.96</v>
      </c>
      <c r="K1769" s="268">
        <v>0.19089999999999999</v>
      </c>
      <c r="L1769" s="268">
        <v>0.13300000000000001</v>
      </c>
      <c r="M1769" s="268">
        <v>0.01</v>
      </c>
      <c r="N1769" s="8">
        <v>62.15</v>
      </c>
      <c r="O1769" s="8">
        <v>2650.74</v>
      </c>
      <c r="P1769" s="268">
        <v>2.3400000000000001E-2</v>
      </c>
      <c r="Q1769" s="8">
        <v>160</v>
      </c>
      <c r="R1769" s="8">
        <v>0</v>
      </c>
      <c r="S1769" s="8" t="s">
        <v>10591</v>
      </c>
      <c r="T1769" s="8" t="s">
        <v>10592</v>
      </c>
      <c r="U1769" s="8" t="s">
        <v>10593</v>
      </c>
      <c r="V1769" s="8" t="s">
        <v>10594</v>
      </c>
      <c r="W1769" s="8" t="s">
        <v>8096</v>
      </c>
    </row>
    <row r="1770" spans="1:23" ht="28" customHeight="1" x14ac:dyDescent="0.3">
      <c r="A1770" s="308">
        <v>43636</v>
      </c>
      <c r="B1770" s="302">
        <v>1106.0540000000001</v>
      </c>
      <c r="C1770" s="8">
        <v>12.691000000000001</v>
      </c>
      <c r="D1770" s="268">
        <v>1.1599999999999999E-2</v>
      </c>
      <c r="E1770" s="8">
        <v>49.81</v>
      </c>
      <c r="F1770" s="8">
        <v>108.28100000000001</v>
      </c>
      <c r="G1770" s="8">
        <v>104.63</v>
      </c>
      <c r="H1770" s="8">
        <v>90.95</v>
      </c>
      <c r="I1770" s="8">
        <v>128.11000000000001</v>
      </c>
      <c r="J1770" s="8">
        <v>46.9</v>
      </c>
      <c r="K1770" s="268">
        <v>0.1983</v>
      </c>
      <c r="L1770" s="268">
        <v>0.13320000000000001</v>
      </c>
      <c r="M1770" s="268">
        <v>1.2200000000000001E-2</v>
      </c>
      <c r="N1770" s="8">
        <v>81.7</v>
      </c>
      <c r="O1770" s="8">
        <v>2650.74</v>
      </c>
      <c r="P1770" s="268">
        <v>3.0800000000000001E-2</v>
      </c>
      <c r="Q1770" s="8">
        <v>160</v>
      </c>
      <c r="R1770" s="8">
        <v>0</v>
      </c>
      <c r="S1770" s="8" t="s">
        <v>10053</v>
      </c>
      <c r="T1770" s="8" t="s">
        <v>10595</v>
      </c>
      <c r="U1770" s="8" t="s">
        <v>10596</v>
      </c>
      <c r="V1770" s="8" t="s">
        <v>10597</v>
      </c>
      <c r="W1770" s="8" t="s">
        <v>10598</v>
      </c>
    </row>
    <row r="1771" spans="1:23" ht="28" customHeight="1" x14ac:dyDescent="0.3">
      <c r="A1771" s="308">
        <v>43635</v>
      </c>
      <c r="B1771" s="302">
        <v>1093.3630000000001</v>
      </c>
      <c r="C1771" s="8">
        <v>6.8979999999999997</v>
      </c>
      <c r="D1771" s="268">
        <v>6.4000000000000003E-3</v>
      </c>
      <c r="E1771" s="8">
        <v>38.24</v>
      </c>
      <c r="F1771" s="8">
        <v>107.01900000000001</v>
      </c>
      <c r="G1771" s="8">
        <v>103.02500000000001</v>
      </c>
      <c r="H1771" s="8">
        <v>89.6</v>
      </c>
      <c r="I1771" s="8">
        <v>127.84</v>
      </c>
      <c r="J1771" s="8">
        <v>52.93</v>
      </c>
      <c r="K1771" s="268">
        <v>0.2082</v>
      </c>
      <c r="L1771" s="268">
        <v>0.14410000000000001</v>
      </c>
      <c r="M1771" s="268">
        <v>1.46E-2</v>
      </c>
      <c r="N1771" s="8">
        <v>58.76</v>
      </c>
      <c r="O1771" s="8">
        <v>2650.74</v>
      </c>
      <c r="P1771" s="268">
        <v>2.2200000000000001E-2</v>
      </c>
      <c r="Q1771" s="8">
        <v>160</v>
      </c>
      <c r="R1771" s="8">
        <v>0</v>
      </c>
      <c r="S1771" s="8" t="s">
        <v>10599</v>
      </c>
      <c r="T1771" s="8" t="s">
        <v>10600</v>
      </c>
      <c r="U1771" s="8" t="s">
        <v>10601</v>
      </c>
      <c r="V1771" s="8" t="s">
        <v>5253</v>
      </c>
      <c r="W1771" s="8" t="s">
        <v>10602</v>
      </c>
    </row>
    <row r="1772" spans="1:23" ht="28" customHeight="1" x14ac:dyDescent="0.3">
      <c r="A1772" s="308">
        <v>43634</v>
      </c>
      <c r="B1772" s="302">
        <v>1086.4649999999999</v>
      </c>
      <c r="C1772" s="8">
        <v>-0.63</v>
      </c>
      <c r="D1772" s="268">
        <v>-5.9999999999999995E-4</v>
      </c>
      <c r="E1772" s="8">
        <v>31.63</v>
      </c>
      <c r="F1772" s="8">
        <v>106.295</v>
      </c>
      <c r="G1772" s="8">
        <v>102.67</v>
      </c>
      <c r="H1772" s="8">
        <v>88.17</v>
      </c>
      <c r="I1772" s="8">
        <v>128.19</v>
      </c>
      <c r="J1772" s="8">
        <v>60.91</v>
      </c>
      <c r="K1772" s="268">
        <v>0.21890000000000001</v>
      </c>
      <c r="L1772" s="268">
        <v>0.15260000000000001</v>
      </c>
      <c r="M1772" s="268">
        <v>1.5800000000000002E-2</v>
      </c>
      <c r="N1772" s="8">
        <v>50.81</v>
      </c>
      <c r="O1772" s="8">
        <v>2650.74</v>
      </c>
      <c r="P1772" s="268">
        <v>1.9199999999999998E-2</v>
      </c>
      <c r="Q1772" s="8">
        <v>160</v>
      </c>
      <c r="R1772" s="8">
        <v>0</v>
      </c>
      <c r="S1772" s="8" t="s">
        <v>10603</v>
      </c>
      <c r="T1772" s="8" t="s">
        <v>5131</v>
      </c>
      <c r="U1772" s="8" t="s">
        <v>10604</v>
      </c>
      <c r="V1772" s="8" t="s">
        <v>10605</v>
      </c>
      <c r="W1772" s="8" t="s">
        <v>10606</v>
      </c>
    </row>
    <row r="1773" spans="1:23" ht="28" customHeight="1" x14ac:dyDescent="0.3">
      <c r="A1773" s="308">
        <v>43633</v>
      </c>
      <c r="B1773" s="302">
        <v>1087.095</v>
      </c>
      <c r="C1773" s="8">
        <v>-1.9790000000000001</v>
      </c>
      <c r="D1773" s="268">
        <v>-1.8E-3</v>
      </c>
      <c r="E1773" s="8">
        <v>32.26</v>
      </c>
      <c r="F1773" s="8">
        <v>106.38800000000001</v>
      </c>
      <c r="G1773" s="8">
        <v>103.03</v>
      </c>
      <c r="H1773" s="8">
        <v>88.55</v>
      </c>
      <c r="I1773" s="8">
        <v>128.30000000000001</v>
      </c>
      <c r="J1773" s="8">
        <v>62.1</v>
      </c>
      <c r="K1773" s="268">
        <v>0.21909999999999999</v>
      </c>
      <c r="L1773" s="268">
        <v>0.1547</v>
      </c>
      <c r="M1773" s="268">
        <v>1.5599999999999999E-2</v>
      </c>
      <c r="N1773" s="8">
        <v>44.38</v>
      </c>
      <c r="O1773" s="8">
        <v>2633.41</v>
      </c>
      <c r="P1773" s="268">
        <v>1.6899999999999998E-2</v>
      </c>
      <c r="Q1773" s="8">
        <v>159</v>
      </c>
      <c r="R1773" s="8">
        <v>0</v>
      </c>
      <c r="S1773" s="8" t="s">
        <v>10607</v>
      </c>
      <c r="T1773" s="8" t="s">
        <v>10608</v>
      </c>
      <c r="U1773" s="8" t="s">
        <v>10609</v>
      </c>
      <c r="V1773" s="8" t="s">
        <v>10610</v>
      </c>
      <c r="W1773" s="8" t="s">
        <v>5833</v>
      </c>
    </row>
    <row r="1774" spans="1:23" ht="28" customHeight="1" x14ac:dyDescent="0.3">
      <c r="A1774" s="308">
        <v>43630</v>
      </c>
      <c r="B1774" s="302">
        <v>1089.0740000000001</v>
      </c>
      <c r="C1774" s="8">
        <v>-7.8819999999999997</v>
      </c>
      <c r="D1774" s="268">
        <v>-7.1999999999999998E-3</v>
      </c>
      <c r="E1774" s="8">
        <v>34.119999999999997</v>
      </c>
      <c r="F1774" s="8">
        <v>106.54300000000001</v>
      </c>
      <c r="G1774" s="8">
        <v>103.399</v>
      </c>
      <c r="H1774" s="8">
        <v>88.57</v>
      </c>
      <c r="I1774" s="8">
        <v>128.6</v>
      </c>
      <c r="J1774" s="8">
        <v>62.73</v>
      </c>
      <c r="K1774" s="268">
        <v>0.2205</v>
      </c>
      <c r="L1774" s="268">
        <v>0.15279999999999999</v>
      </c>
      <c r="M1774" s="268">
        <v>1.52E-2</v>
      </c>
      <c r="N1774" s="8">
        <v>49.94</v>
      </c>
      <c r="O1774" s="8">
        <v>2645.36</v>
      </c>
      <c r="P1774" s="268">
        <v>1.89E-2</v>
      </c>
      <c r="Q1774" s="8">
        <v>160</v>
      </c>
      <c r="R1774" s="8">
        <v>0</v>
      </c>
      <c r="S1774" s="8" t="s">
        <v>10611</v>
      </c>
      <c r="T1774" s="8" t="s">
        <v>10612</v>
      </c>
      <c r="U1774" s="8" t="s">
        <v>10613</v>
      </c>
      <c r="V1774" s="8" t="s">
        <v>10614</v>
      </c>
      <c r="W1774" s="8" t="s">
        <v>10615</v>
      </c>
    </row>
    <row r="1775" spans="1:23" ht="28" customHeight="1" x14ac:dyDescent="0.3">
      <c r="A1775" s="308">
        <v>43629</v>
      </c>
      <c r="B1775" s="302">
        <v>1096.9559999999999</v>
      </c>
      <c r="C1775" s="8">
        <v>0.41199999999999998</v>
      </c>
      <c r="D1775" s="268">
        <v>4.0000000000000002E-4</v>
      </c>
      <c r="E1775" s="8">
        <v>38.99</v>
      </c>
      <c r="F1775" s="8">
        <v>107.399</v>
      </c>
      <c r="G1775" s="8">
        <v>104.12</v>
      </c>
      <c r="H1775" s="8">
        <v>90.55</v>
      </c>
      <c r="I1775" s="8">
        <v>127.87</v>
      </c>
      <c r="J1775" s="8">
        <v>53.36</v>
      </c>
      <c r="K1775" s="268">
        <v>0.20469999999999999</v>
      </c>
      <c r="L1775" s="268">
        <v>0.1399</v>
      </c>
      <c r="M1775" s="268">
        <v>1.37E-2</v>
      </c>
      <c r="N1775" s="8">
        <v>60.65</v>
      </c>
      <c r="O1775" s="8">
        <v>2645.36</v>
      </c>
      <c r="P1775" s="268">
        <v>2.29E-2</v>
      </c>
      <c r="Q1775" s="8">
        <v>160</v>
      </c>
      <c r="R1775" s="8">
        <v>0</v>
      </c>
      <c r="S1775" s="8" t="s">
        <v>10616</v>
      </c>
      <c r="T1775" s="8" t="s">
        <v>9310</v>
      </c>
      <c r="U1775" s="8" t="s">
        <v>10617</v>
      </c>
      <c r="V1775" s="8" t="s">
        <v>9296</v>
      </c>
      <c r="W1775" s="8" t="s">
        <v>10618</v>
      </c>
    </row>
    <row r="1776" spans="1:23" ht="28" customHeight="1" x14ac:dyDescent="0.3">
      <c r="A1776" s="308">
        <v>43628</v>
      </c>
      <c r="B1776" s="302">
        <v>1096.5440000000001</v>
      </c>
      <c r="C1776" s="8">
        <v>-3.7469999999999999</v>
      </c>
      <c r="D1776" s="268">
        <v>-3.3999999999999998E-3</v>
      </c>
      <c r="E1776" s="8">
        <v>40.39</v>
      </c>
      <c r="F1776" s="8">
        <v>107.32299999999999</v>
      </c>
      <c r="G1776" s="8">
        <v>104.2</v>
      </c>
      <c r="H1776" s="8">
        <v>89.04</v>
      </c>
      <c r="I1776" s="8">
        <v>128.55000000000001</v>
      </c>
      <c r="J1776" s="8">
        <v>57.46</v>
      </c>
      <c r="K1776" s="268">
        <v>0.21229999999999999</v>
      </c>
      <c r="L1776" s="268">
        <v>0.14610000000000001</v>
      </c>
      <c r="M1776" s="268">
        <v>1.3599999999999999E-2</v>
      </c>
      <c r="N1776" s="8">
        <v>58.96</v>
      </c>
      <c r="O1776" s="8">
        <v>2645.36</v>
      </c>
      <c r="P1776" s="268">
        <v>2.23E-2</v>
      </c>
      <c r="Q1776" s="8">
        <v>160</v>
      </c>
      <c r="R1776" s="8">
        <v>0</v>
      </c>
      <c r="S1776" s="8" t="s">
        <v>8978</v>
      </c>
      <c r="T1776" s="8" t="s">
        <v>10619</v>
      </c>
      <c r="U1776" s="8" t="s">
        <v>10620</v>
      </c>
      <c r="V1776" s="8" t="s">
        <v>10621</v>
      </c>
      <c r="W1776" s="8" t="s">
        <v>8654</v>
      </c>
    </row>
    <row r="1777" spans="1:23" ht="28" customHeight="1" x14ac:dyDescent="0.3">
      <c r="A1777" s="308">
        <v>43627</v>
      </c>
      <c r="B1777" s="302">
        <v>1100.2909999999999</v>
      </c>
      <c r="C1777" s="8">
        <v>19.149000000000001</v>
      </c>
      <c r="D1777" s="268">
        <v>1.77E-2</v>
      </c>
      <c r="E1777" s="8">
        <v>42.08</v>
      </c>
      <c r="F1777" s="8">
        <v>107.71299999999999</v>
      </c>
      <c r="G1777" s="8">
        <v>104.235</v>
      </c>
      <c r="H1777" s="8">
        <v>89.57</v>
      </c>
      <c r="I1777" s="8">
        <v>128.59</v>
      </c>
      <c r="J1777" s="8">
        <v>54.69</v>
      </c>
      <c r="K1777" s="268">
        <v>0.20880000000000001</v>
      </c>
      <c r="L1777" s="268">
        <v>0.1472</v>
      </c>
      <c r="M1777" s="268">
        <v>1.2999999999999999E-2</v>
      </c>
      <c r="N1777" s="8">
        <v>71.09</v>
      </c>
      <c r="O1777" s="8">
        <v>2645.36</v>
      </c>
      <c r="P1777" s="268">
        <v>2.69E-2</v>
      </c>
      <c r="Q1777" s="8">
        <v>160</v>
      </c>
      <c r="R1777" s="8">
        <v>0</v>
      </c>
      <c r="S1777" s="8" t="s">
        <v>10622</v>
      </c>
      <c r="T1777" s="8" t="s">
        <v>10623</v>
      </c>
      <c r="U1777" s="8" t="s">
        <v>10624</v>
      </c>
      <c r="V1777" s="8" t="s">
        <v>10625</v>
      </c>
      <c r="W1777" s="8" t="s">
        <v>10626</v>
      </c>
    </row>
    <row r="1778" spans="1:23" ht="28" customHeight="1" x14ac:dyDescent="0.3">
      <c r="A1778" s="308">
        <v>43626</v>
      </c>
      <c r="B1778" s="302">
        <v>1081.1420000000001</v>
      </c>
      <c r="C1778" s="8">
        <v>5.3550000000000004</v>
      </c>
      <c r="D1778" s="268">
        <v>5.0000000000000001E-3</v>
      </c>
      <c r="E1778" s="8">
        <v>30.95</v>
      </c>
      <c r="F1778" s="8">
        <v>105.73699999999999</v>
      </c>
      <c r="G1778" s="8">
        <v>102.371</v>
      </c>
      <c r="H1778" s="8">
        <v>87.51</v>
      </c>
      <c r="I1778" s="8">
        <v>128.71</v>
      </c>
      <c r="J1778" s="8">
        <v>67.06</v>
      </c>
      <c r="K1778" s="268">
        <v>0.2298</v>
      </c>
      <c r="L1778" s="268">
        <v>0.16800000000000001</v>
      </c>
      <c r="M1778" s="268">
        <v>1.67E-2</v>
      </c>
      <c r="N1778" s="8">
        <v>44.95</v>
      </c>
      <c r="O1778" s="8">
        <v>2645.36</v>
      </c>
      <c r="P1778" s="268">
        <v>1.7000000000000001E-2</v>
      </c>
      <c r="Q1778" s="8">
        <v>160</v>
      </c>
      <c r="R1778" s="8">
        <v>0</v>
      </c>
      <c r="S1778" s="8" t="s">
        <v>9718</v>
      </c>
      <c r="T1778" s="8" t="s">
        <v>10627</v>
      </c>
      <c r="U1778" s="8" t="s">
        <v>10628</v>
      </c>
      <c r="V1778" s="8" t="s">
        <v>10629</v>
      </c>
      <c r="W1778" s="8" t="s">
        <v>10630</v>
      </c>
    </row>
    <row r="1779" spans="1:23" ht="28" customHeight="1" x14ac:dyDescent="0.3">
      <c r="A1779" s="308">
        <v>43622</v>
      </c>
      <c r="B1779" s="302">
        <v>1075.787</v>
      </c>
      <c r="C1779" s="8">
        <v>-9.8689999999999998</v>
      </c>
      <c r="D1779" s="268">
        <v>-9.1000000000000004E-3</v>
      </c>
      <c r="E1779" s="8">
        <v>25.59</v>
      </c>
      <c r="F1779" s="8">
        <v>105.161</v>
      </c>
      <c r="G1779" s="8">
        <v>101.89</v>
      </c>
      <c r="H1779" s="8">
        <v>85.91</v>
      </c>
      <c r="I1779" s="8">
        <v>129.18</v>
      </c>
      <c r="J1779" s="8">
        <v>72.430000000000007</v>
      </c>
      <c r="K1779" s="268">
        <v>0.2402</v>
      </c>
      <c r="L1779" s="268">
        <v>0.1759</v>
      </c>
      <c r="M1779" s="268">
        <v>1.7600000000000001E-2</v>
      </c>
      <c r="N1779" s="8">
        <v>49.67</v>
      </c>
      <c r="O1779" s="8">
        <v>2645.36</v>
      </c>
      <c r="P1779" s="268">
        <v>1.8800000000000001E-2</v>
      </c>
      <c r="Q1779" s="8">
        <v>160</v>
      </c>
      <c r="R1779" s="8">
        <v>0</v>
      </c>
      <c r="S1779" s="8" t="s">
        <v>10631</v>
      </c>
      <c r="T1779" s="8" t="s">
        <v>10632</v>
      </c>
      <c r="U1779" s="8" t="s">
        <v>10633</v>
      </c>
      <c r="V1779" s="8" t="s">
        <v>10634</v>
      </c>
      <c r="W1779" s="8" t="s">
        <v>10635</v>
      </c>
    </row>
    <row r="1780" spans="1:23" ht="28" customHeight="1" x14ac:dyDescent="0.3">
      <c r="A1780" s="308">
        <v>43621</v>
      </c>
      <c r="B1780" s="302">
        <v>1085.6559999999999</v>
      </c>
      <c r="C1780" s="8">
        <v>-0.97</v>
      </c>
      <c r="D1780" s="268">
        <v>-8.9999999999999998E-4</v>
      </c>
      <c r="E1780" s="8">
        <v>33.26</v>
      </c>
      <c r="F1780" s="8">
        <v>106.295</v>
      </c>
      <c r="G1780" s="8">
        <v>102.96899999999999</v>
      </c>
      <c r="H1780" s="8">
        <v>87.89</v>
      </c>
      <c r="I1780" s="8">
        <v>128.52000000000001</v>
      </c>
      <c r="J1780" s="8">
        <v>62.04</v>
      </c>
      <c r="K1780" s="268">
        <v>0.2223</v>
      </c>
      <c r="L1780" s="268">
        <v>0.15229999999999999</v>
      </c>
      <c r="M1780" s="268">
        <v>1.5599999999999999E-2</v>
      </c>
      <c r="N1780" s="8">
        <v>56.34</v>
      </c>
      <c r="O1780" s="8">
        <v>2645.36</v>
      </c>
      <c r="P1780" s="268">
        <v>2.1299999999999999E-2</v>
      </c>
      <c r="Q1780" s="8">
        <v>160</v>
      </c>
      <c r="R1780" s="8">
        <v>0</v>
      </c>
      <c r="S1780" s="8" t="s">
        <v>6123</v>
      </c>
      <c r="T1780" s="8" t="s">
        <v>10636</v>
      </c>
      <c r="U1780" s="8" t="s">
        <v>10272</v>
      </c>
      <c r="V1780" s="8" t="s">
        <v>10637</v>
      </c>
      <c r="W1780" s="8" t="s">
        <v>10638</v>
      </c>
    </row>
    <row r="1781" spans="1:23" ht="28" customHeight="1" x14ac:dyDescent="0.3">
      <c r="A1781" s="308">
        <v>43620</v>
      </c>
      <c r="B1781" s="302">
        <v>1086.626</v>
      </c>
      <c r="C1781" s="8">
        <v>-9.8490000000000002</v>
      </c>
      <c r="D1781" s="268">
        <v>-8.9999999999999993E-3</v>
      </c>
      <c r="E1781" s="8">
        <v>32.44</v>
      </c>
      <c r="F1781" s="8">
        <v>106.34699999999999</v>
      </c>
      <c r="G1781" s="8">
        <v>102.99</v>
      </c>
      <c r="H1781" s="8">
        <v>87.8</v>
      </c>
      <c r="I1781" s="8">
        <v>128.96</v>
      </c>
      <c r="J1781" s="8">
        <v>65.39</v>
      </c>
      <c r="K1781" s="268">
        <v>0.22620000000000001</v>
      </c>
      <c r="L1781" s="268">
        <v>0.156</v>
      </c>
      <c r="M1781" s="268">
        <v>1.54E-2</v>
      </c>
      <c r="N1781" s="8">
        <v>53.13</v>
      </c>
      <c r="O1781" s="8">
        <v>2645.36</v>
      </c>
      <c r="P1781" s="268">
        <v>2.01E-2</v>
      </c>
      <c r="Q1781" s="8">
        <v>160</v>
      </c>
      <c r="R1781" s="8">
        <v>0</v>
      </c>
      <c r="S1781" s="8" t="s">
        <v>10639</v>
      </c>
      <c r="T1781" s="8" t="s">
        <v>10640</v>
      </c>
      <c r="U1781" s="8" t="s">
        <v>10641</v>
      </c>
      <c r="V1781" s="8" t="s">
        <v>8157</v>
      </c>
      <c r="W1781" s="8" t="s">
        <v>10642</v>
      </c>
    </row>
    <row r="1782" spans="1:23" ht="28" customHeight="1" x14ac:dyDescent="0.3">
      <c r="A1782" s="308">
        <v>43619</v>
      </c>
      <c r="B1782" s="302">
        <v>1096.4749999999999</v>
      </c>
      <c r="C1782" s="8">
        <v>-9.0579999999999998</v>
      </c>
      <c r="D1782" s="268">
        <v>-8.2000000000000007E-3</v>
      </c>
      <c r="E1782" s="8">
        <v>38.32</v>
      </c>
      <c r="F1782" s="8">
        <v>107.398</v>
      </c>
      <c r="G1782" s="8">
        <v>103.75</v>
      </c>
      <c r="H1782" s="8">
        <v>88.6</v>
      </c>
      <c r="I1782" s="8">
        <v>129.07</v>
      </c>
      <c r="J1782" s="8">
        <v>60.59</v>
      </c>
      <c r="K1782" s="268">
        <v>0.2167</v>
      </c>
      <c r="L1782" s="268">
        <v>0.15210000000000001</v>
      </c>
      <c r="M1782" s="268">
        <v>1.34E-2</v>
      </c>
      <c r="N1782" s="8">
        <v>54.22</v>
      </c>
      <c r="O1782" s="8">
        <v>2640.36</v>
      </c>
      <c r="P1782" s="268">
        <v>2.0500000000000001E-2</v>
      </c>
      <c r="Q1782" s="8">
        <v>159</v>
      </c>
      <c r="R1782" s="8">
        <v>0</v>
      </c>
      <c r="S1782" s="8" t="s">
        <v>10643</v>
      </c>
      <c r="T1782" s="8" t="s">
        <v>10644</v>
      </c>
      <c r="U1782" s="8" t="s">
        <v>10645</v>
      </c>
      <c r="V1782" s="8" t="s">
        <v>6977</v>
      </c>
      <c r="W1782" s="8" t="s">
        <v>10646</v>
      </c>
    </row>
    <row r="1783" spans="1:23" ht="28" customHeight="1" x14ac:dyDescent="0.3">
      <c r="A1783" s="308">
        <v>43616</v>
      </c>
      <c r="B1783" s="302">
        <v>1105.5329999999999</v>
      </c>
      <c r="C1783" s="8">
        <v>-1.8</v>
      </c>
      <c r="D1783" s="268">
        <v>-1.6000000000000001E-3</v>
      </c>
      <c r="E1783" s="8">
        <v>40.49</v>
      </c>
      <c r="F1783" s="8">
        <v>108.20399999999999</v>
      </c>
      <c r="G1783" s="8">
        <v>104.63500000000001</v>
      </c>
      <c r="H1783" s="8">
        <v>89.03</v>
      </c>
      <c r="I1783" s="8">
        <v>129.69</v>
      </c>
      <c r="J1783" s="8">
        <v>59.65</v>
      </c>
      <c r="K1783" s="268">
        <v>0.21490000000000001</v>
      </c>
      <c r="L1783" s="268">
        <v>0.15140000000000001</v>
      </c>
      <c r="M1783" s="268">
        <v>1.17E-2</v>
      </c>
      <c r="N1783" s="8">
        <v>45.42</v>
      </c>
      <c r="O1783" s="8">
        <v>2657.69</v>
      </c>
      <c r="P1783" s="268">
        <v>1.7100000000000001E-2</v>
      </c>
      <c r="Q1783" s="8">
        <v>160</v>
      </c>
      <c r="R1783" s="8">
        <v>0</v>
      </c>
      <c r="S1783" s="8" t="s">
        <v>10647</v>
      </c>
      <c r="T1783" s="8" t="s">
        <v>10648</v>
      </c>
      <c r="U1783" s="8" t="s">
        <v>10649</v>
      </c>
      <c r="V1783" s="8" t="s">
        <v>10650</v>
      </c>
      <c r="W1783" s="8" t="s">
        <v>10651</v>
      </c>
    </row>
    <row r="1784" spans="1:23" ht="28" customHeight="1" x14ac:dyDescent="0.3">
      <c r="A1784" s="308">
        <v>43615</v>
      </c>
      <c r="B1784" s="302">
        <v>1107.3330000000001</v>
      </c>
      <c r="C1784" s="8">
        <v>-6.7409999999999997</v>
      </c>
      <c r="D1784" s="268">
        <v>-6.0000000000000001E-3</v>
      </c>
      <c r="E1784" s="8">
        <v>44.44</v>
      </c>
      <c r="F1784" s="8">
        <v>108.41200000000001</v>
      </c>
      <c r="G1784" s="8">
        <v>105.03100000000001</v>
      </c>
      <c r="H1784" s="8">
        <v>89.15</v>
      </c>
      <c r="I1784" s="8">
        <v>130.15</v>
      </c>
      <c r="J1784" s="8">
        <v>61.76</v>
      </c>
      <c r="K1784" s="268">
        <v>0.21740000000000001</v>
      </c>
      <c r="L1784" s="268">
        <v>0.15240000000000001</v>
      </c>
      <c r="M1784" s="268">
        <v>1.1299999999999999E-2</v>
      </c>
      <c r="N1784" s="8">
        <v>45.65</v>
      </c>
      <c r="O1784" s="8">
        <v>2657.69</v>
      </c>
      <c r="P1784" s="268">
        <v>1.72E-2</v>
      </c>
      <c r="Q1784" s="8">
        <v>160</v>
      </c>
      <c r="R1784" s="8">
        <v>0</v>
      </c>
      <c r="S1784" s="8" t="s">
        <v>10652</v>
      </c>
      <c r="T1784" s="8" t="s">
        <v>10653</v>
      </c>
      <c r="U1784" s="8" t="s">
        <v>10654</v>
      </c>
      <c r="V1784" s="8" t="s">
        <v>10655</v>
      </c>
      <c r="W1784" s="8" t="s">
        <v>10656</v>
      </c>
    </row>
    <row r="1785" spans="1:23" ht="28" customHeight="1" x14ac:dyDescent="0.3">
      <c r="A1785" s="308">
        <v>43614</v>
      </c>
      <c r="B1785" s="302">
        <v>1114.0740000000001</v>
      </c>
      <c r="C1785" s="8">
        <v>0.35899999999999999</v>
      </c>
      <c r="D1785" s="268">
        <v>2.9999999999999997E-4</v>
      </c>
      <c r="E1785" s="8">
        <v>48.54</v>
      </c>
      <c r="F1785" s="8">
        <v>109.242</v>
      </c>
      <c r="G1785" s="8">
        <v>105.99</v>
      </c>
      <c r="H1785" s="8">
        <v>90.12</v>
      </c>
      <c r="I1785" s="8">
        <v>130.86000000000001</v>
      </c>
      <c r="J1785" s="8">
        <v>60.4</v>
      </c>
      <c r="K1785" s="268">
        <v>0.2162</v>
      </c>
      <c r="L1785" s="268">
        <v>0.15540000000000001</v>
      </c>
      <c r="M1785" s="268">
        <v>0.01</v>
      </c>
      <c r="N1785" s="8">
        <v>39.97</v>
      </c>
      <c r="O1785" s="8">
        <v>2657.69</v>
      </c>
      <c r="P1785" s="268">
        <v>1.4999999999999999E-2</v>
      </c>
      <c r="Q1785" s="8">
        <v>160</v>
      </c>
      <c r="R1785" s="8">
        <v>0</v>
      </c>
      <c r="S1785" s="8" t="s">
        <v>10427</v>
      </c>
      <c r="T1785" s="8" t="s">
        <v>10657</v>
      </c>
      <c r="U1785" s="8" t="s">
        <v>10658</v>
      </c>
      <c r="V1785" s="8" t="s">
        <v>7004</v>
      </c>
      <c r="W1785" s="8" t="s">
        <v>10659</v>
      </c>
    </row>
    <row r="1786" spans="1:23" ht="28" customHeight="1" x14ac:dyDescent="0.3">
      <c r="A1786" s="308">
        <v>43613</v>
      </c>
      <c r="B1786" s="302">
        <v>1113.7149999999999</v>
      </c>
      <c r="C1786" s="8">
        <v>1.504</v>
      </c>
      <c r="D1786" s="268">
        <v>1.4E-3</v>
      </c>
      <c r="E1786" s="8">
        <v>48.97</v>
      </c>
      <c r="F1786" s="8">
        <v>109.146</v>
      </c>
      <c r="G1786" s="8">
        <v>106.294</v>
      </c>
      <c r="H1786" s="8">
        <v>89.93</v>
      </c>
      <c r="I1786" s="8">
        <v>131.06</v>
      </c>
      <c r="J1786" s="8">
        <v>63.51</v>
      </c>
      <c r="K1786" s="268">
        <v>0.21920000000000001</v>
      </c>
      <c r="L1786" s="268">
        <v>0.15179999999999999</v>
      </c>
      <c r="M1786" s="268">
        <v>0.01</v>
      </c>
      <c r="N1786" s="8">
        <v>52.24</v>
      </c>
      <c r="O1786" s="8">
        <v>2657.69</v>
      </c>
      <c r="P1786" s="268">
        <v>1.9699999999999999E-2</v>
      </c>
      <c r="Q1786" s="8">
        <v>160</v>
      </c>
      <c r="R1786" s="8">
        <v>0</v>
      </c>
      <c r="S1786" s="8" t="s">
        <v>10660</v>
      </c>
      <c r="T1786" s="8" t="s">
        <v>9161</v>
      </c>
      <c r="U1786" s="8" t="s">
        <v>10661</v>
      </c>
      <c r="V1786" s="8" t="s">
        <v>2565</v>
      </c>
      <c r="W1786" s="8" t="s">
        <v>10506</v>
      </c>
    </row>
    <row r="1787" spans="1:23" ht="28" customHeight="1" x14ac:dyDescent="0.3">
      <c r="A1787" s="308">
        <v>43612</v>
      </c>
      <c r="B1787" s="302">
        <v>1112.211</v>
      </c>
      <c r="C1787" s="8">
        <v>5.0999999999999996</v>
      </c>
      <c r="D1787" s="268">
        <v>4.5999999999999999E-3</v>
      </c>
      <c r="E1787" s="8">
        <v>48.52</v>
      </c>
      <c r="F1787" s="8">
        <v>108.934</v>
      </c>
      <c r="G1787" s="8">
        <v>106.251</v>
      </c>
      <c r="H1787" s="8">
        <v>89.86</v>
      </c>
      <c r="I1787" s="8">
        <v>130.96</v>
      </c>
      <c r="J1787" s="8">
        <v>65.650000000000006</v>
      </c>
      <c r="K1787" s="268">
        <v>0.22020000000000001</v>
      </c>
      <c r="L1787" s="268">
        <v>0.15429999999999999</v>
      </c>
      <c r="M1787" s="268">
        <v>1.0200000000000001E-2</v>
      </c>
      <c r="N1787" s="8">
        <v>56.96</v>
      </c>
      <c r="O1787" s="8">
        <v>2657.69</v>
      </c>
      <c r="P1787" s="268">
        <v>2.1399999999999999E-2</v>
      </c>
      <c r="Q1787" s="8">
        <v>160</v>
      </c>
      <c r="R1787" s="8">
        <v>0</v>
      </c>
      <c r="S1787" s="8" t="s">
        <v>10662</v>
      </c>
      <c r="T1787" s="8" t="s">
        <v>10663</v>
      </c>
      <c r="U1787" s="8" t="s">
        <v>9691</v>
      </c>
      <c r="V1787" s="8" t="s">
        <v>10664</v>
      </c>
      <c r="W1787" s="8" t="s">
        <v>10665</v>
      </c>
    </row>
    <row r="1788" spans="1:23" ht="28" customHeight="1" x14ac:dyDescent="0.3">
      <c r="A1788" s="308">
        <v>43609</v>
      </c>
      <c r="B1788" s="302">
        <v>1107.1110000000001</v>
      </c>
      <c r="C1788" s="8">
        <v>-1.9450000000000001</v>
      </c>
      <c r="D1788" s="268">
        <v>-1.6999999999999999E-3</v>
      </c>
      <c r="E1788" s="8">
        <v>46.34</v>
      </c>
      <c r="F1788" s="8">
        <v>108.315</v>
      </c>
      <c r="G1788" s="8">
        <v>105.952</v>
      </c>
      <c r="H1788" s="8">
        <v>88.01</v>
      </c>
      <c r="I1788" s="8">
        <v>132.97</v>
      </c>
      <c r="J1788" s="8">
        <v>78.88</v>
      </c>
      <c r="K1788" s="268">
        <v>0.2465</v>
      </c>
      <c r="L1788" s="268">
        <v>0.18029999999999999</v>
      </c>
      <c r="M1788" s="268">
        <v>1.11E-2</v>
      </c>
      <c r="N1788" s="8">
        <v>42.13</v>
      </c>
      <c r="O1788" s="8">
        <v>2657.69</v>
      </c>
      <c r="P1788" s="268">
        <v>1.5900000000000001E-2</v>
      </c>
      <c r="Q1788" s="8">
        <v>160</v>
      </c>
      <c r="R1788" s="8">
        <v>0</v>
      </c>
      <c r="S1788" s="8" t="s">
        <v>8622</v>
      </c>
      <c r="T1788" s="8" t="s">
        <v>7553</v>
      </c>
      <c r="U1788" s="8" t="s">
        <v>10666</v>
      </c>
      <c r="V1788" s="8" t="s">
        <v>10667</v>
      </c>
      <c r="W1788" s="8" t="s">
        <v>10668</v>
      </c>
    </row>
    <row r="1789" spans="1:23" ht="28" customHeight="1" x14ac:dyDescent="0.3">
      <c r="A1789" s="308">
        <v>43608</v>
      </c>
      <c r="B1789" s="302">
        <v>1109.056</v>
      </c>
      <c r="C1789" s="8">
        <v>-9.532</v>
      </c>
      <c r="D1789" s="268">
        <v>-8.5000000000000006E-3</v>
      </c>
      <c r="E1789" s="8">
        <v>45.08</v>
      </c>
      <c r="F1789" s="8">
        <v>108.548</v>
      </c>
      <c r="G1789" s="8">
        <v>106.08</v>
      </c>
      <c r="H1789" s="8">
        <v>88.03</v>
      </c>
      <c r="I1789" s="8">
        <v>132.68</v>
      </c>
      <c r="J1789" s="8">
        <v>76.98</v>
      </c>
      <c r="K1789" s="268">
        <v>0.24129999999999999</v>
      </c>
      <c r="L1789" s="268">
        <v>0.17649999999999999</v>
      </c>
      <c r="M1789" s="268">
        <v>1.0699999999999999E-2</v>
      </c>
      <c r="N1789" s="8">
        <v>40.880000000000003</v>
      </c>
      <c r="O1789" s="8">
        <v>2657.69</v>
      </c>
      <c r="P1789" s="268">
        <v>1.54E-2</v>
      </c>
      <c r="Q1789" s="8">
        <v>160</v>
      </c>
      <c r="R1789" s="8">
        <v>0</v>
      </c>
      <c r="S1789" s="8" t="s">
        <v>10669</v>
      </c>
      <c r="T1789" s="8" t="s">
        <v>10670</v>
      </c>
      <c r="U1789" s="8" t="s">
        <v>10671</v>
      </c>
      <c r="V1789" s="8" t="s">
        <v>10672</v>
      </c>
      <c r="W1789" s="8" t="s">
        <v>10673</v>
      </c>
    </row>
    <row r="1790" spans="1:23" ht="28" customHeight="1" x14ac:dyDescent="0.3">
      <c r="A1790" s="308">
        <v>43607</v>
      </c>
      <c r="B1790" s="302">
        <v>1118.588</v>
      </c>
      <c r="C1790" s="8">
        <v>-0.67300000000000004</v>
      </c>
      <c r="D1790" s="268">
        <v>-5.9999999999999995E-4</v>
      </c>
      <c r="E1790" s="8">
        <v>55.9</v>
      </c>
      <c r="F1790" s="8">
        <v>109.608</v>
      </c>
      <c r="G1790" s="8">
        <v>106.905</v>
      </c>
      <c r="H1790" s="8">
        <v>90.57</v>
      </c>
      <c r="I1790" s="8">
        <v>131.61000000000001</v>
      </c>
      <c r="J1790" s="8">
        <v>65.67</v>
      </c>
      <c r="K1790" s="268">
        <v>0.22</v>
      </c>
      <c r="L1790" s="268">
        <v>0.1636</v>
      </c>
      <c r="M1790" s="268">
        <v>8.8999999999999999E-3</v>
      </c>
      <c r="N1790" s="8">
        <v>55.26</v>
      </c>
      <c r="O1790" s="8">
        <v>2657.69</v>
      </c>
      <c r="P1790" s="268">
        <v>2.0799999999999999E-2</v>
      </c>
      <c r="Q1790" s="8">
        <v>160</v>
      </c>
      <c r="R1790" s="8">
        <v>0</v>
      </c>
      <c r="S1790" s="8" t="s">
        <v>5361</v>
      </c>
      <c r="T1790" s="8" t="s">
        <v>5984</v>
      </c>
      <c r="U1790" s="8" t="s">
        <v>7368</v>
      </c>
      <c r="V1790" s="8" t="s">
        <v>2943</v>
      </c>
      <c r="W1790" s="8" t="s">
        <v>10674</v>
      </c>
    </row>
    <row r="1791" spans="1:23" ht="28" customHeight="1" x14ac:dyDescent="0.3">
      <c r="A1791" s="308">
        <v>43606</v>
      </c>
      <c r="B1791" s="302">
        <v>1119.261</v>
      </c>
      <c r="C1791" s="8">
        <v>6.9340000000000002</v>
      </c>
      <c r="D1791" s="268">
        <v>6.1999999999999998E-3</v>
      </c>
      <c r="E1791" s="8">
        <v>55.6</v>
      </c>
      <c r="F1791" s="8">
        <v>109.675</v>
      </c>
      <c r="G1791" s="8">
        <v>106.895</v>
      </c>
      <c r="H1791" s="8">
        <v>90.89</v>
      </c>
      <c r="I1791" s="8">
        <v>130.94</v>
      </c>
      <c r="J1791" s="8">
        <v>63.25</v>
      </c>
      <c r="K1791" s="268">
        <v>0.2127</v>
      </c>
      <c r="L1791" s="268">
        <v>0.15720000000000001</v>
      </c>
      <c r="M1791" s="268">
        <v>8.8000000000000005E-3</v>
      </c>
      <c r="N1791" s="8">
        <v>70.52</v>
      </c>
      <c r="O1791" s="8">
        <v>2657.69</v>
      </c>
      <c r="P1791" s="268">
        <v>2.6499999999999999E-2</v>
      </c>
      <c r="Q1791" s="8">
        <v>160</v>
      </c>
      <c r="R1791" s="8">
        <v>0</v>
      </c>
      <c r="S1791" s="8" t="s">
        <v>10675</v>
      </c>
      <c r="T1791" s="8" t="s">
        <v>10676</v>
      </c>
      <c r="U1791" s="8" t="s">
        <v>10677</v>
      </c>
      <c r="V1791" s="8" t="s">
        <v>10678</v>
      </c>
      <c r="W1791" s="8" t="s">
        <v>10679</v>
      </c>
    </row>
    <row r="1792" spans="1:23" ht="28" customHeight="1" x14ac:dyDescent="0.3">
      <c r="A1792" s="308">
        <v>43605</v>
      </c>
      <c r="B1792" s="302">
        <v>1112.327</v>
      </c>
      <c r="C1792" s="8">
        <v>-7.3650000000000002</v>
      </c>
      <c r="D1792" s="268">
        <v>-6.6E-3</v>
      </c>
      <c r="E1792" s="8">
        <v>51.86</v>
      </c>
      <c r="F1792" s="8">
        <v>108.904</v>
      </c>
      <c r="G1792" s="8">
        <v>106.056</v>
      </c>
      <c r="H1792" s="8">
        <v>88.9</v>
      </c>
      <c r="I1792" s="8">
        <v>131.53</v>
      </c>
      <c r="J1792" s="8">
        <v>72.36</v>
      </c>
      <c r="K1792" s="268">
        <v>0.22620000000000001</v>
      </c>
      <c r="L1792" s="268">
        <v>0.1772</v>
      </c>
      <c r="M1792" s="268">
        <v>0.01</v>
      </c>
      <c r="N1792" s="8">
        <v>62.89</v>
      </c>
      <c r="O1792" s="8">
        <v>2657.69</v>
      </c>
      <c r="P1792" s="268">
        <v>2.3699999999999999E-2</v>
      </c>
      <c r="Q1792" s="8">
        <v>160</v>
      </c>
      <c r="R1792" s="8">
        <v>0</v>
      </c>
      <c r="S1792" s="8" t="s">
        <v>10680</v>
      </c>
      <c r="T1792" s="8" t="s">
        <v>10681</v>
      </c>
      <c r="U1792" s="8" t="s">
        <v>9680</v>
      </c>
      <c r="V1792" s="8" t="s">
        <v>10682</v>
      </c>
      <c r="W1792" s="8" t="s">
        <v>2671</v>
      </c>
    </row>
    <row r="1793" spans="1:23" ht="28" customHeight="1" x14ac:dyDescent="0.3">
      <c r="A1793" s="308">
        <v>43602</v>
      </c>
      <c r="B1793" s="302">
        <v>1119.692</v>
      </c>
      <c r="C1793" s="8">
        <v>-17.766999999999999</v>
      </c>
      <c r="D1793" s="268">
        <v>-1.5599999999999999E-2</v>
      </c>
      <c r="E1793" s="8">
        <v>55.42</v>
      </c>
      <c r="F1793" s="8">
        <v>109.584</v>
      </c>
      <c r="G1793" s="8">
        <v>106.75</v>
      </c>
      <c r="H1793" s="8">
        <v>89.04</v>
      </c>
      <c r="I1793" s="8">
        <v>132.03</v>
      </c>
      <c r="J1793" s="8">
        <v>72.73</v>
      </c>
      <c r="K1793" s="268">
        <v>0.22439999999999999</v>
      </c>
      <c r="L1793" s="268">
        <v>0.1716</v>
      </c>
      <c r="M1793" s="268">
        <v>8.6999999999999994E-3</v>
      </c>
      <c r="N1793" s="8">
        <v>65.12</v>
      </c>
      <c r="O1793" s="8">
        <v>2651.66</v>
      </c>
      <c r="P1793" s="268">
        <v>2.46E-2</v>
      </c>
      <c r="Q1793" s="8">
        <v>159</v>
      </c>
      <c r="R1793" s="8">
        <v>0</v>
      </c>
      <c r="S1793" s="8" t="s">
        <v>10683</v>
      </c>
      <c r="T1793" s="8" t="s">
        <v>10684</v>
      </c>
      <c r="U1793" s="8" t="s">
        <v>10685</v>
      </c>
      <c r="V1793" s="8" t="s">
        <v>10686</v>
      </c>
      <c r="W1793" s="8" t="s">
        <v>10687</v>
      </c>
    </row>
    <row r="1794" spans="1:23" ht="28" customHeight="1" x14ac:dyDescent="0.3">
      <c r="A1794" s="308">
        <v>43601</v>
      </c>
      <c r="B1794" s="302">
        <v>1137.4590000000001</v>
      </c>
      <c r="C1794" s="8">
        <v>2.5270000000000001</v>
      </c>
      <c r="D1794" s="268">
        <v>2.2000000000000001E-3</v>
      </c>
      <c r="E1794" s="8">
        <v>66.63</v>
      </c>
      <c r="F1794" s="8">
        <v>111.60599999999999</v>
      </c>
      <c r="G1794" s="8">
        <v>109.35</v>
      </c>
      <c r="H1794" s="8">
        <v>92.56</v>
      </c>
      <c r="I1794" s="8">
        <v>131.5</v>
      </c>
      <c r="J1794" s="8">
        <v>57.14</v>
      </c>
      <c r="K1794" s="268">
        <v>0.19900000000000001</v>
      </c>
      <c r="L1794" s="268">
        <v>0.151</v>
      </c>
      <c r="M1794" s="268">
        <v>5.0000000000000001E-3</v>
      </c>
      <c r="N1794" s="8">
        <v>59.52</v>
      </c>
      <c r="O1794" s="8">
        <v>2641.42</v>
      </c>
      <c r="P1794" s="268">
        <v>2.2499999999999999E-2</v>
      </c>
      <c r="Q1794" s="8">
        <v>159</v>
      </c>
      <c r="R1794" s="8">
        <v>0</v>
      </c>
      <c r="S1794" s="8" t="s">
        <v>10688</v>
      </c>
      <c r="T1794" s="8" t="s">
        <v>10689</v>
      </c>
      <c r="U1794" s="8" t="s">
        <v>10690</v>
      </c>
      <c r="V1794" s="8" t="s">
        <v>10691</v>
      </c>
      <c r="W1794" s="8" t="s">
        <v>2869</v>
      </c>
    </row>
    <row r="1795" spans="1:23" ht="28" customHeight="1" x14ac:dyDescent="0.3">
      <c r="A1795" s="308">
        <v>43600</v>
      </c>
      <c r="B1795" s="302">
        <v>1134.932</v>
      </c>
      <c r="C1795" s="8">
        <v>14.253</v>
      </c>
      <c r="D1795" s="268">
        <v>1.2699999999999999E-2</v>
      </c>
      <c r="E1795" s="8">
        <v>67.86</v>
      </c>
      <c r="F1795" s="8">
        <v>111.39400000000001</v>
      </c>
      <c r="G1795" s="8">
        <v>108.22</v>
      </c>
      <c r="H1795" s="8">
        <v>92.45</v>
      </c>
      <c r="I1795" s="8">
        <v>131.68</v>
      </c>
      <c r="J1795" s="8">
        <v>59.72</v>
      </c>
      <c r="K1795" s="268">
        <v>0.20280000000000001</v>
      </c>
      <c r="L1795" s="268">
        <v>0.15240000000000001</v>
      </c>
      <c r="M1795" s="268">
        <v>5.4999999999999997E-3</v>
      </c>
      <c r="N1795" s="8">
        <v>80.14</v>
      </c>
      <c r="O1795" s="8">
        <v>2641.42</v>
      </c>
      <c r="P1795" s="268">
        <v>3.0300000000000001E-2</v>
      </c>
      <c r="Q1795" s="8">
        <v>159</v>
      </c>
      <c r="R1795" s="8">
        <v>0</v>
      </c>
      <c r="S1795" s="8" t="s">
        <v>10692</v>
      </c>
      <c r="T1795" s="8" t="s">
        <v>10693</v>
      </c>
      <c r="U1795" s="8" t="s">
        <v>10694</v>
      </c>
      <c r="V1795" s="8" t="s">
        <v>10695</v>
      </c>
      <c r="W1795" s="8" t="s">
        <v>10696</v>
      </c>
    </row>
    <row r="1796" spans="1:23" ht="28" customHeight="1" x14ac:dyDescent="0.3">
      <c r="A1796" s="308">
        <v>43599</v>
      </c>
      <c r="B1796" s="302">
        <v>1120.6790000000001</v>
      </c>
      <c r="C1796" s="8">
        <v>2.1859999999999999</v>
      </c>
      <c r="D1796" s="268">
        <v>2E-3</v>
      </c>
      <c r="E1796" s="8">
        <v>59.63</v>
      </c>
      <c r="F1796" s="8">
        <v>109.982</v>
      </c>
      <c r="G1796" s="8">
        <v>107.25</v>
      </c>
      <c r="H1796" s="8">
        <v>91.12</v>
      </c>
      <c r="I1796" s="8">
        <v>131.5</v>
      </c>
      <c r="J1796" s="8">
        <v>71.34</v>
      </c>
      <c r="K1796" s="268">
        <v>0.2152</v>
      </c>
      <c r="L1796" s="268">
        <v>0.1588</v>
      </c>
      <c r="M1796" s="268">
        <v>7.9000000000000008E-3</v>
      </c>
      <c r="N1796" s="8">
        <v>73.16</v>
      </c>
      <c r="O1796" s="8">
        <v>2636.62</v>
      </c>
      <c r="P1796" s="268">
        <v>2.7699999999999999E-2</v>
      </c>
      <c r="Q1796" s="8">
        <v>158</v>
      </c>
      <c r="R1796" s="8">
        <v>0</v>
      </c>
      <c r="S1796" s="8" t="s">
        <v>10697</v>
      </c>
      <c r="T1796" s="8" t="s">
        <v>10698</v>
      </c>
      <c r="U1796" s="8" t="s">
        <v>6179</v>
      </c>
      <c r="V1796" s="8" t="s">
        <v>10699</v>
      </c>
      <c r="W1796" s="8" t="s">
        <v>10700</v>
      </c>
    </row>
    <row r="1797" spans="1:23" ht="28" customHeight="1" x14ac:dyDescent="0.3">
      <c r="A1797" s="308">
        <v>43598</v>
      </c>
      <c r="B1797" s="302">
        <v>1118.4929999999999</v>
      </c>
      <c r="C1797" s="8">
        <v>-5.3019999999999996</v>
      </c>
      <c r="D1797" s="268">
        <v>-4.7000000000000002E-3</v>
      </c>
      <c r="E1797" s="8">
        <v>57.35</v>
      </c>
      <c r="F1797" s="8">
        <v>109.738</v>
      </c>
      <c r="G1797" s="8">
        <v>107.099</v>
      </c>
      <c r="H1797" s="8">
        <v>91.72</v>
      </c>
      <c r="I1797" s="8">
        <v>130.19999999999999</v>
      </c>
      <c r="J1797" s="8">
        <v>60.37</v>
      </c>
      <c r="K1797" s="268">
        <v>0.2046</v>
      </c>
      <c r="L1797" s="268">
        <v>0.1487</v>
      </c>
      <c r="M1797" s="268">
        <v>8.3000000000000001E-3</v>
      </c>
      <c r="N1797" s="8">
        <v>68.849999999999994</v>
      </c>
      <c r="O1797" s="8">
        <v>2636.62</v>
      </c>
      <c r="P1797" s="268">
        <v>2.6100000000000002E-2</v>
      </c>
      <c r="Q1797" s="8">
        <v>158</v>
      </c>
      <c r="R1797" s="8">
        <v>0</v>
      </c>
      <c r="S1797" s="8" t="s">
        <v>10701</v>
      </c>
      <c r="T1797" s="8" t="s">
        <v>10702</v>
      </c>
      <c r="U1797" s="8" t="s">
        <v>10703</v>
      </c>
      <c r="V1797" s="8" t="s">
        <v>10704</v>
      </c>
      <c r="W1797" s="8" t="s">
        <v>10705</v>
      </c>
    </row>
    <row r="1798" spans="1:23" ht="28" customHeight="1" x14ac:dyDescent="0.3">
      <c r="A1798" s="308">
        <v>43595</v>
      </c>
      <c r="B1798" s="302">
        <v>1123.7950000000001</v>
      </c>
      <c r="C1798" s="8">
        <v>20.710999999999999</v>
      </c>
      <c r="D1798" s="268">
        <v>1.8800000000000001E-2</v>
      </c>
      <c r="E1798" s="8">
        <v>63.3</v>
      </c>
      <c r="F1798" s="8">
        <v>110.498</v>
      </c>
      <c r="G1798" s="8">
        <v>107.508</v>
      </c>
      <c r="H1798" s="8">
        <v>92.25</v>
      </c>
      <c r="I1798" s="8">
        <v>130.29</v>
      </c>
      <c r="J1798" s="8">
        <v>58.48</v>
      </c>
      <c r="K1798" s="268">
        <v>0.19800000000000001</v>
      </c>
      <c r="L1798" s="268">
        <v>0.1454</v>
      </c>
      <c r="M1798" s="268">
        <v>6.7000000000000002E-3</v>
      </c>
      <c r="N1798" s="8">
        <v>103.67</v>
      </c>
      <c r="O1798" s="8">
        <v>2628.92</v>
      </c>
      <c r="P1798" s="268">
        <v>3.9399999999999998E-2</v>
      </c>
      <c r="Q1798" s="8">
        <v>158</v>
      </c>
      <c r="R1798" s="8">
        <v>0</v>
      </c>
      <c r="S1798" s="8" t="s">
        <v>10706</v>
      </c>
      <c r="T1798" s="8" t="s">
        <v>10707</v>
      </c>
      <c r="U1798" s="8" t="s">
        <v>10708</v>
      </c>
      <c r="V1798" s="8" t="s">
        <v>10709</v>
      </c>
      <c r="W1798" s="8" t="s">
        <v>10710</v>
      </c>
    </row>
    <row r="1799" spans="1:23" ht="28" customHeight="1" x14ac:dyDescent="0.3">
      <c r="A1799" s="308">
        <v>43594</v>
      </c>
      <c r="B1799" s="302">
        <v>1103.0840000000001</v>
      </c>
      <c r="C1799" s="8">
        <v>0.443</v>
      </c>
      <c r="D1799" s="268">
        <v>4.0000000000000002E-4</v>
      </c>
      <c r="E1799" s="8">
        <v>53.44</v>
      </c>
      <c r="F1799" s="8">
        <v>108.328</v>
      </c>
      <c r="G1799" s="8">
        <v>105.55500000000001</v>
      </c>
      <c r="H1799" s="8">
        <v>89.21</v>
      </c>
      <c r="I1799" s="8">
        <v>130.13</v>
      </c>
      <c r="J1799" s="8">
        <v>70.66</v>
      </c>
      <c r="K1799" s="268">
        <v>0.218</v>
      </c>
      <c r="L1799" s="268">
        <v>0.16309999999999999</v>
      </c>
      <c r="M1799" s="268">
        <v>1.0500000000000001E-2</v>
      </c>
      <c r="N1799" s="8">
        <v>82.48</v>
      </c>
      <c r="O1799" s="8">
        <v>2628.92</v>
      </c>
      <c r="P1799" s="268">
        <v>3.1399999999999997E-2</v>
      </c>
      <c r="Q1799" s="8">
        <v>158</v>
      </c>
      <c r="R1799" s="8">
        <v>0</v>
      </c>
      <c r="S1799" s="8" t="s">
        <v>10711</v>
      </c>
      <c r="T1799" s="8" t="s">
        <v>10712</v>
      </c>
      <c r="U1799" s="8" t="s">
        <v>10711</v>
      </c>
      <c r="V1799" s="8" t="s">
        <v>10713</v>
      </c>
      <c r="W1799" s="8" t="s">
        <v>6546</v>
      </c>
    </row>
    <row r="1800" spans="1:23" ht="28" customHeight="1" x14ac:dyDescent="0.3">
      <c r="A1800" s="308">
        <v>43593</v>
      </c>
      <c r="B1800" s="302">
        <v>1102.6410000000001</v>
      </c>
      <c r="C1800" s="8">
        <v>4.45</v>
      </c>
      <c r="D1800" s="268">
        <v>4.1000000000000003E-3</v>
      </c>
      <c r="E1800" s="8">
        <v>51.27</v>
      </c>
      <c r="F1800" s="8">
        <v>108.44499999999999</v>
      </c>
      <c r="G1800" s="8">
        <v>105.83</v>
      </c>
      <c r="H1800" s="8">
        <v>90.49</v>
      </c>
      <c r="I1800" s="8">
        <v>129.15</v>
      </c>
      <c r="J1800" s="8">
        <v>60.99</v>
      </c>
      <c r="K1800" s="268">
        <v>0.20699999999999999</v>
      </c>
      <c r="L1800" s="268">
        <v>0.1457</v>
      </c>
      <c r="M1800" s="268">
        <v>1.0500000000000001E-2</v>
      </c>
      <c r="N1800" s="8">
        <v>79.44</v>
      </c>
      <c r="O1800" s="8">
        <v>2541.12</v>
      </c>
      <c r="P1800" s="268">
        <v>3.1300000000000001E-2</v>
      </c>
      <c r="Q1800" s="8">
        <v>156</v>
      </c>
      <c r="R1800" s="8">
        <v>0</v>
      </c>
      <c r="S1800" s="8" t="s">
        <v>10714</v>
      </c>
      <c r="T1800" s="8" t="s">
        <v>10715</v>
      </c>
      <c r="U1800" s="8" t="s">
        <v>10716</v>
      </c>
      <c r="V1800" s="8" t="s">
        <v>10717</v>
      </c>
      <c r="W1800" s="8" t="s">
        <v>8981</v>
      </c>
    </row>
    <row r="1801" spans="1:23" ht="28" customHeight="1" x14ac:dyDescent="0.3">
      <c r="A1801" s="308">
        <v>43592</v>
      </c>
      <c r="B1801" s="302">
        <v>1098.191</v>
      </c>
      <c r="C1801" s="8">
        <v>6.3070000000000004</v>
      </c>
      <c r="D1801" s="268">
        <v>5.7999999999999996E-3</v>
      </c>
      <c r="E1801" s="8">
        <v>49.31</v>
      </c>
      <c r="F1801" s="8">
        <v>108.208</v>
      </c>
      <c r="G1801" s="8">
        <v>105.447</v>
      </c>
      <c r="H1801" s="8">
        <v>90.4</v>
      </c>
      <c r="I1801" s="8">
        <v>127.91</v>
      </c>
      <c r="J1801" s="8">
        <v>60.35</v>
      </c>
      <c r="K1801" s="268">
        <v>0.1971</v>
      </c>
      <c r="L1801" s="268">
        <v>0.13669999999999999</v>
      </c>
      <c r="M1801" s="268">
        <v>1.11E-2</v>
      </c>
      <c r="N1801" s="8">
        <v>89.07</v>
      </c>
      <c r="O1801" s="8">
        <v>2514.73</v>
      </c>
      <c r="P1801" s="268">
        <v>3.5400000000000001E-2</v>
      </c>
      <c r="Q1801" s="8">
        <v>154</v>
      </c>
      <c r="R1801" s="8">
        <v>0</v>
      </c>
      <c r="S1801" s="8" t="s">
        <v>2389</v>
      </c>
      <c r="T1801" s="8" t="s">
        <v>10718</v>
      </c>
      <c r="U1801" s="8" t="s">
        <v>2927</v>
      </c>
      <c r="V1801" s="8" t="s">
        <v>10719</v>
      </c>
      <c r="W1801" s="8" t="s">
        <v>10720</v>
      </c>
    </row>
    <row r="1802" spans="1:23" ht="28" customHeight="1" x14ac:dyDescent="0.3">
      <c r="A1802" s="308">
        <v>43591</v>
      </c>
      <c r="B1802" s="302">
        <v>1091.884</v>
      </c>
      <c r="C1802" s="8">
        <v>-36.988</v>
      </c>
      <c r="D1802" s="268">
        <v>-3.2800000000000003E-2</v>
      </c>
      <c r="E1802" s="8">
        <v>45.27</v>
      </c>
      <c r="F1802" s="8">
        <v>107.657</v>
      </c>
      <c r="G1802" s="8">
        <v>104.79</v>
      </c>
      <c r="H1802" s="8">
        <v>89.35</v>
      </c>
      <c r="I1802" s="8">
        <v>128.37</v>
      </c>
      <c r="J1802" s="8">
        <v>66.67</v>
      </c>
      <c r="K1802" s="268">
        <v>0.20710000000000001</v>
      </c>
      <c r="L1802" s="268">
        <v>0.1429</v>
      </c>
      <c r="M1802" s="268">
        <v>1.2200000000000001E-2</v>
      </c>
      <c r="N1802" s="8">
        <v>95.61</v>
      </c>
      <c r="O1802" s="8">
        <v>2514.73</v>
      </c>
      <c r="P1802" s="268">
        <v>3.7999999999999999E-2</v>
      </c>
      <c r="Q1802" s="8">
        <v>154</v>
      </c>
      <c r="R1802" s="8">
        <v>0</v>
      </c>
      <c r="S1802" s="8" t="s">
        <v>10721</v>
      </c>
      <c r="T1802" s="8" t="s">
        <v>10722</v>
      </c>
      <c r="U1802" s="8" t="s">
        <v>10723</v>
      </c>
      <c r="V1802" s="8" t="s">
        <v>10724</v>
      </c>
      <c r="W1802" s="8" t="s">
        <v>10725</v>
      </c>
    </row>
    <row r="1803" spans="1:23" ht="28" customHeight="1" x14ac:dyDescent="0.3">
      <c r="A1803" s="308">
        <v>43585</v>
      </c>
      <c r="B1803" s="302">
        <v>1128.8720000000001</v>
      </c>
      <c r="C1803" s="8">
        <v>8.4870000000000001</v>
      </c>
      <c r="D1803" s="268">
        <v>7.6E-3</v>
      </c>
      <c r="E1803" s="8">
        <v>58.83</v>
      </c>
      <c r="F1803" s="8">
        <v>111.675</v>
      </c>
      <c r="G1803" s="8">
        <v>108.14</v>
      </c>
      <c r="H1803" s="8">
        <v>97.56</v>
      </c>
      <c r="I1803" s="8">
        <v>127.26</v>
      </c>
      <c r="J1803" s="8">
        <v>39.700000000000003</v>
      </c>
      <c r="K1803" s="268">
        <v>0.15590000000000001</v>
      </c>
      <c r="L1803" s="268">
        <v>0.1066</v>
      </c>
      <c r="M1803" s="268">
        <v>4.8999999999999998E-3</v>
      </c>
      <c r="N1803" s="8">
        <v>61.89</v>
      </c>
      <c r="O1803" s="8">
        <v>2436.0300000000002</v>
      </c>
      <c r="P1803" s="268">
        <v>2.5399999999999999E-2</v>
      </c>
      <c r="Q1803" s="8">
        <v>151</v>
      </c>
      <c r="R1803" s="8">
        <v>0</v>
      </c>
      <c r="S1803" s="8" t="s">
        <v>10726</v>
      </c>
      <c r="T1803" s="8" t="s">
        <v>10600</v>
      </c>
      <c r="U1803" s="8" t="s">
        <v>10727</v>
      </c>
      <c r="V1803" s="8" t="s">
        <v>10728</v>
      </c>
      <c r="W1803" s="8" t="s">
        <v>10729</v>
      </c>
    </row>
    <row r="1804" spans="1:23" ht="28" customHeight="1" x14ac:dyDescent="0.3">
      <c r="A1804" s="308">
        <v>43584</v>
      </c>
      <c r="B1804" s="302">
        <v>1120.385</v>
      </c>
      <c r="C1804" s="8">
        <v>-15.393000000000001</v>
      </c>
      <c r="D1804" s="268">
        <v>-1.35E-2</v>
      </c>
      <c r="E1804" s="8">
        <v>56.39</v>
      </c>
      <c r="F1804" s="8">
        <v>110.79</v>
      </c>
      <c r="G1804" s="8">
        <v>107.14</v>
      </c>
      <c r="H1804" s="8">
        <v>96.91</v>
      </c>
      <c r="I1804" s="8">
        <v>126.84</v>
      </c>
      <c r="J1804" s="8">
        <v>42.95</v>
      </c>
      <c r="K1804" s="268">
        <v>0.1605</v>
      </c>
      <c r="L1804" s="268">
        <v>0.12189999999999999</v>
      </c>
      <c r="M1804" s="268">
        <v>6.4999999999999997E-3</v>
      </c>
      <c r="N1804" s="8">
        <v>79.290000000000006</v>
      </c>
      <c r="O1804" s="8">
        <v>2436.0300000000002</v>
      </c>
      <c r="P1804" s="268">
        <v>3.2599999999999997E-2</v>
      </c>
      <c r="Q1804" s="8">
        <v>151</v>
      </c>
      <c r="R1804" s="8">
        <v>0</v>
      </c>
      <c r="S1804" s="8" t="s">
        <v>10730</v>
      </c>
      <c r="T1804" s="8" t="s">
        <v>10731</v>
      </c>
      <c r="U1804" s="8" t="s">
        <v>10732</v>
      </c>
      <c r="V1804" s="8" t="s">
        <v>4262</v>
      </c>
      <c r="W1804" s="8" t="s">
        <v>10733</v>
      </c>
    </row>
    <row r="1805" spans="1:23" ht="28" customHeight="1" x14ac:dyDescent="0.3">
      <c r="A1805" s="308">
        <v>43581</v>
      </c>
      <c r="B1805" s="302">
        <v>1135.778</v>
      </c>
      <c r="C1805" s="8">
        <v>-8.202</v>
      </c>
      <c r="D1805" s="268">
        <v>-7.1999999999999998E-3</v>
      </c>
      <c r="E1805" s="8">
        <v>57.55</v>
      </c>
      <c r="F1805" s="8">
        <v>113.113</v>
      </c>
      <c r="G1805" s="8">
        <v>108.98099999999999</v>
      </c>
      <c r="H1805" s="8">
        <v>99.11</v>
      </c>
      <c r="I1805" s="8">
        <v>127.01</v>
      </c>
      <c r="J1805" s="8">
        <v>33.58</v>
      </c>
      <c r="K1805" s="268">
        <v>0.13900000000000001</v>
      </c>
      <c r="L1805" s="268">
        <v>7.8899999999999998E-2</v>
      </c>
      <c r="M1805" s="268">
        <v>2.5999999999999999E-3</v>
      </c>
      <c r="N1805" s="8">
        <v>88.28</v>
      </c>
      <c r="O1805" s="8">
        <v>2406.25</v>
      </c>
      <c r="P1805" s="268">
        <v>3.6700000000000003E-2</v>
      </c>
      <c r="Q1805" s="8">
        <v>152</v>
      </c>
      <c r="R1805" s="8">
        <v>0</v>
      </c>
      <c r="S1805" s="8" t="s">
        <v>10734</v>
      </c>
      <c r="T1805" s="8" t="s">
        <v>10735</v>
      </c>
      <c r="U1805" s="8" t="s">
        <v>10736</v>
      </c>
      <c r="V1805" s="8" t="s">
        <v>2895</v>
      </c>
      <c r="W1805" s="8" t="s">
        <v>10737</v>
      </c>
    </row>
    <row r="1806" spans="1:23" ht="28" customHeight="1" x14ac:dyDescent="0.3">
      <c r="A1806" s="308">
        <v>43580</v>
      </c>
      <c r="B1806" s="302">
        <v>1143.98</v>
      </c>
      <c r="C1806" s="8">
        <v>-20.361000000000001</v>
      </c>
      <c r="D1806" s="268">
        <v>-1.7500000000000002E-2</v>
      </c>
      <c r="E1806" s="8">
        <v>58.83</v>
      </c>
      <c r="F1806" s="8">
        <v>113.875</v>
      </c>
      <c r="G1806" s="8">
        <v>109.685</v>
      </c>
      <c r="H1806" s="8">
        <v>100.62</v>
      </c>
      <c r="I1806" s="8">
        <v>127.15</v>
      </c>
      <c r="J1806" s="8">
        <v>29.61</v>
      </c>
      <c r="K1806" s="268">
        <v>0.1328</v>
      </c>
      <c r="L1806" s="268">
        <v>6.4899999999999999E-2</v>
      </c>
      <c r="M1806" s="268">
        <v>1E-3</v>
      </c>
      <c r="N1806" s="8">
        <v>80.900000000000006</v>
      </c>
      <c r="O1806" s="8">
        <v>2406.25</v>
      </c>
      <c r="P1806" s="268">
        <v>3.3599999999999998E-2</v>
      </c>
      <c r="Q1806" s="8">
        <v>152</v>
      </c>
      <c r="R1806" s="8">
        <v>0</v>
      </c>
      <c r="S1806" s="8" t="s">
        <v>10738</v>
      </c>
      <c r="T1806" s="8" t="s">
        <v>10739</v>
      </c>
      <c r="U1806" s="8" t="s">
        <v>10740</v>
      </c>
      <c r="V1806" s="8" t="s">
        <v>10741</v>
      </c>
      <c r="W1806" s="8" t="s">
        <v>10742</v>
      </c>
    </row>
    <row r="1807" spans="1:23" ht="28" customHeight="1" x14ac:dyDescent="0.3">
      <c r="A1807" s="308">
        <v>43579</v>
      </c>
      <c r="B1807" s="302">
        <v>1164.3409999999999</v>
      </c>
      <c r="C1807" s="8">
        <v>-2.556</v>
      </c>
      <c r="D1807" s="268">
        <v>-2.2000000000000001E-3</v>
      </c>
      <c r="E1807" s="8">
        <v>73.66</v>
      </c>
      <c r="F1807" s="8">
        <v>116.196</v>
      </c>
      <c r="G1807" s="8">
        <v>112.26</v>
      </c>
      <c r="H1807" s="8">
        <v>105</v>
      </c>
      <c r="I1807" s="8">
        <v>127.54</v>
      </c>
      <c r="J1807" s="8">
        <v>14.64</v>
      </c>
      <c r="K1807" s="268">
        <v>0.1134</v>
      </c>
      <c r="L1807" s="268">
        <v>4.1500000000000002E-2</v>
      </c>
      <c r="M1807" s="268">
        <v>-3.3E-3</v>
      </c>
      <c r="N1807" s="8">
        <v>92.32</v>
      </c>
      <c r="O1807" s="8">
        <v>2368.02</v>
      </c>
      <c r="P1807" s="268">
        <v>3.9E-2</v>
      </c>
      <c r="Q1807" s="8">
        <v>146</v>
      </c>
      <c r="R1807" s="8">
        <v>0</v>
      </c>
      <c r="S1807" s="8" t="s">
        <v>10743</v>
      </c>
      <c r="T1807" s="8" t="s">
        <v>10744</v>
      </c>
      <c r="U1807" s="8" t="s">
        <v>10745</v>
      </c>
      <c r="V1807" s="8" t="s">
        <v>10746</v>
      </c>
      <c r="W1807" s="8" t="s">
        <v>10747</v>
      </c>
    </row>
    <row r="1808" spans="1:23" ht="28" customHeight="1" x14ac:dyDescent="0.3">
      <c r="A1808" s="308">
        <v>43578</v>
      </c>
      <c r="B1808" s="302">
        <v>1166.8969999999999</v>
      </c>
      <c r="C1808" s="8">
        <v>-16.649000000000001</v>
      </c>
      <c r="D1808" s="268">
        <v>-1.41E-2</v>
      </c>
      <c r="E1808" s="8">
        <v>73.91</v>
      </c>
      <c r="F1808" s="8">
        <v>116.43600000000001</v>
      </c>
      <c r="G1808" s="8">
        <v>113</v>
      </c>
      <c r="H1808" s="8">
        <v>105.21</v>
      </c>
      <c r="I1808" s="8">
        <v>128.88</v>
      </c>
      <c r="J1808" s="8">
        <v>21.29</v>
      </c>
      <c r="K1808" s="268">
        <v>0.1244</v>
      </c>
      <c r="L1808" s="268">
        <v>5.8299999999999998E-2</v>
      </c>
      <c r="M1808" s="268">
        <v>-3.8E-3</v>
      </c>
      <c r="N1808" s="8">
        <v>94.03</v>
      </c>
      <c r="O1808" s="8">
        <v>2368.1999999999998</v>
      </c>
      <c r="P1808" s="268">
        <v>3.9699999999999999E-2</v>
      </c>
      <c r="Q1808" s="8">
        <v>147</v>
      </c>
      <c r="R1808" s="8">
        <v>0</v>
      </c>
      <c r="S1808" s="8" t="s">
        <v>10748</v>
      </c>
      <c r="T1808" s="8" t="s">
        <v>10749</v>
      </c>
      <c r="U1808" s="8" t="s">
        <v>10750</v>
      </c>
      <c r="V1808" s="8" t="s">
        <v>10751</v>
      </c>
      <c r="W1808" s="8" t="s">
        <v>10752</v>
      </c>
    </row>
    <row r="1809" spans="1:23" ht="28" customHeight="1" x14ac:dyDescent="0.3">
      <c r="A1809" s="308">
        <v>43577</v>
      </c>
      <c r="B1809" s="302">
        <v>1183.546</v>
      </c>
      <c r="C1809" s="8">
        <v>-5.7489999999999997</v>
      </c>
      <c r="D1809" s="268">
        <v>-4.7999999999999996E-3</v>
      </c>
      <c r="E1809" s="8">
        <v>79.75</v>
      </c>
      <c r="F1809" s="8">
        <v>118.35299999999999</v>
      </c>
      <c r="G1809" s="8">
        <v>114.13</v>
      </c>
      <c r="H1809" s="8">
        <v>107.15</v>
      </c>
      <c r="I1809" s="8">
        <v>130.66</v>
      </c>
      <c r="J1809" s="8">
        <v>21.11</v>
      </c>
      <c r="K1809" s="268">
        <v>0.1231</v>
      </c>
      <c r="L1809" s="268">
        <v>4.3299999999999998E-2</v>
      </c>
      <c r="M1809" s="268">
        <v>-6.8999999999999999E-3</v>
      </c>
      <c r="N1809" s="8">
        <v>91.56</v>
      </c>
      <c r="O1809" s="8">
        <v>2364.9299999999998</v>
      </c>
      <c r="P1809" s="268">
        <v>3.8699999999999998E-2</v>
      </c>
      <c r="Q1809" s="8">
        <v>146</v>
      </c>
      <c r="R1809" s="8">
        <v>0</v>
      </c>
      <c r="S1809" s="8" t="s">
        <v>6918</v>
      </c>
      <c r="T1809" s="8" t="s">
        <v>10753</v>
      </c>
      <c r="U1809" s="8" t="s">
        <v>10754</v>
      </c>
      <c r="V1809" s="8" t="s">
        <v>10755</v>
      </c>
      <c r="W1809" s="8" t="s">
        <v>10756</v>
      </c>
    </row>
    <row r="1810" spans="1:23" ht="28" customHeight="1" x14ac:dyDescent="0.3">
      <c r="A1810" s="308">
        <v>43574</v>
      </c>
      <c r="B1810" s="302">
        <v>1189.2950000000001</v>
      </c>
      <c r="C1810" s="8">
        <v>2.9940000000000002</v>
      </c>
      <c r="D1810" s="268">
        <v>2.5000000000000001E-3</v>
      </c>
      <c r="E1810" s="8">
        <v>86.32</v>
      </c>
      <c r="F1810" s="8">
        <v>118.876</v>
      </c>
      <c r="G1810" s="8">
        <v>115.295</v>
      </c>
      <c r="H1810" s="8">
        <v>108.67</v>
      </c>
      <c r="I1810" s="8">
        <v>130.38999999999999</v>
      </c>
      <c r="J1810" s="8">
        <v>19.440000000000001</v>
      </c>
      <c r="K1810" s="268">
        <v>0.11509999999999999</v>
      </c>
      <c r="L1810" s="268">
        <v>4.65E-2</v>
      </c>
      <c r="M1810" s="268">
        <v>-8.3000000000000001E-3</v>
      </c>
      <c r="N1810" s="8">
        <v>86.15</v>
      </c>
      <c r="O1810" s="8">
        <v>2358.9499999999998</v>
      </c>
      <c r="P1810" s="268">
        <v>3.6499999999999998E-2</v>
      </c>
      <c r="Q1810" s="8">
        <v>144</v>
      </c>
      <c r="R1810" s="8">
        <v>0</v>
      </c>
      <c r="S1810" s="8" t="s">
        <v>10757</v>
      </c>
      <c r="T1810" s="8" t="s">
        <v>10758</v>
      </c>
      <c r="U1810" s="8" t="s">
        <v>10759</v>
      </c>
      <c r="V1810" s="8" t="s">
        <v>10760</v>
      </c>
      <c r="W1810" s="8" t="s">
        <v>10761</v>
      </c>
    </row>
    <row r="1811" spans="1:23" ht="28" customHeight="1" x14ac:dyDescent="0.3">
      <c r="A1811" s="308">
        <v>43573</v>
      </c>
      <c r="B1811" s="302">
        <v>1186.3009999999999</v>
      </c>
      <c r="C1811" s="8">
        <v>-0.42299999999999999</v>
      </c>
      <c r="D1811" s="268">
        <v>-4.0000000000000002E-4</v>
      </c>
      <c r="E1811" s="8">
        <v>84.67</v>
      </c>
      <c r="F1811" s="8">
        <v>118.66</v>
      </c>
      <c r="G1811" s="8">
        <v>115.03</v>
      </c>
      <c r="H1811" s="8">
        <v>108.55</v>
      </c>
      <c r="I1811" s="8">
        <v>130.66</v>
      </c>
      <c r="J1811" s="8">
        <v>20.83</v>
      </c>
      <c r="K1811" s="268">
        <v>0.12</v>
      </c>
      <c r="L1811" s="268">
        <v>5.3600000000000002E-2</v>
      </c>
      <c r="M1811" s="268">
        <v>-8.0999999999999996E-3</v>
      </c>
      <c r="N1811" s="8">
        <v>88.7</v>
      </c>
      <c r="O1811" s="8">
        <v>2352.66</v>
      </c>
      <c r="P1811" s="268">
        <v>3.7699999999999997E-2</v>
      </c>
      <c r="Q1811" s="8">
        <v>143</v>
      </c>
      <c r="R1811" s="8">
        <v>0</v>
      </c>
      <c r="S1811" s="8" t="s">
        <v>2476</v>
      </c>
      <c r="T1811" s="8" t="s">
        <v>10414</v>
      </c>
      <c r="U1811" s="8" t="s">
        <v>10762</v>
      </c>
      <c r="V1811" s="8" t="s">
        <v>7188</v>
      </c>
      <c r="W1811" s="8" t="s">
        <v>10763</v>
      </c>
    </row>
    <row r="1812" spans="1:23" ht="28" customHeight="1" x14ac:dyDescent="0.3">
      <c r="A1812" s="308">
        <v>43572</v>
      </c>
      <c r="B1812" s="302">
        <v>1186.7239999999999</v>
      </c>
      <c r="C1812" s="8">
        <v>6.4130000000000003</v>
      </c>
      <c r="D1812" s="268">
        <v>5.4000000000000003E-3</v>
      </c>
      <c r="E1812" s="8">
        <v>83.25</v>
      </c>
      <c r="F1812" s="8">
        <v>118.867</v>
      </c>
      <c r="G1812" s="8">
        <v>114.874</v>
      </c>
      <c r="H1812" s="8">
        <v>108.69</v>
      </c>
      <c r="I1812" s="8">
        <v>130.81</v>
      </c>
      <c r="J1812" s="8">
        <v>16.72</v>
      </c>
      <c r="K1812" s="268">
        <v>0.11940000000000001</v>
      </c>
      <c r="L1812" s="268">
        <v>5.5399999999999998E-2</v>
      </c>
      <c r="M1812" s="268">
        <v>-8.3999999999999995E-3</v>
      </c>
      <c r="N1812" s="8">
        <v>102.79</v>
      </c>
      <c r="O1812" s="8">
        <v>2350.56</v>
      </c>
      <c r="P1812" s="268">
        <v>4.3700000000000003E-2</v>
      </c>
      <c r="Q1812" s="8">
        <v>142</v>
      </c>
      <c r="R1812" s="8">
        <v>0</v>
      </c>
      <c r="S1812" s="8" t="s">
        <v>6517</v>
      </c>
      <c r="T1812" s="8" t="s">
        <v>10764</v>
      </c>
      <c r="U1812" s="8" t="s">
        <v>10765</v>
      </c>
      <c r="V1812" s="8" t="s">
        <v>10766</v>
      </c>
      <c r="W1812" s="8" t="s">
        <v>10767</v>
      </c>
    </row>
    <row r="1813" spans="1:23" ht="28" customHeight="1" x14ac:dyDescent="0.3">
      <c r="A1813" s="308">
        <v>43571</v>
      </c>
      <c r="B1813" s="302">
        <v>1180.3109999999999</v>
      </c>
      <c r="C1813" s="8">
        <v>6.49</v>
      </c>
      <c r="D1813" s="268">
        <v>5.4999999999999997E-3</v>
      </c>
      <c r="E1813" s="8">
        <v>82.28</v>
      </c>
      <c r="F1813" s="8">
        <v>118.212</v>
      </c>
      <c r="G1813" s="8">
        <v>114.919</v>
      </c>
      <c r="H1813" s="8">
        <v>106.57</v>
      </c>
      <c r="I1813" s="8">
        <v>130.93</v>
      </c>
      <c r="J1813" s="8">
        <v>19.170000000000002</v>
      </c>
      <c r="K1813" s="268">
        <v>0.12720000000000001</v>
      </c>
      <c r="L1813" s="268">
        <v>5.8400000000000001E-2</v>
      </c>
      <c r="M1813" s="268">
        <v>-7.3000000000000001E-3</v>
      </c>
      <c r="N1813" s="8">
        <v>91.46</v>
      </c>
      <c r="O1813" s="8">
        <v>2327.0300000000002</v>
      </c>
      <c r="P1813" s="268">
        <v>3.9300000000000002E-2</v>
      </c>
      <c r="Q1813" s="8">
        <v>139</v>
      </c>
      <c r="R1813" s="8">
        <v>0</v>
      </c>
      <c r="S1813" s="8" t="s">
        <v>10768</v>
      </c>
      <c r="T1813" s="8" t="s">
        <v>10769</v>
      </c>
      <c r="U1813" s="8" t="s">
        <v>9462</v>
      </c>
      <c r="V1813" s="8" t="s">
        <v>10770</v>
      </c>
      <c r="W1813" s="8" t="s">
        <v>10771</v>
      </c>
    </row>
    <row r="1814" spans="1:23" ht="28" customHeight="1" x14ac:dyDescent="0.3">
      <c r="A1814" s="308">
        <v>43570</v>
      </c>
      <c r="B1814" s="302">
        <v>1173.8209999999999</v>
      </c>
      <c r="C1814" s="8">
        <v>-8.3789999999999996</v>
      </c>
      <c r="D1814" s="268">
        <v>-7.1000000000000004E-3</v>
      </c>
      <c r="E1814" s="8">
        <v>80.66</v>
      </c>
      <c r="F1814" s="8">
        <v>117.438</v>
      </c>
      <c r="G1814" s="8">
        <v>114.95</v>
      </c>
      <c r="H1814" s="8">
        <v>104.87</v>
      </c>
      <c r="I1814" s="8">
        <v>132.18</v>
      </c>
      <c r="J1814" s="8">
        <v>30.77</v>
      </c>
      <c r="K1814" s="268">
        <v>0.1474</v>
      </c>
      <c r="L1814" s="268">
        <v>7.9100000000000004E-2</v>
      </c>
      <c r="M1814" s="268">
        <v>-6.4999999999999997E-3</v>
      </c>
      <c r="N1814" s="8">
        <v>75.02</v>
      </c>
      <c r="O1814" s="8">
        <v>2324.1999999999998</v>
      </c>
      <c r="P1814" s="268">
        <v>3.2300000000000002E-2</v>
      </c>
      <c r="Q1814" s="8">
        <v>138</v>
      </c>
      <c r="R1814" s="8">
        <v>0</v>
      </c>
      <c r="S1814" s="8" t="s">
        <v>3544</v>
      </c>
      <c r="T1814" s="8" t="s">
        <v>10772</v>
      </c>
      <c r="U1814" s="8" t="s">
        <v>10773</v>
      </c>
      <c r="V1814" s="8" t="s">
        <v>10774</v>
      </c>
      <c r="W1814" s="8" t="s">
        <v>10775</v>
      </c>
    </row>
    <row r="1815" spans="1:23" ht="28" customHeight="1" x14ac:dyDescent="0.3">
      <c r="A1815" s="308">
        <v>43567</v>
      </c>
      <c r="B1815" s="302">
        <v>1182.2</v>
      </c>
      <c r="C1815" s="8">
        <v>2.2309999999999999</v>
      </c>
      <c r="D1815" s="268">
        <v>1.9E-3</v>
      </c>
      <c r="E1815" s="8">
        <v>82.81</v>
      </c>
      <c r="F1815" s="8">
        <v>118.256</v>
      </c>
      <c r="G1815" s="8">
        <v>116.145</v>
      </c>
      <c r="H1815" s="8">
        <v>106.52</v>
      </c>
      <c r="I1815" s="8">
        <v>132.63</v>
      </c>
      <c r="J1815" s="8">
        <v>32.35</v>
      </c>
      <c r="K1815" s="268">
        <v>0.14369999999999999</v>
      </c>
      <c r="L1815" s="268">
        <v>7.1099999999999997E-2</v>
      </c>
      <c r="M1815" s="268">
        <v>-7.9000000000000008E-3</v>
      </c>
      <c r="N1815" s="8">
        <v>62.35</v>
      </c>
      <c r="O1815" s="8">
        <v>2324.1999999999998</v>
      </c>
      <c r="P1815" s="268">
        <v>2.6800000000000001E-2</v>
      </c>
      <c r="Q1815" s="8">
        <v>138</v>
      </c>
      <c r="R1815" s="8">
        <v>0</v>
      </c>
      <c r="S1815" s="8" t="s">
        <v>10776</v>
      </c>
      <c r="T1815" s="8" t="s">
        <v>10777</v>
      </c>
      <c r="U1815" s="8" t="s">
        <v>10778</v>
      </c>
      <c r="V1815" s="8" t="s">
        <v>10779</v>
      </c>
      <c r="W1815" s="8" t="s">
        <v>10780</v>
      </c>
    </row>
    <row r="1816" spans="1:23" ht="28" customHeight="1" x14ac:dyDescent="0.3">
      <c r="A1816" s="308">
        <v>43566</v>
      </c>
      <c r="B1816" s="302">
        <v>1179.9690000000001</v>
      </c>
      <c r="C1816" s="8">
        <v>-17.565999999999999</v>
      </c>
      <c r="D1816" s="268">
        <v>-1.47E-2</v>
      </c>
      <c r="E1816" s="8">
        <v>84.22</v>
      </c>
      <c r="F1816" s="8">
        <v>117.992</v>
      </c>
      <c r="G1816" s="8">
        <v>116.27500000000001</v>
      </c>
      <c r="H1816" s="8">
        <v>106.19</v>
      </c>
      <c r="I1816" s="8">
        <v>132.44999999999999</v>
      </c>
      <c r="J1816" s="8">
        <v>29.86</v>
      </c>
      <c r="K1816" s="268">
        <v>0.14460000000000001</v>
      </c>
      <c r="L1816" s="268">
        <v>7.5999999999999998E-2</v>
      </c>
      <c r="M1816" s="268">
        <v>-7.7999999999999996E-3</v>
      </c>
      <c r="N1816" s="8">
        <v>68.319999999999993</v>
      </c>
      <c r="O1816" s="8">
        <v>2324.1999999999998</v>
      </c>
      <c r="P1816" s="268">
        <v>2.9399999999999999E-2</v>
      </c>
      <c r="Q1816" s="8">
        <v>138</v>
      </c>
      <c r="R1816" s="8">
        <v>0</v>
      </c>
      <c r="S1816" s="8" t="s">
        <v>3533</v>
      </c>
      <c r="T1816" s="8" t="s">
        <v>10781</v>
      </c>
      <c r="U1816" s="8" t="s">
        <v>10782</v>
      </c>
      <c r="V1816" s="8" t="s">
        <v>10783</v>
      </c>
      <c r="W1816" s="8" t="s">
        <v>10784</v>
      </c>
    </row>
    <row r="1817" spans="1:23" ht="28" customHeight="1" x14ac:dyDescent="0.3">
      <c r="A1817" s="308">
        <v>43565</v>
      </c>
      <c r="B1817" s="302">
        <v>1197.5350000000001</v>
      </c>
      <c r="C1817" s="8">
        <v>-6.9080000000000004</v>
      </c>
      <c r="D1817" s="268">
        <v>-5.7000000000000002E-3</v>
      </c>
      <c r="E1817" s="8">
        <v>89.53</v>
      </c>
      <c r="F1817" s="8">
        <v>119.82</v>
      </c>
      <c r="G1817" s="8">
        <v>118.3</v>
      </c>
      <c r="H1817" s="8">
        <v>109.75</v>
      </c>
      <c r="I1817" s="8">
        <v>133.69999999999999</v>
      </c>
      <c r="J1817" s="8">
        <v>25</v>
      </c>
      <c r="K1817" s="268">
        <v>0.13880000000000001</v>
      </c>
      <c r="L1817" s="268">
        <v>7.2700000000000001E-2</v>
      </c>
      <c r="M1817" s="268">
        <v>-1.09E-2</v>
      </c>
      <c r="N1817" s="8">
        <v>62.54</v>
      </c>
      <c r="O1817" s="8">
        <v>2264.34</v>
      </c>
      <c r="P1817" s="268">
        <v>2.76E-2</v>
      </c>
      <c r="Q1817" s="8">
        <v>137</v>
      </c>
      <c r="R1817" s="8">
        <v>0</v>
      </c>
      <c r="S1817" s="8" t="s">
        <v>10785</v>
      </c>
      <c r="T1817" s="8" t="s">
        <v>10786</v>
      </c>
      <c r="U1817" s="8" t="s">
        <v>6960</v>
      </c>
      <c r="V1817" s="8" t="s">
        <v>10787</v>
      </c>
      <c r="W1817" s="8" t="s">
        <v>10788</v>
      </c>
    </row>
    <row r="1818" spans="1:23" ht="28" customHeight="1" x14ac:dyDescent="0.3">
      <c r="A1818" s="308">
        <v>43564</v>
      </c>
      <c r="B1818" s="302">
        <v>1204.443</v>
      </c>
      <c r="C1818" s="8">
        <v>-8.5679999999999996</v>
      </c>
      <c r="D1818" s="268">
        <v>-7.1000000000000004E-3</v>
      </c>
      <c r="E1818" s="8">
        <v>93.37</v>
      </c>
      <c r="F1818" s="8">
        <v>120.515</v>
      </c>
      <c r="G1818" s="8">
        <v>118.988</v>
      </c>
      <c r="H1818" s="8">
        <v>109.41</v>
      </c>
      <c r="I1818" s="8">
        <v>134.65</v>
      </c>
      <c r="J1818" s="8">
        <v>22.81</v>
      </c>
      <c r="K1818" s="268">
        <v>0.1414</v>
      </c>
      <c r="L1818" s="268">
        <v>6.5100000000000005E-2</v>
      </c>
      <c r="M1818" s="268">
        <v>-1.21E-2</v>
      </c>
      <c r="N1818" s="8">
        <v>69.150000000000006</v>
      </c>
      <c r="O1818" s="8">
        <v>2264.34</v>
      </c>
      <c r="P1818" s="268">
        <v>3.0499999999999999E-2</v>
      </c>
      <c r="Q1818" s="8">
        <v>137</v>
      </c>
      <c r="R1818" s="8">
        <v>0</v>
      </c>
      <c r="S1818" s="8" t="s">
        <v>3563</v>
      </c>
      <c r="T1818" s="8" t="s">
        <v>10789</v>
      </c>
      <c r="U1818" s="8" t="s">
        <v>9227</v>
      </c>
      <c r="V1818" s="8" t="s">
        <v>10790</v>
      </c>
      <c r="W1818" s="8" t="s">
        <v>10791</v>
      </c>
    </row>
    <row r="1819" spans="1:23" ht="28" customHeight="1" x14ac:dyDescent="0.3">
      <c r="A1819" s="308">
        <v>43563</v>
      </c>
      <c r="B1819" s="302">
        <v>1213.011</v>
      </c>
      <c r="C1819" s="8">
        <v>-2.375</v>
      </c>
      <c r="D1819" s="268">
        <v>-2E-3</v>
      </c>
      <c r="E1819" s="8">
        <v>96.13</v>
      </c>
      <c r="F1819" s="8">
        <v>121.532</v>
      </c>
      <c r="G1819" s="8">
        <v>119.6</v>
      </c>
      <c r="H1819" s="8">
        <v>109.41</v>
      </c>
      <c r="I1819" s="8">
        <v>136.59</v>
      </c>
      <c r="J1819" s="8">
        <v>28.57</v>
      </c>
      <c r="K1819" s="268">
        <v>0.15060000000000001</v>
      </c>
      <c r="L1819" s="268">
        <v>8.5099999999999995E-2</v>
      </c>
      <c r="M1819" s="268">
        <v>-1.38E-2</v>
      </c>
      <c r="N1819" s="8">
        <v>102.15</v>
      </c>
      <c r="O1819" s="8">
        <v>2258.8000000000002</v>
      </c>
      <c r="P1819" s="268">
        <v>4.5199999999999997E-2</v>
      </c>
      <c r="Q1819" s="8">
        <v>137</v>
      </c>
      <c r="R1819" s="8">
        <v>0</v>
      </c>
      <c r="S1819" s="8" t="s">
        <v>9307</v>
      </c>
      <c r="T1819" s="8" t="s">
        <v>10792</v>
      </c>
      <c r="U1819" s="8" t="s">
        <v>10793</v>
      </c>
      <c r="V1819" s="8" t="s">
        <v>10794</v>
      </c>
      <c r="W1819" s="8" t="s">
        <v>10795</v>
      </c>
    </row>
    <row r="1820" spans="1:23" ht="28" customHeight="1" x14ac:dyDescent="0.3">
      <c r="A1820" s="308">
        <v>43559</v>
      </c>
      <c r="B1820" s="302">
        <v>1215.386</v>
      </c>
      <c r="C1820" s="8">
        <v>7.8049999999999997</v>
      </c>
      <c r="D1820" s="268">
        <v>6.4999999999999997E-3</v>
      </c>
      <c r="E1820" s="8">
        <v>97.38</v>
      </c>
      <c r="F1820" s="8">
        <v>121.741</v>
      </c>
      <c r="G1820" s="8">
        <v>119.40600000000001</v>
      </c>
      <c r="H1820" s="8">
        <v>110.56</v>
      </c>
      <c r="I1820" s="8">
        <v>136.49</v>
      </c>
      <c r="J1820" s="8">
        <v>22.79</v>
      </c>
      <c r="K1820" s="268">
        <v>0.14749999999999999</v>
      </c>
      <c r="L1820" s="268">
        <v>7.2099999999999997E-2</v>
      </c>
      <c r="M1820" s="268">
        <v>-1.4200000000000001E-2</v>
      </c>
      <c r="N1820" s="8">
        <v>115.62</v>
      </c>
      <c r="O1820" s="8">
        <v>2240.2600000000002</v>
      </c>
      <c r="P1820" s="268">
        <v>5.16E-2</v>
      </c>
      <c r="Q1820" s="8">
        <v>136</v>
      </c>
      <c r="R1820" s="8">
        <v>0</v>
      </c>
      <c r="S1820" s="8" t="s">
        <v>2819</v>
      </c>
      <c r="T1820" s="8" t="s">
        <v>10796</v>
      </c>
      <c r="U1820" s="8" t="s">
        <v>2797</v>
      </c>
      <c r="V1820" s="8" t="s">
        <v>10797</v>
      </c>
      <c r="W1820" s="8" t="s">
        <v>10798</v>
      </c>
    </row>
    <row r="1821" spans="1:23" ht="28" customHeight="1" x14ac:dyDescent="0.3">
      <c r="A1821" s="308">
        <v>43558</v>
      </c>
      <c r="B1821" s="302">
        <v>1207.5809999999999</v>
      </c>
      <c r="C1821" s="8">
        <v>4.484</v>
      </c>
      <c r="D1821" s="268">
        <v>3.7000000000000002E-3</v>
      </c>
      <c r="E1821" s="8">
        <v>97.8</v>
      </c>
      <c r="F1821" s="8">
        <v>121.06</v>
      </c>
      <c r="G1821" s="8">
        <v>118.432</v>
      </c>
      <c r="H1821" s="8">
        <v>108.96</v>
      </c>
      <c r="I1821" s="8">
        <v>136.24</v>
      </c>
      <c r="J1821" s="8">
        <v>23.95</v>
      </c>
      <c r="K1821" s="268">
        <v>0.15179999999999999</v>
      </c>
      <c r="L1821" s="268">
        <v>7.1300000000000002E-2</v>
      </c>
      <c r="M1821" s="268">
        <v>-1.32E-2</v>
      </c>
      <c r="N1821" s="8">
        <v>78.56</v>
      </c>
      <c r="O1821" s="8">
        <v>2031.13</v>
      </c>
      <c r="P1821" s="268">
        <v>3.8699999999999998E-2</v>
      </c>
      <c r="Q1821" s="8">
        <v>134</v>
      </c>
      <c r="R1821" s="8">
        <v>0</v>
      </c>
      <c r="S1821" s="8" t="s">
        <v>10799</v>
      </c>
      <c r="T1821" s="8" t="s">
        <v>10800</v>
      </c>
      <c r="U1821" s="8" t="s">
        <v>10801</v>
      </c>
      <c r="V1821" s="8" t="s">
        <v>10802</v>
      </c>
      <c r="W1821" s="8" t="s">
        <v>10803</v>
      </c>
    </row>
    <row r="1822" spans="1:23" ht="28" customHeight="1" x14ac:dyDescent="0.3">
      <c r="A1822" s="308">
        <v>43557</v>
      </c>
      <c r="B1822" s="302">
        <v>1203.097</v>
      </c>
      <c r="C1822" s="8">
        <v>4.3289999999999997</v>
      </c>
      <c r="D1822" s="268">
        <v>3.5999999999999999E-3</v>
      </c>
      <c r="E1822" s="8">
        <v>97.62</v>
      </c>
      <c r="F1822" s="8">
        <v>120.54900000000001</v>
      </c>
      <c r="G1822" s="8">
        <v>118.1</v>
      </c>
      <c r="H1822" s="8">
        <v>108.34</v>
      </c>
      <c r="I1822" s="8">
        <v>136.53</v>
      </c>
      <c r="J1822" s="8">
        <v>26.38</v>
      </c>
      <c r="K1822" s="268">
        <v>0.1598</v>
      </c>
      <c r="L1822" s="268">
        <v>7.5800000000000006E-2</v>
      </c>
      <c r="M1822" s="268">
        <v>-1.24E-2</v>
      </c>
      <c r="N1822" s="8">
        <v>91.97</v>
      </c>
      <c r="O1822" s="8">
        <v>2009.51</v>
      </c>
      <c r="P1822" s="268">
        <v>4.58E-2</v>
      </c>
      <c r="Q1822" s="8">
        <v>131</v>
      </c>
      <c r="R1822" s="8">
        <v>0</v>
      </c>
      <c r="S1822" s="8" t="s">
        <v>6334</v>
      </c>
      <c r="T1822" s="8" t="s">
        <v>10804</v>
      </c>
      <c r="U1822" s="8" t="s">
        <v>10805</v>
      </c>
      <c r="V1822" s="8" t="s">
        <v>10806</v>
      </c>
      <c r="W1822" s="8" t="s">
        <v>10807</v>
      </c>
    </row>
    <row r="1823" spans="1:23" ht="28" customHeight="1" x14ac:dyDescent="0.3">
      <c r="A1823" s="308">
        <v>43556</v>
      </c>
      <c r="B1823" s="302">
        <v>1198.768</v>
      </c>
      <c r="C1823" s="8">
        <v>31.690999999999999</v>
      </c>
      <c r="D1823" s="268">
        <v>2.7099999999999999E-2</v>
      </c>
      <c r="E1823" s="8">
        <v>97.39</v>
      </c>
      <c r="F1823" s="8">
        <v>120.167</v>
      </c>
      <c r="G1823" s="8">
        <v>117.31</v>
      </c>
      <c r="H1823" s="8">
        <v>107.49</v>
      </c>
      <c r="I1823" s="8">
        <v>135.91999999999999</v>
      </c>
      <c r="J1823" s="8">
        <v>21.2</v>
      </c>
      <c r="K1823" s="268">
        <v>0.1575</v>
      </c>
      <c r="L1823" s="268">
        <v>6.6699999999999995E-2</v>
      </c>
      <c r="M1823" s="268">
        <v>-1.15E-2</v>
      </c>
      <c r="N1823" s="8">
        <v>111.09</v>
      </c>
      <c r="O1823" s="8">
        <v>2009.51</v>
      </c>
      <c r="P1823" s="268">
        <v>5.5300000000000002E-2</v>
      </c>
      <c r="Q1823" s="8">
        <v>131</v>
      </c>
      <c r="R1823" s="8">
        <v>0</v>
      </c>
      <c r="S1823" s="8" t="s">
        <v>10808</v>
      </c>
      <c r="T1823" s="8" t="s">
        <v>10809</v>
      </c>
      <c r="U1823" s="8" t="s">
        <v>10810</v>
      </c>
      <c r="V1823" s="8" t="s">
        <v>10811</v>
      </c>
      <c r="W1823" s="8" t="s">
        <v>10812</v>
      </c>
    </row>
    <row r="1824" spans="1:23" ht="28" customHeight="1" x14ac:dyDescent="0.3">
      <c r="A1824" s="308">
        <v>43553</v>
      </c>
      <c r="B1824" s="302">
        <v>1167.077</v>
      </c>
      <c r="C1824" s="8">
        <v>20.265000000000001</v>
      </c>
      <c r="D1824" s="268">
        <v>1.77E-2</v>
      </c>
      <c r="E1824" s="8">
        <v>91.49</v>
      </c>
      <c r="F1824" s="8">
        <v>116.889</v>
      </c>
      <c r="G1824" s="8">
        <v>114.01</v>
      </c>
      <c r="H1824" s="8">
        <v>104.7</v>
      </c>
      <c r="I1824" s="8">
        <v>135.04</v>
      </c>
      <c r="J1824" s="8">
        <v>25.74</v>
      </c>
      <c r="K1824" s="268">
        <v>0.18149999999999999</v>
      </c>
      <c r="L1824" s="268">
        <v>8.2600000000000007E-2</v>
      </c>
      <c r="M1824" s="268">
        <v>-6.1999999999999998E-3</v>
      </c>
      <c r="N1824" s="8">
        <v>74.680000000000007</v>
      </c>
      <c r="O1824" s="8">
        <v>1990.48</v>
      </c>
      <c r="P1824" s="268">
        <v>3.7499999999999999E-2</v>
      </c>
      <c r="Q1824" s="8">
        <v>129</v>
      </c>
      <c r="R1824" s="8">
        <v>0</v>
      </c>
      <c r="S1824" s="8" t="s">
        <v>10813</v>
      </c>
      <c r="T1824" s="8" t="s">
        <v>10814</v>
      </c>
      <c r="U1824" s="8" t="s">
        <v>10815</v>
      </c>
      <c r="V1824" s="8" t="s">
        <v>10816</v>
      </c>
      <c r="W1824" s="8" t="s">
        <v>10817</v>
      </c>
    </row>
    <row r="1825" spans="1:23" ht="28" customHeight="1" x14ac:dyDescent="0.3">
      <c r="A1825" s="308">
        <v>43552</v>
      </c>
      <c r="B1825" s="302">
        <v>1146.8119999999999</v>
      </c>
      <c r="C1825" s="8">
        <v>-4.8550000000000004</v>
      </c>
      <c r="D1825" s="268">
        <v>-4.1999999999999997E-3</v>
      </c>
      <c r="E1825" s="8">
        <v>87.5</v>
      </c>
      <c r="F1825" s="8">
        <v>114.864</v>
      </c>
      <c r="G1825" s="8">
        <v>112.69</v>
      </c>
      <c r="H1825" s="8">
        <v>102.07</v>
      </c>
      <c r="I1825" s="8">
        <v>134.51</v>
      </c>
      <c r="J1825" s="8">
        <v>37.14</v>
      </c>
      <c r="K1825" s="268">
        <v>0.19650000000000001</v>
      </c>
      <c r="L1825" s="268">
        <v>9.5000000000000001E-2</v>
      </c>
      <c r="M1825" s="268">
        <v>-2.5000000000000001E-3</v>
      </c>
      <c r="N1825" s="8">
        <v>52.02</v>
      </c>
      <c r="O1825" s="8">
        <v>1955.48</v>
      </c>
      <c r="P1825" s="268">
        <v>2.6599999999999999E-2</v>
      </c>
      <c r="Q1825" s="8">
        <v>128</v>
      </c>
      <c r="R1825" s="8">
        <v>0</v>
      </c>
      <c r="S1825" s="8" t="s">
        <v>4110</v>
      </c>
      <c r="T1825" s="8" t="s">
        <v>10818</v>
      </c>
      <c r="U1825" s="8" t="s">
        <v>10819</v>
      </c>
      <c r="V1825" s="8" t="s">
        <v>10820</v>
      </c>
      <c r="W1825" s="8" t="s">
        <v>10821</v>
      </c>
    </row>
    <row r="1826" spans="1:23" ht="28" customHeight="1" x14ac:dyDescent="0.3">
      <c r="A1826" s="308">
        <v>43551</v>
      </c>
      <c r="B1826" s="302">
        <v>1151.6669999999999</v>
      </c>
      <c r="C1826" s="8">
        <v>3.8450000000000002</v>
      </c>
      <c r="D1826" s="268">
        <v>3.3999999999999998E-3</v>
      </c>
      <c r="E1826" s="8">
        <v>89.21</v>
      </c>
      <c r="F1826" s="8">
        <v>115.402</v>
      </c>
      <c r="G1826" s="8">
        <v>112.625</v>
      </c>
      <c r="H1826" s="8">
        <v>103.36</v>
      </c>
      <c r="I1826" s="8">
        <v>134.35</v>
      </c>
      <c r="J1826" s="8">
        <v>40.98</v>
      </c>
      <c r="K1826" s="268">
        <v>0.1895</v>
      </c>
      <c r="L1826" s="268">
        <v>9.98E-2</v>
      </c>
      <c r="M1826" s="268">
        <v>-3.5000000000000001E-3</v>
      </c>
      <c r="N1826" s="8">
        <v>66.41</v>
      </c>
      <c r="O1826" s="8">
        <v>1955.48</v>
      </c>
      <c r="P1826" s="268">
        <v>3.4000000000000002E-2</v>
      </c>
      <c r="Q1826" s="8">
        <v>128</v>
      </c>
      <c r="R1826" s="8">
        <v>0</v>
      </c>
      <c r="S1826" s="8" t="s">
        <v>10822</v>
      </c>
      <c r="T1826" s="8" t="s">
        <v>9362</v>
      </c>
      <c r="U1826" s="8" t="s">
        <v>10823</v>
      </c>
      <c r="V1826" s="8" t="s">
        <v>10824</v>
      </c>
      <c r="W1826" s="8" t="s">
        <v>10825</v>
      </c>
    </row>
    <row r="1827" spans="1:23" ht="28" customHeight="1" x14ac:dyDescent="0.3">
      <c r="A1827" s="308">
        <v>43550</v>
      </c>
      <c r="B1827" s="302">
        <v>1147.8219999999999</v>
      </c>
      <c r="C1827" s="8">
        <v>-25.608000000000001</v>
      </c>
      <c r="D1827" s="268">
        <v>-2.18E-2</v>
      </c>
      <c r="E1827" s="8">
        <v>88.41</v>
      </c>
      <c r="F1827" s="8">
        <v>114.98699999999999</v>
      </c>
      <c r="G1827" s="8">
        <v>113.005</v>
      </c>
      <c r="H1827" s="8">
        <v>102.91</v>
      </c>
      <c r="I1827" s="8">
        <v>134.30000000000001</v>
      </c>
      <c r="J1827" s="8">
        <v>43.17</v>
      </c>
      <c r="K1827" s="268">
        <v>0.19309999999999999</v>
      </c>
      <c r="L1827" s="268">
        <v>9.3700000000000006E-2</v>
      </c>
      <c r="M1827" s="268">
        <v>-2.8999999999999998E-3</v>
      </c>
      <c r="N1827" s="8">
        <v>68.12</v>
      </c>
      <c r="O1827" s="8">
        <v>1955.48</v>
      </c>
      <c r="P1827" s="268">
        <v>3.4799999999999998E-2</v>
      </c>
      <c r="Q1827" s="8">
        <v>128</v>
      </c>
      <c r="R1827" s="8">
        <v>0</v>
      </c>
      <c r="S1827" s="8" t="s">
        <v>10826</v>
      </c>
      <c r="T1827" s="8" t="s">
        <v>10827</v>
      </c>
      <c r="U1827" s="8" t="s">
        <v>10828</v>
      </c>
      <c r="V1827" s="8" t="s">
        <v>10829</v>
      </c>
      <c r="W1827" s="8" t="s">
        <v>10830</v>
      </c>
    </row>
    <row r="1828" spans="1:23" ht="28" customHeight="1" x14ac:dyDescent="0.3">
      <c r="A1828" s="308">
        <v>43549</v>
      </c>
      <c r="B1828" s="302">
        <v>1173.43</v>
      </c>
      <c r="C1828" s="8">
        <v>-11.728999999999999</v>
      </c>
      <c r="D1828" s="268">
        <v>-9.9000000000000008E-3</v>
      </c>
      <c r="E1828" s="8">
        <v>93.53</v>
      </c>
      <c r="F1828" s="8">
        <v>117.619</v>
      </c>
      <c r="G1828" s="8">
        <v>115</v>
      </c>
      <c r="H1828" s="8">
        <v>106.17</v>
      </c>
      <c r="I1828" s="8">
        <v>136.13</v>
      </c>
      <c r="J1828" s="8">
        <v>40.14</v>
      </c>
      <c r="K1828" s="268">
        <v>0.18509999999999999</v>
      </c>
      <c r="L1828" s="268">
        <v>9.5000000000000001E-2</v>
      </c>
      <c r="M1828" s="268">
        <v>-7.6E-3</v>
      </c>
      <c r="N1828" s="8">
        <v>68.27</v>
      </c>
      <c r="O1828" s="8">
        <v>1943.52</v>
      </c>
      <c r="P1828" s="268">
        <v>3.5099999999999999E-2</v>
      </c>
      <c r="Q1828" s="8">
        <v>127</v>
      </c>
      <c r="R1828" s="8">
        <v>0</v>
      </c>
      <c r="S1828" s="8" t="s">
        <v>10831</v>
      </c>
      <c r="T1828" s="8" t="s">
        <v>10832</v>
      </c>
      <c r="U1828" s="8" t="s">
        <v>10833</v>
      </c>
      <c r="V1828" s="8" t="s">
        <v>10834</v>
      </c>
      <c r="W1828" s="8" t="s">
        <v>10835</v>
      </c>
    </row>
    <row r="1829" spans="1:23" ht="28" customHeight="1" x14ac:dyDescent="0.3">
      <c r="A1829" s="308">
        <v>43546</v>
      </c>
      <c r="B1829" s="302">
        <v>1185.1590000000001</v>
      </c>
      <c r="C1829" s="8">
        <v>-0.51300000000000001</v>
      </c>
      <c r="D1829" s="268">
        <v>-4.0000000000000002E-4</v>
      </c>
      <c r="E1829" s="8">
        <v>97.19</v>
      </c>
      <c r="F1829" s="8">
        <v>119.003</v>
      </c>
      <c r="G1829" s="8">
        <v>116.85599999999999</v>
      </c>
      <c r="H1829" s="8">
        <v>106.39</v>
      </c>
      <c r="I1829" s="8">
        <v>137.38999999999999</v>
      </c>
      <c r="J1829" s="8">
        <v>36.82</v>
      </c>
      <c r="K1829" s="268">
        <v>0.18379999999999999</v>
      </c>
      <c r="L1829" s="268">
        <v>9.3799999999999994E-2</v>
      </c>
      <c r="M1829" s="268">
        <v>-1.0200000000000001E-2</v>
      </c>
      <c r="N1829" s="8">
        <v>65.25</v>
      </c>
      <c r="O1829" s="8">
        <v>1890.19</v>
      </c>
      <c r="P1829" s="268">
        <v>3.4500000000000003E-2</v>
      </c>
      <c r="Q1829" s="8">
        <v>124</v>
      </c>
      <c r="R1829" s="8">
        <v>0</v>
      </c>
      <c r="S1829" s="8" t="s">
        <v>9935</v>
      </c>
      <c r="T1829" s="8" t="s">
        <v>10836</v>
      </c>
      <c r="U1829" s="8" t="s">
        <v>10837</v>
      </c>
      <c r="V1829" s="8" t="s">
        <v>3223</v>
      </c>
      <c r="W1829" s="8" t="s">
        <v>10838</v>
      </c>
    </row>
    <row r="1830" spans="1:23" ht="28" customHeight="1" x14ac:dyDescent="0.3">
      <c r="A1830" s="308">
        <v>43545</v>
      </c>
      <c r="B1830" s="302">
        <v>1185.672</v>
      </c>
      <c r="C1830" s="8">
        <v>13.603999999999999</v>
      </c>
      <c r="D1830" s="268">
        <v>1.1599999999999999E-2</v>
      </c>
      <c r="E1830" s="8">
        <v>98.17</v>
      </c>
      <c r="F1830" s="8">
        <v>119.098</v>
      </c>
      <c r="G1830" s="8">
        <v>116.571</v>
      </c>
      <c r="H1830" s="8">
        <v>106.57</v>
      </c>
      <c r="I1830" s="8">
        <v>137.84</v>
      </c>
      <c r="J1830" s="8">
        <v>37.72</v>
      </c>
      <c r="K1830" s="268">
        <v>0.1875</v>
      </c>
      <c r="L1830" s="268">
        <v>9.9099999999999994E-2</v>
      </c>
      <c r="M1830" s="268">
        <v>-1.03E-2</v>
      </c>
      <c r="N1830" s="8">
        <v>101.19</v>
      </c>
      <c r="O1830" s="8">
        <v>1890.19</v>
      </c>
      <c r="P1830" s="268">
        <v>5.3499999999999999E-2</v>
      </c>
      <c r="Q1830" s="8">
        <v>124</v>
      </c>
      <c r="R1830" s="8">
        <v>0</v>
      </c>
      <c r="S1830" s="8" t="s">
        <v>10839</v>
      </c>
      <c r="T1830" s="8" t="s">
        <v>10840</v>
      </c>
      <c r="U1830" s="8" t="s">
        <v>10841</v>
      </c>
      <c r="V1830" s="8" t="s">
        <v>10842</v>
      </c>
      <c r="W1830" s="8" t="s">
        <v>10843</v>
      </c>
    </row>
    <row r="1831" spans="1:23" ht="28" customHeight="1" x14ac:dyDescent="0.3">
      <c r="A1831" s="308">
        <v>43544</v>
      </c>
      <c r="B1831" s="302">
        <v>1172.068</v>
      </c>
      <c r="C1831" s="8">
        <v>-2.5539999999999998</v>
      </c>
      <c r="D1831" s="268">
        <v>-2.2000000000000001E-3</v>
      </c>
      <c r="E1831" s="8">
        <v>96.65</v>
      </c>
      <c r="F1831" s="8">
        <v>117.71899999999999</v>
      </c>
      <c r="G1831" s="8">
        <v>115.76</v>
      </c>
      <c r="H1831" s="8">
        <v>105.05</v>
      </c>
      <c r="I1831" s="8">
        <v>136.47</v>
      </c>
      <c r="J1831" s="8">
        <v>36.11</v>
      </c>
      <c r="K1831" s="268">
        <v>0.1875</v>
      </c>
      <c r="L1831" s="268">
        <v>9.64E-2</v>
      </c>
      <c r="M1831" s="268">
        <v>-8.0000000000000002E-3</v>
      </c>
      <c r="N1831" s="8">
        <v>72.44</v>
      </c>
      <c r="O1831" s="8">
        <v>1883.85</v>
      </c>
      <c r="P1831" s="268">
        <v>3.85E-2</v>
      </c>
      <c r="Q1831" s="8">
        <v>123</v>
      </c>
      <c r="R1831" s="8">
        <v>0</v>
      </c>
      <c r="S1831" s="8" t="s">
        <v>8546</v>
      </c>
      <c r="T1831" s="8" t="s">
        <v>7862</v>
      </c>
      <c r="U1831" s="8" t="s">
        <v>6271</v>
      </c>
      <c r="V1831" s="8" t="s">
        <v>10844</v>
      </c>
      <c r="W1831" s="8" t="s">
        <v>10845</v>
      </c>
    </row>
    <row r="1832" spans="1:23" ht="28" customHeight="1" x14ac:dyDescent="0.3">
      <c r="A1832" s="308">
        <v>43543</v>
      </c>
      <c r="B1832" s="302">
        <v>1174.6220000000001</v>
      </c>
      <c r="C1832" s="8">
        <v>9.6300000000000008</v>
      </c>
      <c r="D1832" s="268">
        <v>8.3000000000000001E-3</v>
      </c>
      <c r="E1832" s="8">
        <v>97.78</v>
      </c>
      <c r="F1832" s="8">
        <v>118.52200000000001</v>
      </c>
      <c r="G1832" s="8">
        <v>116.2</v>
      </c>
      <c r="H1832" s="8">
        <v>106.62</v>
      </c>
      <c r="I1832" s="8">
        <v>136.88999999999999</v>
      </c>
      <c r="J1832" s="8">
        <v>31.82</v>
      </c>
      <c r="K1832" s="268">
        <v>0.1837</v>
      </c>
      <c r="L1832" s="268">
        <v>9.0899999999999995E-2</v>
      </c>
      <c r="M1832" s="268">
        <v>-9.9000000000000008E-3</v>
      </c>
      <c r="N1832" s="8">
        <v>69.959999999999994</v>
      </c>
      <c r="O1832" s="8">
        <v>1483.95</v>
      </c>
      <c r="P1832" s="268">
        <v>4.7100000000000003E-2</v>
      </c>
      <c r="Q1832" s="8">
        <v>123</v>
      </c>
      <c r="R1832" s="8">
        <v>0</v>
      </c>
      <c r="S1832" s="8" t="s">
        <v>2343</v>
      </c>
      <c r="T1832" s="8" t="s">
        <v>10846</v>
      </c>
      <c r="U1832" s="8" t="s">
        <v>10847</v>
      </c>
      <c r="V1832" s="8" t="s">
        <v>10848</v>
      </c>
      <c r="W1832" s="8" t="s">
        <v>10849</v>
      </c>
    </row>
    <row r="1833" spans="1:23" ht="28" customHeight="1" x14ac:dyDescent="0.3">
      <c r="A1833" s="308">
        <v>43542</v>
      </c>
      <c r="B1833" s="302">
        <v>1164.992</v>
      </c>
      <c r="C1833" s="8">
        <v>21.791</v>
      </c>
      <c r="D1833" s="268">
        <v>1.9099999999999999E-2</v>
      </c>
      <c r="E1833" s="8">
        <v>97.21</v>
      </c>
      <c r="F1833" s="8">
        <v>117.58</v>
      </c>
      <c r="G1833" s="8">
        <v>114.66</v>
      </c>
      <c r="H1833" s="8">
        <v>105.14</v>
      </c>
      <c r="I1833" s="8">
        <v>135.65</v>
      </c>
      <c r="J1833" s="8">
        <v>23.75</v>
      </c>
      <c r="K1833" s="268">
        <v>0.1807</v>
      </c>
      <c r="L1833" s="268">
        <v>8.9700000000000002E-2</v>
      </c>
      <c r="M1833" s="268">
        <v>-8.2000000000000007E-3</v>
      </c>
      <c r="N1833" s="8">
        <v>76.650000000000006</v>
      </c>
      <c r="O1833" s="8">
        <v>1483.95</v>
      </c>
      <c r="P1833" s="268">
        <v>5.1700000000000003E-2</v>
      </c>
      <c r="Q1833" s="8">
        <v>123</v>
      </c>
      <c r="R1833" s="8">
        <v>0</v>
      </c>
      <c r="S1833" s="8" t="s">
        <v>10850</v>
      </c>
      <c r="T1833" s="8" t="s">
        <v>10851</v>
      </c>
      <c r="U1833" s="8" t="s">
        <v>10852</v>
      </c>
      <c r="V1833" s="8" t="s">
        <v>10853</v>
      </c>
      <c r="W1833" s="8" t="s">
        <v>10854</v>
      </c>
    </row>
    <row r="1834" spans="1:23" ht="28" customHeight="1" x14ac:dyDescent="0.3">
      <c r="A1834" s="308">
        <v>43539</v>
      </c>
      <c r="B1834" s="302">
        <v>1143.201</v>
      </c>
      <c r="C1834" s="8">
        <v>12.208</v>
      </c>
      <c r="D1834" s="268">
        <v>1.0800000000000001E-2</v>
      </c>
      <c r="E1834" s="8">
        <v>92.48</v>
      </c>
      <c r="F1834" s="8">
        <v>115.396</v>
      </c>
      <c r="G1834" s="8">
        <v>112.29900000000001</v>
      </c>
      <c r="H1834" s="8">
        <v>102.24</v>
      </c>
      <c r="I1834" s="8">
        <v>134.34</v>
      </c>
      <c r="J1834" s="8">
        <v>35</v>
      </c>
      <c r="K1834" s="268">
        <v>0.18940000000000001</v>
      </c>
      <c r="L1834" s="268">
        <v>0.10390000000000001</v>
      </c>
      <c r="M1834" s="268">
        <v>-4.3E-3</v>
      </c>
      <c r="N1834" s="8">
        <v>70.13</v>
      </c>
      <c r="O1834" s="8">
        <v>1483.95</v>
      </c>
      <c r="P1834" s="268">
        <v>4.7300000000000002E-2</v>
      </c>
      <c r="Q1834" s="8">
        <v>123</v>
      </c>
      <c r="R1834" s="8">
        <v>0</v>
      </c>
      <c r="S1834" s="8" t="s">
        <v>10855</v>
      </c>
      <c r="T1834" s="8" t="s">
        <v>9750</v>
      </c>
      <c r="U1834" s="8" t="s">
        <v>10856</v>
      </c>
      <c r="V1834" s="8" t="s">
        <v>10857</v>
      </c>
      <c r="W1834" s="8" t="s">
        <v>10858</v>
      </c>
    </row>
    <row r="1835" spans="1:23" ht="28" customHeight="1" x14ac:dyDescent="0.3">
      <c r="A1835" s="308">
        <v>43538</v>
      </c>
      <c r="B1835" s="302">
        <v>1130.9929999999999</v>
      </c>
      <c r="C1835" s="8">
        <v>-22.041</v>
      </c>
      <c r="D1835" s="268">
        <v>-1.9099999999999999E-2</v>
      </c>
      <c r="E1835" s="8">
        <v>90.29</v>
      </c>
      <c r="F1835" s="8">
        <v>114.10599999999999</v>
      </c>
      <c r="G1835" s="8">
        <v>111.571</v>
      </c>
      <c r="H1835" s="8">
        <v>101.8</v>
      </c>
      <c r="I1835" s="8">
        <v>133.63</v>
      </c>
      <c r="J1835" s="8">
        <v>35.15</v>
      </c>
      <c r="K1835" s="268">
        <v>0.19520000000000001</v>
      </c>
      <c r="L1835" s="268">
        <v>0.1012</v>
      </c>
      <c r="M1835" s="268">
        <v>-2E-3</v>
      </c>
      <c r="N1835" s="8">
        <v>73.3</v>
      </c>
      <c r="O1835" s="8">
        <v>1482.01</v>
      </c>
      <c r="P1835" s="268">
        <v>4.9500000000000002E-2</v>
      </c>
      <c r="Q1835" s="8">
        <v>122</v>
      </c>
      <c r="R1835" s="8">
        <v>0</v>
      </c>
      <c r="S1835" s="8" t="s">
        <v>10859</v>
      </c>
      <c r="T1835" s="8" t="s">
        <v>10860</v>
      </c>
      <c r="U1835" s="8" t="s">
        <v>10861</v>
      </c>
      <c r="V1835" s="8" t="s">
        <v>10862</v>
      </c>
      <c r="W1835" s="8" t="s">
        <v>10863</v>
      </c>
    </row>
    <row r="1836" spans="1:23" ht="28" customHeight="1" x14ac:dyDescent="0.3">
      <c r="A1836" s="308">
        <v>43537</v>
      </c>
      <c r="B1836" s="302">
        <v>1153.0340000000001</v>
      </c>
      <c r="C1836" s="8">
        <v>-12.423</v>
      </c>
      <c r="D1836" s="268">
        <v>-1.0699999999999999E-2</v>
      </c>
      <c r="E1836" s="8">
        <v>95.71</v>
      </c>
      <c r="F1836" s="8">
        <v>116.483</v>
      </c>
      <c r="G1836" s="8">
        <v>113.61499999999999</v>
      </c>
      <c r="H1836" s="8">
        <v>103.34</v>
      </c>
      <c r="I1836" s="8">
        <v>134.63</v>
      </c>
      <c r="J1836" s="8">
        <v>30.49</v>
      </c>
      <c r="K1836" s="268">
        <v>0.18140000000000001</v>
      </c>
      <c r="L1836" s="268">
        <v>0.1007</v>
      </c>
      <c r="M1836" s="268">
        <v>-6.1000000000000004E-3</v>
      </c>
      <c r="N1836" s="8">
        <v>94.86</v>
      </c>
      <c r="O1836" s="8">
        <v>1482.01</v>
      </c>
      <c r="P1836" s="268">
        <v>6.4000000000000001E-2</v>
      </c>
      <c r="Q1836" s="8">
        <v>122</v>
      </c>
      <c r="R1836" s="8">
        <v>0</v>
      </c>
      <c r="S1836" s="8" t="s">
        <v>6915</v>
      </c>
      <c r="T1836" s="8" t="s">
        <v>9818</v>
      </c>
      <c r="U1836" s="8" t="s">
        <v>10864</v>
      </c>
      <c r="V1836" s="8" t="s">
        <v>10865</v>
      </c>
      <c r="W1836" s="8" t="s">
        <v>10866</v>
      </c>
    </row>
    <row r="1837" spans="1:23" ht="28" customHeight="1" x14ac:dyDescent="0.3">
      <c r="A1837" s="308">
        <v>43536</v>
      </c>
      <c r="B1837" s="302">
        <v>1165.4570000000001</v>
      </c>
      <c r="C1837" s="8">
        <v>14.252000000000001</v>
      </c>
      <c r="D1837" s="268">
        <v>1.24E-2</v>
      </c>
      <c r="E1837" s="8">
        <v>98.03</v>
      </c>
      <c r="F1837" s="8">
        <v>117.77200000000001</v>
      </c>
      <c r="G1837" s="8">
        <v>115.49</v>
      </c>
      <c r="H1837" s="8">
        <v>105.33</v>
      </c>
      <c r="I1837" s="8">
        <v>134.56</v>
      </c>
      <c r="J1837" s="8">
        <v>27.52</v>
      </c>
      <c r="K1837" s="268">
        <v>0.16789999999999999</v>
      </c>
      <c r="L1837" s="268">
        <v>8.6400000000000005E-2</v>
      </c>
      <c r="M1837" s="268">
        <v>-8.5000000000000006E-3</v>
      </c>
      <c r="N1837" s="8">
        <v>127.96</v>
      </c>
      <c r="O1837" s="8">
        <v>1482.01</v>
      </c>
      <c r="P1837" s="268">
        <v>8.6300000000000002E-2</v>
      </c>
      <c r="Q1837" s="8">
        <v>122</v>
      </c>
      <c r="R1837" s="8">
        <v>0</v>
      </c>
      <c r="S1837" s="8" t="s">
        <v>10867</v>
      </c>
      <c r="T1837" s="8" t="s">
        <v>10868</v>
      </c>
      <c r="U1837" s="8" t="s">
        <v>9441</v>
      </c>
      <c r="V1837" s="8" t="s">
        <v>10869</v>
      </c>
      <c r="W1837" s="8" t="s">
        <v>10870</v>
      </c>
    </row>
    <row r="1838" spans="1:23" ht="28" customHeight="1" x14ac:dyDescent="0.3">
      <c r="A1838" s="308">
        <v>43535</v>
      </c>
      <c r="B1838" s="302">
        <v>1151.2049999999999</v>
      </c>
      <c r="C1838" s="8">
        <v>25.283000000000001</v>
      </c>
      <c r="D1838" s="268">
        <v>2.2499999999999999E-2</v>
      </c>
      <c r="E1838" s="8">
        <v>97.27</v>
      </c>
      <c r="F1838" s="8">
        <v>116.286</v>
      </c>
      <c r="G1838" s="8">
        <v>114.55</v>
      </c>
      <c r="H1838" s="8">
        <v>103.78</v>
      </c>
      <c r="I1838" s="8">
        <v>133.94</v>
      </c>
      <c r="J1838" s="8">
        <v>29.83</v>
      </c>
      <c r="K1838" s="268">
        <v>0.17649999999999999</v>
      </c>
      <c r="L1838" s="268">
        <v>0.1061</v>
      </c>
      <c r="M1838" s="268">
        <v>-5.8999999999999999E-3</v>
      </c>
      <c r="N1838" s="8">
        <v>110.54</v>
      </c>
      <c r="O1838" s="8">
        <v>1482.01</v>
      </c>
      <c r="P1838" s="268">
        <v>7.46E-2</v>
      </c>
      <c r="Q1838" s="8">
        <v>122</v>
      </c>
      <c r="R1838" s="8">
        <v>0</v>
      </c>
      <c r="S1838" s="8" t="s">
        <v>10871</v>
      </c>
      <c r="T1838" s="8" t="s">
        <v>10872</v>
      </c>
      <c r="U1838" s="8" t="s">
        <v>10873</v>
      </c>
      <c r="V1838" s="8" t="s">
        <v>10874</v>
      </c>
      <c r="W1838" s="8" t="s">
        <v>10875</v>
      </c>
    </row>
    <row r="1839" spans="1:23" ht="28" customHeight="1" x14ac:dyDescent="0.3">
      <c r="A1839" s="308">
        <v>43532</v>
      </c>
      <c r="B1839" s="302">
        <v>1125.922</v>
      </c>
      <c r="C1839" s="8">
        <v>-23.640999999999998</v>
      </c>
      <c r="D1839" s="268">
        <v>-2.06E-2</v>
      </c>
      <c r="E1839" s="8">
        <v>91.9</v>
      </c>
      <c r="F1839" s="8">
        <v>113.70399999999999</v>
      </c>
      <c r="G1839" s="8">
        <v>112.255</v>
      </c>
      <c r="H1839" s="8">
        <v>100.57</v>
      </c>
      <c r="I1839" s="8">
        <v>133.99</v>
      </c>
      <c r="J1839" s="8">
        <v>42.09</v>
      </c>
      <c r="K1839" s="268">
        <v>0.2029</v>
      </c>
      <c r="L1839" s="268">
        <v>0.1162</v>
      </c>
      <c r="M1839" s="268">
        <v>-1.1000000000000001E-3</v>
      </c>
      <c r="N1839" s="8">
        <v>115.5</v>
      </c>
      <c r="O1839" s="8">
        <v>1482.01</v>
      </c>
      <c r="P1839" s="268">
        <v>7.7899999999999997E-2</v>
      </c>
      <c r="Q1839" s="8">
        <v>122</v>
      </c>
      <c r="R1839" s="8">
        <v>0</v>
      </c>
      <c r="S1839" s="8" t="s">
        <v>10876</v>
      </c>
      <c r="T1839" s="8" t="s">
        <v>10877</v>
      </c>
      <c r="U1839" s="8" t="s">
        <v>10878</v>
      </c>
      <c r="V1839" s="8" t="s">
        <v>10879</v>
      </c>
      <c r="W1839" s="8" t="s">
        <v>10880</v>
      </c>
    </row>
    <row r="1840" spans="1:23" ht="28" customHeight="1" x14ac:dyDescent="0.3">
      <c r="A1840" s="308">
        <v>43531</v>
      </c>
      <c r="B1840" s="302">
        <v>1149.5630000000001</v>
      </c>
      <c r="C1840" s="8">
        <v>0.35799999999999998</v>
      </c>
      <c r="D1840" s="268">
        <v>2.9999999999999997E-4</v>
      </c>
      <c r="E1840" s="8">
        <v>98.41</v>
      </c>
      <c r="F1840" s="8">
        <v>116.258</v>
      </c>
      <c r="G1840" s="8">
        <v>113.22</v>
      </c>
      <c r="H1840" s="8">
        <v>105.58</v>
      </c>
      <c r="I1840" s="8">
        <v>133.71</v>
      </c>
      <c r="J1840" s="8">
        <v>25.83</v>
      </c>
      <c r="K1840" s="268">
        <v>0.17449999999999999</v>
      </c>
      <c r="L1840" s="268">
        <v>8.6300000000000002E-2</v>
      </c>
      <c r="M1840" s="268">
        <v>-5.5999999999999999E-3</v>
      </c>
      <c r="N1840" s="8">
        <v>117.28</v>
      </c>
      <c r="O1840" s="8">
        <v>1474.51</v>
      </c>
      <c r="P1840" s="268">
        <v>7.9500000000000001E-2</v>
      </c>
      <c r="Q1840" s="8">
        <v>121</v>
      </c>
      <c r="R1840" s="8">
        <v>0</v>
      </c>
      <c r="S1840" s="8" t="s">
        <v>3778</v>
      </c>
      <c r="T1840" s="8" t="s">
        <v>10881</v>
      </c>
      <c r="U1840" s="8" t="s">
        <v>10882</v>
      </c>
      <c r="V1840" s="8" t="s">
        <v>10883</v>
      </c>
      <c r="W1840" s="8" t="s">
        <v>10884</v>
      </c>
    </row>
    <row r="1841" spans="1:23" ht="28" customHeight="1" x14ac:dyDescent="0.3">
      <c r="A1841" s="308">
        <v>43530</v>
      </c>
      <c r="B1841" s="302">
        <v>1149.2049999999999</v>
      </c>
      <c r="C1841" s="8">
        <v>13.477</v>
      </c>
      <c r="D1841" s="268">
        <v>1.1900000000000001E-2</v>
      </c>
      <c r="E1841" s="8">
        <v>99</v>
      </c>
      <c r="F1841" s="8">
        <v>116.232</v>
      </c>
      <c r="G1841" s="8">
        <v>113.35</v>
      </c>
      <c r="H1841" s="8">
        <v>104.9</v>
      </c>
      <c r="I1841" s="8">
        <v>134.88</v>
      </c>
      <c r="J1841" s="8">
        <v>28.57</v>
      </c>
      <c r="K1841" s="268">
        <v>0.1865</v>
      </c>
      <c r="L1841" s="268">
        <v>9.64E-2</v>
      </c>
      <c r="M1841" s="268">
        <v>-5.7000000000000002E-3</v>
      </c>
      <c r="N1841" s="8">
        <v>110.42</v>
      </c>
      <c r="O1841" s="8">
        <v>1474.51</v>
      </c>
      <c r="P1841" s="268">
        <v>7.4899999999999994E-2</v>
      </c>
      <c r="Q1841" s="8">
        <v>121</v>
      </c>
      <c r="R1841" s="8">
        <v>0</v>
      </c>
      <c r="S1841" s="8" t="s">
        <v>8688</v>
      </c>
      <c r="T1841" s="8" t="s">
        <v>10885</v>
      </c>
      <c r="U1841" s="8" t="s">
        <v>10886</v>
      </c>
      <c r="V1841" s="8" t="s">
        <v>10887</v>
      </c>
      <c r="W1841" s="8" t="s">
        <v>10888</v>
      </c>
    </row>
    <row r="1842" spans="1:23" ht="28" customHeight="1" x14ac:dyDescent="0.3">
      <c r="A1842" s="308">
        <v>43529</v>
      </c>
      <c r="B1842" s="302">
        <v>1135.7280000000001</v>
      </c>
      <c r="C1842" s="8">
        <v>19.350999999999999</v>
      </c>
      <c r="D1842" s="268">
        <v>1.7299999999999999E-2</v>
      </c>
      <c r="E1842" s="8">
        <v>99.65</v>
      </c>
      <c r="F1842" s="8">
        <v>114.98699999999999</v>
      </c>
      <c r="G1842" s="8">
        <v>112.34</v>
      </c>
      <c r="H1842" s="8">
        <v>102.74</v>
      </c>
      <c r="I1842" s="8">
        <v>134.09</v>
      </c>
      <c r="J1842" s="8">
        <v>28.93</v>
      </c>
      <c r="K1842" s="268">
        <v>0.19109999999999999</v>
      </c>
      <c r="L1842" s="268">
        <v>9.9900000000000003E-2</v>
      </c>
      <c r="M1842" s="268">
        <v>-3.3E-3</v>
      </c>
      <c r="N1842" s="8">
        <v>95.37</v>
      </c>
      <c r="O1842" s="8">
        <v>1467.05</v>
      </c>
      <c r="P1842" s="268">
        <v>6.5000000000000002E-2</v>
      </c>
      <c r="Q1842" s="8">
        <v>120</v>
      </c>
      <c r="R1842" s="8">
        <v>0</v>
      </c>
      <c r="S1842" s="8" t="s">
        <v>4338</v>
      </c>
      <c r="T1842" s="8" t="s">
        <v>10889</v>
      </c>
      <c r="U1842" s="8" t="s">
        <v>10890</v>
      </c>
      <c r="V1842" s="8" t="s">
        <v>10891</v>
      </c>
      <c r="W1842" s="8" t="s">
        <v>10892</v>
      </c>
    </row>
    <row r="1843" spans="1:23" ht="28" customHeight="1" x14ac:dyDescent="0.3">
      <c r="A1843" s="308">
        <v>43528</v>
      </c>
      <c r="B1843" s="302">
        <v>1116.377</v>
      </c>
      <c r="C1843" s="8">
        <v>13.065</v>
      </c>
      <c r="D1843" s="268">
        <v>1.18E-2</v>
      </c>
      <c r="E1843" s="8">
        <v>97.64</v>
      </c>
      <c r="F1843" s="8">
        <v>113.003</v>
      </c>
      <c r="G1843" s="8">
        <v>111</v>
      </c>
      <c r="H1843" s="8">
        <v>101.19</v>
      </c>
      <c r="I1843" s="8">
        <v>132.72999999999999</v>
      </c>
      <c r="J1843" s="8">
        <v>32.58</v>
      </c>
      <c r="K1843" s="268">
        <v>0.19719999999999999</v>
      </c>
      <c r="L1843" s="268">
        <v>0.10539999999999999</v>
      </c>
      <c r="M1843" s="268">
        <v>5.9999999999999995E-4</v>
      </c>
      <c r="N1843" s="8">
        <v>125.28</v>
      </c>
      <c r="O1843" s="8">
        <v>1474.51</v>
      </c>
      <c r="P1843" s="268">
        <v>8.5000000000000006E-2</v>
      </c>
      <c r="Q1843" s="8">
        <v>121</v>
      </c>
      <c r="R1843" s="8">
        <v>0</v>
      </c>
      <c r="S1843" s="8" t="s">
        <v>4315</v>
      </c>
      <c r="T1843" s="8" t="s">
        <v>10893</v>
      </c>
      <c r="U1843" s="8" t="s">
        <v>10894</v>
      </c>
      <c r="V1843" s="8" t="s">
        <v>10895</v>
      </c>
      <c r="W1843" s="8" t="s">
        <v>10896</v>
      </c>
    </row>
    <row r="1844" spans="1:23" ht="28" customHeight="1" x14ac:dyDescent="0.3">
      <c r="A1844" s="308">
        <v>43525</v>
      </c>
      <c r="B1844" s="302">
        <v>1103.3119999999999</v>
      </c>
      <c r="C1844" s="8">
        <v>4.093</v>
      </c>
      <c r="D1844" s="268">
        <v>3.7000000000000002E-3</v>
      </c>
      <c r="E1844" s="8">
        <v>95</v>
      </c>
      <c r="F1844" s="8">
        <v>111.633</v>
      </c>
      <c r="G1844" s="8">
        <v>110.20099999999999</v>
      </c>
      <c r="H1844" s="8">
        <v>99.4</v>
      </c>
      <c r="I1844" s="8">
        <v>132.34</v>
      </c>
      <c r="J1844" s="8">
        <v>36.880000000000003</v>
      </c>
      <c r="K1844" s="268">
        <v>0.20710000000000001</v>
      </c>
      <c r="L1844" s="268">
        <v>0.1198</v>
      </c>
      <c r="M1844" s="268">
        <v>3.0999999999999999E-3</v>
      </c>
      <c r="N1844" s="8">
        <v>88.93</v>
      </c>
      <c r="O1844" s="8">
        <v>1474.51</v>
      </c>
      <c r="P1844" s="268">
        <v>6.0299999999999999E-2</v>
      </c>
      <c r="Q1844" s="8">
        <v>121</v>
      </c>
      <c r="R1844" s="8">
        <v>0</v>
      </c>
      <c r="S1844" s="8" t="s">
        <v>10897</v>
      </c>
      <c r="T1844" s="8" t="s">
        <v>9393</v>
      </c>
      <c r="U1844" s="8" t="s">
        <v>10898</v>
      </c>
      <c r="V1844" s="8" t="s">
        <v>10899</v>
      </c>
      <c r="W1844" s="8" t="s">
        <v>3189</v>
      </c>
    </row>
    <row r="1845" spans="1:23" ht="28" customHeight="1" x14ac:dyDescent="0.3">
      <c r="A1845" s="308">
        <v>43524</v>
      </c>
      <c r="B1845" s="302">
        <v>1099.2190000000001</v>
      </c>
      <c r="C1845" s="8">
        <v>1.7010000000000001</v>
      </c>
      <c r="D1845" s="268">
        <v>1.5E-3</v>
      </c>
      <c r="E1845" s="8">
        <v>94.74</v>
      </c>
      <c r="F1845" s="8">
        <v>111.26600000000001</v>
      </c>
      <c r="G1845" s="8">
        <v>109.6</v>
      </c>
      <c r="H1845" s="8">
        <v>98.54</v>
      </c>
      <c r="I1845" s="8">
        <v>132.25</v>
      </c>
      <c r="J1845" s="8">
        <v>36.89</v>
      </c>
      <c r="K1845" s="268">
        <v>0.20979999999999999</v>
      </c>
      <c r="L1845" s="268">
        <v>0.1191</v>
      </c>
      <c r="M1845" s="268">
        <v>3.8999999999999998E-3</v>
      </c>
      <c r="N1845" s="8">
        <v>82.81</v>
      </c>
      <c r="O1845" s="8">
        <v>1474.51</v>
      </c>
      <c r="P1845" s="268">
        <v>5.62E-2</v>
      </c>
      <c r="Q1845" s="8">
        <v>121</v>
      </c>
      <c r="R1845" s="8">
        <v>0</v>
      </c>
      <c r="S1845" s="8" t="s">
        <v>10900</v>
      </c>
      <c r="T1845" s="8" t="s">
        <v>6439</v>
      </c>
      <c r="U1845" s="8" t="s">
        <v>7355</v>
      </c>
      <c r="V1845" s="8" t="s">
        <v>10441</v>
      </c>
      <c r="W1845" s="8" t="s">
        <v>10594</v>
      </c>
    </row>
    <row r="1846" spans="1:23" ht="28" customHeight="1" x14ac:dyDescent="0.3">
      <c r="A1846" s="308">
        <v>43523</v>
      </c>
      <c r="B1846" s="302">
        <v>1097.518</v>
      </c>
      <c r="C1846" s="8">
        <v>-3.63</v>
      </c>
      <c r="D1846" s="268">
        <v>-3.3E-3</v>
      </c>
      <c r="E1846" s="8">
        <v>95.76</v>
      </c>
      <c r="F1846" s="8">
        <v>111.07</v>
      </c>
      <c r="G1846" s="8">
        <v>109.6</v>
      </c>
      <c r="H1846" s="8">
        <v>99.32</v>
      </c>
      <c r="I1846" s="8">
        <v>131.96</v>
      </c>
      <c r="J1846" s="8">
        <v>39.42</v>
      </c>
      <c r="K1846" s="268">
        <v>0.2089</v>
      </c>
      <c r="L1846" s="268">
        <v>0.12180000000000001</v>
      </c>
      <c r="M1846" s="268">
        <v>4.1999999999999997E-3</v>
      </c>
      <c r="N1846" s="8">
        <v>103.83</v>
      </c>
      <c r="O1846" s="8">
        <v>1474.51</v>
      </c>
      <c r="P1846" s="268">
        <v>7.0400000000000004E-2</v>
      </c>
      <c r="Q1846" s="8">
        <v>121</v>
      </c>
      <c r="R1846" s="8">
        <v>0</v>
      </c>
      <c r="S1846" s="8" t="s">
        <v>7721</v>
      </c>
      <c r="T1846" s="8" t="s">
        <v>10901</v>
      </c>
      <c r="U1846" s="8" t="s">
        <v>10902</v>
      </c>
      <c r="V1846" s="8" t="s">
        <v>10903</v>
      </c>
      <c r="W1846" s="8" t="s">
        <v>10904</v>
      </c>
    </row>
    <row r="1847" spans="1:23" ht="28" customHeight="1" x14ac:dyDescent="0.3">
      <c r="A1847" s="308">
        <v>43522</v>
      </c>
      <c r="B1847" s="302">
        <v>1101.1479999999999</v>
      </c>
      <c r="C1847" s="8">
        <v>-6.5780000000000003</v>
      </c>
      <c r="D1847" s="268">
        <v>-5.8999999999999999E-3</v>
      </c>
      <c r="E1847" s="8">
        <v>98.11</v>
      </c>
      <c r="F1847" s="8">
        <v>111.438</v>
      </c>
      <c r="G1847" s="8">
        <v>109.45</v>
      </c>
      <c r="H1847" s="8">
        <v>100</v>
      </c>
      <c r="I1847" s="8">
        <v>132.26</v>
      </c>
      <c r="J1847" s="8">
        <v>33.75</v>
      </c>
      <c r="K1847" s="268">
        <v>0.2082</v>
      </c>
      <c r="L1847" s="268">
        <v>0.1336</v>
      </c>
      <c r="M1847" s="268">
        <v>3.3999999999999998E-3</v>
      </c>
      <c r="N1847" s="8">
        <v>100.47</v>
      </c>
      <c r="O1847" s="8">
        <v>1474.51</v>
      </c>
      <c r="P1847" s="268">
        <v>6.8099999999999994E-2</v>
      </c>
      <c r="Q1847" s="8">
        <v>121</v>
      </c>
      <c r="R1847" s="8">
        <v>0</v>
      </c>
      <c r="S1847" s="8" t="s">
        <v>10284</v>
      </c>
      <c r="T1847" s="8" t="s">
        <v>10905</v>
      </c>
      <c r="U1847" s="8" t="s">
        <v>10906</v>
      </c>
      <c r="V1847" s="8" t="s">
        <v>2984</v>
      </c>
      <c r="W1847" s="8" t="s">
        <v>10907</v>
      </c>
    </row>
    <row r="1848" spans="1:23" ht="28" customHeight="1" x14ac:dyDescent="0.3">
      <c r="A1848" s="308">
        <v>43521</v>
      </c>
      <c r="B1848" s="302">
        <v>1107.7260000000001</v>
      </c>
      <c r="C1848" s="8">
        <v>29.134</v>
      </c>
      <c r="D1848" s="268">
        <v>2.7E-2</v>
      </c>
      <c r="E1848" s="8">
        <v>100</v>
      </c>
      <c r="F1848" s="8">
        <v>112.438</v>
      </c>
      <c r="G1848" s="8">
        <v>109.99</v>
      </c>
      <c r="H1848" s="8">
        <v>99.32</v>
      </c>
      <c r="I1848" s="8">
        <v>133.65</v>
      </c>
      <c r="J1848" s="8">
        <v>33.549999999999997</v>
      </c>
      <c r="K1848" s="268">
        <v>0.2122</v>
      </c>
      <c r="L1848" s="268">
        <v>0.13159999999999999</v>
      </c>
      <c r="M1848" s="268">
        <v>2.0999999999999999E-3</v>
      </c>
      <c r="N1848" s="8">
        <v>111.73</v>
      </c>
      <c r="O1848" s="8">
        <v>1474.51</v>
      </c>
      <c r="P1848" s="268">
        <v>7.5800000000000006E-2</v>
      </c>
      <c r="Q1848" s="8">
        <v>121</v>
      </c>
      <c r="R1848" s="8">
        <v>0</v>
      </c>
      <c r="S1848" s="8" t="s">
        <v>10908</v>
      </c>
      <c r="T1848" s="8" t="s">
        <v>10909</v>
      </c>
      <c r="U1848" s="8" t="s">
        <v>10910</v>
      </c>
      <c r="V1848" s="8" t="s">
        <v>10911</v>
      </c>
      <c r="W1848" s="8" t="s">
        <v>10912</v>
      </c>
    </row>
    <row r="1849" spans="1:23" ht="28" customHeight="1" x14ac:dyDescent="0.3">
      <c r="A1849" s="308">
        <v>43518</v>
      </c>
      <c r="B1849" s="302">
        <v>1078.5920000000001</v>
      </c>
      <c r="C1849" s="8">
        <v>13.566000000000001</v>
      </c>
      <c r="D1849" s="268">
        <v>1.2699999999999999E-2</v>
      </c>
      <c r="E1849" s="8">
        <v>97.24</v>
      </c>
      <c r="F1849" s="8">
        <v>109.184</v>
      </c>
      <c r="G1849" s="8">
        <v>107.146</v>
      </c>
      <c r="H1849" s="8">
        <v>94.61</v>
      </c>
      <c r="I1849" s="8">
        <v>133.82</v>
      </c>
      <c r="J1849" s="8">
        <v>50</v>
      </c>
      <c r="K1849" s="268">
        <v>0.24640000000000001</v>
      </c>
      <c r="L1849" s="268">
        <v>0.15989999999999999</v>
      </c>
      <c r="M1849" s="268">
        <v>7.4999999999999997E-3</v>
      </c>
      <c r="N1849" s="8">
        <v>62.61</v>
      </c>
      <c r="O1849" s="8">
        <v>1474.51</v>
      </c>
      <c r="P1849" s="268">
        <v>4.2500000000000003E-2</v>
      </c>
      <c r="Q1849" s="8">
        <v>121</v>
      </c>
      <c r="R1849" s="8">
        <v>0</v>
      </c>
      <c r="S1849" s="8" t="s">
        <v>10913</v>
      </c>
      <c r="T1849" s="8" t="s">
        <v>10914</v>
      </c>
      <c r="U1849" s="8" t="s">
        <v>10915</v>
      </c>
      <c r="V1849" s="8" t="s">
        <v>10916</v>
      </c>
      <c r="W1849" s="8" t="s">
        <v>10917</v>
      </c>
    </row>
    <row r="1850" spans="1:23" ht="28" customHeight="1" x14ac:dyDescent="0.3">
      <c r="A1850" s="308">
        <v>43517</v>
      </c>
      <c r="B1850" s="302">
        <v>1065.0260000000001</v>
      </c>
      <c r="C1850" s="8">
        <v>4.7249999999999996</v>
      </c>
      <c r="D1850" s="268">
        <v>4.4999999999999997E-3</v>
      </c>
      <c r="E1850" s="8">
        <v>91.69</v>
      </c>
      <c r="F1850" s="8">
        <v>107.661</v>
      </c>
      <c r="G1850" s="8">
        <v>106.07</v>
      </c>
      <c r="H1850" s="8">
        <v>91.64</v>
      </c>
      <c r="I1850" s="8">
        <v>134.43</v>
      </c>
      <c r="J1850" s="8">
        <v>63.77</v>
      </c>
      <c r="K1850" s="268">
        <v>0.2676</v>
      </c>
      <c r="L1850" s="268">
        <v>0.17660000000000001</v>
      </c>
      <c r="M1850" s="268">
        <v>1.0200000000000001E-2</v>
      </c>
      <c r="N1850" s="8">
        <v>47.38</v>
      </c>
      <c r="O1850" s="8">
        <v>1474.49</v>
      </c>
      <c r="P1850" s="268">
        <v>3.2099999999999997E-2</v>
      </c>
      <c r="Q1850" s="8">
        <v>120</v>
      </c>
      <c r="R1850" s="8">
        <v>0</v>
      </c>
      <c r="S1850" s="8" t="s">
        <v>10918</v>
      </c>
      <c r="T1850" s="8" t="s">
        <v>8682</v>
      </c>
      <c r="U1850" s="8" t="s">
        <v>10919</v>
      </c>
      <c r="V1850" s="8" t="s">
        <v>10920</v>
      </c>
      <c r="W1850" s="8" t="s">
        <v>10921</v>
      </c>
    </row>
    <row r="1851" spans="1:23" ht="28" customHeight="1" x14ac:dyDescent="0.3">
      <c r="A1851" s="308">
        <v>43516</v>
      </c>
      <c r="B1851" s="302">
        <v>1060.3009999999999</v>
      </c>
      <c r="C1851" s="8">
        <v>3.262</v>
      </c>
      <c r="D1851" s="268">
        <v>3.0999999999999999E-3</v>
      </c>
      <c r="E1851" s="8">
        <v>92.08</v>
      </c>
      <c r="F1851" s="8">
        <v>107.164</v>
      </c>
      <c r="G1851" s="8">
        <v>105.84</v>
      </c>
      <c r="H1851" s="8">
        <v>91.09</v>
      </c>
      <c r="I1851" s="8">
        <v>133.41</v>
      </c>
      <c r="J1851" s="8">
        <v>59.65</v>
      </c>
      <c r="K1851" s="268">
        <v>0.26250000000000001</v>
      </c>
      <c r="L1851" s="268">
        <v>0.17249999999999999</v>
      </c>
      <c r="M1851" s="268">
        <v>1.11E-2</v>
      </c>
      <c r="N1851" s="8">
        <v>37.86</v>
      </c>
      <c r="O1851" s="8">
        <v>1474.49</v>
      </c>
      <c r="P1851" s="268">
        <v>2.5700000000000001E-2</v>
      </c>
      <c r="Q1851" s="8">
        <v>120</v>
      </c>
      <c r="R1851" s="8">
        <v>0</v>
      </c>
      <c r="S1851" s="8" t="s">
        <v>10922</v>
      </c>
      <c r="T1851" s="8" t="s">
        <v>10923</v>
      </c>
      <c r="U1851" s="8" t="s">
        <v>9866</v>
      </c>
      <c r="V1851" s="8" t="s">
        <v>10924</v>
      </c>
      <c r="W1851" s="8" t="s">
        <v>3693</v>
      </c>
    </row>
    <row r="1852" spans="1:23" ht="28" customHeight="1" x14ac:dyDescent="0.3">
      <c r="A1852" s="308">
        <v>43515</v>
      </c>
      <c r="B1852" s="302">
        <v>1057.039</v>
      </c>
      <c r="C1852" s="8">
        <v>-4.9450000000000003</v>
      </c>
      <c r="D1852" s="268">
        <v>-4.7000000000000002E-3</v>
      </c>
      <c r="E1852" s="8">
        <v>91.53</v>
      </c>
      <c r="F1852" s="8">
        <v>106.83799999999999</v>
      </c>
      <c r="G1852" s="8">
        <v>105.81</v>
      </c>
      <c r="H1852" s="8">
        <v>90.53</v>
      </c>
      <c r="I1852" s="8">
        <v>133.31</v>
      </c>
      <c r="J1852" s="8">
        <v>57.1</v>
      </c>
      <c r="K1852" s="268">
        <v>0.26479999999999998</v>
      </c>
      <c r="L1852" s="268">
        <v>0.1817</v>
      </c>
      <c r="M1852" s="268">
        <v>1.1599999999999999E-2</v>
      </c>
      <c r="N1852" s="8">
        <v>49.91</v>
      </c>
      <c r="O1852" s="8">
        <v>1467.03</v>
      </c>
      <c r="P1852" s="268">
        <v>3.4000000000000002E-2</v>
      </c>
      <c r="Q1852" s="8">
        <v>119</v>
      </c>
      <c r="R1852" s="8">
        <v>0</v>
      </c>
      <c r="S1852" s="8" t="s">
        <v>10925</v>
      </c>
      <c r="T1852" s="8" t="s">
        <v>10926</v>
      </c>
      <c r="U1852" s="8" t="s">
        <v>10927</v>
      </c>
      <c r="V1852" s="8" t="s">
        <v>8991</v>
      </c>
      <c r="W1852" s="8" t="s">
        <v>10928</v>
      </c>
    </row>
    <row r="1853" spans="1:23" ht="28" customHeight="1" x14ac:dyDescent="0.3">
      <c r="A1853" s="308">
        <v>43514</v>
      </c>
      <c r="B1853" s="302">
        <v>1061.9839999999999</v>
      </c>
      <c r="C1853" s="8">
        <v>16.916</v>
      </c>
      <c r="D1853" s="268">
        <v>1.6199999999999999E-2</v>
      </c>
      <c r="E1853" s="8">
        <v>95.83</v>
      </c>
      <c r="F1853" s="8">
        <v>107.303</v>
      </c>
      <c r="G1853" s="8">
        <v>105.61</v>
      </c>
      <c r="H1853" s="8">
        <v>91.12</v>
      </c>
      <c r="I1853" s="8">
        <v>134.33000000000001</v>
      </c>
      <c r="J1853" s="8">
        <v>57.07</v>
      </c>
      <c r="K1853" s="268">
        <v>0.2702</v>
      </c>
      <c r="L1853" s="268">
        <v>0.1792</v>
      </c>
      <c r="M1853" s="268">
        <v>1.06E-2</v>
      </c>
      <c r="N1853" s="8">
        <v>36.840000000000003</v>
      </c>
      <c r="O1853" s="8">
        <v>1464.75</v>
      </c>
      <c r="P1853" s="268">
        <v>2.5100000000000001E-2</v>
      </c>
      <c r="Q1853" s="8">
        <v>117</v>
      </c>
      <c r="R1853" s="8">
        <v>0</v>
      </c>
      <c r="S1853" s="8" t="s">
        <v>10929</v>
      </c>
      <c r="T1853" s="8" t="s">
        <v>10930</v>
      </c>
      <c r="U1853" s="8" t="s">
        <v>10931</v>
      </c>
      <c r="V1853" s="8" t="s">
        <v>10932</v>
      </c>
      <c r="W1853" s="8" t="s">
        <v>10933</v>
      </c>
    </row>
    <row r="1854" spans="1:23" ht="28" customHeight="1" x14ac:dyDescent="0.3">
      <c r="A1854" s="308">
        <v>43511</v>
      </c>
      <c r="B1854" s="302">
        <v>1045.068</v>
      </c>
      <c r="C1854" s="8">
        <v>-3.028</v>
      </c>
      <c r="D1854" s="268">
        <v>-2.8999999999999998E-3</v>
      </c>
      <c r="E1854" s="8">
        <v>88.32</v>
      </c>
      <c r="F1854" s="8">
        <v>105.566</v>
      </c>
      <c r="G1854" s="8">
        <v>104.32899999999999</v>
      </c>
      <c r="H1854" s="8">
        <v>87.63</v>
      </c>
      <c r="I1854" s="8">
        <v>135.08000000000001</v>
      </c>
      <c r="J1854" s="8">
        <v>70.61</v>
      </c>
      <c r="K1854" s="268">
        <v>0.29509999999999997</v>
      </c>
      <c r="L1854" s="268">
        <v>0.19850000000000001</v>
      </c>
      <c r="M1854" s="268">
        <v>1.4E-2</v>
      </c>
      <c r="N1854" s="8">
        <v>29.49</v>
      </c>
      <c r="O1854" s="8">
        <v>1464.75</v>
      </c>
      <c r="P1854" s="268">
        <v>2.01E-2</v>
      </c>
      <c r="Q1854" s="8">
        <v>117</v>
      </c>
      <c r="R1854" s="8" t="s">
        <v>3568</v>
      </c>
      <c r="S1854" s="8" t="s">
        <v>10934</v>
      </c>
      <c r="T1854" s="8" t="s">
        <v>4167</v>
      </c>
      <c r="U1854" s="8" t="s">
        <v>10935</v>
      </c>
      <c r="V1854" s="8" t="s">
        <v>4368</v>
      </c>
      <c r="W1854" s="8" t="s">
        <v>10936</v>
      </c>
    </row>
    <row r="1855" spans="1:23" ht="28" customHeight="1" x14ac:dyDescent="0.3">
      <c r="A1855" s="308">
        <v>43510</v>
      </c>
      <c r="B1855" s="302">
        <v>1048.096</v>
      </c>
      <c r="C1855" s="8">
        <v>4.54</v>
      </c>
      <c r="D1855" s="268">
        <v>4.3E-3</v>
      </c>
      <c r="E1855" s="8">
        <v>89.44</v>
      </c>
      <c r="F1855" s="8">
        <v>105.917</v>
      </c>
      <c r="G1855" s="8">
        <v>104.01</v>
      </c>
      <c r="H1855" s="8">
        <v>88.72</v>
      </c>
      <c r="I1855" s="8">
        <v>135.09</v>
      </c>
      <c r="J1855" s="8">
        <v>67.97</v>
      </c>
      <c r="K1855" s="268">
        <v>0.29170000000000001</v>
      </c>
      <c r="L1855" s="268">
        <v>0.20519999999999999</v>
      </c>
      <c r="M1855" s="268">
        <v>1.3299999999999999E-2</v>
      </c>
      <c r="N1855" s="8">
        <v>30.82</v>
      </c>
      <c r="O1855" s="8">
        <v>1464.75</v>
      </c>
      <c r="P1855" s="268">
        <v>2.1000000000000001E-2</v>
      </c>
      <c r="Q1855" s="8">
        <v>117</v>
      </c>
      <c r="R1855" s="8" t="s">
        <v>6121</v>
      </c>
      <c r="S1855" s="8" t="s">
        <v>10937</v>
      </c>
      <c r="T1855" s="8" t="s">
        <v>10938</v>
      </c>
      <c r="U1855" s="8" t="s">
        <v>10939</v>
      </c>
      <c r="V1855" s="8" t="s">
        <v>10940</v>
      </c>
      <c r="W1855" s="8" t="s">
        <v>10941</v>
      </c>
    </row>
    <row r="1856" spans="1:23" ht="28" customHeight="1" x14ac:dyDescent="0.3">
      <c r="A1856" s="308">
        <v>43509</v>
      </c>
      <c r="B1856" s="302">
        <v>1043.556</v>
      </c>
      <c r="C1856" s="8">
        <v>9.4740000000000002</v>
      </c>
      <c r="D1856" s="268">
        <v>9.1999999999999998E-3</v>
      </c>
      <c r="E1856" s="8">
        <v>88.21</v>
      </c>
      <c r="F1856" s="8">
        <v>105.452</v>
      </c>
      <c r="G1856" s="8">
        <v>103.5</v>
      </c>
      <c r="H1856" s="8">
        <v>87.72</v>
      </c>
      <c r="I1856" s="8">
        <v>134.58000000000001</v>
      </c>
      <c r="J1856" s="8">
        <v>67.16</v>
      </c>
      <c r="K1856" s="268">
        <v>0.2913</v>
      </c>
      <c r="L1856" s="268">
        <v>0.1996</v>
      </c>
      <c r="M1856" s="268">
        <v>1.4200000000000001E-2</v>
      </c>
      <c r="N1856" s="8">
        <v>39.74</v>
      </c>
      <c r="O1856" s="8">
        <v>1464.75</v>
      </c>
      <c r="P1856" s="268">
        <v>2.7099999999999999E-2</v>
      </c>
      <c r="Q1856" s="8">
        <v>117</v>
      </c>
      <c r="R1856" s="8" t="s">
        <v>6169</v>
      </c>
      <c r="S1856" s="8" t="s">
        <v>10942</v>
      </c>
      <c r="T1856" s="8" t="s">
        <v>10943</v>
      </c>
      <c r="U1856" s="8" t="s">
        <v>10944</v>
      </c>
      <c r="V1856" s="8" t="s">
        <v>10945</v>
      </c>
      <c r="W1856" s="8" t="s">
        <v>10946</v>
      </c>
    </row>
    <row r="1857" spans="1:23" ht="28" customHeight="1" x14ac:dyDescent="0.3">
      <c r="A1857" s="308">
        <v>43508</v>
      </c>
      <c r="B1857" s="302">
        <v>1034.0820000000001</v>
      </c>
      <c r="C1857" s="8">
        <v>6.2690000000000001</v>
      </c>
      <c r="D1857" s="268">
        <v>6.1000000000000004E-3</v>
      </c>
      <c r="E1857" s="8">
        <v>83.08</v>
      </c>
      <c r="F1857" s="8">
        <v>104.486</v>
      </c>
      <c r="G1857" s="8">
        <v>102.66</v>
      </c>
      <c r="H1857" s="8">
        <v>86.47</v>
      </c>
      <c r="I1857" s="8">
        <v>134.91999999999999</v>
      </c>
      <c r="J1857" s="8">
        <v>70.73</v>
      </c>
      <c r="K1857" s="268">
        <v>0.30430000000000001</v>
      </c>
      <c r="L1857" s="268">
        <v>0.20499999999999999</v>
      </c>
      <c r="M1857" s="268">
        <v>1.61E-2</v>
      </c>
      <c r="N1857" s="8">
        <v>30.51</v>
      </c>
      <c r="O1857" s="8">
        <v>1464.75</v>
      </c>
      <c r="P1857" s="268">
        <v>2.0799999999999999E-2</v>
      </c>
      <c r="Q1857" s="8">
        <v>117</v>
      </c>
      <c r="R1857" s="8">
        <v>0</v>
      </c>
      <c r="S1857" s="8" t="s">
        <v>10947</v>
      </c>
      <c r="T1857" s="8" t="s">
        <v>10948</v>
      </c>
      <c r="U1857" s="8" t="s">
        <v>10949</v>
      </c>
      <c r="V1857" s="8" t="s">
        <v>3570</v>
      </c>
      <c r="W1857" s="8" t="s">
        <v>10950</v>
      </c>
    </row>
    <row r="1858" spans="1:23" ht="28" customHeight="1" x14ac:dyDescent="0.3">
      <c r="A1858" s="308">
        <v>43507</v>
      </c>
      <c r="B1858" s="302">
        <v>1027.8130000000001</v>
      </c>
      <c r="C1858" s="8">
        <v>10.677</v>
      </c>
      <c r="D1858" s="268">
        <v>1.0500000000000001E-2</v>
      </c>
      <c r="E1858" s="8">
        <v>78.010000000000005</v>
      </c>
      <c r="F1858" s="8">
        <v>103.85599999999999</v>
      </c>
      <c r="G1858" s="8">
        <v>102.01</v>
      </c>
      <c r="H1858" s="8">
        <v>85.81</v>
      </c>
      <c r="I1858" s="8">
        <v>135.62</v>
      </c>
      <c r="J1858" s="8">
        <v>74.430000000000007</v>
      </c>
      <c r="K1858" s="268">
        <v>0.31759999999999999</v>
      </c>
      <c r="L1858" s="268">
        <v>0.22189999999999999</v>
      </c>
      <c r="M1858" s="268">
        <v>1.7399999999999999E-2</v>
      </c>
      <c r="N1858" s="8">
        <v>21.79</v>
      </c>
      <c r="O1858" s="8">
        <v>1464.75</v>
      </c>
      <c r="P1858" s="268">
        <v>1.49E-2</v>
      </c>
      <c r="Q1858" s="8">
        <v>117</v>
      </c>
      <c r="R1858" s="8" t="s">
        <v>4165</v>
      </c>
      <c r="S1858" s="8" t="s">
        <v>10951</v>
      </c>
      <c r="T1858" s="8" t="s">
        <v>10952</v>
      </c>
      <c r="U1858" s="8" t="s">
        <v>10953</v>
      </c>
      <c r="V1858" s="8" t="s">
        <v>10954</v>
      </c>
      <c r="W1858" s="8" t="s">
        <v>10107</v>
      </c>
    </row>
    <row r="1859" spans="1:23" ht="28" customHeight="1" x14ac:dyDescent="0.3">
      <c r="A1859" s="308">
        <v>43497</v>
      </c>
      <c r="B1859" s="302">
        <v>1017.136</v>
      </c>
      <c r="C1859" s="8">
        <v>10.7</v>
      </c>
      <c r="D1859" s="268">
        <v>1.06E-2</v>
      </c>
      <c r="E1859" s="8">
        <v>68.81</v>
      </c>
      <c r="F1859" s="8">
        <v>102.89700000000001</v>
      </c>
      <c r="G1859" s="8">
        <v>100.91</v>
      </c>
      <c r="H1859" s="8">
        <v>82.28</v>
      </c>
      <c r="I1859" s="8">
        <v>135.94</v>
      </c>
      <c r="J1859" s="8">
        <v>80.59</v>
      </c>
      <c r="K1859" s="268">
        <v>0.33050000000000002</v>
      </c>
      <c r="L1859" s="268">
        <v>0.23499999999999999</v>
      </c>
      <c r="M1859" s="268">
        <v>1.9099999999999999E-2</v>
      </c>
      <c r="N1859" s="8">
        <v>19.3</v>
      </c>
      <c r="O1859" s="8">
        <v>1456.3</v>
      </c>
      <c r="P1859" s="268">
        <v>1.3299999999999999E-2</v>
      </c>
      <c r="Q1859" s="8">
        <v>116</v>
      </c>
      <c r="R1859" s="8" t="s">
        <v>10955</v>
      </c>
      <c r="S1859" s="8" t="s">
        <v>10956</v>
      </c>
      <c r="T1859" s="8" t="s">
        <v>10957</v>
      </c>
      <c r="U1859" s="8" t="s">
        <v>10958</v>
      </c>
      <c r="V1859" s="8" t="s">
        <v>8614</v>
      </c>
      <c r="W1859" s="8" t="s">
        <v>10959</v>
      </c>
    </row>
    <row r="1860" spans="1:23" ht="28" customHeight="1" x14ac:dyDescent="0.3">
      <c r="A1860" s="308">
        <v>43496</v>
      </c>
      <c r="B1860" s="302">
        <v>1006.436</v>
      </c>
      <c r="C1860" s="8">
        <v>-0.54100000000000004</v>
      </c>
      <c r="D1860" s="268">
        <v>-5.0000000000000001E-4</v>
      </c>
      <c r="E1860" s="8">
        <v>55.26</v>
      </c>
      <c r="F1860" s="8">
        <v>101.69499999999999</v>
      </c>
      <c r="G1860" s="8">
        <v>100.07</v>
      </c>
      <c r="H1860" s="8">
        <v>80.989999999999995</v>
      </c>
      <c r="I1860" s="8">
        <v>138.56</v>
      </c>
      <c r="J1860" s="8">
        <v>90.91</v>
      </c>
      <c r="K1860" s="268">
        <v>0.36870000000000003</v>
      </c>
      <c r="L1860" s="268">
        <v>0.27039999999999997</v>
      </c>
      <c r="M1860" s="268">
        <v>2.1700000000000001E-2</v>
      </c>
      <c r="N1860" s="8">
        <v>21.15</v>
      </c>
      <c r="O1860" s="8">
        <v>1464.75</v>
      </c>
      <c r="P1860" s="268">
        <v>1.44E-2</v>
      </c>
      <c r="Q1860" s="8">
        <v>117</v>
      </c>
      <c r="R1860" s="8" t="s">
        <v>6363</v>
      </c>
      <c r="S1860" s="8" t="s">
        <v>10960</v>
      </c>
      <c r="T1860" s="8" t="s">
        <v>10961</v>
      </c>
      <c r="U1860" s="8" t="s">
        <v>10962</v>
      </c>
      <c r="V1860" s="8" t="s">
        <v>3401</v>
      </c>
      <c r="W1860" s="8">
        <v>0</v>
      </c>
    </row>
    <row r="1861" spans="1:23" ht="28" customHeight="1" x14ac:dyDescent="0.3">
      <c r="A1861" s="308">
        <v>43495</v>
      </c>
      <c r="B1861" s="302">
        <v>1006.977</v>
      </c>
      <c r="C1861" s="8">
        <v>-1.2969999999999999</v>
      </c>
      <c r="D1861" s="268">
        <v>-1.2999999999999999E-3</v>
      </c>
      <c r="E1861" s="8">
        <v>56.19</v>
      </c>
      <c r="F1861" s="8">
        <v>101.739</v>
      </c>
      <c r="G1861" s="8">
        <v>100.205</v>
      </c>
      <c r="H1861" s="8">
        <v>80.72</v>
      </c>
      <c r="I1861" s="8">
        <v>137.53</v>
      </c>
      <c r="J1861" s="8">
        <v>86.34</v>
      </c>
      <c r="K1861" s="268">
        <v>0.35799999999999998</v>
      </c>
      <c r="L1861" s="268">
        <v>0.26779999999999998</v>
      </c>
      <c r="M1861" s="268">
        <v>2.1499999999999998E-2</v>
      </c>
      <c r="N1861" s="8">
        <v>16.670000000000002</v>
      </c>
      <c r="O1861" s="8">
        <v>1464.75</v>
      </c>
      <c r="P1861" s="268">
        <v>1.14E-2</v>
      </c>
      <c r="Q1861" s="8">
        <v>117</v>
      </c>
      <c r="R1861" s="8" t="s">
        <v>5746</v>
      </c>
      <c r="S1861" s="8" t="s">
        <v>10963</v>
      </c>
      <c r="T1861" s="8" t="s">
        <v>10393</v>
      </c>
      <c r="U1861" s="8" t="s">
        <v>10964</v>
      </c>
      <c r="V1861" s="8" t="s">
        <v>10965</v>
      </c>
      <c r="W1861" s="8">
        <v>0</v>
      </c>
    </row>
    <row r="1862" spans="1:23" ht="28" customHeight="1" x14ac:dyDescent="0.3">
      <c r="A1862" s="308">
        <v>43494</v>
      </c>
      <c r="B1862" s="302">
        <v>1008.274</v>
      </c>
      <c r="C1862" s="8">
        <v>-4.6909999999999998</v>
      </c>
      <c r="D1862" s="268">
        <v>-4.5999999999999999E-3</v>
      </c>
      <c r="E1862" s="8">
        <v>58.82</v>
      </c>
      <c r="F1862" s="8">
        <v>101.873</v>
      </c>
      <c r="G1862" s="8">
        <v>100.49</v>
      </c>
      <c r="H1862" s="8">
        <v>82.57</v>
      </c>
      <c r="I1862" s="8">
        <v>136.19</v>
      </c>
      <c r="J1862" s="8">
        <v>83.65</v>
      </c>
      <c r="K1862" s="268">
        <v>0.34310000000000002</v>
      </c>
      <c r="L1862" s="268">
        <v>0.25419999999999998</v>
      </c>
      <c r="M1862" s="268">
        <v>2.1299999999999999E-2</v>
      </c>
      <c r="N1862" s="8">
        <v>22.56</v>
      </c>
      <c r="O1862" s="8">
        <v>1464.75</v>
      </c>
      <c r="P1862" s="268">
        <v>1.54E-2</v>
      </c>
      <c r="Q1862" s="8">
        <v>117</v>
      </c>
      <c r="R1862" s="8" t="s">
        <v>10966</v>
      </c>
      <c r="S1862" s="8" t="s">
        <v>10967</v>
      </c>
      <c r="T1862" s="8" t="s">
        <v>10968</v>
      </c>
      <c r="U1862" s="8" t="s">
        <v>10969</v>
      </c>
      <c r="V1862" s="8" t="s">
        <v>10970</v>
      </c>
      <c r="W1862" s="8">
        <v>0</v>
      </c>
    </row>
    <row r="1863" spans="1:23" ht="28" customHeight="1" x14ac:dyDescent="0.3">
      <c r="A1863" s="308">
        <v>43493</v>
      </c>
      <c r="B1863" s="302">
        <v>1012.965</v>
      </c>
      <c r="C1863" s="8">
        <v>-4.0259999999999998</v>
      </c>
      <c r="D1863" s="268">
        <v>-4.0000000000000001E-3</v>
      </c>
      <c r="E1863" s="8">
        <v>64.180000000000007</v>
      </c>
      <c r="F1863" s="8">
        <v>102.325</v>
      </c>
      <c r="G1863" s="8">
        <v>100.735</v>
      </c>
      <c r="H1863" s="8">
        <v>82.81</v>
      </c>
      <c r="I1863" s="8">
        <v>135.47999999999999</v>
      </c>
      <c r="J1863" s="8">
        <v>81.099999999999994</v>
      </c>
      <c r="K1863" s="268">
        <v>0.33150000000000002</v>
      </c>
      <c r="L1863" s="268">
        <v>0.2382</v>
      </c>
      <c r="M1863" s="268">
        <v>2.0400000000000001E-2</v>
      </c>
      <c r="N1863" s="8">
        <v>23.38</v>
      </c>
      <c r="O1863" s="8">
        <v>1464.99</v>
      </c>
      <c r="P1863" s="268">
        <v>1.6E-2</v>
      </c>
      <c r="Q1863" s="8">
        <v>118</v>
      </c>
      <c r="R1863" s="8" t="s">
        <v>10971</v>
      </c>
      <c r="S1863" s="8" t="s">
        <v>9445</v>
      </c>
      <c r="T1863" s="8" t="s">
        <v>10972</v>
      </c>
      <c r="U1863" s="8" t="s">
        <v>10973</v>
      </c>
      <c r="V1863" s="8" t="s">
        <v>10974</v>
      </c>
      <c r="W1863" s="8">
        <v>0</v>
      </c>
    </row>
    <row r="1864" spans="1:23" ht="28" customHeight="1" x14ac:dyDescent="0.3">
      <c r="A1864" s="308">
        <v>43490</v>
      </c>
      <c r="B1864" s="302">
        <v>1016.991</v>
      </c>
      <c r="C1864" s="8">
        <v>4.8380000000000001</v>
      </c>
      <c r="D1864" s="268">
        <v>4.7999999999999996E-3</v>
      </c>
      <c r="E1864" s="8">
        <v>69.849999999999994</v>
      </c>
      <c r="F1864" s="8">
        <v>102.745</v>
      </c>
      <c r="G1864" s="8">
        <v>101.125</v>
      </c>
      <c r="H1864" s="8">
        <v>83.24</v>
      </c>
      <c r="I1864" s="8">
        <v>135.78</v>
      </c>
      <c r="J1864" s="8">
        <v>78.3</v>
      </c>
      <c r="K1864" s="268">
        <v>0.33040000000000003</v>
      </c>
      <c r="L1864" s="268">
        <v>0.23449999999999999</v>
      </c>
      <c r="M1864" s="268">
        <v>1.9599999999999999E-2</v>
      </c>
      <c r="N1864" s="8">
        <v>29.84</v>
      </c>
      <c r="O1864" s="8">
        <v>1464.99</v>
      </c>
      <c r="P1864" s="268">
        <v>2.0400000000000001E-2</v>
      </c>
      <c r="Q1864" s="8">
        <v>118</v>
      </c>
      <c r="R1864" s="8" t="s">
        <v>4109</v>
      </c>
      <c r="S1864" s="8" t="s">
        <v>10975</v>
      </c>
      <c r="T1864" s="8" t="s">
        <v>10976</v>
      </c>
      <c r="U1864" s="8" t="s">
        <v>10977</v>
      </c>
      <c r="V1864" s="8" t="s">
        <v>7404</v>
      </c>
      <c r="W1864" s="8">
        <v>0</v>
      </c>
    </row>
    <row r="1865" spans="1:23" ht="28" customHeight="1" x14ac:dyDescent="0.3">
      <c r="A1865" s="308">
        <v>43489</v>
      </c>
      <c r="B1865" s="302">
        <v>1012.153</v>
      </c>
      <c r="C1865" s="8">
        <v>5.2770000000000001</v>
      </c>
      <c r="D1865" s="268">
        <v>5.1999999999999998E-3</v>
      </c>
      <c r="E1865" s="8">
        <v>69.72</v>
      </c>
      <c r="F1865" s="8">
        <v>102.256</v>
      </c>
      <c r="G1865" s="8">
        <v>100.36499999999999</v>
      </c>
      <c r="H1865" s="8">
        <v>84.21</v>
      </c>
      <c r="I1865" s="8">
        <v>134.11000000000001</v>
      </c>
      <c r="J1865" s="8">
        <v>74.59</v>
      </c>
      <c r="K1865" s="268">
        <v>0.31859999999999999</v>
      </c>
      <c r="L1865" s="268">
        <v>0.22889999999999999</v>
      </c>
      <c r="M1865" s="268">
        <v>2.06E-2</v>
      </c>
      <c r="N1865" s="8">
        <v>22.73</v>
      </c>
      <c r="O1865" s="8">
        <v>1464.99</v>
      </c>
      <c r="P1865" s="268">
        <v>1.55E-2</v>
      </c>
      <c r="Q1865" s="8">
        <v>118</v>
      </c>
      <c r="R1865" s="8" t="s">
        <v>8153</v>
      </c>
      <c r="S1865" s="8" t="s">
        <v>10978</v>
      </c>
      <c r="T1865" s="8" t="s">
        <v>10979</v>
      </c>
      <c r="U1865" s="8" t="s">
        <v>10980</v>
      </c>
      <c r="V1865" s="8" t="s">
        <v>10981</v>
      </c>
      <c r="W1865" s="8" t="s">
        <v>10982</v>
      </c>
    </row>
    <row r="1866" spans="1:23" ht="28" customHeight="1" x14ac:dyDescent="0.3">
      <c r="A1866" s="308">
        <v>43488</v>
      </c>
      <c r="B1866" s="302">
        <v>1006.876</v>
      </c>
      <c r="C1866" s="8">
        <v>1.26</v>
      </c>
      <c r="D1866" s="268">
        <v>1.2999999999999999E-3</v>
      </c>
      <c r="E1866" s="8">
        <v>62.5</v>
      </c>
      <c r="F1866" s="8">
        <v>101.73399999999999</v>
      </c>
      <c r="G1866" s="8">
        <v>100.24</v>
      </c>
      <c r="H1866" s="8">
        <v>85.51</v>
      </c>
      <c r="I1866" s="8">
        <v>133.78</v>
      </c>
      <c r="J1866" s="8">
        <v>77.31</v>
      </c>
      <c r="K1866" s="268">
        <v>0.32050000000000001</v>
      </c>
      <c r="L1866" s="268">
        <v>0.22950000000000001</v>
      </c>
      <c r="M1866" s="268">
        <v>2.1600000000000001E-2</v>
      </c>
      <c r="N1866" s="8">
        <v>17.260000000000002</v>
      </c>
      <c r="O1866" s="8">
        <v>1460.66</v>
      </c>
      <c r="P1866" s="268">
        <v>1.18E-2</v>
      </c>
      <c r="Q1866" s="8">
        <v>117</v>
      </c>
      <c r="R1866" s="8" t="s">
        <v>5741</v>
      </c>
      <c r="S1866" s="8" t="s">
        <v>10983</v>
      </c>
      <c r="T1866" s="8" t="s">
        <v>10984</v>
      </c>
      <c r="U1866" s="8" t="s">
        <v>10985</v>
      </c>
      <c r="V1866" s="8" t="s">
        <v>7231</v>
      </c>
      <c r="W1866" s="8">
        <v>0</v>
      </c>
    </row>
    <row r="1867" spans="1:23" ht="28" customHeight="1" x14ac:dyDescent="0.3">
      <c r="A1867" s="308">
        <v>43487</v>
      </c>
      <c r="B1867" s="302">
        <v>1005.616</v>
      </c>
      <c r="C1867" s="8">
        <v>-3.093</v>
      </c>
      <c r="D1867" s="268">
        <v>-3.0999999999999999E-3</v>
      </c>
      <c r="E1867" s="8">
        <v>60.92</v>
      </c>
      <c r="F1867" s="8">
        <v>101.599</v>
      </c>
      <c r="G1867" s="8">
        <v>100.23</v>
      </c>
      <c r="H1867" s="8">
        <v>85.47</v>
      </c>
      <c r="I1867" s="8">
        <v>133.94</v>
      </c>
      <c r="J1867" s="8">
        <v>78.819999999999993</v>
      </c>
      <c r="K1867" s="268">
        <v>0.32340000000000002</v>
      </c>
      <c r="L1867" s="268">
        <v>0.22839999999999999</v>
      </c>
      <c r="M1867" s="268">
        <v>2.18E-2</v>
      </c>
      <c r="N1867" s="8">
        <v>20.98</v>
      </c>
      <c r="O1867" s="8">
        <v>1460.66</v>
      </c>
      <c r="P1867" s="268">
        <v>1.44E-2</v>
      </c>
      <c r="Q1867" s="8">
        <v>117</v>
      </c>
      <c r="R1867" s="8" t="s">
        <v>2742</v>
      </c>
      <c r="S1867" s="8" t="s">
        <v>10986</v>
      </c>
      <c r="T1867" s="8" t="s">
        <v>10987</v>
      </c>
      <c r="U1867" s="8" t="s">
        <v>10988</v>
      </c>
      <c r="V1867" s="8" t="s">
        <v>10989</v>
      </c>
      <c r="W1867" s="8" t="s">
        <v>6080</v>
      </c>
    </row>
    <row r="1868" spans="1:23" ht="28" customHeight="1" x14ac:dyDescent="0.3">
      <c r="A1868" s="308">
        <v>43486</v>
      </c>
      <c r="B1868" s="302">
        <v>1008.7089999999999</v>
      </c>
      <c r="C1868" s="8">
        <v>2.5539999999999998</v>
      </c>
      <c r="D1868" s="268">
        <v>2.5000000000000001E-3</v>
      </c>
      <c r="E1868" s="8">
        <v>63.8</v>
      </c>
      <c r="F1868" s="8">
        <v>101.883</v>
      </c>
      <c r="G1868" s="8">
        <v>100.5</v>
      </c>
      <c r="H1868" s="8">
        <v>85.84</v>
      </c>
      <c r="I1868" s="8">
        <v>133.38</v>
      </c>
      <c r="J1868" s="8">
        <v>74.03</v>
      </c>
      <c r="K1868" s="268">
        <v>0.315</v>
      </c>
      <c r="L1868" s="268">
        <v>0.21729999999999999</v>
      </c>
      <c r="M1868" s="268">
        <v>2.1299999999999999E-2</v>
      </c>
      <c r="N1868" s="8">
        <v>24.3</v>
      </c>
      <c r="O1868" s="8">
        <v>1453.23</v>
      </c>
      <c r="P1868" s="268">
        <v>1.67E-2</v>
      </c>
      <c r="Q1868" s="8">
        <v>115</v>
      </c>
      <c r="R1868" s="8" t="s">
        <v>9410</v>
      </c>
      <c r="S1868" s="8" t="s">
        <v>10990</v>
      </c>
      <c r="T1868" s="8" t="s">
        <v>10991</v>
      </c>
      <c r="U1868" s="8" t="s">
        <v>10992</v>
      </c>
      <c r="V1868" s="8" t="s">
        <v>9097</v>
      </c>
      <c r="W1868" s="8" t="s">
        <v>9431</v>
      </c>
    </row>
    <row r="1869" spans="1:23" ht="28" customHeight="1" x14ac:dyDescent="0.3">
      <c r="A1869" s="308">
        <v>43483</v>
      </c>
      <c r="B1869" s="302">
        <v>1006.155</v>
      </c>
      <c r="C1869" s="8">
        <v>1.9259999999999999</v>
      </c>
      <c r="D1869" s="268">
        <v>1.9E-3</v>
      </c>
      <c r="E1869" s="8">
        <v>63.7</v>
      </c>
      <c r="F1869" s="8">
        <v>101.497</v>
      </c>
      <c r="G1869" s="8">
        <v>100.267</v>
      </c>
      <c r="H1869" s="8">
        <v>83.16</v>
      </c>
      <c r="I1869" s="8">
        <v>134.63999999999999</v>
      </c>
      <c r="J1869" s="8">
        <v>75.56</v>
      </c>
      <c r="K1869" s="268">
        <v>0.33150000000000002</v>
      </c>
      <c r="L1869" s="268">
        <v>0.21410000000000001</v>
      </c>
      <c r="M1869" s="268">
        <v>2.1999999999999999E-2</v>
      </c>
      <c r="N1869" s="8">
        <v>18.190000000000001</v>
      </c>
      <c r="O1869" s="8">
        <v>1423.16</v>
      </c>
      <c r="P1869" s="268">
        <v>1.2800000000000001E-2</v>
      </c>
      <c r="Q1869" s="8">
        <v>114</v>
      </c>
      <c r="R1869" s="8" t="s">
        <v>7287</v>
      </c>
      <c r="S1869" s="8" t="s">
        <v>10993</v>
      </c>
      <c r="T1869" s="8" t="s">
        <v>10994</v>
      </c>
      <c r="U1869" s="8" t="s">
        <v>10995</v>
      </c>
      <c r="V1869" s="8" t="s">
        <v>10996</v>
      </c>
      <c r="W1869" s="8" t="s">
        <v>10997</v>
      </c>
    </row>
    <row r="1870" spans="1:23" ht="28" customHeight="1" x14ac:dyDescent="0.3">
      <c r="A1870" s="308">
        <v>43482</v>
      </c>
      <c r="B1870" s="302">
        <v>1004.229</v>
      </c>
      <c r="C1870" s="8">
        <v>-3.125</v>
      </c>
      <c r="D1870" s="268">
        <v>-3.0999999999999999E-3</v>
      </c>
      <c r="E1870" s="8">
        <v>60.97</v>
      </c>
      <c r="F1870" s="8">
        <v>101.30200000000001</v>
      </c>
      <c r="G1870" s="8">
        <v>99.963999999999999</v>
      </c>
      <c r="H1870" s="8">
        <v>82.98</v>
      </c>
      <c r="I1870" s="8">
        <v>135.22999999999999</v>
      </c>
      <c r="J1870" s="8">
        <v>78.930000000000007</v>
      </c>
      <c r="K1870" s="268">
        <v>0.33929999999999999</v>
      </c>
      <c r="L1870" s="268">
        <v>0.22270000000000001</v>
      </c>
      <c r="M1870" s="268">
        <v>2.24E-2</v>
      </c>
      <c r="N1870" s="8">
        <v>18.16</v>
      </c>
      <c r="O1870" s="8">
        <v>1423.16</v>
      </c>
      <c r="P1870" s="268">
        <v>1.2800000000000001E-2</v>
      </c>
      <c r="Q1870" s="8">
        <v>114</v>
      </c>
      <c r="R1870" s="8" t="s">
        <v>7409</v>
      </c>
      <c r="S1870" s="8" t="s">
        <v>10998</v>
      </c>
      <c r="T1870" s="8" t="s">
        <v>10999</v>
      </c>
      <c r="U1870" s="8" t="s">
        <v>11000</v>
      </c>
      <c r="V1870" s="8" t="s">
        <v>2682</v>
      </c>
      <c r="W1870" s="8" t="s">
        <v>11001</v>
      </c>
    </row>
    <row r="1871" spans="1:23" ht="28" customHeight="1" x14ac:dyDescent="0.3">
      <c r="A1871" s="308">
        <v>43481</v>
      </c>
      <c r="B1871" s="302">
        <v>1007.354</v>
      </c>
      <c r="C1871" s="8">
        <v>1.39</v>
      </c>
      <c r="D1871" s="268">
        <v>1.4E-3</v>
      </c>
      <c r="E1871" s="8">
        <v>63.88</v>
      </c>
      <c r="F1871" s="8">
        <v>101.623</v>
      </c>
      <c r="G1871" s="8">
        <v>100.51</v>
      </c>
      <c r="H1871" s="8">
        <v>83.97</v>
      </c>
      <c r="I1871" s="8">
        <v>134.38</v>
      </c>
      <c r="J1871" s="8">
        <v>73.349999999999994</v>
      </c>
      <c r="K1871" s="268">
        <v>0.3276</v>
      </c>
      <c r="L1871" s="268">
        <v>0.20419999999999999</v>
      </c>
      <c r="M1871" s="268">
        <v>2.1700000000000001E-2</v>
      </c>
      <c r="N1871" s="8">
        <v>20.82</v>
      </c>
      <c r="O1871" s="8">
        <v>1423.16</v>
      </c>
      <c r="P1871" s="268">
        <v>1.46E-2</v>
      </c>
      <c r="Q1871" s="8">
        <v>114</v>
      </c>
      <c r="R1871" s="8" t="s">
        <v>5819</v>
      </c>
      <c r="S1871" s="8" t="s">
        <v>11002</v>
      </c>
      <c r="T1871" s="8" t="s">
        <v>11003</v>
      </c>
      <c r="U1871" s="8" t="s">
        <v>3126</v>
      </c>
      <c r="V1871" s="8" t="s">
        <v>11004</v>
      </c>
      <c r="W1871" s="8" t="s">
        <v>11005</v>
      </c>
    </row>
    <row r="1872" spans="1:23" ht="28" customHeight="1" x14ac:dyDescent="0.3">
      <c r="A1872" s="308">
        <v>43480</v>
      </c>
      <c r="B1872" s="302">
        <v>1005.9640000000001</v>
      </c>
      <c r="C1872" s="8">
        <v>5.2279999999999998</v>
      </c>
      <c r="D1872" s="268">
        <v>5.1999999999999998E-3</v>
      </c>
      <c r="E1872" s="8">
        <v>66.41</v>
      </c>
      <c r="F1872" s="8">
        <v>101.473</v>
      </c>
      <c r="G1872" s="8">
        <v>100.425</v>
      </c>
      <c r="H1872" s="8">
        <v>83.88</v>
      </c>
      <c r="I1872" s="8">
        <v>133.54</v>
      </c>
      <c r="J1872" s="8">
        <v>72.94</v>
      </c>
      <c r="K1872" s="268">
        <v>0.32069999999999999</v>
      </c>
      <c r="L1872" s="268">
        <v>0.20860000000000001</v>
      </c>
      <c r="M1872" s="268">
        <v>2.1999999999999999E-2</v>
      </c>
      <c r="N1872" s="8">
        <v>21.96</v>
      </c>
      <c r="O1872" s="8">
        <v>1423.16</v>
      </c>
      <c r="P1872" s="268">
        <v>1.54E-2</v>
      </c>
      <c r="Q1872" s="8">
        <v>114</v>
      </c>
      <c r="R1872" s="8" t="s">
        <v>6095</v>
      </c>
      <c r="S1872" s="8" t="s">
        <v>11006</v>
      </c>
      <c r="T1872" s="8" t="s">
        <v>11007</v>
      </c>
      <c r="U1872" s="8" t="s">
        <v>11008</v>
      </c>
      <c r="V1872" s="8" t="s">
        <v>4132</v>
      </c>
      <c r="W1872" s="8">
        <v>0</v>
      </c>
    </row>
    <row r="1873" spans="1:23" ht="28" customHeight="1" x14ac:dyDescent="0.3">
      <c r="A1873" s="308">
        <v>43479</v>
      </c>
      <c r="B1873" s="302">
        <v>1000.736</v>
      </c>
      <c r="C1873" s="8">
        <v>-2.8260000000000001</v>
      </c>
      <c r="D1873" s="268">
        <v>-2.8E-3</v>
      </c>
      <c r="E1873" s="8">
        <v>57.79</v>
      </c>
      <c r="F1873" s="8">
        <v>100.952</v>
      </c>
      <c r="G1873" s="8">
        <v>99.911000000000001</v>
      </c>
      <c r="H1873" s="8">
        <v>83.28</v>
      </c>
      <c r="I1873" s="8">
        <v>133.85</v>
      </c>
      <c r="J1873" s="8">
        <v>80.12</v>
      </c>
      <c r="K1873" s="268">
        <v>0.32900000000000001</v>
      </c>
      <c r="L1873" s="268">
        <v>0.2185</v>
      </c>
      <c r="M1873" s="268">
        <v>2.3099999999999999E-2</v>
      </c>
      <c r="N1873" s="8">
        <v>20.48</v>
      </c>
      <c r="O1873" s="8">
        <v>1423.16</v>
      </c>
      <c r="P1873" s="268">
        <v>1.44E-2</v>
      </c>
      <c r="Q1873" s="8">
        <v>114</v>
      </c>
      <c r="R1873" s="8" t="s">
        <v>3963</v>
      </c>
      <c r="S1873" s="8" t="s">
        <v>11009</v>
      </c>
      <c r="T1873" s="8" t="s">
        <v>11010</v>
      </c>
      <c r="U1873" s="8" t="s">
        <v>11011</v>
      </c>
      <c r="V1873" s="8" t="s">
        <v>3704</v>
      </c>
      <c r="W1873" s="8" t="s">
        <v>11012</v>
      </c>
    </row>
    <row r="1874" spans="1:23" ht="28" customHeight="1" x14ac:dyDescent="0.3">
      <c r="A1874" s="308">
        <v>43476</v>
      </c>
      <c r="B1874" s="302">
        <v>1003.562</v>
      </c>
      <c r="C1874" s="8">
        <v>3.7989999999999999</v>
      </c>
      <c r="D1874" s="268">
        <v>3.8E-3</v>
      </c>
      <c r="E1874" s="8">
        <v>62.5</v>
      </c>
      <c r="F1874" s="8">
        <v>101.256</v>
      </c>
      <c r="G1874" s="8">
        <v>99.81</v>
      </c>
      <c r="H1874" s="8">
        <v>83.82</v>
      </c>
      <c r="I1874" s="8">
        <v>133.79</v>
      </c>
      <c r="J1874" s="8">
        <v>78.86</v>
      </c>
      <c r="K1874" s="268">
        <v>0.32529999999999998</v>
      </c>
      <c r="L1874" s="268">
        <v>0.21709999999999999</v>
      </c>
      <c r="M1874" s="268">
        <v>2.2499999999999999E-2</v>
      </c>
      <c r="N1874" s="8">
        <v>27.4</v>
      </c>
      <c r="O1874" s="8">
        <v>1417.83</v>
      </c>
      <c r="P1874" s="268">
        <v>1.9300000000000001E-2</v>
      </c>
      <c r="Q1874" s="8">
        <v>113</v>
      </c>
      <c r="R1874" s="8" t="s">
        <v>3975</v>
      </c>
      <c r="S1874" s="8" t="s">
        <v>11013</v>
      </c>
      <c r="T1874" s="8" t="s">
        <v>11014</v>
      </c>
      <c r="U1874" s="8" t="s">
        <v>11015</v>
      </c>
      <c r="V1874" s="8" t="s">
        <v>11016</v>
      </c>
      <c r="W1874" s="8" t="s">
        <v>11017</v>
      </c>
    </row>
    <row r="1875" spans="1:23" ht="28" customHeight="1" x14ac:dyDescent="0.3">
      <c r="A1875" s="308">
        <v>43475</v>
      </c>
      <c r="B1875" s="302">
        <v>999.76300000000003</v>
      </c>
      <c r="C1875" s="8">
        <v>2.359</v>
      </c>
      <c r="D1875" s="268">
        <v>2.3999999999999998E-3</v>
      </c>
      <c r="E1875" s="8">
        <v>61.75</v>
      </c>
      <c r="F1875" s="8">
        <v>100.884</v>
      </c>
      <c r="G1875" s="8">
        <v>99.8</v>
      </c>
      <c r="H1875" s="8">
        <v>83.82</v>
      </c>
      <c r="I1875" s="8">
        <v>133.96</v>
      </c>
      <c r="J1875" s="8">
        <v>81.97</v>
      </c>
      <c r="K1875" s="268">
        <v>0.33079999999999998</v>
      </c>
      <c r="L1875" s="268">
        <v>0.2225</v>
      </c>
      <c r="M1875" s="268">
        <v>2.3300000000000001E-2</v>
      </c>
      <c r="N1875" s="8">
        <v>28.61</v>
      </c>
      <c r="O1875" s="8">
        <v>1417.83</v>
      </c>
      <c r="P1875" s="268">
        <v>2.0199999999999999E-2</v>
      </c>
      <c r="Q1875" s="8">
        <v>113</v>
      </c>
      <c r="R1875" s="8" t="s">
        <v>11018</v>
      </c>
      <c r="S1875" s="8" t="s">
        <v>11019</v>
      </c>
      <c r="T1875" s="8" t="s">
        <v>11020</v>
      </c>
      <c r="U1875" s="8" t="s">
        <v>11021</v>
      </c>
      <c r="V1875" s="8" t="s">
        <v>8054</v>
      </c>
      <c r="W1875" s="8" t="s">
        <v>11022</v>
      </c>
    </row>
    <row r="1876" spans="1:23" ht="28" customHeight="1" x14ac:dyDescent="0.3">
      <c r="A1876" s="308">
        <v>43474</v>
      </c>
      <c r="B1876" s="302">
        <v>997.404</v>
      </c>
      <c r="C1876" s="8">
        <v>6.16</v>
      </c>
      <c r="D1876" s="268">
        <v>6.1999999999999998E-3</v>
      </c>
      <c r="E1876" s="8">
        <v>57.84</v>
      </c>
      <c r="F1876" s="8">
        <v>100.651</v>
      </c>
      <c r="G1876" s="8">
        <v>99.545000000000002</v>
      </c>
      <c r="H1876" s="8">
        <v>82.06</v>
      </c>
      <c r="I1876" s="8">
        <v>133.38</v>
      </c>
      <c r="J1876" s="8">
        <v>80.12</v>
      </c>
      <c r="K1876" s="268">
        <v>0.32729999999999998</v>
      </c>
      <c r="L1876" s="268">
        <v>0.2228</v>
      </c>
      <c r="M1876" s="268">
        <v>2.3800000000000002E-2</v>
      </c>
      <c r="N1876" s="8">
        <v>33.39</v>
      </c>
      <c r="O1876" s="8">
        <v>1415.34</v>
      </c>
      <c r="P1876" s="268">
        <v>2.3599999999999999E-2</v>
      </c>
      <c r="Q1876" s="8">
        <v>112</v>
      </c>
      <c r="R1876" s="8" t="s">
        <v>3506</v>
      </c>
      <c r="S1876" s="8" t="s">
        <v>11023</v>
      </c>
      <c r="T1876" s="8" t="s">
        <v>11024</v>
      </c>
      <c r="U1876" s="8" t="s">
        <v>8688</v>
      </c>
      <c r="V1876" s="8" t="s">
        <v>11025</v>
      </c>
      <c r="W1876" s="8">
        <v>0</v>
      </c>
    </row>
    <row r="1877" spans="1:23" ht="28" customHeight="1" x14ac:dyDescent="0.3">
      <c r="A1877" s="308">
        <v>43473</v>
      </c>
      <c r="B1877" s="302">
        <v>991.24400000000003</v>
      </c>
      <c r="C1877" s="8">
        <v>2.2709999999999999</v>
      </c>
      <c r="D1877" s="268">
        <v>2.3E-3</v>
      </c>
      <c r="E1877" s="8">
        <v>50.31</v>
      </c>
      <c r="F1877" s="8">
        <v>100.036</v>
      </c>
      <c r="G1877" s="8">
        <v>98.450999999999993</v>
      </c>
      <c r="H1877" s="8">
        <v>82.54</v>
      </c>
      <c r="I1877" s="8">
        <v>132.55000000000001</v>
      </c>
      <c r="J1877" s="8">
        <v>75.13</v>
      </c>
      <c r="K1877" s="268">
        <v>0.32519999999999999</v>
      </c>
      <c r="L1877" s="268">
        <v>0.21</v>
      </c>
      <c r="M1877" s="268">
        <v>2.5100000000000001E-2</v>
      </c>
      <c r="N1877" s="8">
        <v>22.88</v>
      </c>
      <c r="O1877" s="8">
        <v>1415.34</v>
      </c>
      <c r="P1877" s="268">
        <v>1.6199999999999999E-2</v>
      </c>
      <c r="Q1877" s="8">
        <v>112</v>
      </c>
      <c r="R1877" s="8" t="s">
        <v>5910</v>
      </c>
      <c r="S1877" s="8" t="s">
        <v>11026</v>
      </c>
      <c r="T1877" s="8" t="s">
        <v>6179</v>
      </c>
      <c r="U1877" s="8" t="s">
        <v>6159</v>
      </c>
      <c r="V1877" s="8" t="s">
        <v>11027</v>
      </c>
      <c r="W1877" s="8">
        <v>0</v>
      </c>
    </row>
    <row r="1878" spans="1:23" ht="28" customHeight="1" x14ac:dyDescent="0.3">
      <c r="A1878" s="308">
        <v>43472</v>
      </c>
      <c r="B1878" s="302">
        <v>988.97299999999996</v>
      </c>
      <c r="C1878" s="8">
        <v>11.776999999999999</v>
      </c>
      <c r="D1878" s="268">
        <v>1.21E-2</v>
      </c>
      <c r="E1878" s="8">
        <v>50</v>
      </c>
      <c r="F1878" s="8">
        <v>99.846999999999994</v>
      </c>
      <c r="G1878" s="8">
        <v>98.5</v>
      </c>
      <c r="H1878" s="8">
        <v>83.39</v>
      </c>
      <c r="I1878" s="8">
        <v>132.13</v>
      </c>
      <c r="J1878" s="8">
        <v>73.11</v>
      </c>
      <c r="K1878" s="268">
        <v>0.32290000000000002</v>
      </c>
      <c r="L1878" s="268">
        <v>0.21429999999999999</v>
      </c>
      <c r="M1878" s="268">
        <v>2.5499999999999998E-2</v>
      </c>
      <c r="N1878" s="8">
        <v>21.5</v>
      </c>
      <c r="O1878" s="8">
        <v>1412.04</v>
      </c>
      <c r="P1878" s="268">
        <v>1.52E-2</v>
      </c>
      <c r="Q1878" s="8">
        <v>111</v>
      </c>
      <c r="R1878" s="8" t="s">
        <v>11028</v>
      </c>
      <c r="S1878" s="8" t="s">
        <v>11029</v>
      </c>
      <c r="T1878" s="8" t="s">
        <v>11030</v>
      </c>
      <c r="U1878" s="8" t="s">
        <v>11031</v>
      </c>
      <c r="V1878" s="8" t="s">
        <v>11032</v>
      </c>
      <c r="W1878" s="8">
        <v>0</v>
      </c>
    </row>
    <row r="1879" spans="1:23" ht="28" customHeight="1" x14ac:dyDescent="0.3">
      <c r="A1879" s="308">
        <v>43469</v>
      </c>
      <c r="B1879" s="302">
        <v>977.19600000000003</v>
      </c>
      <c r="C1879" s="8">
        <v>8.3970000000000002</v>
      </c>
      <c r="D1879" s="268">
        <v>8.6999999999999994E-3</v>
      </c>
      <c r="E1879" s="8">
        <v>39.200000000000003</v>
      </c>
      <c r="F1879" s="8">
        <v>98.631</v>
      </c>
      <c r="G1879" s="8">
        <v>97.77</v>
      </c>
      <c r="H1879" s="8">
        <v>82.09</v>
      </c>
      <c r="I1879" s="8">
        <v>131.69999999999999</v>
      </c>
      <c r="J1879" s="8">
        <v>76.680000000000007</v>
      </c>
      <c r="K1879" s="268">
        <v>0.33069999999999999</v>
      </c>
      <c r="L1879" s="268">
        <v>0.2268</v>
      </c>
      <c r="M1879" s="268">
        <v>2.7900000000000001E-2</v>
      </c>
      <c r="N1879" s="8">
        <v>18.100000000000001</v>
      </c>
      <c r="O1879" s="8">
        <v>1412.04</v>
      </c>
      <c r="P1879" s="268">
        <v>1.2800000000000001E-2</v>
      </c>
      <c r="Q1879" s="8">
        <v>111</v>
      </c>
      <c r="R1879" s="8" t="s">
        <v>11033</v>
      </c>
      <c r="S1879" s="8" t="s">
        <v>11034</v>
      </c>
      <c r="T1879" s="8" t="s">
        <v>11035</v>
      </c>
      <c r="U1879" s="8" t="s">
        <v>11036</v>
      </c>
      <c r="V1879" s="8" t="s">
        <v>10946</v>
      </c>
      <c r="W1879" s="8">
        <v>0</v>
      </c>
    </row>
    <row r="1880" spans="1:23" ht="28" customHeight="1" x14ac:dyDescent="0.3">
      <c r="A1880" s="308">
        <v>43468</v>
      </c>
      <c r="B1880" s="302">
        <v>968.79899999999998</v>
      </c>
      <c r="C1880" s="8">
        <v>1.887</v>
      </c>
      <c r="D1880" s="268">
        <v>2E-3</v>
      </c>
      <c r="E1880" s="8">
        <v>25.42</v>
      </c>
      <c r="F1880" s="8">
        <v>97.78</v>
      </c>
      <c r="G1880" s="8">
        <v>97.06</v>
      </c>
      <c r="H1880" s="8">
        <v>79.319999999999993</v>
      </c>
      <c r="I1880" s="8">
        <v>133.47</v>
      </c>
      <c r="J1880" s="8">
        <v>80.67</v>
      </c>
      <c r="K1880" s="268">
        <v>0.3569</v>
      </c>
      <c r="L1880" s="268">
        <v>0.2495</v>
      </c>
      <c r="M1880" s="268">
        <v>2.9700000000000001E-2</v>
      </c>
      <c r="N1880" s="8">
        <v>14.58</v>
      </c>
      <c r="O1880" s="8">
        <v>1412.04</v>
      </c>
      <c r="P1880" s="268">
        <v>1.03E-2</v>
      </c>
      <c r="Q1880" s="8">
        <v>111</v>
      </c>
      <c r="R1880" s="8" t="s">
        <v>11037</v>
      </c>
      <c r="S1880" s="8" t="s">
        <v>9256</v>
      </c>
      <c r="T1880" s="8" t="s">
        <v>11038</v>
      </c>
      <c r="U1880" s="8" t="s">
        <v>3652</v>
      </c>
      <c r="V1880" s="8" t="s">
        <v>11039</v>
      </c>
      <c r="W1880" s="8">
        <v>0</v>
      </c>
    </row>
    <row r="1881" spans="1:23" ht="28" customHeight="1" x14ac:dyDescent="0.3">
      <c r="A1881" s="308">
        <v>43467</v>
      </c>
      <c r="B1881" s="302">
        <v>966.91200000000003</v>
      </c>
      <c r="C1881" s="8">
        <v>-2.3420000000000001</v>
      </c>
      <c r="D1881" s="268">
        <v>-2.3999999999999998E-3</v>
      </c>
      <c r="E1881" s="8">
        <v>22.34</v>
      </c>
      <c r="F1881" s="8">
        <v>97.597999999999999</v>
      </c>
      <c r="G1881" s="8">
        <v>97.21</v>
      </c>
      <c r="H1881" s="8">
        <v>79.319999999999993</v>
      </c>
      <c r="I1881" s="8">
        <v>132.1</v>
      </c>
      <c r="J1881" s="8">
        <v>81.709999999999994</v>
      </c>
      <c r="K1881" s="268">
        <v>0.34510000000000002</v>
      </c>
      <c r="L1881" s="268">
        <v>0.2263</v>
      </c>
      <c r="M1881" s="268">
        <v>3.0200000000000001E-2</v>
      </c>
      <c r="N1881" s="8">
        <v>13.91</v>
      </c>
      <c r="O1881" s="8">
        <v>1412.04</v>
      </c>
      <c r="P1881" s="268">
        <v>9.9000000000000008E-3</v>
      </c>
      <c r="Q1881" s="8">
        <v>111</v>
      </c>
      <c r="R1881" s="8" t="s">
        <v>11040</v>
      </c>
      <c r="S1881" s="8" t="s">
        <v>11041</v>
      </c>
      <c r="T1881" s="8" t="s">
        <v>11042</v>
      </c>
      <c r="U1881" s="8" t="s">
        <v>7597</v>
      </c>
      <c r="V1881" s="8" t="s">
        <v>11043</v>
      </c>
      <c r="W1881" s="8">
        <v>0</v>
      </c>
    </row>
    <row r="1882" spans="1:23" ht="28" customHeight="1" x14ac:dyDescent="0.3">
      <c r="A1882" s="308">
        <v>43462</v>
      </c>
      <c r="B1882" s="302">
        <v>969.25400000000002</v>
      </c>
      <c r="C1882" s="8">
        <v>1.4530000000000001</v>
      </c>
      <c r="D1882" s="268">
        <v>1.5E-3</v>
      </c>
      <c r="E1882" s="8">
        <v>25.7</v>
      </c>
      <c r="F1882" s="8">
        <v>97.796000000000006</v>
      </c>
      <c r="G1882" s="8">
        <v>97.602000000000004</v>
      </c>
      <c r="H1882" s="8">
        <v>79.19</v>
      </c>
      <c r="I1882" s="8">
        <v>132.55000000000001</v>
      </c>
      <c r="J1882" s="8">
        <v>84.41</v>
      </c>
      <c r="K1882" s="268">
        <v>0.34749999999999998</v>
      </c>
      <c r="L1882" s="268">
        <v>0.2417</v>
      </c>
      <c r="M1882" s="268">
        <v>2.9700000000000001E-2</v>
      </c>
      <c r="N1882" s="8">
        <v>12.44</v>
      </c>
      <c r="O1882" s="8">
        <v>1383.74</v>
      </c>
      <c r="P1882" s="268">
        <v>8.9999999999999993E-3</v>
      </c>
      <c r="Q1882" s="8">
        <v>110</v>
      </c>
      <c r="R1882" s="8" t="s">
        <v>6646</v>
      </c>
      <c r="S1882" s="8" t="s">
        <v>4886</v>
      </c>
      <c r="T1882" s="8" t="s">
        <v>11044</v>
      </c>
      <c r="U1882" s="8" t="s">
        <v>11045</v>
      </c>
      <c r="V1882" s="8" t="s">
        <v>2490</v>
      </c>
      <c r="W1882" s="8">
        <v>0</v>
      </c>
    </row>
    <row r="1883" spans="1:23" ht="28" customHeight="1" x14ac:dyDescent="0.3">
      <c r="A1883" s="308">
        <v>43461</v>
      </c>
      <c r="B1883" s="302">
        <v>967.80100000000004</v>
      </c>
      <c r="C1883" s="8">
        <v>-0.96799999999999997</v>
      </c>
      <c r="D1883" s="268">
        <v>-1E-3</v>
      </c>
      <c r="E1883" s="8">
        <v>22.52</v>
      </c>
      <c r="F1883" s="8">
        <v>97.7</v>
      </c>
      <c r="G1883" s="8">
        <v>97.51</v>
      </c>
      <c r="H1883" s="8">
        <v>79.069999999999993</v>
      </c>
      <c r="I1883" s="8">
        <v>132.63999999999999</v>
      </c>
      <c r="J1883" s="8">
        <v>86.59</v>
      </c>
      <c r="K1883" s="268">
        <v>0.34939999999999999</v>
      </c>
      <c r="L1883" s="268">
        <v>0.2422</v>
      </c>
      <c r="M1883" s="268">
        <v>2.98E-2</v>
      </c>
      <c r="N1883" s="8">
        <v>12.31</v>
      </c>
      <c r="O1883" s="8">
        <v>1380.54</v>
      </c>
      <c r="P1883" s="268">
        <v>8.8999999999999999E-3</v>
      </c>
      <c r="Q1883" s="8">
        <v>109</v>
      </c>
      <c r="R1883" s="8" t="s">
        <v>10265</v>
      </c>
      <c r="S1883" s="8" t="s">
        <v>3302</v>
      </c>
      <c r="T1883" s="8" t="s">
        <v>10556</v>
      </c>
      <c r="U1883" s="8" t="s">
        <v>9177</v>
      </c>
      <c r="V1883" s="8" t="s">
        <v>3529</v>
      </c>
      <c r="W1883" s="8">
        <v>0</v>
      </c>
    </row>
    <row r="1884" spans="1:23" ht="28" customHeight="1" x14ac:dyDescent="0.3">
      <c r="A1884" s="308">
        <v>43460</v>
      </c>
      <c r="B1884" s="302">
        <v>968.76900000000001</v>
      </c>
      <c r="C1884" s="8">
        <v>-0.221</v>
      </c>
      <c r="D1884" s="268">
        <v>-2.0000000000000001E-4</v>
      </c>
      <c r="E1884" s="8">
        <v>23.78</v>
      </c>
      <c r="F1884" s="8">
        <v>97.733000000000004</v>
      </c>
      <c r="G1884" s="8">
        <v>97.3</v>
      </c>
      <c r="H1884" s="8">
        <v>79.56</v>
      </c>
      <c r="I1884" s="8">
        <v>130.94999999999999</v>
      </c>
      <c r="J1884" s="8">
        <v>80.7</v>
      </c>
      <c r="K1884" s="268">
        <v>0.3322</v>
      </c>
      <c r="L1884" s="268">
        <v>0.23930000000000001</v>
      </c>
      <c r="M1884" s="268">
        <v>2.9600000000000001E-2</v>
      </c>
      <c r="N1884" s="8">
        <v>14.11</v>
      </c>
      <c r="O1884" s="8">
        <v>1375.93</v>
      </c>
      <c r="P1884" s="268">
        <v>1.03E-2</v>
      </c>
      <c r="Q1884" s="8">
        <v>107</v>
      </c>
      <c r="R1884" s="8" t="s">
        <v>2790</v>
      </c>
      <c r="S1884" s="8" t="s">
        <v>11046</v>
      </c>
      <c r="T1884" s="8" t="s">
        <v>11047</v>
      </c>
      <c r="U1884" s="8" t="s">
        <v>10063</v>
      </c>
      <c r="V1884" s="8" t="s">
        <v>7848</v>
      </c>
      <c r="W1884" s="8">
        <v>0</v>
      </c>
    </row>
    <row r="1885" spans="1:23" ht="28" customHeight="1" x14ac:dyDescent="0.3">
      <c r="A1885" s="308">
        <v>43459</v>
      </c>
      <c r="B1885" s="302">
        <v>968.99</v>
      </c>
      <c r="C1885" s="8">
        <v>-3.3039999999999998</v>
      </c>
      <c r="D1885" s="268">
        <v>-3.3999999999999998E-3</v>
      </c>
      <c r="E1885" s="8">
        <v>21.08</v>
      </c>
      <c r="F1885" s="8">
        <v>97.771000000000001</v>
      </c>
      <c r="G1885" s="8">
        <v>97.504999999999995</v>
      </c>
      <c r="H1885" s="8">
        <v>79.37</v>
      </c>
      <c r="I1885" s="8">
        <v>131.13999999999999</v>
      </c>
      <c r="J1885" s="8">
        <v>79.62</v>
      </c>
      <c r="K1885" s="268">
        <v>0.3337</v>
      </c>
      <c r="L1885" s="268">
        <v>0.2465</v>
      </c>
      <c r="M1885" s="268">
        <v>2.9700000000000001E-2</v>
      </c>
      <c r="N1885" s="8">
        <v>15.76</v>
      </c>
      <c r="O1885" s="8">
        <v>1375.39</v>
      </c>
      <c r="P1885" s="268">
        <v>1.15E-2</v>
      </c>
      <c r="Q1885" s="8">
        <v>107</v>
      </c>
      <c r="R1885" s="8" t="s">
        <v>9086</v>
      </c>
      <c r="S1885" s="8" t="s">
        <v>11048</v>
      </c>
      <c r="T1885" s="8" t="s">
        <v>4717</v>
      </c>
      <c r="U1885" s="8" t="s">
        <v>11049</v>
      </c>
      <c r="V1885" s="8" t="s">
        <v>3511</v>
      </c>
      <c r="W1885" s="8">
        <v>0</v>
      </c>
    </row>
    <row r="1886" spans="1:23" ht="28" customHeight="1" x14ac:dyDescent="0.3">
      <c r="A1886" s="308">
        <v>43458</v>
      </c>
      <c r="B1886" s="302">
        <v>972.29399999999998</v>
      </c>
      <c r="C1886" s="8">
        <v>1.0880000000000001</v>
      </c>
      <c r="D1886" s="268">
        <v>1.1000000000000001E-3</v>
      </c>
      <c r="E1886" s="8">
        <v>25.56</v>
      </c>
      <c r="F1886" s="8">
        <v>98.114999999999995</v>
      </c>
      <c r="G1886" s="8">
        <v>97.760999999999996</v>
      </c>
      <c r="H1886" s="8">
        <v>80.400000000000006</v>
      </c>
      <c r="I1886" s="8">
        <v>130.69</v>
      </c>
      <c r="J1886" s="8">
        <v>79.180000000000007</v>
      </c>
      <c r="K1886" s="268">
        <v>0.32569999999999999</v>
      </c>
      <c r="L1886" s="268">
        <v>0.2286</v>
      </c>
      <c r="M1886" s="268">
        <v>2.9000000000000001E-2</v>
      </c>
      <c r="N1886" s="8">
        <v>11.22</v>
      </c>
      <c r="O1886" s="8">
        <v>1371</v>
      </c>
      <c r="P1886" s="268">
        <v>8.2000000000000007E-3</v>
      </c>
      <c r="Q1886" s="8">
        <v>106</v>
      </c>
      <c r="R1886" s="8" t="s">
        <v>11050</v>
      </c>
      <c r="S1886" s="8" t="s">
        <v>11051</v>
      </c>
      <c r="T1886" s="8" t="s">
        <v>4064</v>
      </c>
      <c r="U1886" s="8" t="s">
        <v>2490</v>
      </c>
      <c r="V1886" s="8" t="s">
        <v>2455</v>
      </c>
      <c r="W1886" s="8">
        <v>0</v>
      </c>
    </row>
    <row r="1887" spans="1:23" ht="28" customHeight="1" x14ac:dyDescent="0.3">
      <c r="A1887" s="308">
        <v>43455</v>
      </c>
      <c r="B1887" s="302">
        <v>971.20600000000002</v>
      </c>
      <c r="C1887" s="8">
        <v>-5.0019999999999998</v>
      </c>
      <c r="D1887" s="268">
        <v>-5.1000000000000004E-3</v>
      </c>
      <c r="E1887" s="8">
        <v>22.48</v>
      </c>
      <c r="F1887" s="8">
        <v>98.015000000000001</v>
      </c>
      <c r="G1887" s="8">
        <v>97.626000000000005</v>
      </c>
      <c r="H1887" s="8">
        <v>79.2</v>
      </c>
      <c r="I1887" s="8">
        <v>132.31</v>
      </c>
      <c r="J1887" s="8">
        <v>80.959999999999994</v>
      </c>
      <c r="K1887" s="268">
        <v>0.34289999999999998</v>
      </c>
      <c r="L1887" s="268">
        <v>0.26290000000000002</v>
      </c>
      <c r="M1887" s="268">
        <v>2.92E-2</v>
      </c>
      <c r="N1887" s="8">
        <v>15.53</v>
      </c>
      <c r="O1887" s="8">
        <v>1371</v>
      </c>
      <c r="P1887" s="268">
        <v>1.1299999999999999E-2</v>
      </c>
      <c r="Q1887" s="8">
        <v>106</v>
      </c>
      <c r="R1887" s="8" t="s">
        <v>11052</v>
      </c>
      <c r="S1887" s="8" t="s">
        <v>11053</v>
      </c>
      <c r="T1887" s="8" t="s">
        <v>11054</v>
      </c>
      <c r="U1887" s="8" t="s">
        <v>11055</v>
      </c>
      <c r="V1887" s="8" t="s">
        <v>3879</v>
      </c>
      <c r="W1887" s="8">
        <v>0</v>
      </c>
    </row>
    <row r="1888" spans="1:23" ht="28" customHeight="1" x14ac:dyDescent="0.3">
      <c r="A1888" s="308">
        <v>43454</v>
      </c>
      <c r="B1888" s="302">
        <v>976.20799999999997</v>
      </c>
      <c r="C1888" s="8">
        <v>-3.2679999999999998</v>
      </c>
      <c r="D1888" s="268">
        <v>-3.3E-3</v>
      </c>
      <c r="E1888" s="8">
        <v>29.88</v>
      </c>
      <c r="F1888" s="8">
        <v>98.658000000000001</v>
      </c>
      <c r="G1888" s="8">
        <v>98.09</v>
      </c>
      <c r="H1888" s="8">
        <v>80.09</v>
      </c>
      <c r="I1888" s="8">
        <v>132.63999999999999</v>
      </c>
      <c r="J1888" s="8">
        <v>81.599999999999994</v>
      </c>
      <c r="K1888" s="268">
        <v>0.33989999999999998</v>
      </c>
      <c r="L1888" s="268">
        <v>0.2545</v>
      </c>
      <c r="M1888" s="268">
        <v>2.7799999999999998E-2</v>
      </c>
      <c r="N1888" s="8">
        <v>14.4</v>
      </c>
      <c r="O1888" s="8">
        <v>1358.67</v>
      </c>
      <c r="P1888" s="268">
        <v>1.06E-2</v>
      </c>
      <c r="Q1888" s="8">
        <v>104</v>
      </c>
      <c r="R1888" s="8" t="s">
        <v>11056</v>
      </c>
      <c r="S1888" s="8" t="s">
        <v>11057</v>
      </c>
      <c r="T1888" s="8" t="s">
        <v>11058</v>
      </c>
      <c r="U1888" s="8" t="s">
        <v>5384</v>
      </c>
      <c r="V1888" s="8" t="s">
        <v>11059</v>
      </c>
      <c r="W1888" s="8">
        <v>0</v>
      </c>
    </row>
    <row r="1889" spans="1:23" ht="28" customHeight="1" x14ac:dyDescent="0.3">
      <c r="A1889" s="308">
        <v>43453</v>
      </c>
      <c r="B1889" s="302">
        <v>979.476</v>
      </c>
      <c r="C1889" s="8">
        <v>-4.0430000000000001</v>
      </c>
      <c r="D1889" s="268">
        <v>-4.1000000000000003E-3</v>
      </c>
      <c r="E1889" s="8">
        <v>32.770000000000003</v>
      </c>
      <c r="F1889" s="8">
        <v>98.991</v>
      </c>
      <c r="G1889" s="8">
        <v>98.295000000000002</v>
      </c>
      <c r="H1889" s="8">
        <v>80.489999999999995</v>
      </c>
      <c r="I1889" s="8">
        <v>133.81</v>
      </c>
      <c r="J1889" s="8">
        <v>85.96</v>
      </c>
      <c r="K1889" s="268">
        <v>0.34820000000000001</v>
      </c>
      <c r="L1889" s="268">
        <v>0.25119999999999998</v>
      </c>
      <c r="M1889" s="268">
        <v>2.7099999999999999E-2</v>
      </c>
      <c r="N1889" s="8">
        <v>15.89</v>
      </c>
      <c r="O1889" s="8">
        <v>1358.67</v>
      </c>
      <c r="P1889" s="268">
        <v>1.17E-2</v>
      </c>
      <c r="Q1889" s="8">
        <v>104</v>
      </c>
      <c r="R1889" s="8" t="s">
        <v>11060</v>
      </c>
      <c r="S1889" s="8" t="s">
        <v>9953</v>
      </c>
      <c r="T1889" s="8" t="s">
        <v>11061</v>
      </c>
      <c r="U1889" s="8" t="s">
        <v>2839</v>
      </c>
      <c r="V1889" s="8" t="s">
        <v>11062</v>
      </c>
      <c r="W1889" s="8">
        <v>0</v>
      </c>
    </row>
    <row r="1890" spans="1:23" ht="28" customHeight="1" x14ac:dyDescent="0.3">
      <c r="A1890" s="308">
        <v>43452</v>
      </c>
      <c r="B1890" s="302">
        <v>983.51900000000001</v>
      </c>
      <c r="C1890" s="8">
        <v>-3.9260000000000002</v>
      </c>
      <c r="D1890" s="268">
        <v>-4.0000000000000001E-3</v>
      </c>
      <c r="E1890" s="8">
        <v>39.47</v>
      </c>
      <c r="F1890" s="8">
        <v>99.387</v>
      </c>
      <c r="G1890" s="8">
        <v>98.49</v>
      </c>
      <c r="H1890" s="8">
        <v>81.040000000000006</v>
      </c>
      <c r="I1890" s="8">
        <v>133.34</v>
      </c>
      <c r="J1890" s="8">
        <v>82.92</v>
      </c>
      <c r="K1890" s="268">
        <v>0.33960000000000001</v>
      </c>
      <c r="L1890" s="268">
        <v>0.25440000000000002</v>
      </c>
      <c r="M1890" s="268">
        <v>2.6200000000000001E-2</v>
      </c>
      <c r="N1890" s="8">
        <v>11.01</v>
      </c>
      <c r="O1890" s="8">
        <v>1323.24</v>
      </c>
      <c r="P1890" s="268">
        <v>8.3000000000000001E-3</v>
      </c>
      <c r="Q1890" s="8">
        <v>103</v>
      </c>
      <c r="R1890" s="8" t="s">
        <v>11063</v>
      </c>
      <c r="S1890" s="8" t="s">
        <v>11064</v>
      </c>
      <c r="T1890" s="8" t="s">
        <v>11065</v>
      </c>
      <c r="U1890" s="8" t="s">
        <v>11066</v>
      </c>
      <c r="V1890" s="8" t="s">
        <v>2669</v>
      </c>
      <c r="W1890" s="8">
        <v>0</v>
      </c>
    </row>
    <row r="1891" spans="1:23" ht="28" customHeight="1" x14ac:dyDescent="0.3">
      <c r="A1891" s="308">
        <v>43451</v>
      </c>
      <c r="B1891" s="302">
        <v>987.44500000000005</v>
      </c>
      <c r="C1891" s="8">
        <v>-2.12</v>
      </c>
      <c r="D1891" s="268">
        <v>-2.0999999999999999E-3</v>
      </c>
      <c r="E1891" s="8">
        <v>42.91</v>
      </c>
      <c r="F1891" s="8">
        <v>99.799000000000007</v>
      </c>
      <c r="G1891" s="8">
        <v>98.6</v>
      </c>
      <c r="H1891" s="8">
        <v>81.99</v>
      </c>
      <c r="I1891" s="8">
        <v>133.07</v>
      </c>
      <c r="J1891" s="8">
        <v>81.180000000000007</v>
      </c>
      <c r="K1891" s="268">
        <v>0.3327</v>
      </c>
      <c r="L1891" s="268">
        <v>0.25380000000000003</v>
      </c>
      <c r="M1891" s="268">
        <v>2.5399999999999999E-2</v>
      </c>
      <c r="N1891" s="8">
        <v>9.94</v>
      </c>
      <c r="O1891" s="8">
        <v>1323.24</v>
      </c>
      <c r="P1891" s="268">
        <v>7.4999999999999997E-3</v>
      </c>
      <c r="Q1891" s="8">
        <v>103</v>
      </c>
      <c r="R1891" s="8" t="s">
        <v>11067</v>
      </c>
      <c r="S1891" s="8" t="s">
        <v>11068</v>
      </c>
      <c r="T1891" s="8" t="s">
        <v>11069</v>
      </c>
      <c r="U1891" s="8" t="s">
        <v>11070</v>
      </c>
      <c r="V1891" s="8" t="s">
        <v>11071</v>
      </c>
      <c r="W1891" s="8">
        <v>0</v>
      </c>
    </row>
    <row r="1892" spans="1:23" ht="28" customHeight="1" x14ac:dyDescent="0.3">
      <c r="A1892" s="308">
        <v>43448</v>
      </c>
      <c r="B1892" s="302">
        <v>989.56500000000005</v>
      </c>
      <c r="C1892" s="8">
        <v>-3.6960000000000002</v>
      </c>
      <c r="D1892" s="268">
        <v>-3.7000000000000002E-3</v>
      </c>
      <c r="E1892" s="8">
        <v>46.31</v>
      </c>
      <c r="F1892" s="8">
        <v>100.01600000000001</v>
      </c>
      <c r="G1892" s="8">
        <v>99.1</v>
      </c>
      <c r="H1892" s="8">
        <v>81.849999999999994</v>
      </c>
      <c r="I1892" s="8">
        <v>133.18</v>
      </c>
      <c r="J1892" s="8">
        <v>83.07</v>
      </c>
      <c r="K1892" s="268">
        <v>0.33160000000000001</v>
      </c>
      <c r="L1892" s="268">
        <v>0.25779999999999997</v>
      </c>
      <c r="M1892" s="268">
        <v>2.4899999999999999E-2</v>
      </c>
      <c r="N1892" s="8">
        <v>11.61</v>
      </c>
      <c r="O1892" s="8">
        <v>1323.24</v>
      </c>
      <c r="P1892" s="268">
        <v>8.8000000000000005E-3</v>
      </c>
      <c r="Q1892" s="8">
        <v>103</v>
      </c>
      <c r="R1892" s="8" t="s">
        <v>5632</v>
      </c>
      <c r="S1892" s="8" t="s">
        <v>11072</v>
      </c>
      <c r="T1892" s="8" t="s">
        <v>11073</v>
      </c>
      <c r="U1892" s="8" t="s">
        <v>11074</v>
      </c>
      <c r="V1892" s="8" t="s">
        <v>4091</v>
      </c>
      <c r="W1892" s="8">
        <v>0</v>
      </c>
    </row>
    <row r="1893" spans="1:23" ht="28" customHeight="1" x14ac:dyDescent="0.3">
      <c r="A1893" s="308">
        <v>43447</v>
      </c>
      <c r="B1893" s="302">
        <v>993.26099999999997</v>
      </c>
      <c r="C1893" s="8">
        <v>4.9329999999999998</v>
      </c>
      <c r="D1893" s="268">
        <v>5.0000000000000001E-3</v>
      </c>
      <c r="E1893" s="8">
        <v>52.58</v>
      </c>
      <c r="F1893" s="8">
        <v>100.396</v>
      </c>
      <c r="G1893" s="8">
        <v>99.3</v>
      </c>
      <c r="H1893" s="8">
        <v>83.51</v>
      </c>
      <c r="I1893" s="8">
        <v>130.71</v>
      </c>
      <c r="J1893" s="8">
        <v>66.36</v>
      </c>
      <c r="K1893" s="268">
        <v>0.30320000000000003</v>
      </c>
      <c r="L1893" s="268">
        <v>0.23069999999999999</v>
      </c>
      <c r="M1893" s="268">
        <v>2.41E-2</v>
      </c>
      <c r="N1893" s="8">
        <v>19.5</v>
      </c>
      <c r="O1893" s="8">
        <v>1323.24</v>
      </c>
      <c r="P1893" s="268">
        <v>1.47E-2</v>
      </c>
      <c r="Q1893" s="8">
        <v>103</v>
      </c>
      <c r="R1893" s="8" t="s">
        <v>11075</v>
      </c>
      <c r="S1893" s="8" t="s">
        <v>4903</v>
      </c>
      <c r="T1893" s="8" t="s">
        <v>10942</v>
      </c>
      <c r="U1893" s="8" t="s">
        <v>11076</v>
      </c>
      <c r="V1893" s="8" t="s">
        <v>11077</v>
      </c>
      <c r="W1893" s="8">
        <v>0</v>
      </c>
    </row>
    <row r="1894" spans="1:23" ht="28" customHeight="1" x14ac:dyDescent="0.3">
      <c r="A1894" s="308">
        <v>43446</v>
      </c>
      <c r="B1894" s="302">
        <v>988.32799999999997</v>
      </c>
      <c r="C1894" s="8">
        <v>0.40500000000000003</v>
      </c>
      <c r="D1894" s="268">
        <v>4.0000000000000002E-4</v>
      </c>
      <c r="E1894" s="8">
        <v>45.93</v>
      </c>
      <c r="F1894" s="8">
        <v>99.878</v>
      </c>
      <c r="G1894" s="8">
        <v>98.85</v>
      </c>
      <c r="H1894" s="8">
        <v>82.02</v>
      </c>
      <c r="I1894" s="8">
        <v>131.15</v>
      </c>
      <c r="J1894" s="8">
        <v>66.489999999999995</v>
      </c>
      <c r="K1894" s="268">
        <v>0.31269999999999998</v>
      </c>
      <c r="L1894" s="268">
        <v>0.2296</v>
      </c>
      <c r="M1894" s="268">
        <v>2.52E-2</v>
      </c>
      <c r="N1894" s="8">
        <v>12.21</v>
      </c>
      <c r="O1894" s="8">
        <v>1288.49</v>
      </c>
      <c r="P1894" s="268">
        <v>9.4999999999999998E-3</v>
      </c>
      <c r="Q1894" s="8">
        <v>102</v>
      </c>
      <c r="R1894" s="8" t="s">
        <v>6013</v>
      </c>
      <c r="S1894" s="8" t="s">
        <v>8813</v>
      </c>
      <c r="T1894" s="8" t="s">
        <v>3700</v>
      </c>
      <c r="U1894" s="8" t="s">
        <v>5855</v>
      </c>
      <c r="V1894" s="8" t="s">
        <v>8329</v>
      </c>
      <c r="W1894" s="8">
        <v>0</v>
      </c>
    </row>
    <row r="1895" spans="1:23" ht="28" customHeight="1" x14ac:dyDescent="0.3">
      <c r="A1895" s="308">
        <v>43445</v>
      </c>
      <c r="B1895" s="302">
        <v>987.923</v>
      </c>
      <c r="C1895" s="8">
        <v>-0.45300000000000001</v>
      </c>
      <c r="D1895" s="268">
        <v>-5.0000000000000001E-4</v>
      </c>
      <c r="E1895" s="8">
        <v>46.67</v>
      </c>
      <c r="F1895" s="8">
        <v>99.781999999999996</v>
      </c>
      <c r="G1895" s="8">
        <v>98.66</v>
      </c>
      <c r="H1895" s="8">
        <v>81.34</v>
      </c>
      <c r="I1895" s="8">
        <v>132.55000000000001</v>
      </c>
      <c r="J1895" s="8">
        <v>75.430000000000007</v>
      </c>
      <c r="K1895" s="268">
        <v>0.3276</v>
      </c>
      <c r="L1895" s="268">
        <v>0.25769999999999998</v>
      </c>
      <c r="M1895" s="268">
        <v>2.53E-2</v>
      </c>
      <c r="N1895" s="8">
        <v>13.88</v>
      </c>
      <c r="O1895" s="8">
        <v>1284.29</v>
      </c>
      <c r="P1895" s="268">
        <v>1.0800000000000001E-2</v>
      </c>
      <c r="Q1895" s="8">
        <v>101</v>
      </c>
      <c r="R1895" s="8" t="s">
        <v>6022</v>
      </c>
      <c r="S1895" s="8" t="s">
        <v>11078</v>
      </c>
      <c r="T1895" s="8" t="s">
        <v>11079</v>
      </c>
      <c r="U1895" s="8" t="s">
        <v>6031</v>
      </c>
      <c r="V1895" s="8" t="s">
        <v>2552</v>
      </c>
      <c r="W1895" s="8" t="s">
        <v>9247</v>
      </c>
    </row>
    <row r="1896" spans="1:23" ht="28" customHeight="1" x14ac:dyDescent="0.3">
      <c r="A1896" s="308">
        <v>43444</v>
      </c>
      <c r="B1896" s="302">
        <v>988.37599999999998</v>
      </c>
      <c r="C1896" s="8">
        <v>-4.3879999999999999</v>
      </c>
      <c r="D1896" s="268">
        <v>-4.4000000000000003E-3</v>
      </c>
      <c r="E1896" s="8">
        <v>44.29</v>
      </c>
      <c r="F1896" s="8">
        <v>99.831000000000003</v>
      </c>
      <c r="G1896" s="8">
        <v>98.594999999999999</v>
      </c>
      <c r="H1896" s="8">
        <v>79.459999999999994</v>
      </c>
      <c r="I1896" s="8">
        <v>134.13</v>
      </c>
      <c r="J1896" s="8">
        <v>80.209999999999994</v>
      </c>
      <c r="K1896" s="268">
        <v>0.34300000000000003</v>
      </c>
      <c r="L1896" s="268">
        <v>0.27879999999999999</v>
      </c>
      <c r="M1896" s="268">
        <v>2.52E-2</v>
      </c>
      <c r="N1896" s="8">
        <v>10.68</v>
      </c>
      <c r="O1896" s="8">
        <v>1261.3</v>
      </c>
      <c r="P1896" s="268">
        <v>8.5000000000000006E-3</v>
      </c>
      <c r="Q1896" s="8">
        <v>100</v>
      </c>
      <c r="R1896" s="8" t="s">
        <v>11080</v>
      </c>
      <c r="S1896" s="8" t="s">
        <v>11081</v>
      </c>
      <c r="T1896" s="8" t="s">
        <v>11082</v>
      </c>
      <c r="U1896" s="8" t="s">
        <v>7314</v>
      </c>
      <c r="V1896" s="8" t="s">
        <v>11083</v>
      </c>
      <c r="W1896" s="8">
        <v>0</v>
      </c>
    </row>
    <row r="1897" spans="1:23" ht="28" customHeight="1" x14ac:dyDescent="0.3">
      <c r="A1897" s="308">
        <v>43441</v>
      </c>
      <c r="B1897" s="302">
        <v>992.76400000000001</v>
      </c>
      <c r="C1897" s="8">
        <v>0.19500000000000001</v>
      </c>
      <c r="D1897" s="268">
        <v>2.0000000000000001E-4</v>
      </c>
      <c r="E1897" s="8">
        <v>48.67</v>
      </c>
      <c r="F1897" s="8">
        <v>100.178</v>
      </c>
      <c r="G1897" s="8">
        <v>98.84</v>
      </c>
      <c r="H1897" s="8">
        <v>79.95</v>
      </c>
      <c r="I1897" s="8">
        <v>133.41</v>
      </c>
      <c r="J1897" s="8">
        <v>75</v>
      </c>
      <c r="K1897" s="268">
        <v>0.33239999999999997</v>
      </c>
      <c r="L1897" s="268">
        <v>0.27700000000000002</v>
      </c>
      <c r="M1897" s="268">
        <v>2.4400000000000002E-2</v>
      </c>
      <c r="N1897" s="8">
        <v>8.17</v>
      </c>
      <c r="O1897" s="8">
        <v>1253.94</v>
      </c>
      <c r="P1897" s="268">
        <v>6.4999999999999997E-3</v>
      </c>
      <c r="Q1897" s="8">
        <v>97</v>
      </c>
      <c r="R1897" s="8" t="s">
        <v>7602</v>
      </c>
      <c r="S1897" s="8" t="s">
        <v>11084</v>
      </c>
      <c r="T1897" s="8" t="s">
        <v>11085</v>
      </c>
      <c r="U1897" s="8" t="s">
        <v>11086</v>
      </c>
      <c r="V1897" s="8" t="s">
        <v>2455</v>
      </c>
      <c r="W1897" s="8" t="s">
        <v>11087</v>
      </c>
    </row>
    <row r="1898" spans="1:23" ht="28" customHeight="1" x14ac:dyDescent="0.3">
      <c r="A1898" s="308">
        <v>43440</v>
      </c>
      <c r="B1898" s="302">
        <v>992.56899999999996</v>
      </c>
      <c r="C1898" s="8">
        <v>-2.5350000000000001</v>
      </c>
      <c r="D1898" s="268">
        <v>-2.5999999999999999E-3</v>
      </c>
      <c r="E1898" s="8">
        <v>48.92</v>
      </c>
      <c r="F1898" s="8">
        <v>100.206</v>
      </c>
      <c r="G1898" s="8">
        <v>98.89</v>
      </c>
      <c r="H1898" s="8">
        <v>78.22</v>
      </c>
      <c r="I1898" s="8">
        <v>133.91999999999999</v>
      </c>
      <c r="J1898" s="8">
        <v>78.8</v>
      </c>
      <c r="K1898" s="268">
        <v>0.33710000000000001</v>
      </c>
      <c r="L1898" s="268">
        <v>0.27139999999999997</v>
      </c>
      <c r="M1898" s="268">
        <v>2.4400000000000002E-2</v>
      </c>
      <c r="N1898" s="8">
        <v>13.45</v>
      </c>
      <c r="O1898" s="8">
        <v>1254.18</v>
      </c>
      <c r="P1898" s="268">
        <v>1.0699999999999999E-2</v>
      </c>
      <c r="Q1898" s="8">
        <v>98</v>
      </c>
      <c r="R1898" s="8" t="s">
        <v>3373</v>
      </c>
      <c r="S1898" s="8" t="s">
        <v>11088</v>
      </c>
      <c r="T1898" s="8" t="s">
        <v>11089</v>
      </c>
      <c r="U1898" s="8" t="s">
        <v>9284</v>
      </c>
      <c r="V1898" s="8" t="s">
        <v>11090</v>
      </c>
      <c r="W1898" s="8" t="s">
        <v>11091</v>
      </c>
    </row>
    <row r="1899" spans="1:23" ht="28" customHeight="1" x14ac:dyDescent="0.3">
      <c r="A1899" s="308">
        <v>43439</v>
      </c>
      <c r="B1899" s="302">
        <v>995.10400000000004</v>
      </c>
      <c r="C1899" s="8">
        <v>0.29699999999999999</v>
      </c>
      <c r="D1899" s="268">
        <v>2.9999999999999997E-4</v>
      </c>
      <c r="E1899" s="8">
        <v>53.06</v>
      </c>
      <c r="F1899" s="8">
        <v>100.489</v>
      </c>
      <c r="G1899" s="8">
        <v>99.239000000000004</v>
      </c>
      <c r="H1899" s="8">
        <v>80.180000000000007</v>
      </c>
      <c r="I1899" s="8">
        <v>132.08000000000001</v>
      </c>
      <c r="J1899" s="8">
        <v>68.75</v>
      </c>
      <c r="K1899" s="268">
        <v>0.31590000000000001</v>
      </c>
      <c r="L1899" s="268">
        <v>0.2339</v>
      </c>
      <c r="M1899" s="268">
        <v>2.3900000000000001E-2</v>
      </c>
      <c r="N1899" s="8">
        <v>13.41</v>
      </c>
      <c r="O1899" s="8">
        <v>1254.18</v>
      </c>
      <c r="P1899" s="268">
        <v>1.0699999999999999E-2</v>
      </c>
      <c r="Q1899" s="8">
        <v>98</v>
      </c>
      <c r="R1899" s="8" t="s">
        <v>3520</v>
      </c>
      <c r="S1899" s="8" t="s">
        <v>6439</v>
      </c>
      <c r="T1899" s="8" t="s">
        <v>11092</v>
      </c>
      <c r="U1899" s="8" t="s">
        <v>3199</v>
      </c>
      <c r="V1899" s="8" t="s">
        <v>3704</v>
      </c>
      <c r="W1899" s="8" t="s">
        <v>11093</v>
      </c>
    </row>
    <row r="1900" spans="1:23" ht="28" customHeight="1" x14ac:dyDescent="0.3">
      <c r="A1900" s="308">
        <v>43438</v>
      </c>
      <c r="B1900" s="302">
        <v>994.80700000000002</v>
      </c>
      <c r="C1900" s="8">
        <v>0.89100000000000001</v>
      </c>
      <c r="D1900" s="268">
        <v>8.9999999999999998E-4</v>
      </c>
      <c r="E1900" s="8">
        <v>50.77</v>
      </c>
      <c r="F1900" s="8">
        <v>100.456</v>
      </c>
      <c r="G1900" s="8">
        <v>99.37</v>
      </c>
      <c r="H1900" s="8">
        <v>80.66</v>
      </c>
      <c r="I1900" s="8">
        <v>131.03</v>
      </c>
      <c r="J1900" s="8">
        <v>62.01</v>
      </c>
      <c r="K1900" s="268">
        <v>0.30570000000000003</v>
      </c>
      <c r="L1900" s="268">
        <v>0.22689999999999999</v>
      </c>
      <c r="M1900" s="268">
        <v>2.4E-2</v>
      </c>
      <c r="N1900" s="8">
        <v>13.35</v>
      </c>
      <c r="O1900" s="8">
        <v>1254.18</v>
      </c>
      <c r="P1900" s="268">
        <v>1.06E-2</v>
      </c>
      <c r="Q1900" s="8">
        <v>98</v>
      </c>
      <c r="R1900" s="8" t="s">
        <v>6953</v>
      </c>
      <c r="S1900" s="8" t="s">
        <v>11003</v>
      </c>
      <c r="T1900" s="8" t="s">
        <v>11094</v>
      </c>
      <c r="U1900" s="8" t="s">
        <v>3846</v>
      </c>
      <c r="V1900" s="8" t="s">
        <v>8238</v>
      </c>
      <c r="W1900" s="8" t="s">
        <v>3597</v>
      </c>
    </row>
    <row r="1901" spans="1:23" ht="28" customHeight="1" x14ac:dyDescent="0.3">
      <c r="A1901" s="308">
        <v>43437</v>
      </c>
      <c r="B1901" s="302">
        <v>993.91600000000005</v>
      </c>
      <c r="C1901" s="8">
        <v>10.103999999999999</v>
      </c>
      <c r="D1901" s="268">
        <v>1.03E-2</v>
      </c>
      <c r="E1901" s="8">
        <v>48.48</v>
      </c>
      <c r="F1901" s="8">
        <v>100.34399999999999</v>
      </c>
      <c r="G1901" s="8">
        <v>98.91</v>
      </c>
      <c r="H1901" s="8">
        <v>80.66</v>
      </c>
      <c r="I1901" s="8">
        <v>131.58000000000001</v>
      </c>
      <c r="J1901" s="8">
        <v>70.59</v>
      </c>
      <c r="K1901" s="268">
        <v>0.31240000000000001</v>
      </c>
      <c r="L1901" s="268">
        <v>0.23219999999999999</v>
      </c>
      <c r="M1901" s="268">
        <v>2.4199999999999999E-2</v>
      </c>
      <c r="N1901" s="8">
        <v>21.61</v>
      </c>
      <c r="O1901" s="8">
        <v>1249.47</v>
      </c>
      <c r="P1901" s="268">
        <v>1.7299999999999999E-2</v>
      </c>
      <c r="Q1901" s="8">
        <v>97</v>
      </c>
      <c r="R1901" s="8" t="s">
        <v>11095</v>
      </c>
      <c r="S1901" s="8" t="s">
        <v>11096</v>
      </c>
      <c r="T1901" s="8" t="s">
        <v>11097</v>
      </c>
      <c r="U1901" s="8" t="s">
        <v>11098</v>
      </c>
      <c r="V1901" s="8" t="s">
        <v>3519</v>
      </c>
      <c r="W1901" s="8" t="s">
        <v>11099</v>
      </c>
    </row>
    <row r="1902" spans="1:23" ht="28" customHeight="1" x14ac:dyDescent="0.3">
      <c r="A1902" s="308">
        <v>43434</v>
      </c>
      <c r="B1902" s="302">
        <v>983.81200000000001</v>
      </c>
      <c r="C1902" s="8">
        <v>0.751</v>
      </c>
      <c r="D1902" s="268">
        <v>8.0000000000000004E-4</v>
      </c>
      <c r="E1902" s="8">
        <v>42.73</v>
      </c>
      <c r="F1902" s="8">
        <v>99.311000000000007</v>
      </c>
      <c r="G1902" s="8">
        <v>97.715000000000003</v>
      </c>
      <c r="H1902" s="8">
        <v>77.03</v>
      </c>
      <c r="I1902" s="8">
        <v>134.13999999999999</v>
      </c>
      <c r="J1902" s="8">
        <v>79.63</v>
      </c>
      <c r="K1902" s="268">
        <v>0.3483</v>
      </c>
      <c r="L1902" s="268">
        <v>0.2747</v>
      </c>
      <c r="M1902" s="268">
        <v>2.6100000000000002E-2</v>
      </c>
      <c r="N1902" s="8">
        <v>8.61</v>
      </c>
      <c r="O1902" s="8">
        <v>1242.51</v>
      </c>
      <c r="P1902" s="268">
        <v>6.8999999999999999E-3</v>
      </c>
      <c r="Q1902" s="8">
        <v>96</v>
      </c>
      <c r="R1902" s="8" t="s">
        <v>5778</v>
      </c>
      <c r="S1902" s="8" t="s">
        <v>6358</v>
      </c>
      <c r="T1902" s="8" t="s">
        <v>11100</v>
      </c>
      <c r="U1902" s="8" t="s">
        <v>11101</v>
      </c>
      <c r="V1902" s="8" t="s">
        <v>11102</v>
      </c>
      <c r="W1902" s="8" t="s">
        <v>11103</v>
      </c>
    </row>
    <row r="1903" spans="1:23" ht="28" customHeight="1" x14ac:dyDescent="0.3">
      <c r="A1903" s="308">
        <v>43433</v>
      </c>
      <c r="B1903" s="302">
        <v>983.06100000000004</v>
      </c>
      <c r="C1903" s="8">
        <v>-3.8780000000000001</v>
      </c>
      <c r="D1903" s="268">
        <v>-3.8999999999999998E-3</v>
      </c>
      <c r="E1903" s="8">
        <v>39.78</v>
      </c>
      <c r="F1903" s="8">
        <v>99.198999999999998</v>
      </c>
      <c r="G1903" s="8">
        <v>97.72</v>
      </c>
      <c r="H1903" s="8">
        <v>79.150000000000006</v>
      </c>
      <c r="I1903" s="8">
        <v>135.33000000000001</v>
      </c>
      <c r="J1903" s="8">
        <v>86.13</v>
      </c>
      <c r="K1903" s="268">
        <v>0.36130000000000001</v>
      </c>
      <c r="L1903" s="268">
        <v>0.29139999999999999</v>
      </c>
      <c r="M1903" s="268">
        <v>2.64E-2</v>
      </c>
      <c r="N1903" s="8">
        <v>10.44</v>
      </c>
      <c r="O1903" s="8">
        <v>1217.51</v>
      </c>
      <c r="P1903" s="268">
        <v>8.6E-3</v>
      </c>
      <c r="Q1903" s="8">
        <v>95</v>
      </c>
      <c r="R1903" s="8" t="s">
        <v>11104</v>
      </c>
      <c r="S1903" s="8" t="s">
        <v>11105</v>
      </c>
      <c r="T1903" s="8" t="s">
        <v>11106</v>
      </c>
      <c r="U1903" s="8" t="s">
        <v>6479</v>
      </c>
      <c r="V1903" s="8" t="s">
        <v>4097</v>
      </c>
      <c r="W1903" s="8">
        <v>0</v>
      </c>
    </row>
    <row r="1904" spans="1:23" ht="28" customHeight="1" x14ac:dyDescent="0.3">
      <c r="A1904" s="308">
        <v>43432</v>
      </c>
      <c r="B1904" s="302">
        <v>986.93899999999996</v>
      </c>
      <c r="C1904" s="8">
        <v>4.8259999999999996</v>
      </c>
      <c r="D1904" s="268">
        <v>4.8999999999999998E-3</v>
      </c>
      <c r="E1904" s="8">
        <v>43.78</v>
      </c>
      <c r="F1904" s="8">
        <v>99.6</v>
      </c>
      <c r="G1904" s="8">
        <v>98.3</v>
      </c>
      <c r="H1904" s="8">
        <v>79.37</v>
      </c>
      <c r="I1904" s="8">
        <v>133.13</v>
      </c>
      <c r="J1904" s="8">
        <v>74.83</v>
      </c>
      <c r="K1904" s="268">
        <v>0.33529999999999999</v>
      </c>
      <c r="L1904" s="268">
        <v>0.26989999999999997</v>
      </c>
      <c r="M1904" s="268">
        <v>2.5600000000000001E-2</v>
      </c>
      <c r="N1904" s="8">
        <v>9.51</v>
      </c>
      <c r="O1904" s="8">
        <v>1217.51</v>
      </c>
      <c r="P1904" s="268">
        <v>7.7999999999999996E-3</v>
      </c>
      <c r="Q1904" s="8">
        <v>95</v>
      </c>
      <c r="R1904" s="8" t="s">
        <v>11107</v>
      </c>
      <c r="S1904" s="8" t="s">
        <v>11108</v>
      </c>
      <c r="T1904" s="8" t="s">
        <v>11109</v>
      </c>
      <c r="U1904" s="8" t="s">
        <v>11110</v>
      </c>
      <c r="V1904" s="8" t="s">
        <v>7848</v>
      </c>
      <c r="W1904" s="8" t="s">
        <v>3568</v>
      </c>
    </row>
    <row r="1905" spans="1:23" ht="28" customHeight="1" x14ac:dyDescent="0.3">
      <c r="A1905" s="308">
        <v>43431</v>
      </c>
      <c r="B1905" s="302">
        <v>982.11300000000006</v>
      </c>
      <c r="C1905" s="8">
        <v>1.698</v>
      </c>
      <c r="D1905" s="268">
        <v>1.6999999999999999E-3</v>
      </c>
      <c r="E1905" s="8">
        <v>40</v>
      </c>
      <c r="F1905" s="8">
        <v>99.123000000000005</v>
      </c>
      <c r="G1905" s="8">
        <v>97.67</v>
      </c>
      <c r="H1905" s="8">
        <v>77.069999999999993</v>
      </c>
      <c r="I1905" s="8">
        <v>134.19</v>
      </c>
      <c r="J1905" s="8">
        <v>79.45</v>
      </c>
      <c r="K1905" s="268">
        <v>0.35060000000000002</v>
      </c>
      <c r="L1905" s="268">
        <v>0.29099999999999998</v>
      </c>
      <c r="M1905" s="268">
        <v>2.6499999999999999E-2</v>
      </c>
      <c r="N1905" s="8">
        <v>7.71</v>
      </c>
      <c r="O1905" s="8">
        <v>1217.51</v>
      </c>
      <c r="P1905" s="268">
        <v>6.3E-3</v>
      </c>
      <c r="Q1905" s="8">
        <v>95</v>
      </c>
      <c r="R1905" s="8" t="s">
        <v>11111</v>
      </c>
      <c r="S1905" s="8" t="s">
        <v>11112</v>
      </c>
      <c r="T1905" s="8" t="s">
        <v>11113</v>
      </c>
      <c r="U1905" s="8" t="s">
        <v>2491</v>
      </c>
      <c r="V1905" s="8" t="s">
        <v>11114</v>
      </c>
      <c r="W1905" s="8" t="s">
        <v>11115</v>
      </c>
    </row>
    <row r="1906" spans="1:23" ht="28" customHeight="1" x14ac:dyDescent="0.3">
      <c r="A1906" s="308">
        <v>43430</v>
      </c>
      <c r="B1906" s="302">
        <v>980.41499999999996</v>
      </c>
      <c r="C1906" s="8">
        <v>-0.17699999999999999</v>
      </c>
      <c r="D1906" s="268">
        <v>-2.0000000000000001E-4</v>
      </c>
      <c r="E1906" s="8">
        <v>33.04</v>
      </c>
      <c r="F1906" s="8">
        <v>98.924999999999997</v>
      </c>
      <c r="G1906" s="8">
        <v>97.45</v>
      </c>
      <c r="H1906" s="8">
        <v>75.459999999999994</v>
      </c>
      <c r="I1906" s="8">
        <v>135</v>
      </c>
      <c r="J1906" s="8">
        <v>81.489999999999995</v>
      </c>
      <c r="K1906" s="268">
        <v>0.36070000000000002</v>
      </c>
      <c r="L1906" s="268">
        <v>0.30049999999999999</v>
      </c>
      <c r="M1906" s="268">
        <v>2.69E-2</v>
      </c>
      <c r="N1906" s="8">
        <v>8.1300000000000008</v>
      </c>
      <c r="O1906" s="8">
        <v>1213.57</v>
      </c>
      <c r="P1906" s="268">
        <v>6.7000000000000002E-3</v>
      </c>
      <c r="Q1906" s="8">
        <v>94</v>
      </c>
      <c r="R1906" s="8" t="s">
        <v>11116</v>
      </c>
      <c r="S1906" s="8" t="s">
        <v>10905</v>
      </c>
      <c r="T1906" s="8" t="s">
        <v>11117</v>
      </c>
      <c r="U1906" s="8" t="s">
        <v>11118</v>
      </c>
      <c r="V1906" s="8" t="s">
        <v>5215</v>
      </c>
      <c r="W1906" s="8">
        <v>0</v>
      </c>
    </row>
    <row r="1907" spans="1:23" ht="28" customHeight="1" x14ac:dyDescent="0.3">
      <c r="A1907" s="308">
        <v>43427</v>
      </c>
      <c r="B1907" s="302">
        <v>980.59199999999998</v>
      </c>
      <c r="C1907" s="8">
        <v>-5.24</v>
      </c>
      <c r="D1907" s="268">
        <v>-5.3E-3</v>
      </c>
      <c r="E1907" s="8">
        <v>34.83</v>
      </c>
      <c r="F1907" s="8">
        <v>98.965999999999994</v>
      </c>
      <c r="G1907" s="8">
        <v>97.444999999999993</v>
      </c>
      <c r="H1907" s="8">
        <v>76.040000000000006</v>
      </c>
      <c r="I1907" s="8">
        <v>135.03</v>
      </c>
      <c r="J1907" s="8">
        <v>81.56</v>
      </c>
      <c r="K1907" s="268">
        <v>0.36070000000000002</v>
      </c>
      <c r="L1907" s="268">
        <v>0.28249999999999997</v>
      </c>
      <c r="M1907" s="268">
        <v>2.69E-2</v>
      </c>
      <c r="N1907" s="8">
        <v>10.49</v>
      </c>
      <c r="O1907" s="8">
        <v>1213.57</v>
      </c>
      <c r="P1907" s="268">
        <v>8.6E-3</v>
      </c>
      <c r="Q1907" s="8">
        <v>94</v>
      </c>
      <c r="R1907" s="8" t="s">
        <v>11119</v>
      </c>
      <c r="S1907" s="8" t="s">
        <v>11120</v>
      </c>
      <c r="T1907" s="8" t="s">
        <v>11121</v>
      </c>
      <c r="U1907" s="8" t="s">
        <v>10587</v>
      </c>
      <c r="V1907" s="8" t="s">
        <v>11122</v>
      </c>
      <c r="W1907" s="8" t="s">
        <v>11123</v>
      </c>
    </row>
    <row r="1908" spans="1:23" ht="28" customHeight="1" x14ac:dyDescent="0.3">
      <c r="A1908" s="308">
        <v>43426</v>
      </c>
      <c r="B1908" s="302">
        <v>985.83199999999999</v>
      </c>
      <c r="C1908" s="8">
        <v>-0.24099999999999999</v>
      </c>
      <c r="D1908" s="268">
        <v>-2.0000000000000001E-4</v>
      </c>
      <c r="E1908" s="8">
        <v>39.92</v>
      </c>
      <c r="F1908" s="8">
        <v>99.510999999999996</v>
      </c>
      <c r="G1908" s="8">
        <v>98.5</v>
      </c>
      <c r="H1908" s="8">
        <v>79.13</v>
      </c>
      <c r="I1908" s="8">
        <v>131.11000000000001</v>
      </c>
      <c r="J1908" s="8">
        <v>65.78</v>
      </c>
      <c r="K1908" s="268">
        <v>0.316</v>
      </c>
      <c r="L1908" s="268">
        <v>0.22839999999999999</v>
      </c>
      <c r="M1908" s="268">
        <v>2.5700000000000001E-2</v>
      </c>
      <c r="N1908" s="8">
        <v>8.2799999999999994</v>
      </c>
      <c r="O1908" s="8">
        <v>1213.57</v>
      </c>
      <c r="P1908" s="268">
        <v>6.7999999999999996E-3</v>
      </c>
      <c r="Q1908" s="8">
        <v>94</v>
      </c>
      <c r="R1908" s="8" t="s">
        <v>8269</v>
      </c>
      <c r="S1908" s="8" t="s">
        <v>11124</v>
      </c>
      <c r="T1908" s="8" t="s">
        <v>11125</v>
      </c>
      <c r="U1908" s="8" t="s">
        <v>5895</v>
      </c>
      <c r="V1908" s="8" t="s">
        <v>5787</v>
      </c>
      <c r="W1908" s="8" t="s">
        <v>3625</v>
      </c>
    </row>
    <row r="1909" spans="1:23" ht="28" customHeight="1" x14ac:dyDescent="0.3">
      <c r="A1909" s="308">
        <v>43425</v>
      </c>
      <c r="B1909" s="302">
        <v>986.07299999999998</v>
      </c>
      <c r="C1909" s="8">
        <v>0.66700000000000004</v>
      </c>
      <c r="D1909" s="268">
        <v>6.9999999999999999E-4</v>
      </c>
      <c r="E1909" s="8">
        <v>38.880000000000003</v>
      </c>
      <c r="F1909" s="8">
        <v>99.543999999999997</v>
      </c>
      <c r="G1909" s="8">
        <v>98.481999999999999</v>
      </c>
      <c r="H1909" s="8">
        <v>78.569999999999993</v>
      </c>
      <c r="I1909" s="8">
        <v>131.63999999999999</v>
      </c>
      <c r="J1909" s="8">
        <v>68.05</v>
      </c>
      <c r="K1909" s="268">
        <v>0.32090000000000002</v>
      </c>
      <c r="L1909" s="268">
        <v>0.2384</v>
      </c>
      <c r="M1909" s="268">
        <v>2.5600000000000001E-2</v>
      </c>
      <c r="N1909" s="8">
        <v>9.41</v>
      </c>
      <c r="O1909" s="8">
        <v>1213.57</v>
      </c>
      <c r="P1909" s="268">
        <v>7.7999999999999996E-3</v>
      </c>
      <c r="Q1909" s="8">
        <v>94</v>
      </c>
      <c r="R1909" s="8" t="s">
        <v>5940</v>
      </c>
      <c r="S1909" s="8" t="s">
        <v>11126</v>
      </c>
      <c r="T1909" s="8" t="s">
        <v>11127</v>
      </c>
      <c r="U1909" s="8" t="s">
        <v>3846</v>
      </c>
      <c r="V1909" s="8" t="s">
        <v>5804</v>
      </c>
      <c r="W1909" s="8" t="s">
        <v>11128</v>
      </c>
    </row>
    <row r="1910" spans="1:23" ht="28" customHeight="1" x14ac:dyDescent="0.3">
      <c r="A1910" s="308">
        <v>43424</v>
      </c>
      <c r="B1910" s="302">
        <v>985.40599999999995</v>
      </c>
      <c r="C1910" s="8">
        <v>-10.965999999999999</v>
      </c>
      <c r="D1910" s="268">
        <v>-1.0999999999999999E-2</v>
      </c>
      <c r="E1910" s="8">
        <v>38.47</v>
      </c>
      <c r="F1910" s="8">
        <v>99.463999999999999</v>
      </c>
      <c r="G1910" s="8">
        <v>98.54</v>
      </c>
      <c r="H1910" s="8">
        <v>79.319999999999993</v>
      </c>
      <c r="I1910" s="8">
        <v>132.31</v>
      </c>
      <c r="J1910" s="8">
        <v>69.62</v>
      </c>
      <c r="K1910" s="268">
        <v>0.32850000000000001</v>
      </c>
      <c r="L1910" s="268">
        <v>0.24790000000000001</v>
      </c>
      <c r="M1910" s="268">
        <v>2.58E-2</v>
      </c>
      <c r="N1910" s="8">
        <v>11.55</v>
      </c>
      <c r="O1910" s="8">
        <v>1213.57</v>
      </c>
      <c r="P1910" s="268">
        <v>9.4999999999999998E-3</v>
      </c>
      <c r="Q1910" s="8">
        <v>94</v>
      </c>
      <c r="R1910" s="8" t="s">
        <v>11129</v>
      </c>
      <c r="S1910" s="8" t="s">
        <v>11130</v>
      </c>
      <c r="T1910" s="8" t="s">
        <v>11131</v>
      </c>
      <c r="U1910" s="8" t="s">
        <v>11132</v>
      </c>
      <c r="V1910" s="8" t="s">
        <v>11133</v>
      </c>
      <c r="W1910" s="8">
        <v>0</v>
      </c>
    </row>
    <row r="1911" spans="1:23" ht="28" customHeight="1" x14ac:dyDescent="0.3">
      <c r="A1911" s="308">
        <v>43423</v>
      </c>
      <c r="B1911" s="302">
        <v>996.37199999999996</v>
      </c>
      <c r="C1911" s="8">
        <v>0.90800000000000003</v>
      </c>
      <c r="D1911" s="268">
        <v>8.9999999999999998E-4</v>
      </c>
      <c r="E1911" s="8">
        <v>45.14</v>
      </c>
      <c r="F1911" s="8">
        <v>100.587</v>
      </c>
      <c r="G1911" s="8">
        <v>99.361000000000004</v>
      </c>
      <c r="H1911" s="8">
        <v>82.2</v>
      </c>
      <c r="I1911" s="8">
        <v>130.56</v>
      </c>
      <c r="J1911" s="8">
        <v>60.33</v>
      </c>
      <c r="K1911" s="268">
        <v>0.29970000000000002</v>
      </c>
      <c r="L1911" s="268">
        <v>0.22689999999999999</v>
      </c>
      <c r="M1911" s="268">
        <v>2.3400000000000001E-2</v>
      </c>
      <c r="N1911" s="8">
        <v>19.43</v>
      </c>
      <c r="O1911" s="8">
        <v>1213.57</v>
      </c>
      <c r="P1911" s="268">
        <v>1.6E-2</v>
      </c>
      <c r="Q1911" s="8">
        <v>94</v>
      </c>
      <c r="R1911" s="8" t="s">
        <v>3353</v>
      </c>
      <c r="S1911" s="8" t="s">
        <v>6916</v>
      </c>
      <c r="T1911" s="8" t="s">
        <v>11134</v>
      </c>
      <c r="U1911" s="8" t="s">
        <v>2403</v>
      </c>
      <c r="V1911" s="8" t="s">
        <v>11135</v>
      </c>
      <c r="W1911" s="8" t="s">
        <v>3591</v>
      </c>
    </row>
    <row r="1912" spans="1:23" ht="28" customHeight="1" x14ac:dyDescent="0.3">
      <c r="A1912" s="308">
        <v>43420</v>
      </c>
      <c r="B1912" s="302">
        <v>995.46400000000006</v>
      </c>
      <c r="C1912" s="8">
        <v>4.7729999999999997</v>
      </c>
      <c r="D1912" s="268">
        <v>4.7999999999999996E-3</v>
      </c>
      <c r="E1912" s="8">
        <v>45.62</v>
      </c>
      <c r="F1912" s="8">
        <v>100.5</v>
      </c>
      <c r="G1912" s="8">
        <v>99.18</v>
      </c>
      <c r="H1912" s="8">
        <v>81.489999999999995</v>
      </c>
      <c r="I1912" s="8">
        <v>130.88999999999999</v>
      </c>
      <c r="J1912" s="8">
        <v>63.17</v>
      </c>
      <c r="K1912" s="268">
        <v>0.3039</v>
      </c>
      <c r="L1912" s="268">
        <v>0.2387</v>
      </c>
      <c r="M1912" s="268">
        <v>2.3599999999999999E-2</v>
      </c>
      <c r="N1912" s="8">
        <v>20.71</v>
      </c>
      <c r="O1912" s="8">
        <v>1213.57</v>
      </c>
      <c r="P1912" s="268">
        <v>1.7100000000000001E-2</v>
      </c>
      <c r="Q1912" s="8">
        <v>94</v>
      </c>
      <c r="R1912" s="8" t="s">
        <v>11136</v>
      </c>
      <c r="S1912" s="8" t="s">
        <v>11137</v>
      </c>
      <c r="T1912" s="8" t="s">
        <v>11138</v>
      </c>
      <c r="U1912" s="8" t="s">
        <v>2950</v>
      </c>
      <c r="V1912" s="8" t="s">
        <v>8273</v>
      </c>
      <c r="W1912" s="8" t="s">
        <v>11139</v>
      </c>
    </row>
    <row r="1913" spans="1:23" ht="28" customHeight="1" x14ac:dyDescent="0.3">
      <c r="A1913" s="308">
        <v>43419</v>
      </c>
      <c r="B1913" s="302">
        <v>990.69100000000003</v>
      </c>
      <c r="C1913" s="8">
        <v>8.1869999999999994</v>
      </c>
      <c r="D1913" s="268">
        <v>8.3000000000000001E-3</v>
      </c>
      <c r="E1913" s="8">
        <v>42.75</v>
      </c>
      <c r="F1913" s="8">
        <v>100.021</v>
      </c>
      <c r="G1913" s="8">
        <v>98.204999999999998</v>
      </c>
      <c r="H1913" s="8">
        <v>79.52</v>
      </c>
      <c r="I1913" s="8">
        <v>131.35</v>
      </c>
      <c r="J1913" s="8">
        <v>64.739999999999995</v>
      </c>
      <c r="K1913" s="268">
        <v>0.31330000000000002</v>
      </c>
      <c r="L1913" s="268">
        <v>0.25519999999999998</v>
      </c>
      <c r="M1913" s="268">
        <v>2.46E-2</v>
      </c>
      <c r="N1913" s="8">
        <v>19.13</v>
      </c>
      <c r="O1913" s="8">
        <v>1213.57</v>
      </c>
      <c r="P1913" s="268">
        <v>1.5800000000000002E-2</v>
      </c>
      <c r="Q1913" s="8">
        <v>94</v>
      </c>
      <c r="R1913" s="8" t="s">
        <v>11140</v>
      </c>
      <c r="S1913" s="8" t="s">
        <v>11141</v>
      </c>
      <c r="T1913" s="8" t="s">
        <v>11142</v>
      </c>
      <c r="U1913" s="8" t="s">
        <v>11143</v>
      </c>
      <c r="V1913" s="8" t="s">
        <v>11144</v>
      </c>
      <c r="W1913" s="8">
        <v>0</v>
      </c>
    </row>
    <row r="1914" spans="1:23" ht="28" customHeight="1" x14ac:dyDescent="0.3">
      <c r="A1914" s="308">
        <v>43418</v>
      </c>
      <c r="B1914" s="302">
        <v>982.50400000000002</v>
      </c>
      <c r="C1914" s="8">
        <v>3.274</v>
      </c>
      <c r="D1914" s="268">
        <v>3.3E-3</v>
      </c>
      <c r="E1914" s="8">
        <v>36.799999999999997</v>
      </c>
      <c r="F1914" s="8">
        <v>99.204999999999998</v>
      </c>
      <c r="G1914" s="8">
        <v>97.94</v>
      </c>
      <c r="H1914" s="8">
        <v>77.86</v>
      </c>
      <c r="I1914" s="8">
        <v>131.96</v>
      </c>
      <c r="J1914" s="8">
        <v>68.95</v>
      </c>
      <c r="K1914" s="268">
        <v>0.32750000000000001</v>
      </c>
      <c r="L1914" s="268">
        <v>0.25869999999999999</v>
      </c>
      <c r="M1914" s="268">
        <v>2.63E-2</v>
      </c>
      <c r="N1914" s="8">
        <v>23.52</v>
      </c>
      <c r="O1914" s="8">
        <v>1213.57</v>
      </c>
      <c r="P1914" s="268">
        <v>1.9400000000000001E-2</v>
      </c>
      <c r="Q1914" s="8">
        <v>94</v>
      </c>
      <c r="R1914" s="8" t="s">
        <v>11145</v>
      </c>
      <c r="S1914" s="8" t="s">
        <v>11146</v>
      </c>
      <c r="T1914" s="8" t="s">
        <v>11147</v>
      </c>
      <c r="U1914" s="8" t="s">
        <v>3768</v>
      </c>
      <c r="V1914" s="8" t="s">
        <v>11148</v>
      </c>
      <c r="W1914" s="8">
        <v>0</v>
      </c>
    </row>
    <row r="1915" spans="1:23" ht="28" customHeight="1" x14ac:dyDescent="0.3">
      <c r="A1915" s="308">
        <v>43417</v>
      </c>
      <c r="B1915" s="302">
        <v>979.23</v>
      </c>
      <c r="C1915" s="8">
        <v>5.24</v>
      </c>
      <c r="D1915" s="268">
        <v>5.4000000000000003E-3</v>
      </c>
      <c r="E1915" s="8">
        <v>34.85</v>
      </c>
      <c r="F1915" s="8">
        <v>98.89</v>
      </c>
      <c r="G1915" s="8">
        <v>97.206000000000003</v>
      </c>
      <c r="H1915" s="8">
        <v>78.959999999999994</v>
      </c>
      <c r="I1915" s="8">
        <v>131.03</v>
      </c>
      <c r="J1915" s="8">
        <v>68.23</v>
      </c>
      <c r="K1915" s="268">
        <v>0.32140000000000002</v>
      </c>
      <c r="L1915" s="268">
        <v>0.25230000000000002</v>
      </c>
      <c r="M1915" s="268">
        <v>2.7E-2</v>
      </c>
      <c r="N1915" s="8">
        <v>13.94</v>
      </c>
      <c r="O1915" s="8">
        <v>1213.57</v>
      </c>
      <c r="P1915" s="268">
        <v>1.15E-2</v>
      </c>
      <c r="Q1915" s="8">
        <v>94</v>
      </c>
      <c r="R1915" s="8" t="s">
        <v>10296</v>
      </c>
      <c r="S1915" s="8" t="s">
        <v>11149</v>
      </c>
      <c r="T1915" s="8" t="s">
        <v>11150</v>
      </c>
      <c r="U1915" s="8" t="s">
        <v>11151</v>
      </c>
      <c r="V1915" s="8" t="s">
        <v>5195</v>
      </c>
      <c r="W1915" s="8">
        <v>0</v>
      </c>
    </row>
    <row r="1916" spans="1:23" ht="28" customHeight="1" x14ac:dyDescent="0.3">
      <c r="A1916" s="308">
        <v>43416</v>
      </c>
      <c r="B1916" s="302">
        <v>973.99</v>
      </c>
      <c r="C1916" s="8">
        <v>5.7220000000000004</v>
      </c>
      <c r="D1916" s="268">
        <v>5.8999999999999999E-3</v>
      </c>
      <c r="E1916" s="8">
        <v>29.85</v>
      </c>
      <c r="F1916" s="8">
        <v>98.367999999999995</v>
      </c>
      <c r="G1916" s="8">
        <v>96.671000000000006</v>
      </c>
      <c r="H1916" s="8">
        <v>77.31</v>
      </c>
      <c r="I1916" s="8">
        <v>132.07</v>
      </c>
      <c r="J1916" s="8">
        <v>70.56</v>
      </c>
      <c r="K1916" s="268">
        <v>0.33700000000000002</v>
      </c>
      <c r="L1916" s="268">
        <v>0.2636</v>
      </c>
      <c r="M1916" s="268">
        <v>2.81E-2</v>
      </c>
      <c r="N1916" s="8">
        <v>10.63</v>
      </c>
      <c r="O1916" s="8">
        <v>1213.57</v>
      </c>
      <c r="P1916" s="268">
        <v>8.8000000000000005E-3</v>
      </c>
      <c r="Q1916" s="8">
        <v>94</v>
      </c>
      <c r="R1916" s="8" t="s">
        <v>11152</v>
      </c>
      <c r="S1916" s="8" t="s">
        <v>11153</v>
      </c>
      <c r="T1916" s="8" t="s">
        <v>11154</v>
      </c>
      <c r="U1916" s="8" t="s">
        <v>2559</v>
      </c>
      <c r="V1916" s="8" t="s">
        <v>11155</v>
      </c>
      <c r="W1916" s="8">
        <v>0</v>
      </c>
    </row>
    <row r="1917" spans="1:23" ht="28" customHeight="1" x14ac:dyDescent="0.3">
      <c r="A1917" s="308">
        <v>43413</v>
      </c>
      <c r="B1917" s="302">
        <v>968.26800000000003</v>
      </c>
      <c r="C1917" s="8">
        <v>-3.5790000000000002</v>
      </c>
      <c r="D1917" s="268">
        <v>-3.7000000000000002E-3</v>
      </c>
      <c r="E1917" s="8">
        <v>24.66</v>
      </c>
      <c r="F1917" s="8">
        <v>97.733999999999995</v>
      </c>
      <c r="G1917" s="8">
        <v>96.2</v>
      </c>
      <c r="H1917" s="8">
        <v>75.27</v>
      </c>
      <c r="I1917" s="8">
        <v>134.87</v>
      </c>
      <c r="J1917" s="8">
        <v>79.64</v>
      </c>
      <c r="K1917" s="268">
        <v>0.37130000000000002</v>
      </c>
      <c r="L1917" s="268">
        <v>0.28839999999999999</v>
      </c>
      <c r="M1917" s="268">
        <v>2.9399999999999999E-2</v>
      </c>
      <c r="N1917" s="8">
        <v>8.33</v>
      </c>
      <c r="O1917" s="8">
        <v>1205.05</v>
      </c>
      <c r="P1917" s="268">
        <v>6.8999999999999999E-3</v>
      </c>
      <c r="Q1917" s="8">
        <v>93</v>
      </c>
      <c r="R1917" s="8" t="s">
        <v>11156</v>
      </c>
      <c r="S1917" s="8" t="s">
        <v>11157</v>
      </c>
      <c r="T1917" s="8" t="s">
        <v>11158</v>
      </c>
      <c r="U1917" s="8" t="s">
        <v>8981</v>
      </c>
      <c r="V1917" s="8" t="s">
        <v>11159</v>
      </c>
      <c r="W1917" s="8">
        <v>0</v>
      </c>
    </row>
    <row r="1918" spans="1:23" ht="28" customHeight="1" x14ac:dyDescent="0.3">
      <c r="A1918" s="308">
        <v>43412</v>
      </c>
      <c r="B1918" s="302">
        <v>971.84699999999998</v>
      </c>
      <c r="C1918" s="8">
        <v>-1.119</v>
      </c>
      <c r="D1918" s="268">
        <v>-1.1999999999999999E-3</v>
      </c>
      <c r="E1918" s="8">
        <v>25.22</v>
      </c>
      <c r="F1918" s="8">
        <v>98.15</v>
      </c>
      <c r="G1918" s="8">
        <v>96.352999999999994</v>
      </c>
      <c r="H1918" s="8">
        <v>75.61</v>
      </c>
      <c r="I1918" s="8">
        <v>135.07</v>
      </c>
      <c r="J1918" s="8">
        <v>81.260000000000005</v>
      </c>
      <c r="K1918" s="268">
        <v>0.36919999999999997</v>
      </c>
      <c r="L1918" s="268">
        <v>0.30070000000000002</v>
      </c>
      <c r="M1918" s="268">
        <v>2.86E-2</v>
      </c>
      <c r="N1918" s="8">
        <v>7.87</v>
      </c>
      <c r="O1918" s="8">
        <v>1205.05</v>
      </c>
      <c r="P1918" s="268">
        <v>6.4999999999999997E-3</v>
      </c>
      <c r="Q1918" s="8">
        <v>93</v>
      </c>
      <c r="R1918" s="8" t="s">
        <v>11160</v>
      </c>
      <c r="S1918" s="8" t="s">
        <v>11161</v>
      </c>
      <c r="T1918" s="8" t="s">
        <v>11162</v>
      </c>
      <c r="U1918" s="8" t="s">
        <v>5752</v>
      </c>
      <c r="V1918" s="8" t="s">
        <v>11163</v>
      </c>
      <c r="W1918" s="8" t="s">
        <v>11164</v>
      </c>
    </row>
    <row r="1919" spans="1:23" ht="28" customHeight="1" x14ac:dyDescent="0.3">
      <c r="A1919" s="308">
        <v>43411</v>
      </c>
      <c r="B1919" s="302">
        <v>972.96600000000001</v>
      </c>
      <c r="C1919" s="8">
        <v>0.16900000000000001</v>
      </c>
      <c r="D1919" s="268">
        <v>2.0000000000000001E-4</v>
      </c>
      <c r="E1919" s="8">
        <v>27.07</v>
      </c>
      <c r="F1919" s="8">
        <v>98.263000000000005</v>
      </c>
      <c r="G1919" s="8">
        <v>96.6</v>
      </c>
      <c r="H1919" s="8">
        <v>76.53</v>
      </c>
      <c r="I1919" s="8">
        <v>134.66999999999999</v>
      </c>
      <c r="J1919" s="8">
        <v>76.790000000000006</v>
      </c>
      <c r="K1919" s="268">
        <v>0.36409999999999998</v>
      </c>
      <c r="L1919" s="268">
        <v>0.29089999999999999</v>
      </c>
      <c r="M1919" s="268">
        <v>2.8400000000000002E-2</v>
      </c>
      <c r="N1919" s="8">
        <v>7.72</v>
      </c>
      <c r="O1919" s="8">
        <v>1205.05</v>
      </c>
      <c r="P1919" s="268">
        <v>6.4000000000000003E-3</v>
      </c>
      <c r="Q1919" s="8">
        <v>93</v>
      </c>
      <c r="R1919" s="8" t="s">
        <v>11165</v>
      </c>
      <c r="S1919" s="8" t="s">
        <v>11166</v>
      </c>
      <c r="T1919" s="8" t="s">
        <v>11167</v>
      </c>
      <c r="U1919" s="8" t="s">
        <v>11168</v>
      </c>
      <c r="V1919" s="8" t="s">
        <v>3538</v>
      </c>
      <c r="W1919" s="8" t="s">
        <v>11169</v>
      </c>
    </row>
    <row r="1920" spans="1:23" ht="28" customHeight="1" x14ac:dyDescent="0.3">
      <c r="A1920" s="308">
        <v>43410</v>
      </c>
      <c r="B1920" s="302">
        <v>972.79700000000003</v>
      </c>
      <c r="C1920" s="8">
        <v>-3.2080000000000002</v>
      </c>
      <c r="D1920" s="268">
        <v>-3.3E-3</v>
      </c>
      <c r="E1920" s="8">
        <v>26.72</v>
      </c>
      <c r="F1920" s="8">
        <v>98.260999999999996</v>
      </c>
      <c r="G1920" s="8">
        <v>96.3</v>
      </c>
      <c r="H1920" s="8">
        <v>76.02</v>
      </c>
      <c r="I1920" s="8">
        <v>134.16999999999999</v>
      </c>
      <c r="J1920" s="8">
        <v>78.13</v>
      </c>
      <c r="K1920" s="268">
        <v>0.35909999999999997</v>
      </c>
      <c r="L1920" s="268">
        <v>0.27950000000000003</v>
      </c>
      <c r="M1920" s="268">
        <v>2.8400000000000002E-2</v>
      </c>
      <c r="N1920" s="8">
        <v>9.5299999999999994</v>
      </c>
      <c r="O1920" s="8">
        <v>1205.05</v>
      </c>
      <c r="P1920" s="268">
        <v>7.9000000000000008E-3</v>
      </c>
      <c r="Q1920" s="8">
        <v>93</v>
      </c>
      <c r="R1920" s="8" t="s">
        <v>2811</v>
      </c>
      <c r="S1920" s="8" t="s">
        <v>11170</v>
      </c>
      <c r="T1920" s="8" t="s">
        <v>11171</v>
      </c>
      <c r="U1920" s="8" t="s">
        <v>3181</v>
      </c>
      <c r="V1920" s="8" t="s">
        <v>3693</v>
      </c>
      <c r="W1920" s="8" t="s">
        <v>11172</v>
      </c>
    </row>
    <row r="1921" spans="1:23" ht="28" customHeight="1" x14ac:dyDescent="0.3">
      <c r="A1921" s="308">
        <v>43409</v>
      </c>
      <c r="B1921" s="302">
        <v>976.005</v>
      </c>
      <c r="C1921" s="8">
        <v>3.1459999999999999</v>
      </c>
      <c r="D1921" s="268">
        <v>3.2000000000000002E-3</v>
      </c>
      <c r="E1921" s="8">
        <v>30.77</v>
      </c>
      <c r="F1921" s="8">
        <v>98.587000000000003</v>
      </c>
      <c r="G1921" s="8">
        <v>96.78</v>
      </c>
      <c r="H1921" s="8">
        <v>75.849999999999994</v>
      </c>
      <c r="I1921" s="8">
        <v>135.25</v>
      </c>
      <c r="J1921" s="8">
        <v>77.42</v>
      </c>
      <c r="K1921" s="268">
        <v>0.36670000000000003</v>
      </c>
      <c r="L1921" s="268">
        <v>0.28589999999999999</v>
      </c>
      <c r="M1921" s="268">
        <v>2.7699999999999999E-2</v>
      </c>
      <c r="N1921" s="8">
        <v>14.41</v>
      </c>
      <c r="O1921" s="8">
        <v>1205.05</v>
      </c>
      <c r="P1921" s="268">
        <v>1.2E-2</v>
      </c>
      <c r="Q1921" s="8">
        <v>93</v>
      </c>
      <c r="R1921" s="8" t="s">
        <v>11173</v>
      </c>
      <c r="S1921" s="8" t="s">
        <v>11174</v>
      </c>
      <c r="T1921" s="8" t="s">
        <v>11175</v>
      </c>
      <c r="U1921" s="8" t="s">
        <v>8096</v>
      </c>
      <c r="V1921" s="8" t="s">
        <v>11176</v>
      </c>
      <c r="W1921" s="8">
        <v>0</v>
      </c>
    </row>
    <row r="1922" spans="1:23" ht="28" customHeight="1" x14ac:dyDescent="0.3">
      <c r="A1922" s="308">
        <v>43406</v>
      </c>
      <c r="B1922" s="302">
        <v>972.85900000000004</v>
      </c>
      <c r="C1922" s="8">
        <v>12.423</v>
      </c>
      <c r="D1922" s="268">
        <v>1.29E-2</v>
      </c>
      <c r="E1922" s="8">
        <v>28.03</v>
      </c>
      <c r="F1922" s="8">
        <v>98.313000000000002</v>
      </c>
      <c r="G1922" s="8">
        <v>96.399000000000001</v>
      </c>
      <c r="H1922" s="8">
        <v>75.83</v>
      </c>
      <c r="I1922" s="8">
        <v>135.24</v>
      </c>
      <c r="J1922" s="8">
        <v>79.25</v>
      </c>
      <c r="K1922" s="268">
        <v>0.36919999999999997</v>
      </c>
      <c r="L1922" s="268">
        <v>0.28549999999999998</v>
      </c>
      <c r="M1922" s="268">
        <v>2.8299999999999999E-2</v>
      </c>
      <c r="N1922" s="8">
        <v>22.05</v>
      </c>
      <c r="O1922" s="8">
        <v>1205.05</v>
      </c>
      <c r="P1922" s="268">
        <v>1.83E-2</v>
      </c>
      <c r="Q1922" s="8">
        <v>93</v>
      </c>
      <c r="R1922" s="8" t="s">
        <v>11177</v>
      </c>
      <c r="S1922" s="8" t="s">
        <v>11178</v>
      </c>
      <c r="T1922" s="8" t="s">
        <v>11179</v>
      </c>
      <c r="U1922" s="8" t="s">
        <v>11180</v>
      </c>
      <c r="V1922" s="8" t="s">
        <v>11181</v>
      </c>
      <c r="W1922" s="8" t="s">
        <v>11182</v>
      </c>
    </row>
    <row r="1923" spans="1:23" ht="28" customHeight="1" x14ac:dyDescent="0.3">
      <c r="A1923" s="308">
        <v>43405</v>
      </c>
      <c r="B1923" s="302">
        <v>960.43600000000004</v>
      </c>
      <c r="C1923" s="8">
        <v>3.169</v>
      </c>
      <c r="D1923" s="268">
        <v>3.3E-3</v>
      </c>
      <c r="E1923" s="8">
        <v>18.920000000000002</v>
      </c>
      <c r="F1923" s="8">
        <v>97.052000000000007</v>
      </c>
      <c r="G1923" s="8">
        <v>95.25</v>
      </c>
      <c r="H1923" s="8">
        <v>73.48</v>
      </c>
      <c r="I1923" s="8">
        <v>136.94</v>
      </c>
      <c r="J1923" s="8">
        <v>86.39</v>
      </c>
      <c r="K1923" s="268">
        <v>0.39879999999999999</v>
      </c>
      <c r="L1923" s="268">
        <v>0.31480000000000002</v>
      </c>
      <c r="M1923" s="268">
        <v>3.1E-2</v>
      </c>
      <c r="N1923" s="8">
        <v>11.91</v>
      </c>
      <c r="O1923" s="8">
        <v>1205.05</v>
      </c>
      <c r="P1923" s="268">
        <v>9.9000000000000008E-3</v>
      </c>
      <c r="Q1923" s="8">
        <v>93</v>
      </c>
      <c r="R1923" s="8" t="s">
        <v>11183</v>
      </c>
      <c r="S1923" s="8" t="s">
        <v>11184</v>
      </c>
      <c r="T1923" s="8" t="s">
        <v>11185</v>
      </c>
      <c r="U1923" s="8" t="s">
        <v>2423</v>
      </c>
      <c r="V1923" s="8" t="s">
        <v>11186</v>
      </c>
      <c r="W1923" s="8" t="s">
        <v>3662</v>
      </c>
    </row>
    <row r="1924" spans="1:23" ht="28" customHeight="1" x14ac:dyDescent="0.3">
      <c r="A1924" s="308">
        <v>43404</v>
      </c>
      <c r="B1924" s="302">
        <v>957.26700000000005</v>
      </c>
      <c r="C1924" s="8">
        <v>3.5019999999999998</v>
      </c>
      <c r="D1924" s="268">
        <v>3.7000000000000002E-3</v>
      </c>
      <c r="E1924" s="8">
        <v>14.73</v>
      </c>
      <c r="F1924" s="8">
        <v>96.731999999999999</v>
      </c>
      <c r="G1924" s="8">
        <v>94.888000000000005</v>
      </c>
      <c r="H1924" s="8">
        <v>73.78</v>
      </c>
      <c r="I1924" s="8">
        <v>137.08000000000001</v>
      </c>
      <c r="J1924" s="8">
        <v>86.58</v>
      </c>
      <c r="K1924" s="268">
        <v>0.40350000000000003</v>
      </c>
      <c r="L1924" s="268">
        <v>0.31609999999999999</v>
      </c>
      <c r="M1924" s="268">
        <v>3.1699999999999999E-2</v>
      </c>
      <c r="N1924" s="8">
        <v>10.38</v>
      </c>
      <c r="O1924" s="8">
        <v>1205.05</v>
      </c>
      <c r="P1924" s="268">
        <v>8.6E-3</v>
      </c>
      <c r="Q1924" s="8">
        <v>93</v>
      </c>
      <c r="R1924" s="8" t="s">
        <v>11187</v>
      </c>
      <c r="S1924" s="8" t="s">
        <v>11188</v>
      </c>
      <c r="T1924" s="8" t="s">
        <v>11189</v>
      </c>
      <c r="U1924" s="8" t="s">
        <v>11190</v>
      </c>
      <c r="V1924" s="8" t="s">
        <v>8243</v>
      </c>
      <c r="W1924" s="8">
        <v>0</v>
      </c>
    </row>
    <row r="1925" spans="1:23" ht="28" customHeight="1" x14ac:dyDescent="0.3">
      <c r="A1925" s="308">
        <v>43403</v>
      </c>
      <c r="B1925" s="302">
        <v>953.76499999999999</v>
      </c>
      <c r="C1925" s="8">
        <v>1.49</v>
      </c>
      <c r="D1925" s="268">
        <v>1.6000000000000001E-3</v>
      </c>
      <c r="E1925" s="8">
        <v>13.49</v>
      </c>
      <c r="F1925" s="8">
        <v>96.375</v>
      </c>
      <c r="G1925" s="8">
        <v>94.49</v>
      </c>
      <c r="H1925" s="8">
        <v>72.150000000000006</v>
      </c>
      <c r="I1925" s="8">
        <v>138.25</v>
      </c>
      <c r="J1925" s="8">
        <v>91.93</v>
      </c>
      <c r="K1925" s="268">
        <v>0.41880000000000001</v>
      </c>
      <c r="L1925" s="268">
        <v>0.33539999999999998</v>
      </c>
      <c r="M1925" s="268">
        <v>3.2500000000000001E-2</v>
      </c>
      <c r="N1925" s="8">
        <v>13.1</v>
      </c>
      <c r="O1925" s="8">
        <v>1205.05</v>
      </c>
      <c r="P1925" s="268">
        <v>1.09E-2</v>
      </c>
      <c r="Q1925" s="8">
        <v>93</v>
      </c>
      <c r="R1925" s="8" t="s">
        <v>7232</v>
      </c>
      <c r="S1925" s="8" t="s">
        <v>11191</v>
      </c>
      <c r="T1925" s="8" t="s">
        <v>11192</v>
      </c>
      <c r="U1925" s="8" t="s">
        <v>6794</v>
      </c>
      <c r="V1925" s="8" t="s">
        <v>11193</v>
      </c>
      <c r="W1925" s="8">
        <v>0</v>
      </c>
    </row>
    <row r="1926" spans="1:23" ht="28" customHeight="1" x14ac:dyDescent="0.3">
      <c r="A1926" s="308">
        <v>43402</v>
      </c>
      <c r="B1926" s="302">
        <v>952.27499999999998</v>
      </c>
      <c r="C1926" s="8">
        <v>-1.948</v>
      </c>
      <c r="D1926" s="268">
        <v>-2E-3</v>
      </c>
      <c r="E1926" s="8">
        <v>10.53</v>
      </c>
      <c r="F1926" s="8">
        <v>96.222999999999999</v>
      </c>
      <c r="G1926" s="8">
        <v>94.45</v>
      </c>
      <c r="H1926" s="8">
        <v>71.14</v>
      </c>
      <c r="I1926" s="8">
        <v>139.55000000000001</v>
      </c>
      <c r="J1926" s="8">
        <v>93.07</v>
      </c>
      <c r="K1926" s="268">
        <v>0.43330000000000002</v>
      </c>
      <c r="L1926" s="268">
        <v>0.33889999999999998</v>
      </c>
      <c r="M1926" s="268">
        <v>3.27E-2</v>
      </c>
      <c r="N1926" s="8">
        <v>7.75</v>
      </c>
      <c r="O1926" s="8">
        <v>1205.05</v>
      </c>
      <c r="P1926" s="268">
        <v>6.4000000000000003E-3</v>
      </c>
      <c r="Q1926" s="8">
        <v>93</v>
      </c>
      <c r="R1926" s="8" t="s">
        <v>11194</v>
      </c>
      <c r="S1926" s="8" t="s">
        <v>11195</v>
      </c>
      <c r="T1926" s="8" t="s">
        <v>11196</v>
      </c>
      <c r="U1926" s="8" t="s">
        <v>7032</v>
      </c>
      <c r="V1926" s="8" t="s">
        <v>11197</v>
      </c>
      <c r="W1926" s="8">
        <v>0</v>
      </c>
    </row>
    <row r="1927" spans="1:23" ht="28" customHeight="1" x14ac:dyDescent="0.3">
      <c r="A1927" s="308">
        <v>43399</v>
      </c>
      <c r="B1927" s="302">
        <v>954.22299999999996</v>
      </c>
      <c r="C1927" s="8">
        <v>3.0059999999999998</v>
      </c>
      <c r="D1927" s="268">
        <v>3.2000000000000002E-3</v>
      </c>
      <c r="E1927" s="8">
        <v>11.55</v>
      </c>
      <c r="F1927" s="8">
        <v>96.566999999999993</v>
      </c>
      <c r="G1927" s="8">
        <v>95.001999999999995</v>
      </c>
      <c r="H1927" s="8">
        <v>73.33</v>
      </c>
      <c r="I1927" s="8">
        <v>137.44999999999999</v>
      </c>
      <c r="J1927" s="8">
        <v>89.66</v>
      </c>
      <c r="K1927" s="268">
        <v>0.4088</v>
      </c>
      <c r="L1927" s="268">
        <v>0.31630000000000003</v>
      </c>
      <c r="M1927" s="268">
        <v>3.2000000000000001E-2</v>
      </c>
      <c r="N1927" s="8">
        <v>8.5</v>
      </c>
      <c r="O1927" s="8">
        <v>1202.01</v>
      </c>
      <c r="P1927" s="268">
        <v>7.1000000000000004E-3</v>
      </c>
      <c r="Q1927" s="8">
        <v>92</v>
      </c>
      <c r="R1927" s="8" t="s">
        <v>11198</v>
      </c>
      <c r="S1927" s="8" t="s">
        <v>3753</v>
      </c>
      <c r="T1927" s="8" t="s">
        <v>5493</v>
      </c>
      <c r="U1927" s="8" t="s">
        <v>11199</v>
      </c>
      <c r="V1927" s="8" t="s">
        <v>2407</v>
      </c>
      <c r="W1927" s="8">
        <v>0</v>
      </c>
    </row>
    <row r="1928" spans="1:23" ht="28" customHeight="1" x14ac:dyDescent="0.3">
      <c r="A1928" s="308">
        <v>43398</v>
      </c>
      <c r="B1928" s="302">
        <v>951.21699999999998</v>
      </c>
      <c r="C1928" s="8">
        <v>-1.56</v>
      </c>
      <c r="D1928" s="268">
        <v>-1.6000000000000001E-3</v>
      </c>
      <c r="E1928" s="8">
        <v>8.8800000000000008</v>
      </c>
      <c r="F1928" s="8">
        <v>96.3</v>
      </c>
      <c r="G1928" s="8">
        <v>94.51</v>
      </c>
      <c r="H1928" s="8">
        <v>72.790000000000006</v>
      </c>
      <c r="I1928" s="8">
        <v>136.91</v>
      </c>
      <c r="J1928" s="8">
        <v>90.62</v>
      </c>
      <c r="K1928" s="268">
        <v>0.40610000000000002</v>
      </c>
      <c r="L1928" s="268">
        <v>0.31430000000000002</v>
      </c>
      <c r="M1928" s="268">
        <v>3.27E-2</v>
      </c>
      <c r="N1928" s="8">
        <v>10.73</v>
      </c>
      <c r="O1928" s="8">
        <v>1202.01</v>
      </c>
      <c r="P1928" s="268">
        <v>8.8999999999999999E-3</v>
      </c>
      <c r="Q1928" s="8">
        <v>92</v>
      </c>
      <c r="R1928" s="8" t="s">
        <v>11200</v>
      </c>
      <c r="S1928" s="8" t="s">
        <v>11042</v>
      </c>
      <c r="T1928" s="8" t="s">
        <v>11201</v>
      </c>
      <c r="U1928" s="8" t="s">
        <v>3275</v>
      </c>
      <c r="V1928" s="8" t="s">
        <v>11202</v>
      </c>
      <c r="W1928" s="8">
        <v>0</v>
      </c>
    </row>
    <row r="1929" spans="1:23" ht="28" customHeight="1" x14ac:dyDescent="0.3">
      <c r="A1929" s="308">
        <v>43397</v>
      </c>
      <c r="B1929" s="302">
        <v>952.77700000000004</v>
      </c>
      <c r="C1929" s="8">
        <v>0.871</v>
      </c>
      <c r="D1929" s="268">
        <v>8.9999999999999998E-4</v>
      </c>
      <c r="E1929" s="8">
        <v>10.87</v>
      </c>
      <c r="F1929" s="8">
        <v>96.456999999999994</v>
      </c>
      <c r="G1929" s="8">
        <v>94.8</v>
      </c>
      <c r="H1929" s="8">
        <v>73.069999999999993</v>
      </c>
      <c r="I1929" s="8">
        <v>136.52000000000001</v>
      </c>
      <c r="J1929" s="8">
        <v>89.29</v>
      </c>
      <c r="K1929" s="268">
        <v>0.4007</v>
      </c>
      <c r="L1929" s="268">
        <v>0.30649999999999999</v>
      </c>
      <c r="M1929" s="268">
        <v>3.2399999999999998E-2</v>
      </c>
      <c r="N1929" s="8">
        <v>13.26</v>
      </c>
      <c r="O1929" s="8">
        <v>1195.01</v>
      </c>
      <c r="P1929" s="268">
        <v>1.11E-2</v>
      </c>
      <c r="Q1929" s="8">
        <v>91</v>
      </c>
      <c r="R1929" s="8" t="s">
        <v>11203</v>
      </c>
      <c r="S1929" s="8" t="s">
        <v>11204</v>
      </c>
      <c r="T1929" s="8" t="s">
        <v>11205</v>
      </c>
      <c r="U1929" s="8" t="s">
        <v>11206</v>
      </c>
      <c r="V1929" s="8" t="s">
        <v>3443</v>
      </c>
      <c r="W1929" s="8">
        <v>0</v>
      </c>
    </row>
    <row r="1930" spans="1:23" ht="28" customHeight="1" x14ac:dyDescent="0.3">
      <c r="A1930" s="308">
        <v>43396</v>
      </c>
      <c r="B1930" s="302">
        <v>951.90599999999995</v>
      </c>
      <c r="C1930" s="8">
        <v>-3.3210000000000002</v>
      </c>
      <c r="D1930" s="268">
        <v>-3.5000000000000001E-3</v>
      </c>
      <c r="E1930" s="8">
        <v>10.92</v>
      </c>
      <c r="F1930" s="8">
        <v>96.37</v>
      </c>
      <c r="G1930" s="8">
        <v>94.763999999999996</v>
      </c>
      <c r="H1930" s="8">
        <v>73.959999999999994</v>
      </c>
      <c r="I1930" s="8">
        <v>136.22999999999999</v>
      </c>
      <c r="J1930" s="8">
        <v>89.41</v>
      </c>
      <c r="K1930" s="268">
        <v>0.39860000000000001</v>
      </c>
      <c r="L1930" s="268">
        <v>0.31240000000000001</v>
      </c>
      <c r="M1930" s="268">
        <v>3.2599999999999997E-2</v>
      </c>
      <c r="N1930" s="8">
        <v>9.7100000000000009</v>
      </c>
      <c r="O1930" s="8">
        <v>1195.01</v>
      </c>
      <c r="P1930" s="268">
        <v>8.0999999999999996E-3</v>
      </c>
      <c r="Q1930" s="8">
        <v>91</v>
      </c>
      <c r="R1930" s="8" t="s">
        <v>11207</v>
      </c>
      <c r="S1930" s="8" t="s">
        <v>11208</v>
      </c>
      <c r="T1930" s="8" t="s">
        <v>11209</v>
      </c>
      <c r="U1930" s="8" t="s">
        <v>3275</v>
      </c>
      <c r="V1930" s="8" t="s">
        <v>11210</v>
      </c>
      <c r="W1930" s="8">
        <v>0</v>
      </c>
    </row>
    <row r="1931" spans="1:23" ht="28" customHeight="1" x14ac:dyDescent="0.3">
      <c r="A1931" s="308">
        <v>43395</v>
      </c>
      <c r="B1931" s="302">
        <v>955.22699999999998</v>
      </c>
      <c r="C1931" s="8">
        <v>11.351000000000001</v>
      </c>
      <c r="D1931" s="268">
        <v>1.2E-2</v>
      </c>
      <c r="E1931" s="8">
        <v>11.32</v>
      </c>
      <c r="F1931" s="8">
        <v>96.706000000000003</v>
      </c>
      <c r="G1931" s="8">
        <v>95.299000000000007</v>
      </c>
      <c r="H1931" s="8">
        <v>74.400000000000006</v>
      </c>
      <c r="I1931" s="8">
        <v>134.86000000000001</v>
      </c>
      <c r="J1931" s="8">
        <v>86.74</v>
      </c>
      <c r="K1931" s="268">
        <v>0.38150000000000001</v>
      </c>
      <c r="L1931" s="268">
        <v>0.2908</v>
      </c>
      <c r="M1931" s="268">
        <v>3.1800000000000002E-2</v>
      </c>
      <c r="N1931" s="8">
        <v>24.12</v>
      </c>
      <c r="O1931" s="8">
        <v>1195.01</v>
      </c>
      <c r="P1931" s="268">
        <v>2.0199999999999999E-2</v>
      </c>
      <c r="Q1931" s="8">
        <v>91</v>
      </c>
      <c r="R1931" s="8" t="s">
        <v>11211</v>
      </c>
      <c r="S1931" s="8" t="s">
        <v>11212</v>
      </c>
      <c r="T1931" s="8" t="s">
        <v>3109</v>
      </c>
      <c r="U1931" s="8" t="s">
        <v>11213</v>
      </c>
      <c r="V1931" s="8" t="s">
        <v>11214</v>
      </c>
      <c r="W1931" s="8">
        <v>0</v>
      </c>
    </row>
    <row r="1932" spans="1:23" ht="28" customHeight="1" x14ac:dyDescent="0.3">
      <c r="A1932" s="308">
        <v>43392</v>
      </c>
      <c r="B1932" s="302">
        <v>943.87599999999998</v>
      </c>
      <c r="C1932" s="8">
        <v>6.6</v>
      </c>
      <c r="D1932" s="268">
        <v>7.0000000000000001E-3</v>
      </c>
      <c r="E1932" s="8">
        <v>5.85</v>
      </c>
      <c r="F1932" s="8">
        <v>95.543000000000006</v>
      </c>
      <c r="G1932" s="8">
        <v>93.51</v>
      </c>
      <c r="H1932" s="8">
        <v>70.8</v>
      </c>
      <c r="I1932" s="8">
        <v>139.16999999999999</v>
      </c>
      <c r="J1932" s="8">
        <v>95.08</v>
      </c>
      <c r="K1932" s="268">
        <v>0.43630000000000002</v>
      </c>
      <c r="L1932" s="268">
        <v>0.32790000000000002</v>
      </c>
      <c r="M1932" s="268">
        <v>3.4200000000000001E-2</v>
      </c>
      <c r="N1932" s="8">
        <v>12.03</v>
      </c>
      <c r="O1932" s="8">
        <v>1195.01</v>
      </c>
      <c r="P1932" s="268">
        <v>1.01E-2</v>
      </c>
      <c r="Q1932" s="8">
        <v>91</v>
      </c>
      <c r="R1932" s="8" t="s">
        <v>11215</v>
      </c>
      <c r="S1932" s="8" t="s">
        <v>11216</v>
      </c>
      <c r="T1932" s="8" t="s">
        <v>11217</v>
      </c>
      <c r="U1932" s="8" t="s">
        <v>11218</v>
      </c>
      <c r="V1932" s="8" t="s">
        <v>11219</v>
      </c>
      <c r="W1932" s="8">
        <v>0</v>
      </c>
    </row>
    <row r="1933" spans="1:23" ht="28" customHeight="1" x14ac:dyDescent="0.3">
      <c r="A1933" s="308">
        <v>43391</v>
      </c>
      <c r="B1933" s="302">
        <v>937.27599999999995</v>
      </c>
      <c r="C1933" s="8">
        <v>-6.4210000000000003</v>
      </c>
      <c r="D1933" s="268">
        <v>-6.7999999999999996E-3</v>
      </c>
      <c r="E1933" s="8">
        <v>2.5</v>
      </c>
      <c r="F1933" s="8">
        <v>94.741</v>
      </c>
      <c r="G1933" s="8">
        <v>93.132000000000005</v>
      </c>
      <c r="H1933" s="8">
        <v>69.08</v>
      </c>
      <c r="I1933" s="8">
        <v>141.74</v>
      </c>
      <c r="J1933" s="8">
        <v>99.03</v>
      </c>
      <c r="K1933" s="268">
        <v>0.47</v>
      </c>
      <c r="L1933" s="268">
        <v>0.34849999999999998</v>
      </c>
      <c r="M1933" s="268">
        <v>3.5799999999999998E-2</v>
      </c>
      <c r="N1933" s="8">
        <v>6.94</v>
      </c>
      <c r="O1933" s="8">
        <v>1198.06</v>
      </c>
      <c r="P1933" s="268">
        <v>5.7999999999999996E-3</v>
      </c>
      <c r="Q1933" s="8">
        <v>92</v>
      </c>
      <c r="R1933" s="8" t="s">
        <v>11220</v>
      </c>
      <c r="S1933" s="8" t="s">
        <v>5327</v>
      </c>
      <c r="T1933" s="8" t="s">
        <v>11221</v>
      </c>
      <c r="U1933" s="8" t="s">
        <v>11222</v>
      </c>
      <c r="V1933" s="8" t="s">
        <v>11223</v>
      </c>
      <c r="W1933" s="8">
        <v>0</v>
      </c>
    </row>
    <row r="1934" spans="1:23" ht="28" customHeight="1" x14ac:dyDescent="0.3">
      <c r="A1934" s="308">
        <v>43390</v>
      </c>
      <c r="B1934" s="302">
        <v>943.697</v>
      </c>
      <c r="C1934" s="8">
        <v>-0.84799999999999998</v>
      </c>
      <c r="D1934" s="268">
        <v>-8.9999999999999998E-4</v>
      </c>
      <c r="E1934" s="8">
        <v>3.13</v>
      </c>
      <c r="F1934" s="8">
        <v>95.396000000000001</v>
      </c>
      <c r="G1934" s="8">
        <v>93.79</v>
      </c>
      <c r="H1934" s="8">
        <v>70.87</v>
      </c>
      <c r="I1934" s="8">
        <v>140.08000000000001</v>
      </c>
      <c r="J1934" s="8">
        <v>96.4</v>
      </c>
      <c r="K1934" s="268">
        <v>0.44679999999999997</v>
      </c>
      <c r="L1934" s="268">
        <v>0.32100000000000001</v>
      </c>
      <c r="M1934" s="268">
        <v>3.4299999999999997E-2</v>
      </c>
      <c r="N1934" s="8">
        <v>8.5500000000000007</v>
      </c>
      <c r="O1934" s="8">
        <v>1205.05</v>
      </c>
      <c r="P1934" s="268">
        <v>7.1000000000000004E-3</v>
      </c>
      <c r="Q1934" s="8">
        <v>93</v>
      </c>
      <c r="R1934" s="8" t="s">
        <v>11224</v>
      </c>
      <c r="S1934" s="8" t="s">
        <v>11225</v>
      </c>
      <c r="T1934" s="8" t="s">
        <v>11226</v>
      </c>
      <c r="U1934" s="8" t="s">
        <v>2760</v>
      </c>
      <c r="V1934" s="8" t="s">
        <v>11227</v>
      </c>
      <c r="W1934" s="8">
        <v>0</v>
      </c>
    </row>
    <row r="1935" spans="1:23" ht="28" customHeight="1" x14ac:dyDescent="0.3">
      <c r="A1935" s="308">
        <v>43389</v>
      </c>
      <c r="B1935" s="302">
        <v>944.54499999999996</v>
      </c>
      <c r="C1935" s="8">
        <v>-4.7309999999999999</v>
      </c>
      <c r="D1935" s="268">
        <v>-5.0000000000000001E-3</v>
      </c>
      <c r="E1935" s="8">
        <v>2.5</v>
      </c>
      <c r="F1935" s="8">
        <v>95.498999999999995</v>
      </c>
      <c r="G1935" s="8">
        <v>93.75</v>
      </c>
      <c r="H1935" s="8">
        <v>70.12</v>
      </c>
      <c r="I1935" s="8">
        <v>141.28</v>
      </c>
      <c r="J1935" s="8">
        <v>99.54</v>
      </c>
      <c r="K1935" s="268">
        <v>0.45779999999999998</v>
      </c>
      <c r="L1935" s="268">
        <v>0.34300000000000003</v>
      </c>
      <c r="M1935" s="268">
        <v>3.4099999999999998E-2</v>
      </c>
      <c r="N1935" s="8">
        <v>8.68</v>
      </c>
      <c r="O1935" s="8">
        <v>1205.05</v>
      </c>
      <c r="P1935" s="268">
        <v>7.1999999999999998E-3</v>
      </c>
      <c r="Q1935" s="8">
        <v>93</v>
      </c>
      <c r="R1935" s="8" t="s">
        <v>11228</v>
      </c>
      <c r="S1935" s="8" t="s">
        <v>11229</v>
      </c>
      <c r="T1935" s="8" t="s">
        <v>11230</v>
      </c>
      <c r="U1935" s="8" t="s">
        <v>11231</v>
      </c>
      <c r="V1935" s="8" t="s">
        <v>2658</v>
      </c>
      <c r="W1935" s="8">
        <v>0</v>
      </c>
    </row>
    <row r="1936" spans="1:23" ht="28" customHeight="1" x14ac:dyDescent="0.3">
      <c r="A1936" s="308">
        <v>43388</v>
      </c>
      <c r="B1936" s="302">
        <v>949.27599999999995</v>
      </c>
      <c r="C1936" s="8">
        <v>-2.4119999999999999</v>
      </c>
      <c r="D1936" s="268">
        <v>-2.5000000000000001E-3</v>
      </c>
      <c r="E1936" s="8">
        <v>3.59</v>
      </c>
      <c r="F1936" s="8">
        <v>95.98</v>
      </c>
      <c r="G1936" s="8">
        <v>94.18</v>
      </c>
      <c r="H1936" s="8">
        <v>71.400000000000006</v>
      </c>
      <c r="I1936" s="8">
        <v>139.30000000000001</v>
      </c>
      <c r="J1936" s="8">
        <v>97.5</v>
      </c>
      <c r="K1936" s="268">
        <v>0.43319999999999997</v>
      </c>
      <c r="L1936" s="268">
        <v>0.32890000000000003</v>
      </c>
      <c r="M1936" s="268">
        <v>3.3099999999999997E-2</v>
      </c>
      <c r="N1936" s="8">
        <v>6.42</v>
      </c>
      <c r="O1936" s="8">
        <v>1205.05</v>
      </c>
      <c r="P1936" s="268">
        <v>5.3E-3</v>
      </c>
      <c r="Q1936" s="8">
        <v>93</v>
      </c>
      <c r="R1936" s="8" t="s">
        <v>11232</v>
      </c>
      <c r="S1936" s="8" t="s">
        <v>8572</v>
      </c>
      <c r="T1936" s="8" t="s">
        <v>10201</v>
      </c>
      <c r="U1936" s="8" t="s">
        <v>9334</v>
      </c>
      <c r="V1936" s="8" t="s">
        <v>11233</v>
      </c>
      <c r="W1936" s="8">
        <v>0</v>
      </c>
    </row>
    <row r="1937" spans="1:23" ht="28" customHeight="1" x14ac:dyDescent="0.3">
      <c r="A1937" s="308">
        <v>43385</v>
      </c>
      <c r="B1937" s="302">
        <v>951.68799999999999</v>
      </c>
      <c r="C1937" s="8">
        <v>1.351</v>
      </c>
      <c r="D1937" s="268">
        <v>1.4E-3</v>
      </c>
      <c r="E1937" s="8">
        <v>5.92</v>
      </c>
      <c r="F1937" s="8">
        <v>96.215000000000003</v>
      </c>
      <c r="G1937" s="8">
        <v>94.6</v>
      </c>
      <c r="H1937" s="8">
        <v>72.88</v>
      </c>
      <c r="I1937" s="8">
        <v>138.12</v>
      </c>
      <c r="J1937" s="8">
        <v>97.53</v>
      </c>
      <c r="K1937" s="268">
        <v>0.41909999999999997</v>
      </c>
      <c r="L1937" s="268">
        <v>0.29409999999999997</v>
      </c>
      <c r="M1937" s="268">
        <v>3.2500000000000001E-2</v>
      </c>
      <c r="N1937" s="8">
        <v>10.6</v>
      </c>
      <c r="O1937" s="8">
        <v>1205.05</v>
      </c>
      <c r="P1937" s="268">
        <v>8.8000000000000005E-3</v>
      </c>
      <c r="Q1937" s="8">
        <v>93</v>
      </c>
      <c r="R1937" s="8" t="s">
        <v>11234</v>
      </c>
      <c r="S1937" s="8" t="s">
        <v>11235</v>
      </c>
      <c r="T1937" s="8" t="s">
        <v>7733</v>
      </c>
      <c r="U1937" s="8" t="s">
        <v>11236</v>
      </c>
      <c r="V1937" s="8" t="s">
        <v>11237</v>
      </c>
      <c r="W1937" s="8">
        <v>0</v>
      </c>
    </row>
    <row r="1938" spans="1:23" ht="28" customHeight="1" x14ac:dyDescent="0.3">
      <c r="A1938" s="308">
        <v>43384</v>
      </c>
      <c r="B1938" s="302">
        <v>950.33699999999999</v>
      </c>
      <c r="C1938" s="8">
        <v>-15.541</v>
      </c>
      <c r="D1938" s="268">
        <v>-1.61E-2</v>
      </c>
      <c r="E1938" s="8">
        <v>3.92</v>
      </c>
      <c r="F1938" s="8">
        <v>96.037999999999997</v>
      </c>
      <c r="G1938" s="8">
        <v>94.42</v>
      </c>
      <c r="H1938" s="8">
        <v>74.099999999999994</v>
      </c>
      <c r="I1938" s="8">
        <v>136.91999999999999</v>
      </c>
      <c r="J1938" s="8">
        <v>100</v>
      </c>
      <c r="K1938" s="268">
        <v>0.4088</v>
      </c>
      <c r="L1938" s="268">
        <v>0.31709999999999999</v>
      </c>
      <c r="M1938" s="268">
        <v>3.27E-2</v>
      </c>
      <c r="N1938" s="8">
        <v>15.69</v>
      </c>
      <c r="O1938" s="8">
        <v>1205.05</v>
      </c>
      <c r="P1938" s="268">
        <v>1.2999999999999999E-2</v>
      </c>
      <c r="Q1938" s="8">
        <v>93</v>
      </c>
      <c r="R1938" s="8" t="s">
        <v>11238</v>
      </c>
      <c r="S1938" s="8" t="s">
        <v>11239</v>
      </c>
      <c r="T1938" s="8" t="s">
        <v>11240</v>
      </c>
      <c r="U1938" s="8" t="s">
        <v>11241</v>
      </c>
      <c r="V1938" s="8" t="s">
        <v>11242</v>
      </c>
      <c r="W1938" s="8">
        <v>0</v>
      </c>
    </row>
    <row r="1939" spans="1:23" ht="28" customHeight="1" x14ac:dyDescent="0.3">
      <c r="A1939" s="308">
        <v>43383</v>
      </c>
      <c r="B1939" s="302">
        <v>965.87800000000004</v>
      </c>
      <c r="C1939" s="8">
        <v>-0.59799999999999998</v>
      </c>
      <c r="D1939" s="268">
        <v>-5.9999999999999995E-4</v>
      </c>
      <c r="E1939" s="8">
        <v>11.68</v>
      </c>
      <c r="F1939" s="8">
        <v>97.614999999999995</v>
      </c>
      <c r="G1939" s="8">
        <v>96.48</v>
      </c>
      <c r="H1939" s="8">
        <v>80.400000000000006</v>
      </c>
      <c r="I1939" s="8">
        <v>130.1</v>
      </c>
      <c r="J1939" s="8">
        <v>90.84</v>
      </c>
      <c r="K1939" s="268">
        <v>0.32479999999999998</v>
      </c>
      <c r="L1939" s="268">
        <v>0.2374</v>
      </c>
      <c r="M1939" s="268">
        <v>2.93E-2</v>
      </c>
      <c r="N1939" s="8">
        <v>8.09</v>
      </c>
      <c r="O1939" s="8">
        <v>1205.05</v>
      </c>
      <c r="P1939" s="268">
        <v>6.7000000000000002E-3</v>
      </c>
      <c r="Q1939" s="8">
        <v>93</v>
      </c>
      <c r="R1939" s="8" t="s">
        <v>8398</v>
      </c>
      <c r="S1939" s="8" t="s">
        <v>8750</v>
      </c>
      <c r="T1939" s="8" t="s">
        <v>11243</v>
      </c>
      <c r="U1939" s="8" t="s">
        <v>6759</v>
      </c>
      <c r="V1939" s="8" t="s">
        <v>2352</v>
      </c>
      <c r="W1939" s="8">
        <v>0</v>
      </c>
    </row>
    <row r="1940" spans="1:23" ht="28" customHeight="1" x14ac:dyDescent="0.3">
      <c r="A1940" s="308">
        <v>43382</v>
      </c>
      <c r="B1940" s="302">
        <v>966.476</v>
      </c>
      <c r="C1940" s="8">
        <v>-2.4089999999999998</v>
      </c>
      <c r="D1940" s="268">
        <v>-2.5000000000000001E-3</v>
      </c>
      <c r="E1940" s="8">
        <v>11.06</v>
      </c>
      <c r="F1940" s="8">
        <v>97.650999999999996</v>
      </c>
      <c r="G1940" s="8">
        <v>96.558000000000007</v>
      </c>
      <c r="H1940" s="8">
        <v>78.2</v>
      </c>
      <c r="I1940" s="8">
        <v>130.44</v>
      </c>
      <c r="J1940" s="8">
        <v>93.43</v>
      </c>
      <c r="K1940" s="268">
        <v>0.32790000000000002</v>
      </c>
      <c r="L1940" s="268">
        <v>0.24610000000000001</v>
      </c>
      <c r="M1940" s="268">
        <v>2.92E-2</v>
      </c>
      <c r="N1940" s="8">
        <v>8.4700000000000006</v>
      </c>
      <c r="O1940" s="8">
        <v>1194.08</v>
      </c>
      <c r="P1940" s="268">
        <v>7.1000000000000004E-3</v>
      </c>
      <c r="Q1940" s="8">
        <v>92</v>
      </c>
      <c r="R1940" s="8" t="s">
        <v>3081</v>
      </c>
      <c r="S1940" s="8" t="s">
        <v>11244</v>
      </c>
      <c r="T1940" s="8" t="s">
        <v>11245</v>
      </c>
      <c r="U1940" s="8" t="s">
        <v>11246</v>
      </c>
      <c r="V1940" s="8" t="s">
        <v>11247</v>
      </c>
      <c r="W1940" s="8" t="s">
        <v>9361</v>
      </c>
    </row>
    <row r="1941" spans="1:23" ht="28" customHeight="1" x14ac:dyDescent="0.3">
      <c r="A1941" s="308">
        <v>43381</v>
      </c>
      <c r="B1941" s="302">
        <v>968.88499999999999</v>
      </c>
      <c r="C1941" s="8">
        <v>-10.999000000000001</v>
      </c>
      <c r="D1941" s="268">
        <v>-1.12E-2</v>
      </c>
      <c r="E1941" s="8">
        <v>10.65</v>
      </c>
      <c r="F1941" s="8">
        <v>97.924000000000007</v>
      </c>
      <c r="G1941" s="8">
        <v>96.552999999999997</v>
      </c>
      <c r="H1941" s="8">
        <v>78.31</v>
      </c>
      <c r="I1941" s="8">
        <v>130.66999999999999</v>
      </c>
      <c r="J1941" s="8">
        <v>94.7</v>
      </c>
      <c r="K1941" s="268">
        <v>0.32750000000000001</v>
      </c>
      <c r="L1941" s="268">
        <v>0.23760000000000001</v>
      </c>
      <c r="M1941" s="268">
        <v>2.87E-2</v>
      </c>
      <c r="N1941" s="8">
        <v>8.25</v>
      </c>
      <c r="O1941" s="8">
        <v>1194.08</v>
      </c>
      <c r="P1941" s="268">
        <v>6.8999999999999999E-3</v>
      </c>
      <c r="Q1941" s="8">
        <v>92</v>
      </c>
      <c r="R1941" s="8" t="s">
        <v>11248</v>
      </c>
      <c r="S1941" s="8" t="s">
        <v>11249</v>
      </c>
      <c r="T1941" s="8" t="s">
        <v>11250</v>
      </c>
      <c r="U1941" s="8" t="s">
        <v>11251</v>
      </c>
      <c r="V1941" s="8" t="s">
        <v>11252</v>
      </c>
      <c r="W1941" s="8" t="s">
        <v>11253</v>
      </c>
    </row>
    <row r="1942" spans="1:23" ht="28" customHeight="1" x14ac:dyDescent="0.3">
      <c r="A1942" s="308">
        <v>43371</v>
      </c>
      <c r="B1942" s="302">
        <v>979.88400000000001</v>
      </c>
      <c r="C1942" s="8">
        <v>2.048</v>
      </c>
      <c r="D1942" s="268">
        <v>2.0999999999999999E-3</v>
      </c>
      <c r="E1942" s="8">
        <v>23.98</v>
      </c>
      <c r="F1942" s="8">
        <v>99.082999999999998</v>
      </c>
      <c r="G1942" s="8">
        <v>97.474999999999994</v>
      </c>
      <c r="H1942" s="8">
        <v>80.58</v>
      </c>
      <c r="I1942" s="8">
        <v>128.84</v>
      </c>
      <c r="J1942" s="8">
        <v>80.41</v>
      </c>
      <c r="K1942" s="268">
        <v>0.29749999999999999</v>
      </c>
      <c r="L1942" s="268">
        <v>0.20349999999999999</v>
      </c>
      <c r="M1942" s="268">
        <v>2.6200000000000001E-2</v>
      </c>
      <c r="N1942" s="8">
        <v>12.18</v>
      </c>
      <c r="O1942" s="8">
        <v>1194.08</v>
      </c>
      <c r="P1942" s="268">
        <v>1.0200000000000001E-2</v>
      </c>
      <c r="Q1942" s="8">
        <v>92</v>
      </c>
      <c r="R1942" s="8" t="s">
        <v>11050</v>
      </c>
      <c r="S1942" s="8" t="s">
        <v>9687</v>
      </c>
      <c r="T1942" s="8" t="s">
        <v>11254</v>
      </c>
      <c r="U1942" s="8" t="s">
        <v>6276</v>
      </c>
      <c r="V1942" s="8" t="s">
        <v>11255</v>
      </c>
      <c r="W1942" s="8" t="s">
        <v>11256</v>
      </c>
    </row>
    <row r="1943" spans="1:23" ht="28" customHeight="1" x14ac:dyDescent="0.3">
      <c r="A1943" s="308">
        <v>43370</v>
      </c>
      <c r="B1943" s="302">
        <v>977.83600000000001</v>
      </c>
      <c r="C1943" s="8">
        <v>-4.25</v>
      </c>
      <c r="D1943" s="268">
        <v>-4.3E-3</v>
      </c>
      <c r="E1943" s="8">
        <v>19.8</v>
      </c>
      <c r="F1943" s="8">
        <v>98.870999999999995</v>
      </c>
      <c r="G1943" s="8">
        <v>97.001999999999995</v>
      </c>
      <c r="H1943" s="8">
        <v>79.67</v>
      </c>
      <c r="I1943" s="8">
        <v>129.72999999999999</v>
      </c>
      <c r="J1943" s="8">
        <v>89.26</v>
      </c>
      <c r="K1943" s="268">
        <v>0.30859999999999999</v>
      </c>
      <c r="L1943" s="268">
        <v>0.21410000000000001</v>
      </c>
      <c r="M1943" s="268">
        <v>2.6599999999999999E-2</v>
      </c>
      <c r="N1943" s="8">
        <v>11.19</v>
      </c>
      <c r="O1943" s="8">
        <v>1194.08</v>
      </c>
      <c r="P1943" s="268">
        <v>9.4000000000000004E-3</v>
      </c>
      <c r="Q1943" s="8">
        <v>92</v>
      </c>
      <c r="R1943" s="8" t="s">
        <v>11257</v>
      </c>
      <c r="S1943" s="8" t="s">
        <v>11258</v>
      </c>
      <c r="T1943" s="8" t="s">
        <v>11259</v>
      </c>
      <c r="U1943" s="8" t="s">
        <v>10261</v>
      </c>
      <c r="V1943" s="8" t="s">
        <v>11260</v>
      </c>
      <c r="W1943" s="8" t="s">
        <v>11261</v>
      </c>
    </row>
    <row r="1944" spans="1:23" ht="28" customHeight="1" x14ac:dyDescent="0.3">
      <c r="A1944" s="308">
        <v>43369</v>
      </c>
      <c r="B1944" s="302">
        <v>982.08600000000001</v>
      </c>
      <c r="C1944" s="8">
        <v>1.387</v>
      </c>
      <c r="D1944" s="268">
        <v>1.4E-3</v>
      </c>
      <c r="E1944" s="8">
        <v>29.13</v>
      </c>
      <c r="F1944" s="8">
        <v>99.3</v>
      </c>
      <c r="G1944" s="8">
        <v>97.578000000000003</v>
      </c>
      <c r="H1944" s="8">
        <v>81.72</v>
      </c>
      <c r="I1944" s="8">
        <v>128.66</v>
      </c>
      <c r="J1944" s="8">
        <v>76.489999999999995</v>
      </c>
      <c r="K1944" s="268">
        <v>0.29360000000000003</v>
      </c>
      <c r="L1944" s="268">
        <v>0.19900000000000001</v>
      </c>
      <c r="M1944" s="268">
        <v>2.5700000000000001E-2</v>
      </c>
      <c r="N1944" s="8">
        <v>16.8</v>
      </c>
      <c r="O1944" s="8">
        <v>1194.08</v>
      </c>
      <c r="P1944" s="268">
        <v>1.41E-2</v>
      </c>
      <c r="Q1944" s="8">
        <v>92</v>
      </c>
      <c r="R1944" s="8" t="s">
        <v>11262</v>
      </c>
      <c r="S1944" s="8" t="s">
        <v>11124</v>
      </c>
      <c r="T1944" s="8" t="s">
        <v>5181</v>
      </c>
      <c r="U1944" s="8" t="s">
        <v>11263</v>
      </c>
      <c r="V1944" s="8" t="s">
        <v>9413</v>
      </c>
      <c r="W1944" s="8" t="s">
        <v>11264</v>
      </c>
    </row>
    <row r="1945" spans="1:23" ht="28" customHeight="1" x14ac:dyDescent="0.3">
      <c r="A1945" s="308">
        <v>43368</v>
      </c>
      <c r="B1945" s="302">
        <v>980.69899999999996</v>
      </c>
      <c r="C1945" s="8">
        <v>-0.66</v>
      </c>
      <c r="D1945" s="268">
        <v>-6.9999999999999999E-4</v>
      </c>
      <c r="E1945" s="8">
        <v>27.8</v>
      </c>
      <c r="F1945" s="8">
        <v>99.137</v>
      </c>
      <c r="G1945" s="8">
        <v>97.51</v>
      </c>
      <c r="H1945" s="8">
        <v>81.34</v>
      </c>
      <c r="I1945" s="8">
        <v>128.87</v>
      </c>
      <c r="J1945" s="8">
        <v>73.709999999999994</v>
      </c>
      <c r="K1945" s="268">
        <v>0.29730000000000001</v>
      </c>
      <c r="L1945" s="268">
        <v>0.2049</v>
      </c>
      <c r="M1945" s="268">
        <v>2.5999999999999999E-2</v>
      </c>
      <c r="N1945" s="8">
        <v>10.08</v>
      </c>
      <c r="O1945" s="8">
        <v>1194.08</v>
      </c>
      <c r="P1945" s="268">
        <v>8.3999999999999995E-3</v>
      </c>
      <c r="Q1945" s="8">
        <v>92</v>
      </c>
      <c r="R1945" s="8" t="s">
        <v>11265</v>
      </c>
      <c r="S1945" s="8" t="s">
        <v>11266</v>
      </c>
      <c r="T1945" s="8" t="s">
        <v>11267</v>
      </c>
      <c r="U1945" s="8" t="s">
        <v>10200</v>
      </c>
      <c r="V1945" s="8" t="s">
        <v>6064</v>
      </c>
      <c r="W1945" s="8" t="s">
        <v>11268</v>
      </c>
    </row>
    <row r="1946" spans="1:23" ht="28" customHeight="1" x14ac:dyDescent="0.3">
      <c r="A1946" s="308">
        <v>43364</v>
      </c>
      <c r="B1946" s="302">
        <v>981.35900000000004</v>
      </c>
      <c r="C1946" s="8">
        <v>5.9729999999999999</v>
      </c>
      <c r="D1946" s="268">
        <v>6.1000000000000004E-3</v>
      </c>
      <c r="E1946" s="8">
        <v>28.86</v>
      </c>
      <c r="F1946" s="8">
        <v>99.2</v>
      </c>
      <c r="G1946" s="8">
        <v>97.489000000000004</v>
      </c>
      <c r="H1946" s="8">
        <v>81.45</v>
      </c>
      <c r="I1946" s="8">
        <v>128.55000000000001</v>
      </c>
      <c r="J1946" s="8">
        <v>67.66</v>
      </c>
      <c r="K1946" s="268">
        <v>0.29349999999999998</v>
      </c>
      <c r="L1946" s="268">
        <v>0.19850000000000001</v>
      </c>
      <c r="M1946" s="268">
        <v>2.58E-2</v>
      </c>
      <c r="N1946" s="8">
        <v>17.12</v>
      </c>
      <c r="O1946" s="8">
        <v>1194.08</v>
      </c>
      <c r="P1946" s="268">
        <v>1.43E-2</v>
      </c>
      <c r="Q1946" s="8">
        <v>92</v>
      </c>
      <c r="R1946" s="8" t="s">
        <v>11033</v>
      </c>
      <c r="S1946" s="8" t="s">
        <v>11269</v>
      </c>
      <c r="T1946" s="8" t="s">
        <v>11270</v>
      </c>
      <c r="U1946" s="8" t="s">
        <v>11271</v>
      </c>
      <c r="V1946" s="8" t="s">
        <v>10044</v>
      </c>
      <c r="W1946" s="8" t="s">
        <v>11272</v>
      </c>
    </row>
    <row r="1947" spans="1:23" ht="28" customHeight="1" x14ac:dyDescent="0.3">
      <c r="A1947" s="308">
        <v>43363</v>
      </c>
      <c r="B1947" s="302">
        <v>975.38599999999997</v>
      </c>
      <c r="C1947" s="8">
        <v>-0.77900000000000003</v>
      </c>
      <c r="D1947" s="268">
        <v>-8.0000000000000004E-4</v>
      </c>
      <c r="E1947" s="8">
        <v>21.01</v>
      </c>
      <c r="F1947" s="8">
        <v>98.506</v>
      </c>
      <c r="G1947" s="8">
        <v>97.07</v>
      </c>
      <c r="H1947" s="8">
        <v>79.599999999999994</v>
      </c>
      <c r="I1947" s="8">
        <v>130.38</v>
      </c>
      <c r="J1947" s="8">
        <v>79.31</v>
      </c>
      <c r="K1947" s="268">
        <v>0.31869999999999998</v>
      </c>
      <c r="L1947" s="268">
        <v>0.2162</v>
      </c>
      <c r="M1947" s="268">
        <v>2.7099999999999999E-2</v>
      </c>
      <c r="N1947" s="8">
        <v>8.59</v>
      </c>
      <c r="O1947" s="8">
        <v>1179.46</v>
      </c>
      <c r="P1947" s="268">
        <v>7.3000000000000001E-3</v>
      </c>
      <c r="Q1947" s="8">
        <v>91</v>
      </c>
      <c r="R1947" s="8" t="s">
        <v>11273</v>
      </c>
      <c r="S1947" s="8" t="s">
        <v>11274</v>
      </c>
      <c r="T1947" s="8" t="s">
        <v>11275</v>
      </c>
      <c r="U1947" s="8" t="s">
        <v>9198</v>
      </c>
      <c r="V1947" s="8" t="s">
        <v>5915</v>
      </c>
      <c r="W1947" s="8">
        <v>0</v>
      </c>
    </row>
    <row r="1948" spans="1:23" ht="28" customHeight="1" x14ac:dyDescent="0.3">
      <c r="A1948" s="308">
        <v>43362</v>
      </c>
      <c r="B1948" s="302">
        <v>976.16499999999996</v>
      </c>
      <c r="C1948" s="8">
        <v>4.6829999999999998</v>
      </c>
      <c r="D1948" s="268">
        <v>4.7999999999999996E-3</v>
      </c>
      <c r="E1948" s="8">
        <v>22.17</v>
      </c>
      <c r="F1948" s="8">
        <v>98.653000000000006</v>
      </c>
      <c r="G1948" s="8">
        <v>97.015000000000001</v>
      </c>
      <c r="H1948" s="8">
        <v>80.23</v>
      </c>
      <c r="I1948" s="8">
        <v>130.13999999999999</v>
      </c>
      <c r="J1948" s="8">
        <v>76.63</v>
      </c>
      <c r="K1948" s="268">
        <v>0.31490000000000001</v>
      </c>
      <c r="L1948" s="268">
        <v>0.21149999999999999</v>
      </c>
      <c r="M1948" s="268">
        <v>2.6800000000000001E-2</v>
      </c>
      <c r="N1948" s="8">
        <v>15.25</v>
      </c>
      <c r="O1948" s="8">
        <v>1194.08</v>
      </c>
      <c r="P1948" s="268">
        <v>1.2800000000000001E-2</v>
      </c>
      <c r="Q1948" s="8">
        <v>92</v>
      </c>
      <c r="R1948" s="8" t="s">
        <v>2506</v>
      </c>
      <c r="S1948" s="8" t="s">
        <v>11276</v>
      </c>
      <c r="T1948" s="8" t="s">
        <v>11277</v>
      </c>
      <c r="U1948" s="8" t="s">
        <v>11278</v>
      </c>
      <c r="V1948" s="8" t="s">
        <v>8194</v>
      </c>
      <c r="W1948" s="8">
        <v>0</v>
      </c>
    </row>
    <row r="1949" spans="1:23" ht="28" customHeight="1" x14ac:dyDescent="0.3">
      <c r="A1949" s="308">
        <v>43361</v>
      </c>
      <c r="B1949" s="302">
        <v>971.48199999999997</v>
      </c>
      <c r="C1949" s="8">
        <v>2.1850000000000001</v>
      </c>
      <c r="D1949" s="268">
        <v>2.3E-3</v>
      </c>
      <c r="E1949" s="8">
        <v>14.61</v>
      </c>
      <c r="F1949" s="8">
        <v>98.162000000000006</v>
      </c>
      <c r="G1949" s="8">
        <v>96.861000000000004</v>
      </c>
      <c r="H1949" s="8">
        <v>79.08</v>
      </c>
      <c r="I1949" s="8">
        <v>130.52000000000001</v>
      </c>
      <c r="J1949" s="8">
        <v>83.45</v>
      </c>
      <c r="K1949" s="268">
        <v>0.3236</v>
      </c>
      <c r="L1949" s="268">
        <v>0.221</v>
      </c>
      <c r="M1949" s="268">
        <v>2.7799999999999998E-2</v>
      </c>
      <c r="N1949" s="8">
        <v>10.23</v>
      </c>
      <c r="O1949" s="8">
        <v>1194.08</v>
      </c>
      <c r="P1949" s="268">
        <v>8.6E-3</v>
      </c>
      <c r="Q1949" s="8">
        <v>92</v>
      </c>
      <c r="R1949" s="8" t="s">
        <v>2976</v>
      </c>
      <c r="S1949" s="8" t="s">
        <v>10307</v>
      </c>
      <c r="T1949" s="8" t="s">
        <v>11279</v>
      </c>
      <c r="U1949" s="8" t="s">
        <v>11280</v>
      </c>
      <c r="V1949" s="8" t="s">
        <v>11281</v>
      </c>
      <c r="W1949" s="8" t="s">
        <v>11282</v>
      </c>
    </row>
    <row r="1950" spans="1:23" ht="28" customHeight="1" x14ac:dyDescent="0.3">
      <c r="A1950" s="308">
        <v>43360</v>
      </c>
      <c r="B1950" s="302">
        <v>969.29700000000003</v>
      </c>
      <c r="C1950" s="8">
        <v>-4.9029999999999996</v>
      </c>
      <c r="D1950" s="268">
        <v>-5.0000000000000001E-3</v>
      </c>
      <c r="E1950" s="8">
        <v>11.63</v>
      </c>
      <c r="F1950" s="8">
        <v>97.921999999999997</v>
      </c>
      <c r="G1950" s="8">
        <v>96.747</v>
      </c>
      <c r="H1950" s="8">
        <v>78.12</v>
      </c>
      <c r="I1950" s="8">
        <v>132.22</v>
      </c>
      <c r="J1950" s="8">
        <v>94.44</v>
      </c>
      <c r="K1950" s="268">
        <v>0.34300000000000003</v>
      </c>
      <c r="L1950" s="268">
        <v>0.24110000000000001</v>
      </c>
      <c r="M1950" s="268">
        <v>2.8199999999999999E-2</v>
      </c>
      <c r="N1950" s="8">
        <v>10.050000000000001</v>
      </c>
      <c r="O1950" s="8">
        <v>1194.08</v>
      </c>
      <c r="P1950" s="268">
        <v>8.3999999999999995E-3</v>
      </c>
      <c r="Q1950" s="8">
        <v>92</v>
      </c>
      <c r="R1950" s="8" t="s">
        <v>11283</v>
      </c>
      <c r="S1950" s="8" t="s">
        <v>11284</v>
      </c>
      <c r="T1950" s="8" t="s">
        <v>11285</v>
      </c>
      <c r="U1950" s="8" t="s">
        <v>11286</v>
      </c>
      <c r="V1950" s="8" t="s">
        <v>2431</v>
      </c>
      <c r="W1950" s="8">
        <v>0</v>
      </c>
    </row>
    <row r="1951" spans="1:23" ht="28" customHeight="1" x14ac:dyDescent="0.3">
      <c r="A1951" s="308">
        <v>43357</v>
      </c>
      <c r="B1951" s="302">
        <v>974.2</v>
      </c>
      <c r="C1951" s="8">
        <v>-1.1200000000000001</v>
      </c>
      <c r="D1951" s="268">
        <v>-1.1999999999999999E-3</v>
      </c>
      <c r="E1951" s="8">
        <v>17.649999999999999</v>
      </c>
      <c r="F1951" s="8">
        <v>98.293000000000006</v>
      </c>
      <c r="G1951" s="8">
        <v>97.12</v>
      </c>
      <c r="H1951" s="8">
        <v>79.959999999999994</v>
      </c>
      <c r="I1951" s="8">
        <v>131.24</v>
      </c>
      <c r="J1951" s="8">
        <v>87.5</v>
      </c>
      <c r="K1951" s="268">
        <v>0.32950000000000002</v>
      </c>
      <c r="L1951" s="268">
        <v>0.2341</v>
      </c>
      <c r="M1951" s="268">
        <v>2.75E-2</v>
      </c>
      <c r="N1951" s="8">
        <v>10.41</v>
      </c>
      <c r="O1951" s="8">
        <v>1173.0899999999999</v>
      </c>
      <c r="P1951" s="268">
        <v>8.8999999999999999E-3</v>
      </c>
      <c r="Q1951" s="8">
        <v>91</v>
      </c>
      <c r="R1951" s="8" t="s">
        <v>11287</v>
      </c>
      <c r="S1951" s="8" t="s">
        <v>2771</v>
      </c>
      <c r="T1951" s="8" t="s">
        <v>11288</v>
      </c>
      <c r="U1951" s="8" t="s">
        <v>7529</v>
      </c>
      <c r="V1951" s="8" t="s">
        <v>9635</v>
      </c>
      <c r="W1951" s="8" t="s">
        <v>11289</v>
      </c>
    </row>
    <row r="1952" spans="1:23" ht="28" customHeight="1" x14ac:dyDescent="0.3">
      <c r="A1952" s="308">
        <v>43356</v>
      </c>
      <c r="B1952" s="302">
        <v>975.32</v>
      </c>
      <c r="C1952" s="8">
        <v>0.17699999999999999</v>
      </c>
      <c r="D1952" s="268">
        <v>2.0000000000000001E-4</v>
      </c>
      <c r="E1952" s="8">
        <v>18.29</v>
      </c>
      <c r="F1952" s="8">
        <v>98.450999999999993</v>
      </c>
      <c r="G1952" s="8">
        <v>97.39</v>
      </c>
      <c r="H1952" s="8">
        <v>79.900000000000006</v>
      </c>
      <c r="I1952" s="8">
        <v>130.44</v>
      </c>
      <c r="J1952" s="8">
        <v>82.44</v>
      </c>
      <c r="K1952" s="268">
        <v>0.31990000000000002</v>
      </c>
      <c r="L1952" s="268">
        <v>0.2235</v>
      </c>
      <c r="M1952" s="268">
        <v>2.7199999999999998E-2</v>
      </c>
      <c r="N1952" s="8">
        <v>8.8699999999999992</v>
      </c>
      <c r="O1952" s="8">
        <v>1172.08</v>
      </c>
      <c r="P1952" s="268">
        <v>7.6E-3</v>
      </c>
      <c r="Q1952" s="8">
        <v>90</v>
      </c>
      <c r="R1952" s="8" t="s">
        <v>11290</v>
      </c>
      <c r="S1952" s="8" t="s">
        <v>11291</v>
      </c>
      <c r="T1952" s="8" t="s">
        <v>5395</v>
      </c>
      <c r="U1952" s="8" t="s">
        <v>3006</v>
      </c>
      <c r="V1952" s="8" t="s">
        <v>5406</v>
      </c>
      <c r="W1952" s="8" t="s">
        <v>11292</v>
      </c>
    </row>
    <row r="1953" spans="1:23" ht="28" customHeight="1" x14ac:dyDescent="0.3">
      <c r="A1953" s="308">
        <v>43355</v>
      </c>
      <c r="B1953" s="302">
        <v>975.14300000000003</v>
      </c>
      <c r="C1953" s="8">
        <v>-0.99199999999999999</v>
      </c>
      <c r="D1953" s="268">
        <v>-1E-3</v>
      </c>
      <c r="E1953" s="8">
        <v>17.510000000000002</v>
      </c>
      <c r="F1953" s="8">
        <v>98.448999999999998</v>
      </c>
      <c r="G1953" s="8">
        <v>97.344999999999999</v>
      </c>
      <c r="H1953" s="8">
        <v>79.459999999999994</v>
      </c>
      <c r="I1953" s="8">
        <v>131.4</v>
      </c>
      <c r="J1953" s="8">
        <v>91.19</v>
      </c>
      <c r="K1953" s="268">
        <v>0.32950000000000002</v>
      </c>
      <c r="L1953" s="268">
        <v>0.23069999999999999</v>
      </c>
      <c r="M1953" s="268">
        <v>2.7199999999999998E-2</v>
      </c>
      <c r="N1953" s="8">
        <v>10.46</v>
      </c>
      <c r="O1953" s="8">
        <v>1172.08</v>
      </c>
      <c r="P1953" s="268">
        <v>8.8999999999999999E-3</v>
      </c>
      <c r="Q1953" s="8">
        <v>90</v>
      </c>
      <c r="R1953" s="8" t="s">
        <v>11293</v>
      </c>
      <c r="S1953" s="8" t="s">
        <v>11294</v>
      </c>
      <c r="T1953" s="8" t="s">
        <v>11295</v>
      </c>
      <c r="U1953" s="8" t="s">
        <v>2570</v>
      </c>
      <c r="V1953" s="8" t="s">
        <v>2407</v>
      </c>
      <c r="W1953" s="8" t="s">
        <v>11296</v>
      </c>
    </row>
    <row r="1954" spans="1:23" ht="28" customHeight="1" x14ac:dyDescent="0.3">
      <c r="A1954" s="308">
        <v>43354</v>
      </c>
      <c r="B1954" s="302">
        <v>976.13499999999999</v>
      </c>
      <c r="C1954" s="8">
        <v>-5.6000000000000001E-2</v>
      </c>
      <c r="D1954" s="268">
        <v>-1E-4</v>
      </c>
      <c r="E1954" s="8">
        <v>13.61</v>
      </c>
      <c r="F1954" s="8">
        <v>98.591999999999999</v>
      </c>
      <c r="G1954" s="8">
        <v>97.275000000000006</v>
      </c>
      <c r="H1954" s="8">
        <v>79.25</v>
      </c>
      <c r="I1954" s="8">
        <v>132.05000000000001</v>
      </c>
      <c r="J1954" s="8">
        <v>93.93</v>
      </c>
      <c r="K1954" s="268">
        <v>0.33460000000000001</v>
      </c>
      <c r="L1954" s="268">
        <v>0.24279999999999999</v>
      </c>
      <c r="M1954" s="268">
        <v>2.7E-2</v>
      </c>
      <c r="N1954" s="8">
        <v>10.37</v>
      </c>
      <c r="O1954" s="8">
        <v>1172.08</v>
      </c>
      <c r="P1954" s="268">
        <v>8.8000000000000005E-3</v>
      </c>
      <c r="Q1954" s="8">
        <v>90</v>
      </c>
      <c r="R1954" s="8" t="s">
        <v>11297</v>
      </c>
      <c r="S1954" s="8" t="s">
        <v>11298</v>
      </c>
      <c r="T1954" s="8" t="s">
        <v>11299</v>
      </c>
      <c r="U1954" s="8" t="s">
        <v>6922</v>
      </c>
      <c r="V1954" s="8" t="s">
        <v>2658</v>
      </c>
      <c r="W1954" s="8" t="s">
        <v>11300</v>
      </c>
    </row>
    <row r="1955" spans="1:23" ht="28" customHeight="1" x14ac:dyDescent="0.3">
      <c r="A1955" s="308">
        <v>43353</v>
      </c>
      <c r="B1955" s="302">
        <v>976.19100000000003</v>
      </c>
      <c r="C1955" s="8">
        <v>-4.6689999999999996</v>
      </c>
      <c r="D1955" s="268">
        <v>-4.7999999999999996E-3</v>
      </c>
      <c r="E1955" s="8">
        <v>13.56</v>
      </c>
      <c r="F1955" s="8">
        <v>98.599000000000004</v>
      </c>
      <c r="G1955" s="8">
        <v>97.26</v>
      </c>
      <c r="H1955" s="8">
        <v>78.09</v>
      </c>
      <c r="I1955" s="8">
        <v>133.07</v>
      </c>
      <c r="J1955" s="8">
        <v>96.96</v>
      </c>
      <c r="K1955" s="268">
        <v>0.34470000000000001</v>
      </c>
      <c r="L1955" s="268">
        <v>0.25259999999999999</v>
      </c>
      <c r="M1955" s="268">
        <v>2.7E-2</v>
      </c>
      <c r="N1955" s="8">
        <v>11.67</v>
      </c>
      <c r="O1955" s="8">
        <v>1172.08</v>
      </c>
      <c r="P1955" s="268">
        <v>0.01</v>
      </c>
      <c r="Q1955" s="8">
        <v>90</v>
      </c>
      <c r="R1955" s="8" t="s">
        <v>9582</v>
      </c>
      <c r="S1955" s="8" t="s">
        <v>4138</v>
      </c>
      <c r="T1955" s="8" t="s">
        <v>11301</v>
      </c>
      <c r="U1955" s="8" t="s">
        <v>11302</v>
      </c>
      <c r="V1955" s="8" t="s">
        <v>11303</v>
      </c>
      <c r="W1955" s="8" t="s">
        <v>11304</v>
      </c>
    </row>
    <row r="1956" spans="1:23" ht="28" customHeight="1" x14ac:dyDescent="0.3">
      <c r="A1956" s="308">
        <v>43350</v>
      </c>
      <c r="B1956" s="302">
        <v>980.86</v>
      </c>
      <c r="C1956" s="8">
        <v>-0.19800000000000001</v>
      </c>
      <c r="D1956" s="268">
        <v>-2.0000000000000001E-4</v>
      </c>
      <c r="E1956" s="8">
        <v>19.82</v>
      </c>
      <c r="F1956" s="8">
        <v>99.08</v>
      </c>
      <c r="G1956" s="8">
        <v>97.745000000000005</v>
      </c>
      <c r="H1956" s="8">
        <v>79.19</v>
      </c>
      <c r="I1956" s="8">
        <v>131.36000000000001</v>
      </c>
      <c r="J1956" s="8">
        <v>92.47</v>
      </c>
      <c r="K1956" s="268">
        <v>0.32279999999999998</v>
      </c>
      <c r="L1956" s="268">
        <v>0.2329</v>
      </c>
      <c r="M1956" s="268">
        <v>2.5999999999999999E-2</v>
      </c>
      <c r="N1956" s="8">
        <v>11.14</v>
      </c>
      <c r="O1956" s="8">
        <v>1172.08</v>
      </c>
      <c r="P1956" s="268">
        <v>9.4999999999999998E-3</v>
      </c>
      <c r="Q1956" s="8">
        <v>90</v>
      </c>
      <c r="R1956" s="8" t="s">
        <v>11305</v>
      </c>
      <c r="S1956" s="8" t="s">
        <v>9402</v>
      </c>
      <c r="T1956" s="8" t="s">
        <v>11306</v>
      </c>
      <c r="U1956" s="8" t="s">
        <v>11206</v>
      </c>
      <c r="V1956" s="8" t="s">
        <v>2669</v>
      </c>
      <c r="W1956" s="8" t="s">
        <v>11307</v>
      </c>
    </row>
    <row r="1957" spans="1:23" ht="28" customHeight="1" x14ac:dyDescent="0.3">
      <c r="A1957" s="308">
        <v>43349</v>
      </c>
      <c r="B1957" s="302">
        <v>981.05799999999999</v>
      </c>
      <c r="C1957" s="8">
        <v>-0.73499999999999999</v>
      </c>
      <c r="D1957" s="268">
        <v>-6.9999999999999999E-4</v>
      </c>
      <c r="E1957" s="8">
        <v>19.760000000000002</v>
      </c>
      <c r="F1957" s="8">
        <v>99.097999999999999</v>
      </c>
      <c r="G1957" s="8">
        <v>97.706000000000003</v>
      </c>
      <c r="H1957" s="8">
        <v>78.5</v>
      </c>
      <c r="I1957" s="8">
        <v>131.71</v>
      </c>
      <c r="J1957" s="8">
        <v>94.59</v>
      </c>
      <c r="K1957" s="268">
        <v>0.3261</v>
      </c>
      <c r="L1957" s="268">
        <v>0.24030000000000001</v>
      </c>
      <c r="M1957" s="268">
        <v>2.5899999999999999E-2</v>
      </c>
      <c r="N1957" s="8">
        <v>10.039999999999999</v>
      </c>
      <c r="O1957" s="8">
        <v>1172.08</v>
      </c>
      <c r="P1957" s="268">
        <v>8.6E-3</v>
      </c>
      <c r="Q1957" s="8">
        <v>90</v>
      </c>
      <c r="R1957" s="8" t="s">
        <v>11308</v>
      </c>
      <c r="S1957" s="8" t="s">
        <v>9761</v>
      </c>
      <c r="T1957" s="8" t="s">
        <v>11309</v>
      </c>
      <c r="U1957" s="8" t="s">
        <v>11310</v>
      </c>
      <c r="V1957" s="8" t="s">
        <v>3982</v>
      </c>
      <c r="W1957" s="8" t="s">
        <v>11311</v>
      </c>
    </row>
    <row r="1958" spans="1:23" ht="28" customHeight="1" x14ac:dyDescent="0.3">
      <c r="A1958" s="308">
        <v>43348</v>
      </c>
      <c r="B1958" s="302">
        <v>981.79300000000001</v>
      </c>
      <c r="C1958" s="8">
        <v>-3.363</v>
      </c>
      <c r="D1958" s="268">
        <v>-3.3999999999999998E-3</v>
      </c>
      <c r="E1958" s="8">
        <v>18.54</v>
      </c>
      <c r="F1958" s="8">
        <v>99.173000000000002</v>
      </c>
      <c r="G1958" s="8">
        <v>97.802999999999997</v>
      </c>
      <c r="H1958" s="8">
        <v>78.78</v>
      </c>
      <c r="I1958" s="8">
        <v>131.18</v>
      </c>
      <c r="J1958" s="8">
        <v>94.09</v>
      </c>
      <c r="K1958" s="268">
        <v>0.3201</v>
      </c>
      <c r="L1958" s="268">
        <v>0.22159999999999999</v>
      </c>
      <c r="M1958" s="268">
        <v>2.5700000000000001E-2</v>
      </c>
      <c r="N1958" s="8">
        <v>10.59</v>
      </c>
      <c r="O1958" s="8">
        <v>1172.08</v>
      </c>
      <c r="P1958" s="268">
        <v>8.9999999999999993E-3</v>
      </c>
      <c r="Q1958" s="8">
        <v>90</v>
      </c>
      <c r="R1958" s="8" t="s">
        <v>11312</v>
      </c>
      <c r="S1958" s="8" t="s">
        <v>11313</v>
      </c>
      <c r="T1958" s="8" t="s">
        <v>11314</v>
      </c>
      <c r="U1958" s="8" t="s">
        <v>6372</v>
      </c>
      <c r="V1958" s="8" t="s">
        <v>11315</v>
      </c>
      <c r="W1958" s="8" t="s">
        <v>11316</v>
      </c>
    </row>
    <row r="1959" spans="1:23" ht="28" customHeight="1" x14ac:dyDescent="0.3">
      <c r="A1959" s="308">
        <v>43347</v>
      </c>
      <c r="B1959" s="302">
        <v>985.15599999999995</v>
      </c>
      <c r="C1959" s="8">
        <v>2.7269999999999999</v>
      </c>
      <c r="D1959" s="268">
        <v>2.8E-3</v>
      </c>
      <c r="E1959" s="8">
        <v>23.88</v>
      </c>
      <c r="F1959" s="8">
        <v>99.596000000000004</v>
      </c>
      <c r="G1959" s="8">
        <v>98.07</v>
      </c>
      <c r="H1959" s="8">
        <v>79.150000000000006</v>
      </c>
      <c r="I1959" s="8">
        <v>130.38999999999999</v>
      </c>
      <c r="J1959" s="8">
        <v>86.67</v>
      </c>
      <c r="K1959" s="268">
        <v>0.30790000000000001</v>
      </c>
      <c r="L1959" s="268">
        <v>0.2233</v>
      </c>
      <c r="M1959" s="268">
        <v>2.5000000000000001E-2</v>
      </c>
      <c r="N1959" s="8">
        <v>12.68</v>
      </c>
      <c r="O1959" s="8">
        <v>1165.49</v>
      </c>
      <c r="P1959" s="268">
        <v>1.09E-2</v>
      </c>
      <c r="Q1959" s="8">
        <v>89</v>
      </c>
      <c r="R1959" s="8" t="s">
        <v>11317</v>
      </c>
      <c r="S1959" s="8" t="s">
        <v>11318</v>
      </c>
      <c r="T1959" s="8" t="s">
        <v>11319</v>
      </c>
      <c r="U1959" s="8" t="s">
        <v>4189</v>
      </c>
      <c r="V1959" s="8" t="s">
        <v>3997</v>
      </c>
      <c r="W1959" s="8" t="s">
        <v>11320</v>
      </c>
    </row>
    <row r="1960" spans="1:23" ht="28" customHeight="1" x14ac:dyDescent="0.3">
      <c r="A1960" s="308">
        <v>43346</v>
      </c>
      <c r="B1960" s="302">
        <v>982.42899999999997</v>
      </c>
      <c r="C1960" s="8">
        <v>-0.93300000000000005</v>
      </c>
      <c r="D1960" s="268">
        <v>-1E-3</v>
      </c>
      <c r="E1960" s="8">
        <v>18.559999999999999</v>
      </c>
      <c r="F1960" s="8">
        <v>99.375</v>
      </c>
      <c r="G1960" s="8">
        <v>97.915000000000006</v>
      </c>
      <c r="H1960" s="8">
        <v>77.8</v>
      </c>
      <c r="I1960" s="8">
        <v>131.5</v>
      </c>
      <c r="J1960" s="8">
        <v>91.91</v>
      </c>
      <c r="K1960" s="268">
        <v>0.32119999999999999</v>
      </c>
      <c r="L1960" s="268">
        <v>0.23200000000000001</v>
      </c>
      <c r="M1960" s="268">
        <v>2.5399999999999999E-2</v>
      </c>
      <c r="N1960" s="8">
        <v>10.84</v>
      </c>
      <c r="O1960" s="8">
        <v>1161.33</v>
      </c>
      <c r="P1960" s="268">
        <v>9.2999999999999992E-3</v>
      </c>
      <c r="Q1960" s="8">
        <v>88</v>
      </c>
      <c r="R1960" s="8" t="s">
        <v>2962</v>
      </c>
      <c r="S1960" s="8" t="s">
        <v>11321</v>
      </c>
      <c r="T1960" s="8" t="s">
        <v>11322</v>
      </c>
      <c r="U1960" s="8" t="s">
        <v>6022</v>
      </c>
      <c r="V1960" s="8" t="s">
        <v>11323</v>
      </c>
      <c r="W1960" s="8" t="s">
        <v>11324</v>
      </c>
    </row>
    <row r="1961" spans="1:23" ht="28" customHeight="1" x14ac:dyDescent="0.3">
      <c r="A1961" s="308">
        <v>43343</v>
      </c>
      <c r="B1961" s="302">
        <v>983.36199999999997</v>
      </c>
      <c r="C1961" s="8">
        <v>-1.0529999999999999</v>
      </c>
      <c r="D1961" s="268">
        <v>-1.1000000000000001E-3</v>
      </c>
      <c r="E1961" s="8">
        <v>20.05</v>
      </c>
      <c r="F1961" s="8">
        <v>99.465000000000003</v>
      </c>
      <c r="G1961" s="8">
        <v>98.031999999999996</v>
      </c>
      <c r="H1961" s="8">
        <v>78.83</v>
      </c>
      <c r="I1961" s="8">
        <v>131.38999999999999</v>
      </c>
      <c r="J1961" s="8">
        <v>91.83</v>
      </c>
      <c r="K1961" s="268">
        <v>0.31919999999999998</v>
      </c>
      <c r="L1961" s="268">
        <v>0.22500000000000001</v>
      </c>
      <c r="M1961" s="268">
        <v>2.52E-2</v>
      </c>
      <c r="N1961" s="8">
        <v>12.4</v>
      </c>
      <c r="O1961" s="8">
        <v>1161.33</v>
      </c>
      <c r="P1961" s="268">
        <v>1.0699999999999999E-2</v>
      </c>
      <c r="Q1961" s="8">
        <v>88</v>
      </c>
      <c r="R1961" s="8" t="s">
        <v>3142</v>
      </c>
      <c r="S1961" s="8" t="s">
        <v>11325</v>
      </c>
      <c r="T1961" s="8" t="s">
        <v>11326</v>
      </c>
      <c r="U1961" s="8" t="s">
        <v>8546</v>
      </c>
      <c r="V1961" s="8" t="s">
        <v>11327</v>
      </c>
      <c r="W1961" s="8" t="s">
        <v>11328</v>
      </c>
    </row>
    <row r="1962" spans="1:23" ht="28" customHeight="1" x14ac:dyDescent="0.3">
      <c r="A1962" s="308">
        <v>43342</v>
      </c>
      <c r="B1962" s="302">
        <v>984.41499999999996</v>
      </c>
      <c r="C1962" s="8">
        <v>-4.3010000000000002</v>
      </c>
      <c r="D1962" s="268">
        <v>-4.3E-3</v>
      </c>
      <c r="E1962" s="8">
        <v>23.38</v>
      </c>
      <c r="F1962" s="8">
        <v>99.585999999999999</v>
      </c>
      <c r="G1962" s="8">
        <v>98.457999999999998</v>
      </c>
      <c r="H1962" s="8">
        <v>79.819999999999993</v>
      </c>
      <c r="I1962" s="8">
        <v>130.78</v>
      </c>
      <c r="J1962" s="8">
        <v>89.18</v>
      </c>
      <c r="K1962" s="268">
        <v>0.312</v>
      </c>
      <c r="L1962" s="268">
        <v>0.21299999999999999</v>
      </c>
      <c r="M1962" s="268">
        <v>2.5000000000000001E-2</v>
      </c>
      <c r="N1962" s="8">
        <v>12.02</v>
      </c>
      <c r="O1962" s="8">
        <v>1161.33</v>
      </c>
      <c r="P1962" s="268">
        <v>1.04E-2</v>
      </c>
      <c r="Q1962" s="8">
        <v>88</v>
      </c>
      <c r="R1962" s="8" t="s">
        <v>9593</v>
      </c>
      <c r="S1962" s="8" t="s">
        <v>4955</v>
      </c>
      <c r="T1962" s="8" t="s">
        <v>11329</v>
      </c>
      <c r="U1962" s="8" t="s">
        <v>11241</v>
      </c>
      <c r="V1962" s="8" t="s">
        <v>6443</v>
      </c>
      <c r="W1962" s="8" t="s">
        <v>9693</v>
      </c>
    </row>
    <row r="1963" spans="1:23" ht="28" customHeight="1" x14ac:dyDescent="0.3">
      <c r="A1963" s="308">
        <v>43341</v>
      </c>
      <c r="B1963" s="302">
        <v>988.71600000000001</v>
      </c>
      <c r="C1963" s="8">
        <v>-2.4529999999999998</v>
      </c>
      <c r="D1963" s="268">
        <v>-2.5000000000000001E-3</v>
      </c>
      <c r="E1963" s="8">
        <v>25.48</v>
      </c>
      <c r="F1963" s="8">
        <v>100.146</v>
      </c>
      <c r="G1963" s="8">
        <v>98.6</v>
      </c>
      <c r="H1963" s="8">
        <v>82.46</v>
      </c>
      <c r="I1963" s="8">
        <v>130.27000000000001</v>
      </c>
      <c r="J1963" s="8">
        <v>80</v>
      </c>
      <c r="K1963" s="268">
        <v>0.30120000000000002</v>
      </c>
      <c r="L1963" s="268">
        <v>0.21329999999999999</v>
      </c>
      <c r="M1963" s="268">
        <v>2.4E-2</v>
      </c>
      <c r="N1963" s="8">
        <v>12.01</v>
      </c>
      <c r="O1963" s="8">
        <v>1159.99</v>
      </c>
      <c r="P1963" s="268">
        <v>1.04E-2</v>
      </c>
      <c r="Q1963" s="8">
        <v>87</v>
      </c>
      <c r="R1963" s="8" t="s">
        <v>3142</v>
      </c>
      <c r="S1963" s="8" t="s">
        <v>11330</v>
      </c>
      <c r="T1963" s="8" t="s">
        <v>11331</v>
      </c>
      <c r="U1963" s="8" t="s">
        <v>6915</v>
      </c>
      <c r="V1963" s="8" t="s">
        <v>4148</v>
      </c>
      <c r="W1963" s="8" t="s">
        <v>11332</v>
      </c>
    </row>
    <row r="1964" spans="1:23" ht="28" customHeight="1" x14ac:dyDescent="0.3">
      <c r="A1964" s="308">
        <v>43340</v>
      </c>
      <c r="B1964" s="302">
        <v>991.16899999999998</v>
      </c>
      <c r="C1964" s="8">
        <v>3.68</v>
      </c>
      <c r="D1964" s="268">
        <v>3.7000000000000002E-3</v>
      </c>
      <c r="E1964" s="8">
        <v>30.88</v>
      </c>
      <c r="F1964" s="8">
        <v>100.428</v>
      </c>
      <c r="G1964" s="8">
        <v>98.97</v>
      </c>
      <c r="H1964" s="8">
        <v>82.11</v>
      </c>
      <c r="I1964" s="8">
        <v>130.19999999999999</v>
      </c>
      <c r="J1964" s="8">
        <v>85.42</v>
      </c>
      <c r="K1964" s="268">
        <v>0.29780000000000001</v>
      </c>
      <c r="L1964" s="268">
        <v>0.20549999999999999</v>
      </c>
      <c r="M1964" s="268">
        <v>2.35E-2</v>
      </c>
      <c r="N1964" s="8">
        <v>17.91</v>
      </c>
      <c r="O1964" s="8">
        <v>1159.99</v>
      </c>
      <c r="P1964" s="268">
        <v>1.54E-2</v>
      </c>
      <c r="Q1964" s="8">
        <v>87</v>
      </c>
      <c r="R1964" s="8" t="s">
        <v>11111</v>
      </c>
      <c r="S1964" s="8" t="s">
        <v>3825</v>
      </c>
      <c r="T1964" s="8" t="s">
        <v>11333</v>
      </c>
      <c r="U1964" s="8" t="s">
        <v>11190</v>
      </c>
      <c r="V1964" s="8" t="s">
        <v>11334</v>
      </c>
      <c r="W1964" s="8" t="s">
        <v>11335</v>
      </c>
    </row>
    <row r="1965" spans="1:23" ht="28" customHeight="1" x14ac:dyDescent="0.3">
      <c r="A1965" s="308">
        <v>43339</v>
      </c>
      <c r="B1965" s="302">
        <v>987.48900000000003</v>
      </c>
      <c r="C1965" s="8">
        <v>6.7519999999999998</v>
      </c>
      <c r="D1965" s="268">
        <v>6.8999999999999999E-3</v>
      </c>
      <c r="E1965" s="8">
        <v>26.67</v>
      </c>
      <c r="F1965" s="8">
        <v>100.09099999999999</v>
      </c>
      <c r="G1965" s="8">
        <v>98.88</v>
      </c>
      <c r="H1965" s="8">
        <v>81.41</v>
      </c>
      <c r="I1965" s="8">
        <v>130.59</v>
      </c>
      <c r="J1965" s="8">
        <v>80.45</v>
      </c>
      <c r="K1965" s="268">
        <v>0.30499999999999999</v>
      </c>
      <c r="L1965" s="268">
        <v>0.21829999999999999</v>
      </c>
      <c r="M1965" s="268">
        <v>2.41E-2</v>
      </c>
      <c r="N1965" s="8">
        <v>19.89</v>
      </c>
      <c r="O1965" s="8">
        <v>1151.31</v>
      </c>
      <c r="P1965" s="268">
        <v>1.7299999999999999E-2</v>
      </c>
      <c r="Q1965" s="8">
        <v>85</v>
      </c>
      <c r="R1965" s="8" t="s">
        <v>8322</v>
      </c>
      <c r="S1965" s="8" t="s">
        <v>11336</v>
      </c>
      <c r="T1965" s="8" t="s">
        <v>11337</v>
      </c>
      <c r="U1965" s="8" t="s">
        <v>11338</v>
      </c>
      <c r="V1965" s="8" t="s">
        <v>11339</v>
      </c>
      <c r="W1965" s="8" t="s">
        <v>11340</v>
      </c>
    </row>
    <row r="1966" spans="1:23" ht="28" customHeight="1" x14ac:dyDescent="0.3">
      <c r="A1966" s="308">
        <v>43336</v>
      </c>
      <c r="B1966" s="302">
        <v>980.73699999999997</v>
      </c>
      <c r="C1966" s="8">
        <v>1.502</v>
      </c>
      <c r="D1966" s="268">
        <v>1.5E-3</v>
      </c>
      <c r="E1966" s="8">
        <v>17.5</v>
      </c>
      <c r="F1966" s="8">
        <v>99.353999999999999</v>
      </c>
      <c r="G1966" s="8">
        <v>97.62</v>
      </c>
      <c r="H1966" s="8">
        <v>79</v>
      </c>
      <c r="I1966" s="8">
        <v>132.13</v>
      </c>
      <c r="J1966" s="8">
        <v>89.09</v>
      </c>
      <c r="K1966" s="268">
        <v>0.32779999999999998</v>
      </c>
      <c r="L1966" s="268">
        <v>0.2437</v>
      </c>
      <c r="M1966" s="268">
        <v>2.5399999999999999E-2</v>
      </c>
      <c r="N1966" s="8">
        <v>18.32</v>
      </c>
      <c r="O1966" s="8">
        <v>1151.31</v>
      </c>
      <c r="P1966" s="268">
        <v>1.5900000000000001E-2</v>
      </c>
      <c r="Q1966" s="8">
        <v>85</v>
      </c>
      <c r="R1966" s="8" t="s">
        <v>11341</v>
      </c>
      <c r="S1966" s="8" t="s">
        <v>11342</v>
      </c>
      <c r="T1966" s="8" t="s">
        <v>7853</v>
      </c>
      <c r="U1966" s="8" t="s">
        <v>10002</v>
      </c>
      <c r="V1966" s="8" t="s">
        <v>2558</v>
      </c>
      <c r="W1966" s="8" t="s">
        <v>11343</v>
      </c>
    </row>
    <row r="1967" spans="1:23" ht="28" customHeight="1" x14ac:dyDescent="0.3">
      <c r="A1967" s="308">
        <v>43335</v>
      </c>
      <c r="B1967" s="302">
        <v>979.23500000000001</v>
      </c>
      <c r="C1967" s="8">
        <v>1.6259999999999999</v>
      </c>
      <c r="D1967" s="268">
        <v>1.6999999999999999E-3</v>
      </c>
      <c r="E1967" s="8">
        <v>18.48</v>
      </c>
      <c r="F1967" s="8">
        <v>99.113</v>
      </c>
      <c r="G1967" s="8">
        <v>98.015000000000001</v>
      </c>
      <c r="H1967" s="8">
        <v>78.489999999999995</v>
      </c>
      <c r="I1967" s="8">
        <v>131.76</v>
      </c>
      <c r="J1967" s="8">
        <v>86.64</v>
      </c>
      <c r="K1967" s="268">
        <v>0.32650000000000001</v>
      </c>
      <c r="L1967" s="268">
        <v>0.2326</v>
      </c>
      <c r="M1967" s="268">
        <v>2.5899999999999999E-2</v>
      </c>
      <c r="N1967" s="8">
        <v>11.68</v>
      </c>
      <c r="O1967" s="8">
        <v>1140.1400000000001</v>
      </c>
      <c r="P1967" s="268">
        <v>1.0200000000000001E-2</v>
      </c>
      <c r="Q1967" s="8">
        <v>84</v>
      </c>
      <c r="R1967" s="8" t="s">
        <v>11317</v>
      </c>
      <c r="S1967" s="8" t="s">
        <v>11342</v>
      </c>
      <c r="T1967" s="8" t="s">
        <v>11344</v>
      </c>
      <c r="U1967" s="8" t="s">
        <v>6506</v>
      </c>
      <c r="V1967" s="8" t="s">
        <v>11345</v>
      </c>
      <c r="W1967" s="8" t="s">
        <v>3631</v>
      </c>
    </row>
    <row r="1968" spans="1:23" ht="28" customHeight="1" x14ac:dyDescent="0.3">
      <c r="A1968" s="308">
        <v>43334</v>
      </c>
      <c r="B1968" s="302">
        <v>977.60900000000004</v>
      </c>
      <c r="C1968" s="8">
        <v>-2.6019999999999999</v>
      </c>
      <c r="D1968" s="268">
        <v>-2.7000000000000001E-3</v>
      </c>
      <c r="E1968" s="8">
        <v>16.78</v>
      </c>
      <c r="F1968" s="8">
        <v>98.93</v>
      </c>
      <c r="G1968" s="8">
        <v>97.594999999999999</v>
      </c>
      <c r="H1968" s="8">
        <v>78.16</v>
      </c>
      <c r="I1968" s="8">
        <v>132.04</v>
      </c>
      <c r="J1968" s="8">
        <v>90.52</v>
      </c>
      <c r="K1968" s="268">
        <v>0.33110000000000001</v>
      </c>
      <c r="L1968" s="268">
        <v>0.23430000000000001</v>
      </c>
      <c r="M1968" s="268">
        <v>2.6200000000000001E-2</v>
      </c>
      <c r="N1968" s="8">
        <v>11.03</v>
      </c>
      <c r="O1968" s="8">
        <v>1140.1400000000001</v>
      </c>
      <c r="P1968" s="268">
        <v>9.7000000000000003E-3</v>
      </c>
      <c r="Q1968" s="8">
        <v>84</v>
      </c>
      <c r="R1968" s="8" t="s">
        <v>11346</v>
      </c>
      <c r="S1968" s="8" t="s">
        <v>11347</v>
      </c>
      <c r="T1968" s="8" t="s">
        <v>11348</v>
      </c>
      <c r="U1968" s="8" t="s">
        <v>11349</v>
      </c>
      <c r="V1968" s="8" t="s">
        <v>5894</v>
      </c>
      <c r="W1968" s="8" t="s">
        <v>9338</v>
      </c>
    </row>
    <row r="1969" spans="1:23" ht="28" customHeight="1" x14ac:dyDescent="0.3">
      <c r="A1969" s="308">
        <v>43333</v>
      </c>
      <c r="B1969" s="302">
        <v>980.21100000000001</v>
      </c>
      <c r="C1969" s="8">
        <v>5.7249999999999996</v>
      </c>
      <c r="D1969" s="268">
        <v>5.8999999999999999E-3</v>
      </c>
      <c r="E1969" s="8">
        <v>17.440000000000001</v>
      </c>
      <c r="F1969" s="8">
        <v>99.325000000000003</v>
      </c>
      <c r="G1969" s="8">
        <v>98.17</v>
      </c>
      <c r="H1969" s="8">
        <v>78.09</v>
      </c>
      <c r="I1969" s="8">
        <v>131.63</v>
      </c>
      <c r="J1969" s="8">
        <v>84.62</v>
      </c>
      <c r="K1969" s="268">
        <v>0.3231</v>
      </c>
      <c r="L1969" s="268">
        <v>0.2359</v>
      </c>
      <c r="M1969" s="268">
        <v>2.5499999999999998E-2</v>
      </c>
      <c r="N1969" s="8">
        <v>16.170000000000002</v>
      </c>
      <c r="O1969" s="8">
        <v>1138.97</v>
      </c>
      <c r="P1969" s="268">
        <v>1.4200000000000001E-2</v>
      </c>
      <c r="Q1969" s="8">
        <v>83</v>
      </c>
      <c r="R1969" s="8" t="s">
        <v>10247</v>
      </c>
      <c r="S1969" s="8" t="s">
        <v>11350</v>
      </c>
      <c r="T1969" s="8" t="s">
        <v>11351</v>
      </c>
      <c r="U1969" s="8" t="s">
        <v>11352</v>
      </c>
      <c r="V1969" s="8" t="s">
        <v>8311</v>
      </c>
      <c r="W1969" s="8" t="s">
        <v>11353</v>
      </c>
    </row>
    <row r="1970" spans="1:23" ht="28" customHeight="1" x14ac:dyDescent="0.3">
      <c r="A1970" s="308">
        <v>43332</v>
      </c>
      <c r="B1970" s="302">
        <v>974.48599999999999</v>
      </c>
      <c r="C1970" s="8">
        <v>-1.361</v>
      </c>
      <c r="D1970" s="268">
        <v>-1.4E-3</v>
      </c>
      <c r="E1970" s="8">
        <v>11.68</v>
      </c>
      <c r="F1970" s="8">
        <v>98.805000000000007</v>
      </c>
      <c r="G1970" s="8">
        <v>97.95</v>
      </c>
      <c r="H1970" s="8">
        <v>77.010000000000005</v>
      </c>
      <c r="I1970" s="8">
        <v>132.53</v>
      </c>
      <c r="J1970" s="8">
        <v>88.39</v>
      </c>
      <c r="K1970" s="268">
        <v>0.33729999999999999</v>
      </c>
      <c r="L1970" s="268">
        <v>0.23760000000000001</v>
      </c>
      <c r="M1970" s="268">
        <v>2.6499999999999999E-2</v>
      </c>
      <c r="N1970" s="8">
        <v>10.46</v>
      </c>
      <c r="O1970" s="8">
        <v>1125.7</v>
      </c>
      <c r="P1970" s="268">
        <v>9.2999999999999992E-3</v>
      </c>
      <c r="Q1970" s="8">
        <v>81</v>
      </c>
      <c r="R1970" s="8" t="s">
        <v>11354</v>
      </c>
      <c r="S1970" s="8" t="s">
        <v>11355</v>
      </c>
      <c r="T1970" s="8" t="s">
        <v>11356</v>
      </c>
      <c r="U1970" s="8" t="s">
        <v>11018</v>
      </c>
      <c r="V1970" s="8" t="s">
        <v>3970</v>
      </c>
      <c r="W1970" s="8" t="s">
        <v>11357</v>
      </c>
    </row>
    <row r="1971" spans="1:23" ht="28" customHeight="1" x14ac:dyDescent="0.3">
      <c r="A1971" s="308">
        <v>43329</v>
      </c>
      <c r="B1971" s="302">
        <v>975.84699999999998</v>
      </c>
      <c r="C1971" s="8">
        <v>-3.58</v>
      </c>
      <c r="D1971" s="268">
        <v>-3.7000000000000002E-3</v>
      </c>
      <c r="E1971" s="8">
        <v>14.29</v>
      </c>
      <c r="F1971" s="8">
        <v>98.953000000000003</v>
      </c>
      <c r="G1971" s="8">
        <v>97.32</v>
      </c>
      <c r="H1971" s="8">
        <v>76.87</v>
      </c>
      <c r="I1971" s="8">
        <v>133.66999999999999</v>
      </c>
      <c r="J1971" s="8">
        <v>94.72</v>
      </c>
      <c r="K1971" s="268">
        <v>0.34720000000000001</v>
      </c>
      <c r="L1971" s="268">
        <v>0.25609999999999999</v>
      </c>
      <c r="M1971" s="268">
        <v>2.6200000000000001E-2</v>
      </c>
      <c r="N1971" s="8">
        <v>10.47</v>
      </c>
      <c r="O1971" s="8">
        <v>1125.7</v>
      </c>
      <c r="P1971" s="268">
        <v>9.2999999999999992E-3</v>
      </c>
      <c r="Q1971" s="8">
        <v>81</v>
      </c>
      <c r="R1971" s="8" t="s">
        <v>2784</v>
      </c>
      <c r="S1971" s="8" t="s">
        <v>10393</v>
      </c>
      <c r="T1971" s="8" t="s">
        <v>11358</v>
      </c>
      <c r="U1971" s="8" t="s">
        <v>11359</v>
      </c>
      <c r="V1971" s="8" t="s">
        <v>11360</v>
      </c>
      <c r="W1971" s="8" t="s">
        <v>11361</v>
      </c>
    </row>
    <row r="1972" spans="1:23" ht="28" customHeight="1" x14ac:dyDescent="0.3">
      <c r="A1972" s="308">
        <v>43328</v>
      </c>
      <c r="B1972" s="302">
        <v>979.42700000000002</v>
      </c>
      <c r="C1972" s="8">
        <v>-1.7529999999999999</v>
      </c>
      <c r="D1972" s="268">
        <v>-1.8E-3</v>
      </c>
      <c r="E1972" s="8">
        <v>15.38</v>
      </c>
      <c r="F1972" s="8">
        <v>99.367000000000004</v>
      </c>
      <c r="G1972" s="8">
        <v>97.921000000000006</v>
      </c>
      <c r="H1972" s="8">
        <v>78.42</v>
      </c>
      <c r="I1972" s="8">
        <v>132.19</v>
      </c>
      <c r="J1972" s="8">
        <v>90.43</v>
      </c>
      <c r="K1972" s="268">
        <v>0.32829999999999998</v>
      </c>
      <c r="L1972" s="268">
        <v>0.23430000000000001</v>
      </c>
      <c r="M1972" s="268">
        <v>2.5399999999999999E-2</v>
      </c>
      <c r="N1972" s="8">
        <v>12.99</v>
      </c>
      <c r="O1972" s="8">
        <v>1125.7</v>
      </c>
      <c r="P1972" s="268">
        <v>1.15E-2</v>
      </c>
      <c r="Q1972" s="8">
        <v>81</v>
      </c>
      <c r="R1972" s="8" t="s">
        <v>11362</v>
      </c>
      <c r="S1972" s="8" t="s">
        <v>11363</v>
      </c>
      <c r="T1972" s="8" t="s">
        <v>11364</v>
      </c>
      <c r="U1972" s="8" t="s">
        <v>11365</v>
      </c>
      <c r="V1972" s="8" t="s">
        <v>3996</v>
      </c>
      <c r="W1972" s="8" t="s">
        <v>11366</v>
      </c>
    </row>
    <row r="1973" spans="1:23" ht="28" customHeight="1" x14ac:dyDescent="0.3">
      <c r="A1973" s="308">
        <v>43327</v>
      </c>
      <c r="B1973" s="302">
        <v>981.18</v>
      </c>
      <c r="C1973" s="8">
        <v>-6.1959999999999997</v>
      </c>
      <c r="D1973" s="268">
        <v>-6.3E-3</v>
      </c>
      <c r="E1973" s="8">
        <v>17.29</v>
      </c>
      <c r="F1973" s="8">
        <v>99.525000000000006</v>
      </c>
      <c r="G1973" s="8">
        <v>98.74</v>
      </c>
      <c r="H1973" s="8">
        <v>79.180000000000007</v>
      </c>
      <c r="I1973" s="8">
        <v>131.5</v>
      </c>
      <c r="J1973" s="8">
        <v>90.97</v>
      </c>
      <c r="K1973" s="268">
        <v>0.31979999999999997</v>
      </c>
      <c r="L1973" s="268">
        <v>0.22950000000000001</v>
      </c>
      <c r="M1973" s="268">
        <v>2.5000000000000001E-2</v>
      </c>
      <c r="N1973" s="8">
        <v>11.71</v>
      </c>
      <c r="O1973" s="8">
        <v>1125.7</v>
      </c>
      <c r="P1973" s="268">
        <v>1.04E-2</v>
      </c>
      <c r="Q1973" s="8">
        <v>81</v>
      </c>
      <c r="R1973" s="8" t="s">
        <v>11367</v>
      </c>
      <c r="S1973" s="8" t="s">
        <v>11368</v>
      </c>
      <c r="T1973" s="8" t="s">
        <v>11369</v>
      </c>
      <c r="U1973" s="8" t="s">
        <v>11370</v>
      </c>
      <c r="V1973" s="8" t="s">
        <v>11371</v>
      </c>
      <c r="W1973" s="8" t="s">
        <v>9338</v>
      </c>
    </row>
    <row r="1974" spans="1:23" ht="28" customHeight="1" x14ac:dyDescent="0.3">
      <c r="A1974" s="308">
        <v>43326</v>
      </c>
      <c r="B1974" s="302">
        <v>987.37599999999998</v>
      </c>
      <c r="C1974" s="8">
        <v>-4.3890000000000002</v>
      </c>
      <c r="D1974" s="268">
        <v>-4.4000000000000003E-3</v>
      </c>
      <c r="E1974" s="8">
        <v>23.23</v>
      </c>
      <c r="F1974" s="8">
        <v>100.883</v>
      </c>
      <c r="G1974" s="8">
        <v>99.2</v>
      </c>
      <c r="H1974" s="8">
        <v>80.290000000000006</v>
      </c>
      <c r="I1974" s="8">
        <v>132.25</v>
      </c>
      <c r="J1974" s="8">
        <v>82.5</v>
      </c>
      <c r="K1974" s="268">
        <v>0.31359999999999999</v>
      </c>
      <c r="L1974" s="268">
        <v>0.2339</v>
      </c>
      <c r="M1974" s="268">
        <v>2.2499999999999999E-2</v>
      </c>
      <c r="N1974" s="8">
        <v>8.24</v>
      </c>
      <c r="O1974" s="8">
        <v>1115.5899999999999</v>
      </c>
      <c r="P1974" s="268">
        <v>7.4000000000000003E-3</v>
      </c>
      <c r="Q1974" s="8">
        <v>79</v>
      </c>
      <c r="R1974" s="8" t="s">
        <v>11372</v>
      </c>
      <c r="S1974" s="8" t="s">
        <v>11373</v>
      </c>
      <c r="T1974" s="8" t="s">
        <v>11374</v>
      </c>
      <c r="U1974" s="8" t="s">
        <v>3693</v>
      </c>
      <c r="V1974" s="8" t="s">
        <v>9063</v>
      </c>
      <c r="W1974" s="8" t="s">
        <v>2640</v>
      </c>
    </row>
    <row r="1975" spans="1:23" ht="28" customHeight="1" x14ac:dyDescent="0.3">
      <c r="A1975" s="308">
        <v>43325</v>
      </c>
      <c r="B1975" s="302">
        <v>991.76499999999999</v>
      </c>
      <c r="C1975" s="8">
        <v>0.37</v>
      </c>
      <c r="D1975" s="268">
        <v>4.0000000000000002E-4</v>
      </c>
      <c r="E1975" s="8">
        <v>24.18</v>
      </c>
      <c r="F1975" s="8">
        <v>101.705</v>
      </c>
      <c r="G1975" s="8">
        <v>99.48</v>
      </c>
      <c r="H1975" s="8">
        <v>81</v>
      </c>
      <c r="I1975" s="8">
        <v>131.93</v>
      </c>
      <c r="J1975" s="8">
        <v>82.11</v>
      </c>
      <c r="K1975" s="268">
        <v>0.30230000000000001</v>
      </c>
      <c r="L1975" s="268">
        <v>0.2366</v>
      </c>
      <c r="M1975" s="268">
        <v>2.0400000000000001E-2</v>
      </c>
      <c r="N1975" s="8">
        <v>13.53</v>
      </c>
      <c r="O1975" s="8">
        <v>1105.8</v>
      </c>
      <c r="P1975" s="268">
        <v>1.2200000000000001E-2</v>
      </c>
      <c r="Q1975" s="8">
        <v>77</v>
      </c>
      <c r="R1975" s="8" t="s">
        <v>9608</v>
      </c>
      <c r="S1975" s="8" t="s">
        <v>11375</v>
      </c>
      <c r="T1975" s="8" t="s">
        <v>11376</v>
      </c>
      <c r="U1975" s="8" t="s">
        <v>11377</v>
      </c>
      <c r="V1975" s="8" t="s">
        <v>3958</v>
      </c>
      <c r="W1975" s="8" t="s">
        <v>11378</v>
      </c>
    </row>
    <row r="1976" spans="1:23" ht="28" customHeight="1" x14ac:dyDescent="0.3">
      <c r="A1976" s="308">
        <v>43322</v>
      </c>
      <c r="B1976" s="302">
        <v>991.39499999999998</v>
      </c>
      <c r="C1976" s="8">
        <v>1.28</v>
      </c>
      <c r="D1976" s="268">
        <v>1.2999999999999999E-3</v>
      </c>
      <c r="E1976" s="8">
        <v>28.22</v>
      </c>
      <c r="F1976" s="8">
        <v>101.306</v>
      </c>
      <c r="G1976" s="8">
        <v>99.385000000000005</v>
      </c>
      <c r="H1976" s="8">
        <v>77.98</v>
      </c>
      <c r="I1976" s="8">
        <v>134.30000000000001</v>
      </c>
      <c r="J1976" s="8">
        <v>86.11</v>
      </c>
      <c r="K1976" s="268">
        <v>0.32990000000000003</v>
      </c>
      <c r="L1976" s="268">
        <v>0.24299999999999999</v>
      </c>
      <c r="M1976" s="268">
        <v>2.1499999999999998E-2</v>
      </c>
      <c r="N1976" s="8">
        <v>13.14</v>
      </c>
      <c r="O1976" s="8">
        <v>1114.24</v>
      </c>
      <c r="P1976" s="268">
        <v>1.18E-2</v>
      </c>
      <c r="Q1976" s="8">
        <v>78</v>
      </c>
      <c r="R1976" s="8" t="s">
        <v>11379</v>
      </c>
      <c r="S1976" s="8" t="s">
        <v>11380</v>
      </c>
      <c r="T1976" s="8" t="s">
        <v>11381</v>
      </c>
      <c r="U1976" s="8" t="s">
        <v>2392</v>
      </c>
      <c r="V1976" s="8" t="s">
        <v>6386</v>
      </c>
      <c r="W1976" s="8" t="s">
        <v>11382</v>
      </c>
    </row>
    <row r="1977" spans="1:23" ht="28" customHeight="1" x14ac:dyDescent="0.3">
      <c r="A1977" s="308">
        <v>43321</v>
      </c>
      <c r="B1977" s="302">
        <v>990.11500000000001</v>
      </c>
      <c r="C1977" s="8">
        <v>9.7959999999999994</v>
      </c>
      <c r="D1977" s="268">
        <v>0.01</v>
      </c>
      <c r="E1977" s="8">
        <v>25.29</v>
      </c>
      <c r="F1977" s="8">
        <v>101.139</v>
      </c>
      <c r="G1977" s="8">
        <v>99.64</v>
      </c>
      <c r="H1977" s="8">
        <v>77.94</v>
      </c>
      <c r="I1977" s="8">
        <v>135.66999999999999</v>
      </c>
      <c r="J1977" s="8">
        <v>90.48</v>
      </c>
      <c r="K1977" s="268">
        <v>0.3453</v>
      </c>
      <c r="L1977" s="268">
        <v>0.2457</v>
      </c>
      <c r="M1977" s="268">
        <v>2.1600000000000001E-2</v>
      </c>
      <c r="N1977" s="8">
        <v>17.5</v>
      </c>
      <c r="O1977" s="8">
        <v>1114.24</v>
      </c>
      <c r="P1977" s="268">
        <v>1.5699999999999999E-2</v>
      </c>
      <c r="Q1977" s="8">
        <v>78</v>
      </c>
      <c r="R1977" s="8" t="s">
        <v>11383</v>
      </c>
      <c r="S1977" s="8" t="s">
        <v>11384</v>
      </c>
      <c r="T1977" s="8" t="s">
        <v>11385</v>
      </c>
      <c r="U1977" s="8" t="s">
        <v>11386</v>
      </c>
      <c r="V1977" s="8" t="s">
        <v>11387</v>
      </c>
      <c r="W1977" s="8" t="s">
        <v>11388</v>
      </c>
    </row>
    <row r="1978" spans="1:23" ht="28" customHeight="1" x14ac:dyDescent="0.3">
      <c r="A1978" s="308">
        <v>43320</v>
      </c>
      <c r="B1978" s="302">
        <v>980.31899999999996</v>
      </c>
      <c r="C1978" s="8">
        <v>-4.5620000000000003</v>
      </c>
      <c r="D1978" s="268">
        <v>-4.5999999999999999E-3</v>
      </c>
      <c r="E1978" s="8">
        <v>16.100000000000001</v>
      </c>
      <c r="F1978" s="8">
        <v>100.084</v>
      </c>
      <c r="G1978" s="8">
        <v>98.58</v>
      </c>
      <c r="H1978" s="8">
        <v>76.239999999999995</v>
      </c>
      <c r="I1978" s="8">
        <v>136.54</v>
      </c>
      <c r="J1978" s="8">
        <v>95.16</v>
      </c>
      <c r="K1978" s="268">
        <v>0.36449999999999999</v>
      </c>
      <c r="L1978" s="268">
        <v>0.26019999999999999</v>
      </c>
      <c r="M1978" s="268">
        <v>2.3599999999999999E-2</v>
      </c>
      <c r="N1978" s="8">
        <v>11.4</v>
      </c>
      <c r="O1978" s="8">
        <v>1114.24</v>
      </c>
      <c r="P1978" s="268">
        <v>1.0200000000000001E-2</v>
      </c>
      <c r="Q1978" s="8">
        <v>78</v>
      </c>
      <c r="R1978" s="8" t="s">
        <v>10137</v>
      </c>
      <c r="S1978" s="8" t="s">
        <v>8545</v>
      </c>
      <c r="T1978" s="8" t="s">
        <v>11389</v>
      </c>
      <c r="U1978" s="8" t="s">
        <v>10785</v>
      </c>
      <c r="V1978" s="8" t="s">
        <v>11390</v>
      </c>
      <c r="W1978" s="8" t="s">
        <v>11391</v>
      </c>
    </row>
    <row r="1979" spans="1:23" ht="28" customHeight="1" x14ac:dyDescent="0.3">
      <c r="A1979" s="308">
        <v>43319</v>
      </c>
      <c r="B1979" s="302">
        <v>984.88099999999997</v>
      </c>
      <c r="C1979" s="8">
        <v>8.6890000000000001</v>
      </c>
      <c r="D1979" s="268">
        <v>8.8999999999999999E-3</v>
      </c>
      <c r="E1979" s="8">
        <v>21.63</v>
      </c>
      <c r="F1979" s="8">
        <v>100.604</v>
      </c>
      <c r="G1979" s="8">
        <v>98.58</v>
      </c>
      <c r="H1979" s="8">
        <v>77.150000000000006</v>
      </c>
      <c r="I1979" s="8">
        <v>135.30000000000001</v>
      </c>
      <c r="J1979" s="8">
        <v>92.55</v>
      </c>
      <c r="K1979" s="268">
        <v>0.34699999999999998</v>
      </c>
      <c r="L1979" s="268">
        <v>0.2402</v>
      </c>
      <c r="M1979" s="268">
        <v>2.2700000000000001E-2</v>
      </c>
      <c r="N1979" s="8">
        <v>19.3</v>
      </c>
      <c r="O1979" s="8">
        <v>1114.24</v>
      </c>
      <c r="P1979" s="268">
        <v>1.7299999999999999E-2</v>
      </c>
      <c r="Q1979" s="8">
        <v>78</v>
      </c>
      <c r="R1979" s="8" t="s">
        <v>11392</v>
      </c>
      <c r="S1979" s="8" t="s">
        <v>11393</v>
      </c>
      <c r="T1979" s="8" t="s">
        <v>5481</v>
      </c>
      <c r="U1979" s="8" t="s">
        <v>11394</v>
      </c>
      <c r="V1979" s="8" t="s">
        <v>11395</v>
      </c>
      <c r="W1979" s="8" t="s">
        <v>11396</v>
      </c>
    </row>
    <row r="1980" spans="1:23" ht="28" customHeight="1" x14ac:dyDescent="0.3">
      <c r="A1980" s="308">
        <v>43318</v>
      </c>
      <c r="B1980" s="302">
        <v>976.19200000000001</v>
      </c>
      <c r="C1980" s="8">
        <v>-7.6280000000000001</v>
      </c>
      <c r="D1980" s="268">
        <v>-7.7999999999999996E-3</v>
      </c>
      <c r="E1980" s="8">
        <v>12.5</v>
      </c>
      <c r="F1980" s="8">
        <v>99.65</v>
      </c>
      <c r="G1980" s="8">
        <v>97.89</v>
      </c>
      <c r="H1980" s="8">
        <v>77.540000000000006</v>
      </c>
      <c r="I1980" s="8">
        <v>136.13</v>
      </c>
      <c r="J1980" s="8">
        <v>98.33</v>
      </c>
      <c r="K1980" s="268">
        <v>0.36480000000000001</v>
      </c>
      <c r="L1980" s="268">
        <v>0.27</v>
      </c>
      <c r="M1980" s="268">
        <v>2.4299999999999999E-2</v>
      </c>
      <c r="N1980" s="8">
        <v>11.48</v>
      </c>
      <c r="O1980" s="8">
        <v>1069.56</v>
      </c>
      <c r="P1980" s="268">
        <v>1.0699999999999999E-2</v>
      </c>
      <c r="Q1980" s="8">
        <v>77</v>
      </c>
      <c r="R1980" s="8" t="s">
        <v>11056</v>
      </c>
      <c r="S1980" s="8" t="s">
        <v>11397</v>
      </c>
      <c r="T1980" s="8" t="s">
        <v>11398</v>
      </c>
      <c r="U1980" s="8" t="s">
        <v>11399</v>
      </c>
      <c r="V1980" s="8" t="s">
        <v>11400</v>
      </c>
      <c r="W1980" s="8" t="s">
        <v>11401</v>
      </c>
    </row>
    <row r="1981" spans="1:23" ht="28" customHeight="1" x14ac:dyDescent="0.3">
      <c r="A1981" s="308">
        <v>43315</v>
      </c>
      <c r="B1981" s="302">
        <v>983.82</v>
      </c>
      <c r="C1981" s="8">
        <v>-2.4700000000000002</v>
      </c>
      <c r="D1981" s="268">
        <v>-2.5000000000000001E-3</v>
      </c>
      <c r="E1981" s="8">
        <v>14.93</v>
      </c>
      <c r="F1981" s="8">
        <v>100.581</v>
      </c>
      <c r="G1981" s="8">
        <v>98</v>
      </c>
      <c r="H1981" s="8">
        <v>79.09</v>
      </c>
      <c r="I1981" s="8">
        <v>134.82</v>
      </c>
      <c r="J1981" s="8">
        <v>96.58</v>
      </c>
      <c r="K1981" s="268">
        <v>0.34229999999999999</v>
      </c>
      <c r="L1981" s="268">
        <v>0.25230000000000002</v>
      </c>
      <c r="M1981" s="268">
        <v>2.2800000000000001E-2</v>
      </c>
      <c r="N1981" s="8">
        <v>13.04</v>
      </c>
      <c r="O1981" s="8">
        <v>1069.56</v>
      </c>
      <c r="P1981" s="268">
        <v>1.2200000000000001E-2</v>
      </c>
      <c r="Q1981" s="8">
        <v>77</v>
      </c>
      <c r="R1981" s="8" t="s">
        <v>11402</v>
      </c>
      <c r="S1981" s="8" t="s">
        <v>7267</v>
      </c>
      <c r="T1981" s="8" t="s">
        <v>10193</v>
      </c>
      <c r="U1981" s="8" t="s">
        <v>10965</v>
      </c>
      <c r="V1981" s="8" t="s">
        <v>11403</v>
      </c>
      <c r="W1981" s="8" t="s">
        <v>5465</v>
      </c>
    </row>
    <row r="1982" spans="1:23" ht="28" customHeight="1" x14ac:dyDescent="0.3">
      <c r="A1982" s="308">
        <v>43314</v>
      </c>
      <c r="B1982" s="302">
        <v>986.29</v>
      </c>
      <c r="C1982" s="8">
        <v>-6.8339999999999996</v>
      </c>
      <c r="D1982" s="268">
        <v>-6.8999999999999999E-3</v>
      </c>
      <c r="E1982" s="8">
        <v>15.75</v>
      </c>
      <c r="F1982" s="8">
        <v>100.877</v>
      </c>
      <c r="G1982" s="8">
        <v>98.47</v>
      </c>
      <c r="H1982" s="8">
        <v>79.209999999999994</v>
      </c>
      <c r="I1982" s="8">
        <v>133.94999999999999</v>
      </c>
      <c r="J1982" s="8">
        <v>95.6</v>
      </c>
      <c r="K1982" s="268">
        <v>0.33079999999999998</v>
      </c>
      <c r="L1982" s="268">
        <v>0.23880000000000001</v>
      </c>
      <c r="M1982" s="268">
        <v>2.23E-2</v>
      </c>
      <c r="N1982" s="8">
        <v>15.53</v>
      </c>
      <c r="O1982" s="8">
        <v>1069.56</v>
      </c>
      <c r="P1982" s="268">
        <v>1.4500000000000001E-2</v>
      </c>
      <c r="Q1982" s="8">
        <v>77</v>
      </c>
      <c r="R1982" s="8" t="s">
        <v>11404</v>
      </c>
      <c r="S1982" s="8" t="s">
        <v>11405</v>
      </c>
      <c r="T1982" s="8" t="s">
        <v>11406</v>
      </c>
      <c r="U1982" s="8" t="s">
        <v>11407</v>
      </c>
      <c r="V1982" s="8" t="s">
        <v>11408</v>
      </c>
      <c r="W1982" s="8" t="s">
        <v>4154</v>
      </c>
    </row>
    <row r="1983" spans="1:23" ht="28" customHeight="1" x14ac:dyDescent="0.3">
      <c r="A1983" s="308">
        <v>43313</v>
      </c>
      <c r="B1983" s="302">
        <v>993.12400000000002</v>
      </c>
      <c r="C1983" s="8">
        <v>-4.1760000000000002</v>
      </c>
      <c r="D1983" s="268">
        <v>-4.1999999999999997E-3</v>
      </c>
      <c r="E1983" s="8">
        <v>20.58</v>
      </c>
      <c r="F1983" s="8">
        <v>101.67100000000001</v>
      </c>
      <c r="G1983" s="8">
        <v>99.444000000000003</v>
      </c>
      <c r="H1983" s="8">
        <v>80.739999999999995</v>
      </c>
      <c r="I1983" s="8">
        <v>132.53</v>
      </c>
      <c r="J1983" s="8">
        <v>89.68</v>
      </c>
      <c r="K1983" s="268">
        <v>0.30859999999999999</v>
      </c>
      <c r="L1983" s="268">
        <v>0.21290000000000001</v>
      </c>
      <c r="M1983" s="268">
        <v>2.06E-2</v>
      </c>
      <c r="N1983" s="8">
        <v>12.71</v>
      </c>
      <c r="O1983" s="8">
        <v>1056.3499999999999</v>
      </c>
      <c r="P1983" s="268">
        <v>1.2E-2</v>
      </c>
      <c r="Q1983" s="8">
        <v>76</v>
      </c>
      <c r="R1983" s="8" t="s">
        <v>3772</v>
      </c>
      <c r="S1983" s="8" t="s">
        <v>11409</v>
      </c>
      <c r="T1983" s="8" t="s">
        <v>11410</v>
      </c>
      <c r="U1983" s="8" t="s">
        <v>7183</v>
      </c>
      <c r="V1983" s="8" t="s">
        <v>11411</v>
      </c>
      <c r="W1983" s="8" t="s">
        <v>11412</v>
      </c>
    </row>
    <row r="1984" spans="1:23" ht="28" customHeight="1" x14ac:dyDescent="0.3">
      <c r="A1984" s="308">
        <v>43312</v>
      </c>
      <c r="B1984" s="302">
        <v>997.3</v>
      </c>
      <c r="C1984" s="8">
        <v>0.60599999999999998</v>
      </c>
      <c r="D1984" s="268">
        <v>5.9999999999999995E-4</v>
      </c>
      <c r="E1984" s="8">
        <v>24.62</v>
      </c>
      <c r="F1984" s="8">
        <v>102.017</v>
      </c>
      <c r="G1984" s="8">
        <v>99.25</v>
      </c>
      <c r="H1984" s="8">
        <v>81.2</v>
      </c>
      <c r="I1984" s="8">
        <v>131.94</v>
      </c>
      <c r="J1984" s="8">
        <v>82.31</v>
      </c>
      <c r="K1984" s="268">
        <v>0.29920000000000002</v>
      </c>
      <c r="L1984" s="268">
        <v>0.20599999999999999</v>
      </c>
      <c r="M1984" s="268">
        <v>0.02</v>
      </c>
      <c r="N1984" s="8">
        <v>9.5299999999999994</v>
      </c>
      <c r="O1984" s="8">
        <v>1026.32</v>
      </c>
      <c r="P1984" s="268">
        <v>9.2999999999999992E-3</v>
      </c>
      <c r="Q1984" s="8">
        <v>74</v>
      </c>
      <c r="R1984" s="8" t="s">
        <v>3752</v>
      </c>
      <c r="S1984" s="8" t="s">
        <v>8989</v>
      </c>
      <c r="T1984" s="8" t="s">
        <v>11413</v>
      </c>
      <c r="U1984" s="8" t="s">
        <v>11414</v>
      </c>
      <c r="V1984" s="8" t="s">
        <v>11415</v>
      </c>
      <c r="W1984" s="8" t="s">
        <v>11416</v>
      </c>
    </row>
    <row r="1985" spans="1:23" ht="28" customHeight="1" x14ac:dyDescent="0.3">
      <c r="A1985" s="308">
        <v>43311</v>
      </c>
      <c r="B1985" s="302">
        <v>996.69399999999996</v>
      </c>
      <c r="C1985" s="8">
        <v>-6.4829999999999997</v>
      </c>
      <c r="D1985" s="268">
        <v>-6.4999999999999997E-3</v>
      </c>
      <c r="E1985" s="8">
        <v>21.42</v>
      </c>
      <c r="F1985" s="8">
        <v>101.99</v>
      </c>
      <c r="G1985" s="8">
        <v>99.394999999999996</v>
      </c>
      <c r="H1985" s="8">
        <v>81.180000000000007</v>
      </c>
      <c r="I1985" s="8">
        <v>131.94</v>
      </c>
      <c r="J1985" s="8">
        <v>85.15</v>
      </c>
      <c r="K1985" s="268">
        <v>0.29949999999999999</v>
      </c>
      <c r="L1985" s="268">
        <v>0.20610000000000001</v>
      </c>
      <c r="M1985" s="268">
        <v>2.01E-2</v>
      </c>
      <c r="N1985" s="8">
        <v>11.47</v>
      </c>
      <c r="O1985" s="8">
        <v>1026.32</v>
      </c>
      <c r="P1985" s="268">
        <v>1.12E-2</v>
      </c>
      <c r="Q1985" s="8">
        <v>74</v>
      </c>
      <c r="R1985" s="8" t="s">
        <v>11417</v>
      </c>
      <c r="S1985" s="8" t="s">
        <v>11082</v>
      </c>
      <c r="T1985" s="8" t="s">
        <v>11418</v>
      </c>
      <c r="U1985" s="8" t="s">
        <v>7175</v>
      </c>
      <c r="V1985" s="8" t="s">
        <v>11419</v>
      </c>
      <c r="W1985" s="8" t="s">
        <v>11420</v>
      </c>
    </row>
    <row r="1986" spans="1:23" ht="28" customHeight="1" x14ac:dyDescent="0.3">
      <c r="A1986" s="308">
        <v>43308</v>
      </c>
      <c r="B1986" s="302">
        <v>1003.177</v>
      </c>
      <c r="C1986" s="8">
        <v>-3.383</v>
      </c>
      <c r="D1986" s="268">
        <v>-3.3999999999999998E-3</v>
      </c>
      <c r="E1986" s="8">
        <v>28.07</v>
      </c>
      <c r="F1986" s="8">
        <v>102.596</v>
      </c>
      <c r="G1986" s="8">
        <v>99.745000000000005</v>
      </c>
      <c r="H1986" s="8">
        <v>82.15</v>
      </c>
      <c r="I1986" s="8">
        <v>132.19999999999999</v>
      </c>
      <c r="J1986" s="8">
        <v>81.88</v>
      </c>
      <c r="K1986" s="268">
        <v>0.29609999999999997</v>
      </c>
      <c r="L1986" s="268">
        <v>0.20019999999999999</v>
      </c>
      <c r="M1986" s="268">
        <v>1.8599999999999998E-2</v>
      </c>
      <c r="N1986" s="8">
        <v>12.55</v>
      </c>
      <c r="O1986" s="8">
        <v>1026.32</v>
      </c>
      <c r="P1986" s="268">
        <v>1.2200000000000001E-2</v>
      </c>
      <c r="Q1986" s="8">
        <v>74</v>
      </c>
      <c r="R1986" s="8" t="s">
        <v>11421</v>
      </c>
      <c r="S1986" s="8" t="s">
        <v>6583</v>
      </c>
      <c r="T1986" s="8" t="s">
        <v>11422</v>
      </c>
      <c r="U1986" s="8" t="s">
        <v>11423</v>
      </c>
      <c r="V1986" s="8" t="s">
        <v>8574</v>
      </c>
      <c r="W1986" s="8" t="s">
        <v>6443</v>
      </c>
    </row>
    <row r="1987" spans="1:23" ht="28" customHeight="1" x14ac:dyDescent="0.3">
      <c r="A1987" s="308">
        <v>43307</v>
      </c>
      <c r="B1987" s="302">
        <v>1006.56</v>
      </c>
      <c r="C1987" s="8">
        <v>-7.4589999999999996</v>
      </c>
      <c r="D1987" s="268">
        <v>-7.4000000000000003E-3</v>
      </c>
      <c r="E1987" s="8">
        <v>29.08</v>
      </c>
      <c r="F1987" s="8">
        <v>102.95399999999999</v>
      </c>
      <c r="G1987" s="8">
        <v>99.94</v>
      </c>
      <c r="H1987" s="8">
        <v>82.8</v>
      </c>
      <c r="I1987" s="8">
        <v>131.63999999999999</v>
      </c>
      <c r="J1987" s="8">
        <v>79.849999999999994</v>
      </c>
      <c r="K1987" s="268">
        <v>0.28689999999999999</v>
      </c>
      <c r="L1987" s="268">
        <v>0.20280000000000001</v>
      </c>
      <c r="M1987" s="268">
        <v>1.78E-2</v>
      </c>
      <c r="N1987" s="8">
        <v>14.32</v>
      </c>
      <c r="O1987" s="8">
        <v>1026.32</v>
      </c>
      <c r="P1987" s="268">
        <v>1.4E-2</v>
      </c>
      <c r="Q1987" s="8">
        <v>74</v>
      </c>
      <c r="R1987" s="8" t="s">
        <v>3433</v>
      </c>
      <c r="S1987" s="8" t="s">
        <v>11424</v>
      </c>
      <c r="T1987" s="8" t="s">
        <v>11425</v>
      </c>
      <c r="U1987" s="8" t="s">
        <v>11426</v>
      </c>
      <c r="V1987" s="8" t="s">
        <v>11427</v>
      </c>
      <c r="W1987" s="8" t="s">
        <v>11428</v>
      </c>
    </row>
    <row r="1988" spans="1:23" ht="28" customHeight="1" x14ac:dyDescent="0.3">
      <c r="A1988" s="308">
        <v>43306</v>
      </c>
      <c r="B1988" s="302">
        <v>1014.019</v>
      </c>
      <c r="C1988" s="8">
        <v>-0.311</v>
      </c>
      <c r="D1988" s="268">
        <v>-2.9999999999999997E-4</v>
      </c>
      <c r="E1988" s="8">
        <v>32.85</v>
      </c>
      <c r="F1988" s="8">
        <v>103.745</v>
      </c>
      <c r="G1988" s="8">
        <v>100.56</v>
      </c>
      <c r="H1988" s="8">
        <v>83.89</v>
      </c>
      <c r="I1988" s="8">
        <v>132.54</v>
      </c>
      <c r="J1988" s="8">
        <v>85.05</v>
      </c>
      <c r="K1988" s="268">
        <v>0.28789999999999999</v>
      </c>
      <c r="L1988" s="268">
        <v>0.19919999999999999</v>
      </c>
      <c r="M1988" s="268">
        <v>1.6400000000000001E-2</v>
      </c>
      <c r="N1988" s="8">
        <v>18.27</v>
      </c>
      <c r="O1988" s="8">
        <v>1026.32</v>
      </c>
      <c r="P1988" s="268">
        <v>1.78E-2</v>
      </c>
      <c r="Q1988" s="8">
        <v>74</v>
      </c>
      <c r="R1988" s="8" t="s">
        <v>11429</v>
      </c>
      <c r="S1988" s="8" t="s">
        <v>11430</v>
      </c>
      <c r="T1988" s="8" t="s">
        <v>11431</v>
      </c>
      <c r="U1988" s="8" t="s">
        <v>11432</v>
      </c>
      <c r="V1988" s="8" t="s">
        <v>3377</v>
      </c>
      <c r="W1988" s="8" t="s">
        <v>11433</v>
      </c>
    </row>
    <row r="1989" spans="1:23" ht="28" customHeight="1" x14ac:dyDescent="0.3">
      <c r="A1989" s="308">
        <v>43305</v>
      </c>
      <c r="B1989" s="302">
        <v>1014.33</v>
      </c>
      <c r="C1989" s="8">
        <v>3.7069999999999999</v>
      </c>
      <c r="D1989" s="268">
        <v>3.7000000000000002E-3</v>
      </c>
      <c r="E1989" s="8">
        <v>34.14</v>
      </c>
      <c r="F1989" s="8">
        <v>103.732</v>
      </c>
      <c r="G1989" s="8">
        <v>101.02</v>
      </c>
      <c r="H1989" s="8">
        <v>82.34</v>
      </c>
      <c r="I1989" s="8">
        <v>132.97999999999999</v>
      </c>
      <c r="J1989" s="8">
        <v>83.79</v>
      </c>
      <c r="K1989" s="268">
        <v>0.29249999999999998</v>
      </c>
      <c r="L1989" s="268">
        <v>0.2019</v>
      </c>
      <c r="M1989" s="268">
        <v>1.66E-2</v>
      </c>
      <c r="N1989" s="8">
        <v>21.21</v>
      </c>
      <c r="O1989" s="8">
        <v>1025.32</v>
      </c>
      <c r="P1989" s="268">
        <v>2.07E-2</v>
      </c>
      <c r="Q1989" s="8">
        <v>72</v>
      </c>
      <c r="R1989" s="8" t="s">
        <v>4195</v>
      </c>
      <c r="S1989" s="8" t="s">
        <v>11434</v>
      </c>
      <c r="T1989" s="8" t="s">
        <v>11435</v>
      </c>
      <c r="U1989" s="8" t="s">
        <v>11436</v>
      </c>
      <c r="V1989" s="8" t="s">
        <v>11437</v>
      </c>
      <c r="W1989" s="8" t="s">
        <v>11438</v>
      </c>
    </row>
    <row r="1990" spans="1:23" ht="28" customHeight="1" x14ac:dyDescent="0.3">
      <c r="A1990" s="308">
        <v>43304</v>
      </c>
      <c r="B1990" s="302">
        <v>1010.623</v>
      </c>
      <c r="C1990" s="8">
        <v>2.2200000000000002</v>
      </c>
      <c r="D1990" s="268">
        <v>2.2000000000000001E-3</v>
      </c>
      <c r="E1990" s="8">
        <v>31.61</v>
      </c>
      <c r="F1990" s="8">
        <v>103.303</v>
      </c>
      <c r="G1990" s="8">
        <v>100.238</v>
      </c>
      <c r="H1990" s="8">
        <v>81</v>
      </c>
      <c r="I1990" s="8">
        <v>134.56</v>
      </c>
      <c r="J1990" s="8">
        <v>88.64</v>
      </c>
      <c r="K1990" s="268">
        <v>0.31259999999999999</v>
      </c>
      <c r="L1990" s="268">
        <v>0.21740000000000001</v>
      </c>
      <c r="M1990" s="268">
        <v>1.72E-2</v>
      </c>
      <c r="N1990" s="8">
        <v>20.98</v>
      </c>
      <c r="O1990" s="8">
        <v>1025.32</v>
      </c>
      <c r="P1990" s="268">
        <v>2.0500000000000001E-2</v>
      </c>
      <c r="Q1990" s="8">
        <v>72</v>
      </c>
      <c r="R1990" s="8" t="s">
        <v>11439</v>
      </c>
      <c r="S1990" s="8" t="s">
        <v>11440</v>
      </c>
      <c r="T1990" s="8" t="s">
        <v>11441</v>
      </c>
      <c r="U1990" s="8" t="s">
        <v>11442</v>
      </c>
      <c r="V1990" s="8" t="s">
        <v>11443</v>
      </c>
      <c r="W1990" s="8" t="s">
        <v>11444</v>
      </c>
    </row>
    <row r="1991" spans="1:23" ht="28" customHeight="1" x14ac:dyDescent="0.3">
      <c r="A1991" s="308">
        <v>43301</v>
      </c>
      <c r="B1991" s="302">
        <v>1008.403</v>
      </c>
      <c r="C1991" s="8">
        <v>8.5530000000000008</v>
      </c>
      <c r="D1991" s="268">
        <v>8.5000000000000006E-3</v>
      </c>
      <c r="E1991" s="8">
        <v>28.88</v>
      </c>
      <c r="F1991" s="8">
        <v>103.411</v>
      </c>
      <c r="G1991" s="8">
        <v>100.178</v>
      </c>
      <c r="H1991" s="8">
        <v>80.75</v>
      </c>
      <c r="I1991" s="8">
        <v>135.53</v>
      </c>
      <c r="J1991" s="8">
        <v>90.39</v>
      </c>
      <c r="K1991" s="268">
        <v>0.32119999999999999</v>
      </c>
      <c r="L1991" s="268">
        <v>0.21240000000000001</v>
      </c>
      <c r="M1991" s="268">
        <v>1.77E-2</v>
      </c>
      <c r="N1991" s="8">
        <v>19.36</v>
      </c>
      <c r="O1991" s="8">
        <v>1025.32</v>
      </c>
      <c r="P1991" s="268">
        <v>1.89E-2</v>
      </c>
      <c r="Q1991" s="8">
        <v>72</v>
      </c>
      <c r="R1991" s="8" t="s">
        <v>11445</v>
      </c>
      <c r="S1991" s="8" t="s">
        <v>11446</v>
      </c>
      <c r="T1991" s="8" t="s">
        <v>11194</v>
      </c>
      <c r="U1991" s="8" t="s">
        <v>11447</v>
      </c>
      <c r="V1991" s="8" t="s">
        <v>11448</v>
      </c>
      <c r="W1991" s="8" t="s">
        <v>11449</v>
      </c>
    </row>
    <row r="1992" spans="1:23" ht="28" customHeight="1" x14ac:dyDescent="0.3">
      <c r="A1992" s="308">
        <v>43300</v>
      </c>
      <c r="B1992" s="302">
        <v>999.85</v>
      </c>
      <c r="C1992" s="8">
        <v>1.9850000000000001</v>
      </c>
      <c r="D1992" s="268">
        <v>2E-3</v>
      </c>
      <c r="E1992" s="8">
        <v>25.93</v>
      </c>
      <c r="F1992" s="8">
        <v>102.535</v>
      </c>
      <c r="G1992" s="8">
        <v>100.02500000000001</v>
      </c>
      <c r="H1992" s="8">
        <v>79.05</v>
      </c>
      <c r="I1992" s="8">
        <v>135.41</v>
      </c>
      <c r="J1992" s="8">
        <v>93.36</v>
      </c>
      <c r="K1992" s="268">
        <v>0.32869999999999999</v>
      </c>
      <c r="L1992" s="268">
        <v>0.22259999999999999</v>
      </c>
      <c r="M1992" s="268">
        <v>1.95E-2</v>
      </c>
      <c r="N1992" s="8">
        <v>10.7</v>
      </c>
      <c r="O1992" s="8">
        <v>1025.32</v>
      </c>
      <c r="P1992" s="268">
        <v>1.04E-2</v>
      </c>
      <c r="Q1992" s="8">
        <v>72</v>
      </c>
      <c r="R1992" s="8" t="s">
        <v>10678</v>
      </c>
      <c r="S1992" s="8" t="s">
        <v>11450</v>
      </c>
      <c r="T1992" s="8" t="s">
        <v>11451</v>
      </c>
      <c r="U1992" s="8" t="s">
        <v>11452</v>
      </c>
      <c r="V1992" s="8" t="s">
        <v>3964</v>
      </c>
      <c r="W1992" s="8" t="s">
        <v>11453</v>
      </c>
    </row>
    <row r="1993" spans="1:23" ht="28" customHeight="1" x14ac:dyDescent="0.3">
      <c r="A1993" s="308">
        <v>43299</v>
      </c>
      <c r="B1993" s="302">
        <v>997.86500000000001</v>
      </c>
      <c r="C1993" s="8">
        <v>2.6869999999999998</v>
      </c>
      <c r="D1993" s="268">
        <v>2.7000000000000001E-3</v>
      </c>
      <c r="E1993" s="8">
        <v>22.9</v>
      </c>
      <c r="F1993" s="8">
        <v>102.494</v>
      </c>
      <c r="G1993" s="8">
        <v>99.915000000000006</v>
      </c>
      <c r="H1993" s="8">
        <v>80.42</v>
      </c>
      <c r="I1993" s="8">
        <v>133.88999999999999</v>
      </c>
      <c r="J1993" s="8">
        <v>90.98</v>
      </c>
      <c r="K1993" s="268">
        <v>0.31390000000000001</v>
      </c>
      <c r="L1993" s="268">
        <v>0.21560000000000001</v>
      </c>
      <c r="M1993" s="268">
        <v>0.02</v>
      </c>
      <c r="N1993" s="8">
        <v>11.58</v>
      </c>
      <c r="O1993" s="8">
        <v>1025.32</v>
      </c>
      <c r="P1993" s="268">
        <v>1.1299999999999999E-2</v>
      </c>
      <c r="Q1993" s="8">
        <v>72</v>
      </c>
      <c r="R1993" s="8" t="s">
        <v>11454</v>
      </c>
      <c r="S1993" s="8" t="s">
        <v>11455</v>
      </c>
      <c r="T1993" s="8" t="s">
        <v>11456</v>
      </c>
      <c r="U1993" s="8" t="s">
        <v>7165</v>
      </c>
      <c r="V1993" s="8" t="s">
        <v>7236</v>
      </c>
      <c r="W1993" s="8" t="s">
        <v>11457</v>
      </c>
    </row>
    <row r="1994" spans="1:23" ht="28" customHeight="1" x14ac:dyDescent="0.3">
      <c r="A1994" s="308">
        <v>43298</v>
      </c>
      <c r="B1994" s="302">
        <v>995.178</v>
      </c>
      <c r="C1994" s="8">
        <v>3.1509999999999998</v>
      </c>
      <c r="D1994" s="268">
        <v>3.2000000000000002E-3</v>
      </c>
      <c r="E1994" s="8">
        <v>19.440000000000001</v>
      </c>
      <c r="F1994" s="8">
        <v>102.22799999999999</v>
      </c>
      <c r="G1994" s="8">
        <v>99.905000000000001</v>
      </c>
      <c r="H1994" s="8">
        <v>80.739999999999995</v>
      </c>
      <c r="I1994" s="8">
        <v>132.53</v>
      </c>
      <c r="J1994" s="8">
        <v>88.75</v>
      </c>
      <c r="K1994" s="268">
        <v>0.30309999999999998</v>
      </c>
      <c r="L1994" s="268">
        <v>0.20580000000000001</v>
      </c>
      <c r="M1994" s="268">
        <v>2.0500000000000001E-2</v>
      </c>
      <c r="N1994" s="8">
        <v>11.77</v>
      </c>
      <c r="O1994" s="8">
        <v>1025.32</v>
      </c>
      <c r="P1994" s="268">
        <v>1.15E-2</v>
      </c>
      <c r="Q1994" s="8">
        <v>72</v>
      </c>
      <c r="R1994" s="8" t="s">
        <v>11458</v>
      </c>
      <c r="S1994" s="8" t="s">
        <v>11459</v>
      </c>
      <c r="T1994" s="8" t="s">
        <v>11460</v>
      </c>
      <c r="U1994" s="8" t="s">
        <v>4057</v>
      </c>
      <c r="V1994" s="8" t="s">
        <v>11461</v>
      </c>
      <c r="W1994" s="8" t="s">
        <v>11462</v>
      </c>
    </row>
    <row r="1995" spans="1:23" ht="28" customHeight="1" x14ac:dyDescent="0.3">
      <c r="A1995" s="308">
        <v>43297</v>
      </c>
      <c r="B1995" s="302">
        <v>992.02700000000004</v>
      </c>
      <c r="C1995" s="8">
        <v>-2.2440000000000002</v>
      </c>
      <c r="D1995" s="268">
        <v>-2.3E-3</v>
      </c>
      <c r="E1995" s="8">
        <v>18.39</v>
      </c>
      <c r="F1995" s="8">
        <v>101.965</v>
      </c>
      <c r="G1995" s="8">
        <v>99.614999999999995</v>
      </c>
      <c r="H1995" s="8">
        <v>81.53</v>
      </c>
      <c r="I1995" s="8">
        <v>132.35</v>
      </c>
      <c r="J1995" s="8">
        <v>87.5</v>
      </c>
      <c r="K1995" s="268">
        <v>0.30380000000000001</v>
      </c>
      <c r="L1995" s="268">
        <v>0.20630000000000001</v>
      </c>
      <c r="M1995" s="268">
        <v>2.1100000000000001E-2</v>
      </c>
      <c r="N1995" s="8">
        <v>10.72</v>
      </c>
      <c r="O1995" s="8">
        <v>1025.32</v>
      </c>
      <c r="P1995" s="268">
        <v>1.0500000000000001E-2</v>
      </c>
      <c r="Q1995" s="8">
        <v>72</v>
      </c>
      <c r="R1995" s="8" t="s">
        <v>11463</v>
      </c>
      <c r="S1995" s="8" t="s">
        <v>11464</v>
      </c>
      <c r="T1995" s="8" t="s">
        <v>8892</v>
      </c>
      <c r="U1995" s="8" t="s">
        <v>9713</v>
      </c>
      <c r="V1995" s="8" t="s">
        <v>10831</v>
      </c>
      <c r="W1995" s="8" t="s">
        <v>11465</v>
      </c>
    </row>
    <row r="1996" spans="1:23" ht="28" customHeight="1" x14ac:dyDescent="0.3">
      <c r="A1996" s="308">
        <v>43294</v>
      </c>
      <c r="B1996" s="302">
        <v>994.27099999999996</v>
      </c>
      <c r="C1996" s="8">
        <v>2.13</v>
      </c>
      <c r="D1996" s="268">
        <v>2.0999999999999999E-3</v>
      </c>
      <c r="E1996" s="8">
        <v>20.45</v>
      </c>
      <c r="F1996" s="8">
        <v>102.384</v>
      </c>
      <c r="G1996" s="8">
        <v>100.66</v>
      </c>
      <c r="H1996" s="8">
        <v>80.17</v>
      </c>
      <c r="I1996" s="8">
        <v>132.96</v>
      </c>
      <c r="J1996" s="8">
        <v>87.34</v>
      </c>
      <c r="K1996" s="268">
        <v>0.30570000000000003</v>
      </c>
      <c r="L1996" s="268">
        <v>0.20380000000000001</v>
      </c>
      <c r="M1996" s="268">
        <v>2.0400000000000001E-2</v>
      </c>
      <c r="N1996" s="8">
        <v>11.64</v>
      </c>
      <c r="O1996" s="8">
        <v>1021.96</v>
      </c>
      <c r="P1996" s="268">
        <v>1.14E-2</v>
      </c>
      <c r="Q1996" s="8">
        <v>70</v>
      </c>
      <c r="R1996" s="8" t="s">
        <v>11466</v>
      </c>
      <c r="S1996" s="8" t="s">
        <v>11467</v>
      </c>
      <c r="T1996" s="8" t="s">
        <v>11468</v>
      </c>
      <c r="U1996" s="8" t="s">
        <v>11469</v>
      </c>
      <c r="V1996" s="8" t="s">
        <v>6051</v>
      </c>
      <c r="W1996" s="8" t="s">
        <v>5195</v>
      </c>
    </row>
    <row r="1997" spans="1:23" ht="28" customHeight="1" x14ac:dyDescent="0.3">
      <c r="A1997" s="308">
        <v>43293</v>
      </c>
      <c r="B1997" s="302">
        <v>992.14099999999996</v>
      </c>
      <c r="C1997" s="8">
        <v>12.827999999999999</v>
      </c>
      <c r="D1997" s="268">
        <v>1.3100000000000001E-2</v>
      </c>
      <c r="E1997" s="8">
        <v>19.149999999999999</v>
      </c>
      <c r="F1997" s="8">
        <v>102.149</v>
      </c>
      <c r="G1997" s="8">
        <v>99.974999999999994</v>
      </c>
      <c r="H1997" s="8">
        <v>80.45</v>
      </c>
      <c r="I1997" s="8">
        <v>133.32</v>
      </c>
      <c r="J1997" s="8">
        <v>89.25</v>
      </c>
      <c r="K1997" s="268">
        <v>0.31169999999999998</v>
      </c>
      <c r="L1997" s="268">
        <v>0.21579999999999999</v>
      </c>
      <c r="M1997" s="268">
        <v>2.0799999999999999E-2</v>
      </c>
      <c r="N1997" s="8">
        <v>16.47</v>
      </c>
      <c r="O1997" s="8">
        <v>1021.96</v>
      </c>
      <c r="P1997" s="268">
        <v>1.61E-2</v>
      </c>
      <c r="Q1997" s="8">
        <v>70</v>
      </c>
      <c r="R1997" s="8" t="s">
        <v>3582</v>
      </c>
      <c r="S1997" s="8" t="s">
        <v>11470</v>
      </c>
      <c r="T1997" s="8" t="s">
        <v>11471</v>
      </c>
      <c r="U1997" s="8" t="s">
        <v>11472</v>
      </c>
      <c r="V1997" s="8" t="s">
        <v>11473</v>
      </c>
      <c r="W1997" s="8" t="s">
        <v>11474</v>
      </c>
    </row>
    <row r="1998" spans="1:23" ht="28" customHeight="1" x14ac:dyDescent="0.3">
      <c r="A1998" s="308">
        <v>43292</v>
      </c>
      <c r="B1998" s="302">
        <v>979.31299999999999</v>
      </c>
      <c r="C1998" s="8">
        <v>-5.0289999999999999</v>
      </c>
      <c r="D1998" s="268">
        <v>-5.1000000000000004E-3</v>
      </c>
      <c r="E1998" s="8">
        <v>11.32</v>
      </c>
      <c r="F1998" s="8">
        <v>100.717</v>
      </c>
      <c r="G1998" s="8">
        <v>98.125</v>
      </c>
      <c r="H1998" s="8">
        <v>78.400000000000006</v>
      </c>
      <c r="I1998" s="8">
        <v>134.05000000000001</v>
      </c>
      <c r="J1998" s="8">
        <v>96</v>
      </c>
      <c r="K1998" s="268">
        <v>0.33329999999999999</v>
      </c>
      <c r="L1998" s="268">
        <v>0.2331</v>
      </c>
      <c r="M1998" s="268">
        <v>2.3400000000000001E-2</v>
      </c>
      <c r="N1998" s="8">
        <v>12.38</v>
      </c>
      <c r="O1998" s="8">
        <v>1021.96</v>
      </c>
      <c r="P1998" s="268">
        <v>1.21E-2</v>
      </c>
      <c r="Q1998" s="8">
        <v>70</v>
      </c>
      <c r="R1998" s="8" t="s">
        <v>11475</v>
      </c>
      <c r="S1998" s="8" t="s">
        <v>11476</v>
      </c>
      <c r="T1998" s="8" t="s">
        <v>11477</v>
      </c>
      <c r="U1998" s="8" t="s">
        <v>2663</v>
      </c>
      <c r="V1998" s="8" t="s">
        <v>5894</v>
      </c>
      <c r="W1998" s="8" t="s">
        <v>9904</v>
      </c>
    </row>
    <row r="1999" spans="1:23" ht="28" customHeight="1" x14ac:dyDescent="0.3">
      <c r="A1999" s="308">
        <v>43291</v>
      </c>
      <c r="B1999" s="302">
        <v>984.34199999999998</v>
      </c>
      <c r="C1999" s="8">
        <v>2.5470000000000002</v>
      </c>
      <c r="D1999" s="268">
        <v>2.5999999999999999E-3</v>
      </c>
      <c r="E1999" s="8">
        <v>12.82</v>
      </c>
      <c r="F1999" s="8">
        <v>101.26300000000001</v>
      </c>
      <c r="G1999" s="8">
        <v>99.3</v>
      </c>
      <c r="H1999" s="8">
        <v>81.400000000000006</v>
      </c>
      <c r="I1999" s="8">
        <v>132.13999999999999</v>
      </c>
      <c r="J1999" s="8">
        <v>88.24</v>
      </c>
      <c r="K1999" s="268">
        <v>0.30880000000000002</v>
      </c>
      <c r="L1999" s="268">
        <v>0.21379999999999999</v>
      </c>
      <c r="M1999" s="268">
        <v>2.23E-2</v>
      </c>
      <c r="N1999" s="8">
        <v>11.95</v>
      </c>
      <c r="O1999" s="8">
        <v>1020.07</v>
      </c>
      <c r="P1999" s="268">
        <v>1.17E-2</v>
      </c>
      <c r="Q1999" s="8">
        <v>69</v>
      </c>
      <c r="R1999" s="8" t="s">
        <v>11478</v>
      </c>
      <c r="S1999" s="8" t="s">
        <v>11479</v>
      </c>
      <c r="T1999" s="8" t="s">
        <v>11480</v>
      </c>
      <c r="U1999" s="8" t="s">
        <v>11481</v>
      </c>
      <c r="V1999" s="8" t="s">
        <v>4188</v>
      </c>
      <c r="W1999" s="8" t="s">
        <v>11482</v>
      </c>
    </row>
    <row r="2000" spans="1:23" ht="28" customHeight="1" x14ac:dyDescent="0.3">
      <c r="A2000" s="308">
        <v>43290</v>
      </c>
      <c r="B2000" s="302">
        <v>981.79499999999996</v>
      </c>
      <c r="C2000" s="8">
        <v>9.3089999999999993</v>
      </c>
      <c r="D2000" s="268">
        <v>9.5999999999999992E-3</v>
      </c>
      <c r="E2000" s="8">
        <v>12.5</v>
      </c>
      <c r="F2000" s="8">
        <v>100.93899999999999</v>
      </c>
      <c r="G2000" s="8">
        <v>98.7</v>
      </c>
      <c r="H2000" s="8">
        <v>81.180000000000007</v>
      </c>
      <c r="I2000" s="8">
        <v>132.27000000000001</v>
      </c>
      <c r="J2000" s="8">
        <v>89.06</v>
      </c>
      <c r="K2000" s="268">
        <v>0.31330000000000002</v>
      </c>
      <c r="L2000" s="268">
        <v>0.21199999999999999</v>
      </c>
      <c r="M2000" s="268">
        <v>2.2700000000000001E-2</v>
      </c>
      <c r="N2000" s="8">
        <v>16.73</v>
      </c>
      <c r="O2000" s="8">
        <v>1020.07</v>
      </c>
      <c r="P2000" s="268">
        <v>1.6400000000000001E-2</v>
      </c>
      <c r="Q2000" s="8">
        <v>69</v>
      </c>
      <c r="R2000" s="8" t="s">
        <v>11483</v>
      </c>
      <c r="S2000" s="8" t="s">
        <v>11484</v>
      </c>
      <c r="T2000" s="8" t="s">
        <v>11485</v>
      </c>
      <c r="U2000" s="8" t="s">
        <v>11486</v>
      </c>
      <c r="V2000" s="8" t="s">
        <v>11487</v>
      </c>
      <c r="W2000" s="8" t="s">
        <v>11488</v>
      </c>
    </row>
    <row r="2001" spans="1:23" ht="28" customHeight="1" x14ac:dyDescent="0.3">
      <c r="A2001" s="308">
        <v>43287</v>
      </c>
      <c r="B2001" s="302">
        <v>972.48599999999999</v>
      </c>
      <c r="C2001" s="8">
        <v>0.21299999999999999</v>
      </c>
      <c r="D2001" s="268">
        <v>2.0000000000000001E-4</v>
      </c>
      <c r="E2001" s="8">
        <v>10.33</v>
      </c>
      <c r="F2001" s="8">
        <v>100.624</v>
      </c>
      <c r="G2001" s="8">
        <v>97.74</v>
      </c>
      <c r="H2001" s="8">
        <v>78.63</v>
      </c>
      <c r="I2001" s="8">
        <v>133.26</v>
      </c>
      <c r="J2001" s="8">
        <v>94.03</v>
      </c>
      <c r="K2001" s="268">
        <v>0.32629999999999998</v>
      </c>
      <c r="L2001" s="268">
        <v>0.22670000000000001</v>
      </c>
      <c r="M2001" s="268">
        <v>2.3699999999999999E-2</v>
      </c>
      <c r="N2001" s="8">
        <v>17.010000000000002</v>
      </c>
      <c r="O2001" s="8">
        <v>1020.36</v>
      </c>
      <c r="P2001" s="268">
        <v>1.67E-2</v>
      </c>
      <c r="Q2001" s="8">
        <v>70</v>
      </c>
      <c r="R2001" s="8" t="s">
        <v>11489</v>
      </c>
      <c r="S2001" s="8" t="s">
        <v>8525</v>
      </c>
      <c r="T2001" s="8" t="s">
        <v>10218</v>
      </c>
      <c r="U2001" s="8" t="s">
        <v>3385</v>
      </c>
      <c r="V2001" s="8" t="s">
        <v>8419</v>
      </c>
      <c r="W2001" s="8" t="s">
        <v>8452</v>
      </c>
    </row>
    <row r="2002" spans="1:23" ht="28" customHeight="1" x14ac:dyDescent="0.3">
      <c r="A2002" s="308">
        <v>43286</v>
      </c>
      <c r="B2002" s="302">
        <v>972.27300000000002</v>
      </c>
      <c r="C2002" s="8">
        <v>-1.6639999999999999</v>
      </c>
      <c r="D2002" s="268">
        <v>-1.6999999999999999E-3</v>
      </c>
      <c r="E2002" s="8">
        <v>8.31</v>
      </c>
      <c r="F2002" s="8">
        <v>100.611</v>
      </c>
      <c r="G2002" s="8">
        <v>97.444999999999993</v>
      </c>
      <c r="H2002" s="8">
        <v>78.400000000000006</v>
      </c>
      <c r="I2002" s="8">
        <v>133.75</v>
      </c>
      <c r="J2002" s="8">
        <v>97.29</v>
      </c>
      <c r="K2002" s="268">
        <v>0.33129999999999998</v>
      </c>
      <c r="L2002" s="268">
        <v>0.22639999999999999</v>
      </c>
      <c r="M2002" s="268">
        <v>2.3599999999999999E-2</v>
      </c>
      <c r="N2002" s="8">
        <v>14.25</v>
      </c>
      <c r="O2002" s="8">
        <v>1020.36</v>
      </c>
      <c r="P2002" s="268">
        <v>1.4E-2</v>
      </c>
      <c r="Q2002" s="8">
        <v>70</v>
      </c>
      <c r="R2002" s="8" t="s">
        <v>11490</v>
      </c>
      <c r="S2002" s="8" t="s">
        <v>11491</v>
      </c>
      <c r="T2002" s="8" t="s">
        <v>10272</v>
      </c>
      <c r="U2002" s="8" t="s">
        <v>7125</v>
      </c>
      <c r="V2002" s="8" t="s">
        <v>3642</v>
      </c>
      <c r="W2002" s="8" t="s">
        <v>7891</v>
      </c>
    </row>
    <row r="2003" spans="1:23" ht="28" customHeight="1" x14ac:dyDescent="0.3">
      <c r="A2003" s="308">
        <v>43285</v>
      </c>
      <c r="B2003" s="302">
        <v>973.93700000000001</v>
      </c>
      <c r="C2003" s="8">
        <v>-2.74</v>
      </c>
      <c r="D2003" s="268">
        <v>-2.8E-3</v>
      </c>
      <c r="E2003" s="8">
        <v>8.39</v>
      </c>
      <c r="F2003" s="8">
        <v>100.80800000000001</v>
      </c>
      <c r="G2003" s="8">
        <v>97.855000000000004</v>
      </c>
      <c r="H2003" s="8">
        <v>79.489999999999995</v>
      </c>
      <c r="I2003" s="8">
        <v>130.54</v>
      </c>
      <c r="J2003" s="8">
        <v>91.42</v>
      </c>
      <c r="K2003" s="268">
        <v>0.29730000000000001</v>
      </c>
      <c r="L2003" s="268">
        <v>0.20530000000000001</v>
      </c>
      <c r="M2003" s="268">
        <v>2.3300000000000001E-2</v>
      </c>
      <c r="N2003" s="8">
        <v>14.35</v>
      </c>
      <c r="O2003" s="8">
        <v>1020.36</v>
      </c>
      <c r="P2003" s="268">
        <v>1.41E-2</v>
      </c>
      <c r="Q2003" s="8">
        <v>70</v>
      </c>
      <c r="R2003" s="8" t="s">
        <v>11492</v>
      </c>
      <c r="S2003" s="8" t="s">
        <v>8865</v>
      </c>
      <c r="T2003" s="8" t="s">
        <v>11493</v>
      </c>
      <c r="U2003" s="8" t="s">
        <v>4003</v>
      </c>
      <c r="V2003" s="8" t="s">
        <v>11494</v>
      </c>
      <c r="W2003" s="8" t="s">
        <v>9074</v>
      </c>
    </row>
    <row r="2004" spans="1:23" ht="28" customHeight="1" x14ac:dyDescent="0.3">
      <c r="A2004" s="308">
        <v>43284</v>
      </c>
      <c r="B2004" s="302">
        <v>976.67700000000002</v>
      </c>
      <c r="C2004" s="8">
        <v>5.8070000000000004</v>
      </c>
      <c r="D2004" s="268">
        <v>6.0000000000000001E-3</v>
      </c>
      <c r="E2004" s="8">
        <v>8.5299999999999994</v>
      </c>
      <c r="F2004" s="8">
        <v>101.102</v>
      </c>
      <c r="G2004" s="8">
        <v>97.965000000000003</v>
      </c>
      <c r="H2004" s="8">
        <v>80.73</v>
      </c>
      <c r="I2004" s="8">
        <v>128.51</v>
      </c>
      <c r="J2004" s="8">
        <v>79.33</v>
      </c>
      <c r="K2004" s="268">
        <v>0.27410000000000001</v>
      </c>
      <c r="L2004" s="268">
        <v>0.1981</v>
      </c>
      <c r="M2004" s="268">
        <v>2.2700000000000001E-2</v>
      </c>
      <c r="N2004" s="8">
        <v>19.27</v>
      </c>
      <c r="O2004" s="8">
        <v>1020.36</v>
      </c>
      <c r="P2004" s="268">
        <v>1.89E-2</v>
      </c>
      <c r="Q2004" s="8">
        <v>70</v>
      </c>
      <c r="R2004" s="8" t="s">
        <v>11495</v>
      </c>
      <c r="S2004" s="8" t="s">
        <v>11496</v>
      </c>
      <c r="T2004" s="8" t="s">
        <v>11497</v>
      </c>
      <c r="U2004" s="8" t="s">
        <v>4069</v>
      </c>
      <c r="V2004" s="8" t="s">
        <v>11498</v>
      </c>
      <c r="W2004" s="8" t="s">
        <v>11499</v>
      </c>
    </row>
    <row r="2005" spans="1:23" ht="28" customHeight="1" x14ac:dyDescent="0.3">
      <c r="A2005" s="308">
        <v>43283</v>
      </c>
      <c r="B2005" s="302">
        <v>970.87</v>
      </c>
      <c r="C2005" s="8">
        <v>-7.1390000000000002</v>
      </c>
      <c r="D2005" s="268">
        <v>-7.3000000000000001E-3</v>
      </c>
      <c r="E2005" s="8">
        <v>6.45</v>
      </c>
      <c r="F2005" s="8">
        <v>100.467</v>
      </c>
      <c r="G2005" s="8">
        <v>97.164000000000001</v>
      </c>
      <c r="H2005" s="8">
        <v>79.319999999999993</v>
      </c>
      <c r="I2005" s="8">
        <v>128.96</v>
      </c>
      <c r="J2005" s="8">
        <v>86.29</v>
      </c>
      <c r="K2005" s="268">
        <v>0.28499999999999998</v>
      </c>
      <c r="L2005" s="268">
        <v>0.2021</v>
      </c>
      <c r="M2005" s="268">
        <v>2.3800000000000002E-2</v>
      </c>
      <c r="N2005" s="8">
        <v>11.06</v>
      </c>
      <c r="O2005" s="8">
        <v>1020.36</v>
      </c>
      <c r="P2005" s="268">
        <v>1.0800000000000001E-2</v>
      </c>
      <c r="Q2005" s="8">
        <v>70</v>
      </c>
      <c r="R2005" s="8" t="s">
        <v>11500</v>
      </c>
      <c r="S2005" s="8" t="s">
        <v>5466</v>
      </c>
      <c r="T2005" s="8" t="s">
        <v>2775</v>
      </c>
      <c r="U2005" s="8" t="s">
        <v>11501</v>
      </c>
      <c r="V2005" s="8" t="s">
        <v>2377</v>
      </c>
      <c r="W2005" s="8" t="s">
        <v>11502</v>
      </c>
    </row>
    <row r="2006" spans="1:23" ht="28" customHeight="1" x14ac:dyDescent="0.3">
      <c r="A2006" s="308">
        <v>43280</v>
      </c>
      <c r="B2006" s="302">
        <v>978.00900000000001</v>
      </c>
      <c r="C2006" s="8">
        <v>15.428000000000001</v>
      </c>
      <c r="D2006" s="268">
        <v>1.6E-2</v>
      </c>
      <c r="E2006" s="8">
        <v>8.26</v>
      </c>
      <c r="F2006" s="8">
        <v>101.35899999999999</v>
      </c>
      <c r="G2006" s="8">
        <v>97.938000000000002</v>
      </c>
      <c r="H2006" s="8">
        <v>81.62</v>
      </c>
      <c r="I2006" s="8">
        <v>128.76</v>
      </c>
      <c r="J2006" s="8">
        <v>81.98</v>
      </c>
      <c r="K2006" s="268">
        <v>0.27400000000000002</v>
      </c>
      <c r="L2006" s="268">
        <v>0.19639999999999999</v>
      </c>
      <c r="M2006" s="268">
        <v>2.1999999999999999E-2</v>
      </c>
      <c r="N2006" s="8">
        <v>18.420000000000002</v>
      </c>
      <c r="O2006" s="8">
        <v>1017.56</v>
      </c>
      <c r="P2006" s="268">
        <v>1.8100000000000002E-2</v>
      </c>
      <c r="Q2006" s="8">
        <v>69</v>
      </c>
      <c r="R2006" s="8" t="s">
        <v>10200</v>
      </c>
      <c r="S2006" s="8" t="s">
        <v>11503</v>
      </c>
      <c r="T2006" s="8" t="s">
        <v>11504</v>
      </c>
      <c r="U2006" s="8" t="s">
        <v>11505</v>
      </c>
      <c r="V2006" s="8" t="s">
        <v>11506</v>
      </c>
      <c r="W2006" s="8" t="s">
        <v>11507</v>
      </c>
    </row>
    <row r="2007" spans="1:23" ht="28" customHeight="1" x14ac:dyDescent="0.3">
      <c r="A2007" s="308">
        <v>43279</v>
      </c>
      <c r="B2007" s="302">
        <v>962.58100000000002</v>
      </c>
      <c r="C2007" s="8">
        <v>0.156</v>
      </c>
      <c r="D2007" s="268">
        <v>2.0000000000000001E-4</v>
      </c>
      <c r="E2007" s="8">
        <v>4.55</v>
      </c>
      <c r="F2007" s="8">
        <v>99.584000000000003</v>
      </c>
      <c r="G2007" s="8">
        <v>96.56</v>
      </c>
      <c r="H2007" s="8">
        <v>79.44</v>
      </c>
      <c r="I2007" s="8">
        <v>129.57</v>
      </c>
      <c r="J2007" s="8">
        <v>90.91</v>
      </c>
      <c r="K2007" s="268">
        <v>0.29980000000000001</v>
      </c>
      <c r="L2007" s="268">
        <v>0.2152</v>
      </c>
      <c r="M2007" s="268">
        <v>2.5100000000000001E-2</v>
      </c>
      <c r="N2007" s="8">
        <v>12.32</v>
      </c>
      <c r="O2007" s="8">
        <v>1017.56</v>
      </c>
      <c r="P2007" s="268">
        <v>1.21E-2</v>
      </c>
      <c r="Q2007" s="8">
        <v>69</v>
      </c>
      <c r="R2007" s="8" t="s">
        <v>9656</v>
      </c>
      <c r="S2007" s="8" t="s">
        <v>10661</v>
      </c>
      <c r="T2007" s="8" t="s">
        <v>11508</v>
      </c>
      <c r="U2007" s="8" t="s">
        <v>11509</v>
      </c>
      <c r="V2007" s="8" t="s">
        <v>3574</v>
      </c>
      <c r="W2007" s="8" t="s">
        <v>11135</v>
      </c>
    </row>
    <row r="2008" spans="1:23" ht="28" customHeight="1" x14ac:dyDescent="0.3">
      <c r="A2008" s="308">
        <v>43278</v>
      </c>
      <c r="B2008" s="302">
        <v>962.42499999999995</v>
      </c>
      <c r="C2008" s="8">
        <v>-6.3449999999999998</v>
      </c>
      <c r="D2008" s="268">
        <v>-6.6E-3</v>
      </c>
      <c r="E2008" s="8">
        <v>3.52</v>
      </c>
      <c r="F2008" s="8">
        <v>99.543999999999997</v>
      </c>
      <c r="G2008" s="8">
        <v>96.698999999999998</v>
      </c>
      <c r="H2008" s="8">
        <v>80.180000000000007</v>
      </c>
      <c r="I2008" s="8">
        <v>128.51</v>
      </c>
      <c r="J2008" s="8">
        <v>89.39</v>
      </c>
      <c r="K2008" s="268">
        <v>0.28970000000000001</v>
      </c>
      <c r="L2008" s="268">
        <v>0.216</v>
      </c>
      <c r="M2008" s="268">
        <v>2.5000000000000001E-2</v>
      </c>
      <c r="N2008" s="8">
        <v>16.62</v>
      </c>
      <c r="O2008" s="8">
        <v>1017.56</v>
      </c>
      <c r="P2008" s="268">
        <v>1.6299999999999999E-2</v>
      </c>
      <c r="Q2008" s="8">
        <v>69</v>
      </c>
      <c r="R2008" s="8" t="s">
        <v>10549</v>
      </c>
      <c r="S2008" s="8" t="s">
        <v>11510</v>
      </c>
      <c r="T2008" s="8" t="s">
        <v>8816</v>
      </c>
      <c r="U2008" s="8" t="s">
        <v>11511</v>
      </c>
      <c r="V2008" s="8" t="s">
        <v>5787</v>
      </c>
      <c r="W2008" s="8" t="s">
        <v>11512</v>
      </c>
    </row>
    <row r="2009" spans="1:23" ht="28" customHeight="1" x14ac:dyDescent="0.3">
      <c r="A2009" s="308">
        <v>43277</v>
      </c>
      <c r="B2009" s="302">
        <v>968.77</v>
      </c>
      <c r="C2009" s="8">
        <v>1.3640000000000001</v>
      </c>
      <c r="D2009" s="268">
        <v>1.4E-3</v>
      </c>
      <c r="E2009" s="8">
        <v>4.5999999999999996</v>
      </c>
      <c r="F2009" s="8">
        <v>100.252</v>
      </c>
      <c r="G2009" s="8">
        <v>97.25</v>
      </c>
      <c r="H2009" s="8">
        <v>79.7</v>
      </c>
      <c r="I2009" s="8">
        <v>129.69999999999999</v>
      </c>
      <c r="J2009" s="8">
        <v>89.06</v>
      </c>
      <c r="K2009" s="268">
        <v>0.29449999999999998</v>
      </c>
      <c r="L2009" s="268">
        <v>0.22159999999999999</v>
      </c>
      <c r="M2009" s="268">
        <v>2.3699999999999999E-2</v>
      </c>
      <c r="N2009" s="8">
        <v>15.87</v>
      </c>
      <c r="O2009" s="8">
        <v>1017.56</v>
      </c>
      <c r="P2009" s="268">
        <v>1.5599999999999999E-2</v>
      </c>
      <c r="Q2009" s="8">
        <v>69</v>
      </c>
      <c r="R2009" s="8" t="s">
        <v>11513</v>
      </c>
      <c r="S2009" s="8" t="s">
        <v>3227</v>
      </c>
      <c r="T2009" s="8" t="s">
        <v>11514</v>
      </c>
      <c r="U2009" s="8" t="s">
        <v>3699</v>
      </c>
      <c r="V2009" s="8" t="s">
        <v>4457</v>
      </c>
      <c r="W2009" s="8" t="s">
        <v>11515</v>
      </c>
    </row>
    <row r="2010" spans="1:23" ht="28" customHeight="1" x14ac:dyDescent="0.3">
      <c r="A2010" s="308">
        <v>43276</v>
      </c>
      <c r="B2010" s="302">
        <v>967.40599999999995</v>
      </c>
      <c r="C2010" s="8">
        <v>2.6150000000000002</v>
      </c>
      <c r="D2010" s="268">
        <v>2.7000000000000001E-3</v>
      </c>
      <c r="E2010" s="8">
        <v>3.92</v>
      </c>
      <c r="F2010" s="8">
        <v>100.087</v>
      </c>
      <c r="G2010" s="8">
        <v>97.28</v>
      </c>
      <c r="H2010" s="8">
        <v>79.41</v>
      </c>
      <c r="I2010" s="8">
        <v>130.41</v>
      </c>
      <c r="J2010" s="8">
        <v>92.31</v>
      </c>
      <c r="K2010" s="268">
        <v>0.30320000000000003</v>
      </c>
      <c r="L2010" s="268">
        <v>0.2293</v>
      </c>
      <c r="M2010" s="268">
        <v>2.3900000000000001E-2</v>
      </c>
      <c r="N2010" s="8">
        <v>15.4</v>
      </c>
      <c r="O2010" s="8">
        <v>1017.56</v>
      </c>
      <c r="P2010" s="268">
        <v>1.5100000000000001E-2</v>
      </c>
      <c r="Q2010" s="8">
        <v>69</v>
      </c>
      <c r="R2010" s="8" t="s">
        <v>11516</v>
      </c>
      <c r="S2010" s="8" t="s">
        <v>11517</v>
      </c>
      <c r="T2010" s="8" t="s">
        <v>11518</v>
      </c>
      <c r="U2010" s="8" t="s">
        <v>2495</v>
      </c>
      <c r="V2010" s="8" t="s">
        <v>3520</v>
      </c>
      <c r="W2010" s="8" t="s">
        <v>11519</v>
      </c>
    </row>
    <row r="2011" spans="1:23" ht="28" customHeight="1" x14ac:dyDescent="0.3">
      <c r="A2011" s="308">
        <v>43273</v>
      </c>
      <c r="B2011" s="302">
        <v>964.79100000000005</v>
      </c>
      <c r="C2011" s="8">
        <v>5.3250000000000002</v>
      </c>
      <c r="D2011" s="268">
        <v>5.5999999999999999E-3</v>
      </c>
      <c r="E2011" s="8">
        <v>2.86</v>
      </c>
      <c r="F2011" s="8">
        <v>99.878</v>
      </c>
      <c r="G2011" s="8">
        <v>96.093999999999994</v>
      </c>
      <c r="H2011" s="8">
        <v>78.25</v>
      </c>
      <c r="I2011" s="8">
        <v>129.76</v>
      </c>
      <c r="J2011" s="8">
        <v>92.02</v>
      </c>
      <c r="K2011" s="268">
        <v>0.29880000000000001</v>
      </c>
      <c r="L2011" s="268">
        <v>0.22220000000000001</v>
      </c>
      <c r="M2011" s="268">
        <v>2.4500000000000001E-2</v>
      </c>
      <c r="N2011" s="8">
        <v>16.75</v>
      </c>
      <c r="O2011" s="8">
        <v>1013.06</v>
      </c>
      <c r="P2011" s="268">
        <v>1.6500000000000001E-2</v>
      </c>
      <c r="Q2011" s="8">
        <v>68</v>
      </c>
      <c r="R2011" s="8" t="s">
        <v>10296</v>
      </c>
      <c r="S2011" s="8" t="s">
        <v>11520</v>
      </c>
      <c r="T2011" s="8" t="s">
        <v>11521</v>
      </c>
      <c r="U2011" s="8" t="s">
        <v>7873</v>
      </c>
      <c r="V2011" s="8" t="s">
        <v>11522</v>
      </c>
      <c r="W2011" s="8" t="s">
        <v>11523</v>
      </c>
    </row>
    <row r="2012" spans="1:23" ht="28" customHeight="1" x14ac:dyDescent="0.3">
      <c r="A2012" s="308">
        <v>43272</v>
      </c>
      <c r="B2012" s="302">
        <v>959.46600000000001</v>
      </c>
      <c r="C2012" s="8">
        <v>-4.0709999999999997</v>
      </c>
      <c r="D2012" s="268">
        <v>-4.1999999999999997E-3</v>
      </c>
      <c r="E2012" s="8">
        <v>2.04</v>
      </c>
      <c r="F2012" s="8">
        <v>99.287999999999997</v>
      </c>
      <c r="G2012" s="8">
        <v>96.344999999999999</v>
      </c>
      <c r="H2012" s="8">
        <v>76.95</v>
      </c>
      <c r="I2012" s="8">
        <v>131.33000000000001</v>
      </c>
      <c r="J2012" s="8">
        <v>93.29</v>
      </c>
      <c r="K2012" s="268">
        <v>0.32040000000000002</v>
      </c>
      <c r="L2012" s="268">
        <v>0.23280000000000001</v>
      </c>
      <c r="M2012" s="268">
        <v>2.5700000000000001E-2</v>
      </c>
      <c r="N2012" s="8">
        <v>14.06</v>
      </c>
      <c r="O2012" s="8">
        <v>1013.06</v>
      </c>
      <c r="P2012" s="268">
        <v>1.3899999999999999E-2</v>
      </c>
      <c r="Q2012" s="8">
        <v>68</v>
      </c>
      <c r="R2012" s="8" t="s">
        <v>11524</v>
      </c>
      <c r="S2012" s="8" t="s">
        <v>11525</v>
      </c>
      <c r="T2012" s="8" t="s">
        <v>11526</v>
      </c>
      <c r="U2012" s="8" t="s">
        <v>11527</v>
      </c>
      <c r="V2012" s="8" t="s">
        <v>3667</v>
      </c>
      <c r="W2012" s="8" t="s">
        <v>11528</v>
      </c>
    </row>
    <row r="2013" spans="1:23" ht="28" customHeight="1" x14ac:dyDescent="0.3">
      <c r="A2013" s="308">
        <v>43271</v>
      </c>
      <c r="B2013" s="302">
        <v>963.53700000000003</v>
      </c>
      <c r="C2013" s="8">
        <v>4.4470000000000001</v>
      </c>
      <c r="D2013" s="268">
        <v>4.5999999999999999E-3</v>
      </c>
      <c r="E2013" s="8">
        <v>2.2200000000000002</v>
      </c>
      <c r="F2013" s="8">
        <v>99.682000000000002</v>
      </c>
      <c r="G2013" s="8">
        <v>97.1</v>
      </c>
      <c r="H2013" s="8">
        <v>78.5</v>
      </c>
      <c r="I2013" s="8">
        <v>129.34</v>
      </c>
      <c r="J2013" s="8">
        <v>94.61</v>
      </c>
      <c r="K2013" s="268">
        <v>0.29659999999999997</v>
      </c>
      <c r="L2013" s="268">
        <v>0.20760000000000001</v>
      </c>
      <c r="M2013" s="268">
        <v>2.4799999999999999E-2</v>
      </c>
      <c r="N2013" s="8">
        <v>15.48</v>
      </c>
      <c r="O2013" s="8">
        <v>1013.06</v>
      </c>
      <c r="P2013" s="268">
        <v>1.5299999999999999E-2</v>
      </c>
      <c r="Q2013" s="8">
        <v>68</v>
      </c>
      <c r="R2013" s="8" t="s">
        <v>11312</v>
      </c>
      <c r="S2013" s="8" t="s">
        <v>11529</v>
      </c>
      <c r="T2013" s="8" t="s">
        <v>11530</v>
      </c>
      <c r="U2013" s="8" t="s">
        <v>8504</v>
      </c>
      <c r="V2013" s="8" t="s">
        <v>11531</v>
      </c>
      <c r="W2013" s="8" t="s">
        <v>11532</v>
      </c>
    </row>
    <row r="2014" spans="1:23" ht="28" customHeight="1" x14ac:dyDescent="0.3">
      <c r="A2014" s="308">
        <v>43270</v>
      </c>
      <c r="B2014" s="302">
        <v>959.09</v>
      </c>
      <c r="C2014" s="8">
        <v>-33.369999999999997</v>
      </c>
      <c r="D2014" s="268">
        <v>-3.3599999999999998E-2</v>
      </c>
      <c r="E2014" s="8">
        <v>1.1299999999999999</v>
      </c>
      <c r="F2014" s="8">
        <v>99.200999999999993</v>
      </c>
      <c r="G2014" s="8">
        <v>96.42</v>
      </c>
      <c r="H2014" s="8">
        <v>77.97</v>
      </c>
      <c r="I2014" s="8">
        <v>129.38999999999999</v>
      </c>
      <c r="J2014" s="8">
        <v>94.8</v>
      </c>
      <c r="K2014" s="268">
        <v>0.3019</v>
      </c>
      <c r="L2014" s="268">
        <v>0.20660000000000001</v>
      </c>
      <c r="M2014" s="268">
        <v>2.58E-2</v>
      </c>
      <c r="N2014" s="8">
        <v>16.52</v>
      </c>
      <c r="O2014" s="8">
        <v>1013.06</v>
      </c>
      <c r="P2014" s="268">
        <v>1.6299999999999999E-2</v>
      </c>
      <c r="Q2014" s="8">
        <v>68</v>
      </c>
      <c r="R2014" s="8" t="s">
        <v>11533</v>
      </c>
      <c r="S2014" s="8" t="s">
        <v>11534</v>
      </c>
      <c r="T2014" s="8" t="s">
        <v>11535</v>
      </c>
      <c r="U2014" s="8" t="s">
        <v>11536</v>
      </c>
      <c r="V2014" s="8" t="s">
        <v>11537</v>
      </c>
      <c r="W2014" s="8" t="s">
        <v>11538</v>
      </c>
    </row>
    <row r="2015" spans="1:23" ht="28" customHeight="1" x14ac:dyDescent="0.3">
      <c r="A2015" s="308">
        <v>43266</v>
      </c>
      <c r="B2015" s="302">
        <v>992.46</v>
      </c>
      <c r="C2015" s="8">
        <v>-11.1</v>
      </c>
      <c r="D2015" s="268">
        <v>-1.11E-2</v>
      </c>
      <c r="E2015" s="8">
        <v>3.71</v>
      </c>
      <c r="F2015" s="8">
        <v>102.72499999999999</v>
      </c>
      <c r="G2015" s="8">
        <v>99.864999999999995</v>
      </c>
      <c r="H2015" s="8">
        <v>84.13</v>
      </c>
      <c r="I2015" s="8">
        <v>128.07</v>
      </c>
      <c r="J2015" s="8">
        <v>83.62</v>
      </c>
      <c r="K2015" s="268">
        <v>0.2535</v>
      </c>
      <c r="L2015" s="268">
        <v>0.1603</v>
      </c>
      <c r="M2015" s="268">
        <v>1.8700000000000001E-2</v>
      </c>
      <c r="N2015" s="8">
        <v>10.64</v>
      </c>
      <c r="O2015" s="8">
        <v>1013.06</v>
      </c>
      <c r="P2015" s="268">
        <v>1.0500000000000001E-2</v>
      </c>
      <c r="Q2015" s="8">
        <v>68</v>
      </c>
      <c r="R2015" s="8" t="s">
        <v>9057</v>
      </c>
      <c r="S2015" s="8" t="s">
        <v>11539</v>
      </c>
      <c r="T2015" s="8" t="s">
        <v>11540</v>
      </c>
      <c r="U2015" s="8" t="s">
        <v>11541</v>
      </c>
      <c r="V2015" s="8" t="s">
        <v>11542</v>
      </c>
      <c r="W2015" s="8" t="s">
        <v>11543</v>
      </c>
    </row>
    <row r="2016" spans="1:23" ht="28" customHeight="1" x14ac:dyDescent="0.3">
      <c r="A2016" s="308">
        <v>43265</v>
      </c>
      <c r="B2016" s="302">
        <v>1003.56</v>
      </c>
      <c r="C2016" s="8">
        <v>-4.3280000000000003</v>
      </c>
      <c r="D2016" s="268">
        <v>-4.3E-3</v>
      </c>
      <c r="E2016" s="8">
        <v>7.05</v>
      </c>
      <c r="F2016" s="8">
        <v>104.06699999999999</v>
      </c>
      <c r="G2016" s="8">
        <v>100.386</v>
      </c>
      <c r="H2016" s="8">
        <v>85.59</v>
      </c>
      <c r="I2016" s="8">
        <v>127.53</v>
      </c>
      <c r="J2016" s="8">
        <v>72.010000000000005</v>
      </c>
      <c r="K2016" s="268">
        <v>0.23469999999999999</v>
      </c>
      <c r="L2016" s="268">
        <v>0.15559999999999999</v>
      </c>
      <c r="M2016" s="268">
        <v>1.6500000000000001E-2</v>
      </c>
      <c r="N2016" s="8">
        <v>8.7899999999999991</v>
      </c>
      <c r="O2016" s="8">
        <v>1013.06</v>
      </c>
      <c r="P2016" s="268">
        <v>8.6999999999999994E-3</v>
      </c>
      <c r="Q2016" s="8">
        <v>68</v>
      </c>
      <c r="R2016" s="8" t="s">
        <v>11544</v>
      </c>
      <c r="S2016" s="8" t="s">
        <v>11545</v>
      </c>
      <c r="T2016" s="8" t="s">
        <v>11546</v>
      </c>
      <c r="U2016" s="8" t="s">
        <v>7172</v>
      </c>
      <c r="V2016" s="8" t="s">
        <v>11547</v>
      </c>
      <c r="W2016" s="8" t="s">
        <v>11548</v>
      </c>
    </row>
    <row r="2017" spans="1:23" ht="28" customHeight="1" x14ac:dyDescent="0.3">
      <c r="A2017" s="308">
        <v>43264</v>
      </c>
      <c r="B2017" s="302">
        <v>1007.888</v>
      </c>
      <c r="C2017" s="8">
        <v>-4.17</v>
      </c>
      <c r="D2017" s="268">
        <v>-4.1000000000000003E-3</v>
      </c>
      <c r="E2017" s="8">
        <v>9.75</v>
      </c>
      <c r="F2017" s="8">
        <v>104.54</v>
      </c>
      <c r="G2017" s="8">
        <v>101.392</v>
      </c>
      <c r="H2017" s="8">
        <v>86.64</v>
      </c>
      <c r="I2017" s="8">
        <v>127.85</v>
      </c>
      <c r="J2017" s="8">
        <v>72.41</v>
      </c>
      <c r="K2017" s="268">
        <v>0.2331</v>
      </c>
      <c r="L2017" s="268">
        <v>0.15290000000000001</v>
      </c>
      <c r="M2017" s="268">
        <v>1.5599999999999999E-2</v>
      </c>
      <c r="N2017" s="8">
        <v>10.28</v>
      </c>
      <c r="O2017" s="8">
        <v>1013.06</v>
      </c>
      <c r="P2017" s="268">
        <v>1.01E-2</v>
      </c>
      <c r="Q2017" s="8">
        <v>68</v>
      </c>
      <c r="R2017" s="8" t="s">
        <v>3279</v>
      </c>
      <c r="S2017" s="8" t="s">
        <v>11549</v>
      </c>
      <c r="T2017" s="8" t="s">
        <v>11546</v>
      </c>
      <c r="U2017" s="8" t="s">
        <v>11550</v>
      </c>
      <c r="V2017" s="8" t="s">
        <v>11551</v>
      </c>
      <c r="W2017" s="8" t="s">
        <v>4148</v>
      </c>
    </row>
    <row r="2018" spans="1:23" ht="28" customHeight="1" x14ac:dyDescent="0.3">
      <c r="A2018" s="308">
        <v>43263</v>
      </c>
      <c r="B2018" s="302">
        <v>1012.058</v>
      </c>
      <c r="C2018" s="8">
        <v>4.1920000000000002</v>
      </c>
      <c r="D2018" s="268">
        <v>4.1999999999999997E-3</v>
      </c>
      <c r="E2018" s="8">
        <v>13.56</v>
      </c>
      <c r="F2018" s="8">
        <v>104.899</v>
      </c>
      <c r="G2018" s="8">
        <v>101.1</v>
      </c>
      <c r="H2018" s="8">
        <v>88.07</v>
      </c>
      <c r="I2018" s="8">
        <v>126.66</v>
      </c>
      <c r="J2018" s="8">
        <v>65.91</v>
      </c>
      <c r="K2018" s="268">
        <v>0.21759999999999999</v>
      </c>
      <c r="L2018" s="268">
        <v>0.15390000000000001</v>
      </c>
      <c r="M2018" s="268">
        <v>1.4999999999999999E-2</v>
      </c>
      <c r="N2018" s="8">
        <v>13.86</v>
      </c>
      <c r="O2018" s="8">
        <v>1006.06</v>
      </c>
      <c r="P2018" s="268">
        <v>1.38E-2</v>
      </c>
      <c r="Q2018" s="8">
        <v>67</v>
      </c>
      <c r="R2018" s="8" t="s">
        <v>2491</v>
      </c>
      <c r="S2018" s="8" t="s">
        <v>11552</v>
      </c>
      <c r="T2018" s="8" t="s">
        <v>11553</v>
      </c>
      <c r="U2018" s="8" t="s">
        <v>3986</v>
      </c>
      <c r="V2018" s="8" t="s">
        <v>11338</v>
      </c>
      <c r="W2018" s="8" t="s">
        <v>11554</v>
      </c>
    </row>
    <row r="2019" spans="1:23" ht="28" customHeight="1" x14ac:dyDescent="0.3">
      <c r="A2019" s="308">
        <v>43262</v>
      </c>
      <c r="B2019" s="302">
        <v>1007.866</v>
      </c>
      <c r="C2019" s="8">
        <v>-1.0249999999999999</v>
      </c>
      <c r="D2019" s="268">
        <v>-1E-3</v>
      </c>
      <c r="E2019" s="8">
        <v>9.09</v>
      </c>
      <c r="F2019" s="8">
        <v>104.42</v>
      </c>
      <c r="G2019" s="8">
        <v>101</v>
      </c>
      <c r="H2019" s="8">
        <v>88.05</v>
      </c>
      <c r="I2019" s="8">
        <v>126.86</v>
      </c>
      <c r="J2019" s="8">
        <v>69.66</v>
      </c>
      <c r="K2019" s="268">
        <v>0.22439999999999999</v>
      </c>
      <c r="L2019" s="268">
        <v>0.157</v>
      </c>
      <c r="M2019" s="268">
        <v>1.5800000000000002E-2</v>
      </c>
      <c r="N2019" s="8">
        <v>13.38</v>
      </c>
      <c r="O2019" s="8">
        <v>1006.06</v>
      </c>
      <c r="P2019" s="268">
        <v>1.3299999999999999E-2</v>
      </c>
      <c r="Q2019" s="8">
        <v>67</v>
      </c>
      <c r="R2019" s="8" t="s">
        <v>11555</v>
      </c>
      <c r="S2019" s="8" t="s">
        <v>11556</v>
      </c>
      <c r="T2019" s="8" t="s">
        <v>7737</v>
      </c>
      <c r="U2019" s="8" t="s">
        <v>11080</v>
      </c>
      <c r="V2019" s="8" t="s">
        <v>11557</v>
      </c>
      <c r="W2019" s="8" t="s">
        <v>11428</v>
      </c>
    </row>
    <row r="2020" spans="1:23" ht="28" customHeight="1" x14ac:dyDescent="0.3">
      <c r="A2020" s="308">
        <v>43259</v>
      </c>
      <c r="B2020" s="302">
        <v>1008.891</v>
      </c>
      <c r="C2020" s="8">
        <v>-5.44</v>
      </c>
      <c r="D2020" s="268">
        <v>-5.4000000000000003E-3</v>
      </c>
      <c r="E2020" s="8">
        <v>8.14</v>
      </c>
      <c r="F2020" s="8">
        <v>104.60899999999999</v>
      </c>
      <c r="G2020" s="8">
        <v>101.51</v>
      </c>
      <c r="H2020" s="8">
        <v>89.68</v>
      </c>
      <c r="I2020" s="8">
        <v>126.2</v>
      </c>
      <c r="J2020" s="8">
        <v>67.39</v>
      </c>
      <c r="K2020" s="268">
        <v>0.21590000000000001</v>
      </c>
      <c r="L2020" s="268">
        <v>0.15409999999999999</v>
      </c>
      <c r="M2020" s="268">
        <v>1.5599999999999999E-2</v>
      </c>
      <c r="N2020" s="8">
        <v>12.06</v>
      </c>
      <c r="O2020" s="8">
        <v>1006.06</v>
      </c>
      <c r="P2020" s="268">
        <v>1.2E-2</v>
      </c>
      <c r="Q2020" s="8">
        <v>67</v>
      </c>
      <c r="R2020" s="8" t="s">
        <v>6122</v>
      </c>
      <c r="S2020" s="8" t="s">
        <v>11558</v>
      </c>
      <c r="T2020" s="8" t="s">
        <v>11559</v>
      </c>
      <c r="U2020" s="8" t="s">
        <v>11560</v>
      </c>
      <c r="V2020" s="8" t="s">
        <v>11561</v>
      </c>
      <c r="W2020" s="8" t="s">
        <v>4154</v>
      </c>
    </row>
    <row r="2021" spans="1:23" ht="28" customHeight="1" x14ac:dyDescent="0.3">
      <c r="A2021" s="308">
        <v>43258</v>
      </c>
      <c r="B2021" s="302">
        <v>1014.331</v>
      </c>
      <c r="C2021" s="8">
        <v>2.629</v>
      </c>
      <c r="D2021" s="268">
        <v>2.5999999999999999E-3</v>
      </c>
      <c r="E2021" s="8">
        <v>14.59</v>
      </c>
      <c r="F2021" s="8">
        <v>105.15300000000001</v>
      </c>
      <c r="G2021" s="8">
        <v>102.2</v>
      </c>
      <c r="H2021" s="8">
        <v>91.73</v>
      </c>
      <c r="I2021" s="8">
        <v>125.79</v>
      </c>
      <c r="J2021" s="8">
        <v>64.709999999999994</v>
      </c>
      <c r="K2021" s="268">
        <v>0.2064</v>
      </c>
      <c r="L2021" s="268">
        <v>0.14199999999999999</v>
      </c>
      <c r="M2021" s="268">
        <v>1.4500000000000001E-2</v>
      </c>
      <c r="N2021" s="8">
        <v>13.93</v>
      </c>
      <c r="O2021" s="8">
        <v>1006.06</v>
      </c>
      <c r="P2021" s="268">
        <v>1.38E-2</v>
      </c>
      <c r="Q2021" s="8">
        <v>67</v>
      </c>
      <c r="R2021" s="8" t="s">
        <v>5895</v>
      </c>
      <c r="S2021" s="8" t="s">
        <v>11456</v>
      </c>
      <c r="T2021" s="8" t="s">
        <v>11562</v>
      </c>
      <c r="U2021" s="8" t="s">
        <v>7514</v>
      </c>
      <c r="V2021" s="8" t="s">
        <v>11018</v>
      </c>
      <c r="W2021" s="8" t="s">
        <v>6421</v>
      </c>
    </row>
    <row r="2022" spans="1:23" ht="28" customHeight="1" x14ac:dyDescent="0.3">
      <c r="A2022" s="308">
        <v>43257</v>
      </c>
      <c r="B2022" s="302">
        <v>1011.702</v>
      </c>
      <c r="C2022" s="8">
        <v>4.3620000000000001</v>
      </c>
      <c r="D2022" s="268">
        <v>4.3E-3</v>
      </c>
      <c r="E2022" s="8">
        <v>11.69</v>
      </c>
      <c r="F2022" s="8">
        <v>104.878</v>
      </c>
      <c r="G2022" s="8">
        <v>102.07</v>
      </c>
      <c r="H2022" s="8">
        <v>90.14</v>
      </c>
      <c r="I2022" s="8">
        <v>124.48</v>
      </c>
      <c r="J2022" s="8">
        <v>52.66</v>
      </c>
      <c r="K2022" s="268">
        <v>0.19600000000000001</v>
      </c>
      <c r="L2022" s="268">
        <v>0.1263</v>
      </c>
      <c r="M2022" s="268">
        <v>1.4999999999999999E-2</v>
      </c>
      <c r="N2022" s="8">
        <v>14.2</v>
      </c>
      <c r="O2022" s="8">
        <v>1006.06</v>
      </c>
      <c r="P2022" s="268">
        <v>1.41E-2</v>
      </c>
      <c r="Q2022" s="8">
        <v>67</v>
      </c>
      <c r="R2022" s="8" t="s">
        <v>7480</v>
      </c>
      <c r="S2022" s="8" t="s">
        <v>11563</v>
      </c>
      <c r="T2022" s="8" t="s">
        <v>11456</v>
      </c>
      <c r="U2022" s="8" t="s">
        <v>3792</v>
      </c>
      <c r="V2022" s="8" t="s">
        <v>11077</v>
      </c>
      <c r="W2022" s="8" t="s">
        <v>11564</v>
      </c>
    </row>
    <row r="2023" spans="1:23" ht="28" customHeight="1" x14ac:dyDescent="0.3">
      <c r="A2023" s="308">
        <v>43256</v>
      </c>
      <c r="B2023" s="302">
        <v>1007.34</v>
      </c>
      <c r="C2023" s="8">
        <v>9.8469999999999995</v>
      </c>
      <c r="D2023" s="268">
        <v>9.9000000000000008E-3</v>
      </c>
      <c r="E2023" s="8">
        <v>10.23</v>
      </c>
      <c r="F2023" s="8">
        <v>104.322</v>
      </c>
      <c r="G2023" s="8">
        <v>101.645</v>
      </c>
      <c r="H2023" s="8">
        <v>89.99</v>
      </c>
      <c r="I2023" s="8">
        <v>124.29</v>
      </c>
      <c r="J2023" s="8">
        <v>49.41</v>
      </c>
      <c r="K2023" s="268">
        <v>0.1996</v>
      </c>
      <c r="L2023" s="268">
        <v>0.12989999999999999</v>
      </c>
      <c r="M2023" s="268">
        <v>1.61E-2</v>
      </c>
      <c r="N2023" s="8">
        <v>17.809999999999999</v>
      </c>
      <c r="O2023" s="8">
        <v>1050.74</v>
      </c>
      <c r="P2023" s="268">
        <v>1.7000000000000001E-2</v>
      </c>
      <c r="Q2023" s="8">
        <v>68</v>
      </c>
      <c r="R2023" s="8" t="s">
        <v>11565</v>
      </c>
      <c r="S2023" s="8" t="s">
        <v>11566</v>
      </c>
      <c r="T2023" s="8" t="s">
        <v>11567</v>
      </c>
      <c r="U2023" s="8" t="s">
        <v>11568</v>
      </c>
      <c r="V2023" s="8" t="s">
        <v>11569</v>
      </c>
      <c r="W2023" s="8" t="s">
        <v>11570</v>
      </c>
    </row>
    <row r="2024" spans="1:23" ht="28" customHeight="1" x14ac:dyDescent="0.3">
      <c r="A2024" s="308">
        <v>43255</v>
      </c>
      <c r="B2024" s="302">
        <v>997.49300000000005</v>
      </c>
      <c r="C2024" s="8">
        <v>-8.7539999999999996</v>
      </c>
      <c r="D2024" s="268">
        <v>-8.6999999999999994E-3</v>
      </c>
      <c r="E2024" s="8">
        <v>4.93</v>
      </c>
      <c r="F2024" s="8">
        <v>103.21599999999999</v>
      </c>
      <c r="G2024" s="8">
        <v>101.04</v>
      </c>
      <c r="H2024" s="8">
        <v>87.49</v>
      </c>
      <c r="I2024" s="8">
        <v>124.37</v>
      </c>
      <c r="J2024" s="8">
        <v>56.7</v>
      </c>
      <c r="K2024" s="268">
        <v>0.21149999999999999</v>
      </c>
      <c r="L2024" s="268">
        <v>0.13669999999999999</v>
      </c>
      <c r="M2024" s="268">
        <v>1.7999999999999999E-2</v>
      </c>
      <c r="N2024" s="8">
        <v>19.87</v>
      </c>
      <c r="O2024" s="8">
        <v>1050.74</v>
      </c>
      <c r="P2024" s="268">
        <v>1.89E-2</v>
      </c>
      <c r="Q2024" s="8">
        <v>68</v>
      </c>
      <c r="R2024" s="8" t="s">
        <v>11571</v>
      </c>
      <c r="S2024" s="8" t="s">
        <v>11572</v>
      </c>
      <c r="T2024" s="8" t="s">
        <v>11573</v>
      </c>
      <c r="U2024" s="8" t="s">
        <v>11574</v>
      </c>
      <c r="V2024" s="8" t="s">
        <v>2646</v>
      </c>
      <c r="W2024" s="8" t="s">
        <v>11575</v>
      </c>
    </row>
    <row r="2025" spans="1:23" ht="28" customHeight="1" x14ac:dyDescent="0.3">
      <c r="A2025" s="308">
        <v>43252</v>
      </c>
      <c r="B2025" s="302">
        <v>1006.247</v>
      </c>
      <c r="C2025" s="8">
        <v>-3.7909999999999999</v>
      </c>
      <c r="D2025" s="268">
        <v>-3.8E-3</v>
      </c>
      <c r="E2025" s="8">
        <v>6.99</v>
      </c>
      <c r="F2025" s="8">
        <v>104.173</v>
      </c>
      <c r="G2025" s="8">
        <v>102</v>
      </c>
      <c r="H2025" s="8">
        <v>88.84</v>
      </c>
      <c r="I2025" s="8">
        <v>126.06</v>
      </c>
      <c r="J2025" s="8">
        <v>63.74</v>
      </c>
      <c r="K2025" s="268">
        <v>0.21890000000000001</v>
      </c>
      <c r="L2025" s="268">
        <v>0.1502</v>
      </c>
      <c r="M2025" s="268">
        <v>1.6E-2</v>
      </c>
      <c r="N2025" s="8">
        <v>12.78</v>
      </c>
      <c r="O2025" s="8">
        <v>1049.27</v>
      </c>
      <c r="P2025" s="268">
        <v>1.2200000000000001E-2</v>
      </c>
      <c r="Q2025" s="8">
        <v>67</v>
      </c>
      <c r="R2025" s="8" t="s">
        <v>9302</v>
      </c>
      <c r="S2025" s="8" t="s">
        <v>11576</v>
      </c>
      <c r="T2025" s="8" t="s">
        <v>11577</v>
      </c>
      <c r="U2025" s="8" t="s">
        <v>11578</v>
      </c>
      <c r="V2025" s="8" t="s">
        <v>8369</v>
      </c>
      <c r="W2025" s="8" t="s">
        <v>11579</v>
      </c>
    </row>
    <row r="2026" spans="1:23" ht="28" customHeight="1" x14ac:dyDescent="0.3">
      <c r="A2026" s="308">
        <v>43251</v>
      </c>
      <c r="B2026" s="302">
        <v>1010.038</v>
      </c>
      <c r="C2026" s="8">
        <v>4.3250000000000002</v>
      </c>
      <c r="D2026" s="268">
        <v>4.3E-3</v>
      </c>
      <c r="E2026" s="8">
        <v>8.8699999999999992</v>
      </c>
      <c r="F2026" s="8">
        <v>104.66500000000001</v>
      </c>
      <c r="G2026" s="8">
        <v>102.22</v>
      </c>
      <c r="H2026" s="8">
        <v>88.59</v>
      </c>
      <c r="I2026" s="8">
        <v>126.19</v>
      </c>
      <c r="J2026" s="8">
        <v>66.28</v>
      </c>
      <c r="K2026" s="268">
        <v>0.2152</v>
      </c>
      <c r="L2026" s="268">
        <v>0.14360000000000001</v>
      </c>
      <c r="M2026" s="268">
        <v>1.52E-2</v>
      </c>
      <c r="N2026" s="8">
        <v>14.22</v>
      </c>
      <c r="O2026" s="8">
        <v>1049.27</v>
      </c>
      <c r="P2026" s="268">
        <v>1.3599999999999999E-2</v>
      </c>
      <c r="Q2026" s="8">
        <v>67</v>
      </c>
      <c r="R2026" s="8" t="s">
        <v>9302</v>
      </c>
      <c r="S2026" s="8" t="s">
        <v>8499</v>
      </c>
      <c r="T2026" s="8" t="s">
        <v>10124</v>
      </c>
      <c r="U2026" s="8" t="s">
        <v>5297</v>
      </c>
      <c r="V2026" s="8" t="s">
        <v>11148</v>
      </c>
      <c r="W2026" s="8" t="s">
        <v>11580</v>
      </c>
    </row>
    <row r="2027" spans="1:23" ht="28" customHeight="1" x14ac:dyDescent="0.3">
      <c r="A2027" s="308">
        <v>43250</v>
      </c>
      <c r="B2027" s="302">
        <v>1005.713</v>
      </c>
      <c r="C2027" s="8">
        <v>-14.394</v>
      </c>
      <c r="D2027" s="268">
        <v>-1.41E-2</v>
      </c>
      <c r="E2027" s="8">
        <v>6.67</v>
      </c>
      <c r="F2027" s="8">
        <v>104.154</v>
      </c>
      <c r="G2027" s="8">
        <v>101.77</v>
      </c>
      <c r="H2027" s="8">
        <v>86.89</v>
      </c>
      <c r="I2027" s="8">
        <v>127</v>
      </c>
      <c r="J2027" s="8">
        <v>70.790000000000006</v>
      </c>
      <c r="K2027" s="268">
        <v>0.22850000000000001</v>
      </c>
      <c r="L2027" s="268">
        <v>0.14990000000000001</v>
      </c>
      <c r="M2027" s="268">
        <v>1.6E-2</v>
      </c>
      <c r="N2027" s="8">
        <v>19.27</v>
      </c>
      <c r="O2027" s="8">
        <v>1049.27</v>
      </c>
      <c r="P2027" s="268">
        <v>1.84E-2</v>
      </c>
      <c r="Q2027" s="8">
        <v>67</v>
      </c>
      <c r="R2027" s="8" t="s">
        <v>11581</v>
      </c>
      <c r="S2027" s="8" t="s">
        <v>11582</v>
      </c>
      <c r="T2027" s="8" t="s">
        <v>11583</v>
      </c>
      <c r="U2027" s="8" t="s">
        <v>11584</v>
      </c>
      <c r="V2027" s="8" t="s">
        <v>2539</v>
      </c>
      <c r="W2027" s="8" t="s">
        <v>7187</v>
      </c>
    </row>
    <row r="2028" spans="1:23" ht="28" customHeight="1" x14ac:dyDescent="0.3">
      <c r="A2028" s="308">
        <v>43249</v>
      </c>
      <c r="B2028" s="302">
        <v>1020.107</v>
      </c>
      <c r="C2028" s="8">
        <v>-9.5429999999999993</v>
      </c>
      <c r="D2028" s="268">
        <v>-9.2999999999999992E-3</v>
      </c>
      <c r="E2028" s="8">
        <v>14.96</v>
      </c>
      <c r="F2028" s="8">
        <v>105.64700000000001</v>
      </c>
      <c r="G2028" s="8">
        <v>103.42</v>
      </c>
      <c r="H2028" s="8">
        <v>92.02</v>
      </c>
      <c r="I2028" s="8">
        <v>125.82</v>
      </c>
      <c r="J2028" s="8">
        <v>54.22</v>
      </c>
      <c r="K2028" s="268">
        <v>0.20180000000000001</v>
      </c>
      <c r="L2028" s="268">
        <v>0.1394</v>
      </c>
      <c r="M2028" s="268">
        <v>1.3100000000000001E-2</v>
      </c>
      <c r="N2028" s="8">
        <v>17.52</v>
      </c>
      <c r="O2028" s="8">
        <v>1049.27</v>
      </c>
      <c r="P2028" s="268">
        <v>1.67E-2</v>
      </c>
      <c r="Q2028" s="8">
        <v>67</v>
      </c>
      <c r="R2028" s="8" t="s">
        <v>11585</v>
      </c>
      <c r="S2028" s="8" t="s">
        <v>11586</v>
      </c>
      <c r="T2028" s="8" t="s">
        <v>2452</v>
      </c>
      <c r="U2028" s="8" t="s">
        <v>11587</v>
      </c>
      <c r="V2028" s="8" t="s">
        <v>11588</v>
      </c>
      <c r="W2028" s="8" t="s">
        <v>11589</v>
      </c>
    </row>
    <row r="2029" spans="1:23" ht="28" customHeight="1" x14ac:dyDescent="0.3">
      <c r="A2029" s="308">
        <v>43248</v>
      </c>
      <c r="B2029" s="302">
        <v>1029.6500000000001</v>
      </c>
      <c r="C2029" s="8">
        <v>-5.1289999999999996</v>
      </c>
      <c r="D2029" s="268">
        <v>-5.0000000000000001E-3</v>
      </c>
      <c r="E2029" s="8">
        <v>17.21</v>
      </c>
      <c r="F2029" s="8">
        <v>106.794</v>
      </c>
      <c r="G2029" s="8">
        <v>103.76</v>
      </c>
      <c r="H2029" s="8">
        <v>92.84</v>
      </c>
      <c r="I2029" s="8">
        <v>126.58</v>
      </c>
      <c r="J2029" s="8">
        <v>50.91</v>
      </c>
      <c r="K2029" s="268">
        <v>0.1978</v>
      </c>
      <c r="L2029" s="268">
        <v>0.1394</v>
      </c>
      <c r="M2029" s="268">
        <v>1.12E-2</v>
      </c>
      <c r="N2029" s="8">
        <v>15.18</v>
      </c>
      <c r="O2029" s="8">
        <v>1049.27</v>
      </c>
      <c r="P2029" s="268">
        <v>1.4500000000000001E-2</v>
      </c>
      <c r="Q2029" s="8">
        <v>67</v>
      </c>
      <c r="R2029" s="8" t="s">
        <v>8393</v>
      </c>
      <c r="S2029" s="8" t="s">
        <v>5103</v>
      </c>
      <c r="T2029" s="8" t="s">
        <v>10774</v>
      </c>
      <c r="U2029" s="8" t="s">
        <v>11590</v>
      </c>
      <c r="V2029" s="8" t="s">
        <v>11591</v>
      </c>
      <c r="W2029" s="8" t="s">
        <v>11592</v>
      </c>
    </row>
    <row r="2030" spans="1:23" ht="28" customHeight="1" x14ac:dyDescent="0.3">
      <c r="A2030" s="308">
        <v>43245</v>
      </c>
      <c r="B2030" s="302">
        <v>1034.779</v>
      </c>
      <c r="C2030" s="8">
        <v>-8.2050000000000001</v>
      </c>
      <c r="D2030" s="268">
        <v>-7.9000000000000008E-3</v>
      </c>
      <c r="E2030" s="8">
        <v>23.21</v>
      </c>
      <c r="F2030" s="8">
        <v>107.151</v>
      </c>
      <c r="G2030" s="8">
        <v>104.15</v>
      </c>
      <c r="H2030" s="8">
        <v>91.26</v>
      </c>
      <c r="I2030" s="8">
        <v>127.08</v>
      </c>
      <c r="J2030" s="8">
        <v>47.58</v>
      </c>
      <c r="K2030" s="268">
        <v>0.1993</v>
      </c>
      <c r="L2030" s="268">
        <v>0.1376</v>
      </c>
      <c r="M2030" s="268">
        <v>1.04E-2</v>
      </c>
      <c r="N2030" s="8">
        <v>14.66</v>
      </c>
      <c r="O2030" s="8">
        <v>1047.2</v>
      </c>
      <c r="P2030" s="268">
        <v>1.4E-2</v>
      </c>
      <c r="Q2030" s="8">
        <v>67</v>
      </c>
      <c r="R2030" s="8" t="s">
        <v>7628</v>
      </c>
      <c r="S2030" s="8" t="s">
        <v>11593</v>
      </c>
      <c r="T2030" s="8" t="s">
        <v>11594</v>
      </c>
      <c r="U2030" s="8" t="s">
        <v>11595</v>
      </c>
      <c r="V2030" s="8" t="s">
        <v>11359</v>
      </c>
      <c r="W2030" s="8" t="s">
        <v>2570</v>
      </c>
    </row>
    <row r="2031" spans="1:23" ht="28" customHeight="1" x14ac:dyDescent="0.3">
      <c r="A2031" s="308">
        <v>43244</v>
      </c>
      <c r="B2031" s="302">
        <v>1042.9839999999999</v>
      </c>
      <c r="C2031" s="8">
        <v>-2.492</v>
      </c>
      <c r="D2031" s="268">
        <v>-2.3999999999999998E-3</v>
      </c>
      <c r="E2031" s="8">
        <v>25.68</v>
      </c>
      <c r="F2031" s="8">
        <v>107.89100000000001</v>
      </c>
      <c r="G2031" s="8">
        <v>104.67</v>
      </c>
      <c r="H2031" s="8">
        <v>92.6</v>
      </c>
      <c r="I2031" s="8">
        <v>127.2</v>
      </c>
      <c r="J2031" s="8">
        <v>49.87</v>
      </c>
      <c r="K2031" s="268">
        <v>0.19309999999999999</v>
      </c>
      <c r="L2031" s="268">
        <v>0.12970000000000001</v>
      </c>
      <c r="M2031" s="268">
        <v>8.9999999999999993E-3</v>
      </c>
      <c r="N2031" s="8">
        <v>17.71</v>
      </c>
      <c r="O2031" s="8">
        <v>1057.5999999999999</v>
      </c>
      <c r="P2031" s="268">
        <v>1.67E-2</v>
      </c>
      <c r="Q2031" s="8">
        <v>68</v>
      </c>
      <c r="R2031" s="8" t="s">
        <v>6115</v>
      </c>
      <c r="S2031" s="8" t="s">
        <v>10257</v>
      </c>
      <c r="T2031" s="8" t="s">
        <v>11596</v>
      </c>
      <c r="U2031" s="8" t="s">
        <v>11597</v>
      </c>
      <c r="V2031" s="8" t="s">
        <v>9057</v>
      </c>
      <c r="W2031" s="8" t="s">
        <v>11598</v>
      </c>
    </row>
    <row r="2032" spans="1:23" ht="28" customHeight="1" x14ac:dyDescent="0.3">
      <c r="A2032" s="308">
        <v>43243</v>
      </c>
      <c r="B2032" s="302">
        <v>1045.4760000000001</v>
      </c>
      <c r="C2032" s="8">
        <v>-6.7949999999999999</v>
      </c>
      <c r="D2032" s="268">
        <v>-6.4999999999999997E-3</v>
      </c>
      <c r="E2032" s="8">
        <v>32.06</v>
      </c>
      <c r="F2032" s="8">
        <v>108.126</v>
      </c>
      <c r="G2032" s="8">
        <v>105.1</v>
      </c>
      <c r="H2032" s="8">
        <v>92.42</v>
      </c>
      <c r="I2032" s="8">
        <v>127.2</v>
      </c>
      <c r="J2032" s="8">
        <v>43.35</v>
      </c>
      <c r="K2032" s="268">
        <v>0.19070000000000001</v>
      </c>
      <c r="L2032" s="268">
        <v>0.1177</v>
      </c>
      <c r="M2032" s="268">
        <v>8.3999999999999995E-3</v>
      </c>
      <c r="N2032" s="8">
        <v>18.88</v>
      </c>
      <c r="O2032" s="8">
        <v>1057.5999999999999</v>
      </c>
      <c r="P2032" s="268">
        <v>1.7899999999999999E-2</v>
      </c>
      <c r="Q2032" s="8">
        <v>68</v>
      </c>
      <c r="R2032" s="8" t="s">
        <v>9225</v>
      </c>
      <c r="S2032" s="8" t="s">
        <v>11599</v>
      </c>
      <c r="T2032" s="8" t="s">
        <v>11600</v>
      </c>
      <c r="U2032" s="8" t="s">
        <v>11601</v>
      </c>
      <c r="V2032" s="8" t="s">
        <v>11602</v>
      </c>
      <c r="W2032" s="8" t="s">
        <v>11603</v>
      </c>
    </row>
    <row r="2033" spans="1:23" ht="28" customHeight="1" x14ac:dyDescent="0.3">
      <c r="A2033" s="308">
        <v>43242</v>
      </c>
      <c r="B2033" s="302">
        <v>1052.271</v>
      </c>
      <c r="C2033" s="8">
        <v>2.04</v>
      </c>
      <c r="D2033" s="268">
        <v>1.9E-3</v>
      </c>
      <c r="E2033" s="8">
        <v>46.06</v>
      </c>
      <c r="F2033" s="8">
        <v>108.858</v>
      </c>
      <c r="G2033" s="8">
        <v>105.245</v>
      </c>
      <c r="H2033" s="8">
        <v>93.61</v>
      </c>
      <c r="I2033" s="8">
        <v>127.05</v>
      </c>
      <c r="J2033" s="8">
        <v>37.380000000000003</v>
      </c>
      <c r="K2033" s="268">
        <v>0.18190000000000001</v>
      </c>
      <c r="L2033" s="268">
        <v>0.11169999999999999</v>
      </c>
      <c r="M2033" s="268">
        <v>7.1000000000000004E-3</v>
      </c>
      <c r="N2033" s="8">
        <v>17.86</v>
      </c>
      <c r="O2033" s="8">
        <v>1057.5999999999999</v>
      </c>
      <c r="P2033" s="268">
        <v>1.6899999999999998E-2</v>
      </c>
      <c r="Q2033" s="8">
        <v>68</v>
      </c>
      <c r="R2033" s="8" t="s">
        <v>3597</v>
      </c>
      <c r="S2033" s="8" t="s">
        <v>10900</v>
      </c>
      <c r="T2033" s="8" t="s">
        <v>10199</v>
      </c>
      <c r="U2033" s="8" t="s">
        <v>11604</v>
      </c>
      <c r="V2033" s="8" t="s">
        <v>11605</v>
      </c>
      <c r="W2033" s="8" t="s">
        <v>11606</v>
      </c>
    </row>
    <row r="2034" spans="1:23" ht="28" customHeight="1" x14ac:dyDescent="0.3">
      <c r="A2034" s="308">
        <v>43241</v>
      </c>
      <c r="B2034" s="302">
        <v>1050.231</v>
      </c>
      <c r="C2034" s="8">
        <v>4.3369999999999997</v>
      </c>
      <c r="D2034" s="268">
        <v>4.1000000000000003E-3</v>
      </c>
      <c r="E2034" s="8">
        <v>41.94</v>
      </c>
      <c r="F2034" s="8">
        <v>108.572</v>
      </c>
      <c r="G2034" s="8">
        <v>105.36</v>
      </c>
      <c r="H2034" s="8">
        <v>94.13</v>
      </c>
      <c r="I2034" s="8">
        <v>127.1</v>
      </c>
      <c r="J2034" s="8">
        <v>35.729999999999997</v>
      </c>
      <c r="K2034" s="268">
        <v>0.18529999999999999</v>
      </c>
      <c r="L2034" s="268">
        <v>0.12859999999999999</v>
      </c>
      <c r="M2034" s="268">
        <v>7.4000000000000003E-3</v>
      </c>
      <c r="N2034" s="8">
        <v>25.31</v>
      </c>
      <c r="O2034" s="8">
        <v>1057.5999999999999</v>
      </c>
      <c r="P2034" s="268">
        <v>2.3900000000000001E-2</v>
      </c>
      <c r="Q2034" s="8">
        <v>68</v>
      </c>
      <c r="R2034" s="8" t="s">
        <v>9264</v>
      </c>
      <c r="S2034" s="8" t="s">
        <v>11607</v>
      </c>
      <c r="T2034" s="8" t="s">
        <v>11608</v>
      </c>
      <c r="U2034" s="8" t="s">
        <v>11609</v>
      </c>
      <c r="V2034" s="8" t="s">
        <v>11610</v>
      </c>
      <c r="W2034" s="8" t="s">
        <v>11611</v>
      </c>
    </row>
    <row r="2035" spans="1:23" ht="28" customHeight="1" x14ac:dyDescent="0.3">
      <c r="A2035" s="308">
        <v>43238</v>
      </c>
      <c r="B2035" s="302">
        <v>1045.894</v>
      </c>
      <c r="C2035" s="8">
        <v>1.7450000000000001</v>
      </c>
      <c r="D2035" s="268">
        <v>1.6999999999999999E-3</v>
      </c>
      <c r="E2035" s="8">
        <v>31.25</v>
      </c>
      <c r="F2035" s="8">
        <v>107.925</v>
      </c>
      <c r="G2035" s="8">
        <v>104.69</v>
      </c>
      <c r="H2035" s="8">
        <v>92.01</v>
      </c>
      <c r="I2035" s="8">
        <v>127.94</v>
      </c>
      <c r="J2035" s="8">
        <v>46.05</v>
      </c>
      <c r="K2035" s="268">
        <v>0.2001</v>
      </c>
      <c r="L2035" s="268">
        <v>0.1449</v>
      </c>
      <c r="M2035" s="268">
        <v>8.3999999999999995E-3</v>
      </c>
      <c r="N2035" s="8">
        <v>15.32</v>
      </c>
      <c r="O2035" s="8">
        <v>1059.07</v>
      </c>
      <c r="P2035" s="268">
        <v>1.4500000000000001E-2</v>
      </c>
      <c r="Q2035" s="8">
        <v>69</v>
      </c>
      <c r="R2035" s="8" t="s">
        <v>6153</v>
      </c>
      <c r="S2035" s="8" t="s">
        <v>11612</v>
      </c>
      <c r="T2035" s="8" t="s">
        <v>11613</v>
      </c>
      <c r="U2035" s="8" t="s">
        <v>10283</v>
      </c>
      <c r="V2035" s="8" t="s">
        <v>9326</v>
      </c>
      <c r="W2035" s="8" t="s">
        <v>3457</v>
      </c>
    </row>
    <row r="2036" spans="1:23" ht="28" customHeight="1" x14ac:dyDescent="0.3">
      <c r="A2036" s="308">
        <v>43237</v>
      </c>
      <c r="B2036" s="302">
        <v>1044.1489999999999</v>
      </c>
      <c r="C2036" s="8">
        <v>-1.069</v>
      </c>
      <c r="D2036" s="268">
        <v>-1E-3</v>
      </c>
      <c r="E2036" s="8">
        <v>32.659999999999997</v>
      </c>
      <c r="F2036" s="8">
        <v>107.712</v>
      </c>
      <c r="G2036" s="8">
        <v>104.82</v>
      </c>
      <c r="H2036" s="8">
        <v>91.92</v>
      </c>
      <c r="I2036" s="8">
        <v>128.13999999999999</v>
      </c>
      <c r="J2036" s="8">
        <v>48.57</v>
      </c>
      <c r="K2036" s="268">
        <v>0.20430000000000001</v>
      </c>
      <c r="L2036" s="268">
        <v>0.14380000000000001</v>
      </c>
      <c r="M2036" s="268">
        <v>8.6E-3</v>
      </c>
      <c r="N2036" s="8">
        <v>17.47</v>
      </c>
      <c r="O2036" s="8">
        <v>1059.07</v>
      </c>
      <c r="P2036" s="268">
        <v>1.6500000000000001E-2</v>
      </c>
      <c r="Q2036" s="8">
        <v>69</v>
      </c>
      <c r="R2036" s="8" t="s">
        <v>9817</v>
      </c>
      <c r="S2036" s="8" t="s">
        <v>11614</v>
      </c>
      <c r="T2036" s="8" t="s">
        <v>11615</v>
      </c>
      <c r="U2036" s="8" t="s">
        <v>11616</v>
      </c>
      <c r="V2036" s="8" t="s">
        <v>11617</v>
      </c>
      <c r="W2036" s="8" t="s">
        <v>5326</v>
      </c>
    </row>
    <row r="2037" spans="1:23" ht="28" customHeight="1" x14ac:dyDescent="0.3">
      <c r="A2037" s="308">
        <v>43236</v>
      </c>
      <c r="B2037" s="302">
        <v>1045.2180000000001</v>
      </c>
      <c r="C2037" s="8">
        <v>-3.0409999999999999</v>
      </c>
      <c r="D2037" s="268">
        <v>-2.8999999999999998E-3</v>
      </c>
      <c r="E2037" s="8">
        <v>28.89</v>
      </c>
      <c r="F2037" s="8">
        <v>108.021</v>
      </c>
      <c r="G2037" s="8">
        <v>104.73</v>
      </c>
      <c r="H2037" s="8">
        <v>91.31</v>
      </c>
      <c r="I2037" s="8">
        <v>128.44999999999999</v>
      </c>
      <c r="J2037" s="8">
        <v>51.3</v>
      </c>
      <c r="K2037" s="268">
        <v>0.20430000000000001</v>
      </c>
      <c r="L2037" s="268">
        <v>0.1429</v>
      </c>
      <c r="M2037" s="268">
        <v>8.2000000000000007E-3</v>
      </c>
      <c r="N2037" s="8">
        <v>14.11</v>
      </c>
      <c r="O2037" s="8">
        <v>1037.55</v>
      </c>
      <c r="P2037" s="268">
        <v>1.3599999999999999E-2</v>
      </c>
      <c r="Q2037" s="8">
        <v>68</v>
      </c>
      <c r="R2037" s="8" t="s">
        <v>9529</v>
      </c>
      <c r="S2037" s="8" t="s">
        <v>11618</v>
      </c>
      <c r="T2037" s="8" t="s">
        <v>9047</v>
      </c>
      <c r="U2037" s="8" t="s">
        <v>5709</v>
      </c>
      <c r="V2037" s="8" t="s">
        <v>11619</v>
      </c>
      <c r="W2037" s="8" t="s">
        <v>7263</v>
      </c>
    </row>
    <row r="2038" spans="1:23" ht="28" customHeight="1" x14ac:dyDescent="0.3">
      <c r="A2038" s="308">
        <v>43235</v>
      </c>
      <c r="B2038" s="302">
        <v>1048.259</v>
      </c>
      <c r="C2038" s="8">
        <v>5.0750000000000002</v>
      </c>
      <c r="D2038" s="268">
        <v>4.8999999999999998E-3</v>
      </c>
      <c r="E2038" s="8">
        <v>35.770000000000003</v>
      </c>
      <c r="F2038" s="8">
        <v>108.39100000000001</v>
      </c>
      <c r="G2038" s="8">
        <v>104.645</v>
      </c>
      <c r="H2038" s="8">
        <v>92.75</v>
      </c>
      <c r="I2038" s="8">
        <v>128.4</v>
      </c>
      <c r="J2038" s="8">
        <v>43.2</v>
      </c>
      <c r="K2038" s="268">
        <v>0.2001</v>
      </c>
      <c r="L2038" s="268">
        <v>0.1353</v>
      </c>
      <c r="M2038" s="268">
        <v>7.7000000000000002E-3</v>
      </c>
      <c r="N2038" s="8">
        <v>15.43</v>
      </c>
      <c r="O2038" s="8">
        <v>1037.55</v>
      </c>
      <c r="P2038" s="268">
        <v>1.49E-2</v>
      </c>
      <c r="Q2038" s="8">
        <v>68</v>
      </c>
      <c r="R2038" s="8" t="s">
        <v>11103</v>
      </c>
      <c r="S2038" s="8" t="s">
        <v>3627</v>
      </c>
      <c r="T2038" s="8" t="s">
        <v>11620</v>
      </c>
      <c r="U2038" s="8" t="s">
        <v>2992</v>
      </c>
      <c r="V2038" s="8" t="s">
        <v>11621</v>
      </c>
      <c r="W2038" s="8" t="s">
        <v>11622</v>
      </c>
    </row>
    <row r="2039" spans="1:23" ht="28" customHeight="1" x14ac:dyDescent="0.3">
      <c r="A2039" s="308">
        <v>43234</v>
      </c>
      <c r="B2039" s="302">
        <v>1043.184</v>
      </c>
      <c r="C2039" s="8">
        <v>-4.3600000000000003</v>
      </c>
      <c r="D2039" s="268">
        <v>-4.1999999999999997E-3</v>
      </c>
      <c r="E2039" s="8">
        <v>31.67</v>
      </c>
      <c r="F2039" s="8">
        <v>107.655</v>
      </c>
      <c r="G2039" s="8">
        <v>104.47499999999999</v>
      </c>
      <c r="H2039" s="8">
        <v>91.79</v>
      </c>
      <c r="I2039" s="8">
        <v>129.12</v>
      </c>
      <c r="J2039" s="8">
        <v>50</v>
      </c>
      <c r="K2039" s="268">
        <v>0.21460000000000001</v>
      </c>
      <c r="L2039" s="268">
        <v>0.15160000000000001</v>
      </c>
      <c r="M2039" s="268">
        <v>8.8999999999999999E-3</v>
      </c>
      <c r="N2039" s="8">
        <v>15.38</v>
      </c>
      <c r="O2039" s="8">
        <v>1034.3800000000001</v>
      </c>
      <c r="P2039" s="268">
        <v>1.49E-2</v>
      </c>
      <c r="Q2039" s="8">
        <v>66</v>
      </c>
      <c r="R2039" s="8" t="s">
        <v>11623</v>
      </c>
      <c r="S2039" s="8" t="s">
        <v>11624</v>
      </c>
      <c r="T2039" s="8" t="s">
        <v>11625</v>
      </c>
      <c r="U2039" s="8" t="s">
        <v>3010</v>
      </c>
      <c r="V2039" s="8" t="s">
        <v>11626</v>
      </c>
      <c r="W2039" s="8" t="s">
        <v>2736</v>
      </c>
    </row>
    <row r="2040" spans="1:23" ht="28" customHeight="1" x14ac:dyDescent="0.3">
      <c r="A2040" s="308">
        <v>43231</v>
      </c>
      <c r="B2040" s="302">
        <v>1047.5440000000001</v>
      </c>
      <c r="C2040" s="8">
        <v>-4.5579999999999998</v>
      </c>
      <c r="D2040" s="268">
        <v>-4.3E-3</v>
      </c>
      <c r="E2040" s="8">
        <v>39.49</v>
      </c>
      <c r="F2040" s="8">
        <v>108.227</v>
      </c>
      <c r="G2040" s="8">
        <v>104.62</v>
      </c>
      <c r="H2040" s="8">
        <v>92.28</v>
      </c>
      <c r="I2040" s="8">
        <v>129.6</v>
      </c>
      <c r="J2040" s="8">
        <v>60.47</v>
      </c>
      <c r="K2040" s="268">
        <v>0.21379999999999999</v>
      </c>
      <c r="L2040" s="268">
        <v>0.15909999999999999</v>
      </c>
      <c r="M2040" s="268">
        <v>8.0999999999999996E-3</v>
      </c>
      <c r="N2040" s="8">
        <v>13.37</v>
      </c>
      <c r="O2040" s="8">
        <v>1010.31</v>
      </c>
      <c r="P2040" s="268">
        <v>1.32E-2</v>
      </c>
      <c r="Q2040" s="8">
        <v>65</v>
      </c>
      <c r="R2040" s="8" t="s">
        <v>11627</v>
      </c>
      <c r="S2040" s="8" t="s">
        <v>11628</v>
      </c>
      <c r="T2040" s="8" t="s">
        <v>5395</v>
      </c>
      <c r="U2040" s="8" t="s">
        <v>11629</v>
      </c>
      <c r="V2040" s="8" t="s">
        <v>11630</v>
      </c>
      <c r="W2040" s="8" t="s">
        <v>11511</v>
      </c>
    </row>
    <row r="2041" spans="1:23" ht="28" customHeight="1" x14ac:dyDescent="0.3">
      <c r="A2041" s="308">
        <v>43230</v>
      </c>
      <c r="B2041" s="302">
        <v>1052.1020000000001</v>
      </c>
      <c r="C2041" s="8">
        <v>2.2480000000000002</v>
      </c>
      <c r="D2041" s="268">
        <v>2.0999999999999999E-3</v>
      </c>
      <c r="E2041" s="8">
        <v>43.12</v>
      </c>
      <c r="F2041" s="8">
        <v>108.742</v>
      </c>
      <c r="G2041" s="8">
        <v>104.78</v>
      </c>
      <c r="H2041" s="8">
        <v>92.75</v>
      </c>
      <c r="I2041" s="8">
        <v>129.72</v>
      </c>
      <c r="J2041" s="8">
        <v>50</v>
      </c>
      <c r="K2041" s="268">
        <v>0.20979999999999999</v>
      </c>
      <c r="L2041" s="268">
        <v>0.15570000000000001</v>
      </c>
      <c r="M2041" s="268">
        <v>7.1999999999999998E-3</v>
      </c>
      <c r="N2041" s="8">
        <v>15.44</v>
      </c>
      <c r="O2041" s="8">
        <v>1010.31</v>
      </c>
      <c r="P2041" s="268">
        <v>1.5299999999999999E-2</v>
      </c>
      <c r="Q2041" s="8">
        <v>65</v>
      </c>
      <c r="R2041" s="8" t="s">
        <v>9214</v>
      </c>
      <c r="S2041" s="8" t="s">
        <v>11631</v>
      </c>
      <c r="T2041" s="8" t="s">
        <v>11632</v>
      </c>
      <c r="U2041" s="8" t="s">
        <v>3031</v>
      </c>
      <c r="V2041" s="8" t="s">
        <v>11633</v>
      </c>
      <c r="W2041" s="8" t="s">
        <v>11634</v>
      </c>
    </row>
    <row r="2042" spans="1:23" ht="28" customHeight="1" x14ac:dyDescent="0.3">
      <c r="A2042" s="308">
        <v>43229</v>
      </c>
      <c r="B2042" s="302">
        <v>1049.854</v>
      </c>
      <c r="C2042" s="8">
        <v>-0.47399999999999998</v>
      </c>
      <c r="D2042" s="268">
        <v>-4.0000000000000002E-4</v>
      </c>
      <c r="E2042" s="8">
        <v>43.76</v>
      </c>
      <c r="F2042" s="8">
        <v>108.60599999999999</v>
      </c>
      <c r="G2042" s="8">
        <v>104.815</v>
      </c>
      <c r="H2042" s="8">
        <v>92.22</v>
      </c>
      <c r="I2042" s="8">
        <v>129.85</v>
      </c>
      <c r="J2042" s="8">
        <v>57.86</v>
      </c>
      <c r="K2042" s="268">
        <v>0.21249999999999999</v>
      </c>
      <c r="L2042" s="268">
        <v>0.14829999999999999</v>
      </c>
      <c r="M2042" s="268">
        <v>7.1999999999999998E-3</v>
      </c>
      <c r="N2042" s="8">
        <v>14.29</v>
      </c>
      <c r="O2042" s="8">
        <v>1008.46</v>
      </c>
      <c r="P2042" s="268">
        <v>1.4200000000000001E-2</v>
      </c>
      <c r="Q2042" s="8">
        <v>64</v>
      </c>
      <c r="R2042" s="8" t="s">
        <v>9635</v>
      </c>
      <c r="S2042" s="8" t="s">
        <v>11635</v>
      </c>
      <c r="T2042" s="8" t="s">
        <v>11636</v>
      </c>
      <c r="U2042" s="8" t="s">
        <v>10323</v>
      </c>
      <c r="V2042" s="8" t="s">
        <v>11637</v>
      </c>
      <c r="W2042" s="8" t="s">
        <v>11638</v>
      </c>
    </row>
    <row r="2043" spans="1:23" ht="28" customHeight="1" x14ac:dyDescent="0.3">
      <c r="A2043" s="308">
        <v>43228</v>
      </c>
      <c r="B2043" s="302">
        <v>1050.328</v>
      </c>
      <c r="C2043" s="8">
        <v>4.9020000000000001</v>
      </c>
      <c r="D2043" s="268">
        <v>4.7000000000000002E-3</v>
      </c>
      <c r="E2043" s="8">
        <v>45.19</v>
      </c>
      <c r="F2043" s="8">
        <v>108.593</v>
      </c>
      <c r="G2043" s="8">
        <v>104.995</v>
      </c>
      <c r="H2043" s="8">
        <v>92.66</v>
      </c>
      <c r="I2043" s="8">
        <v>130.05000000000001</v>
      </c>
      <c r="J2043" s="8">
        <v>51.67</v>
      </c>
      <c r="K2043" s="268">
        <v>0.21460000000000001</v>
      </c>
      <c r="L2043" s="268">
        <v>0.14699999999999999</v>
      </c>
      <c r="M2043" s="268">
        <v>7.1000000000000004E-3</v>
      </c>
      <c r="N2043" s="8">
        <v>21.85</v>
      </c>
      <c r="O2043" s="8">
        <v>1008.46</v>
      </c>
      <c r="P2043" s="268">
        <v>2.1700000000000001E-2</v>
      </c>
      <c r="Q2043" s="8">
        <v>64</v>
      </c>
      <c r="R2043" s="8" t="s">
        <v>2867</v>
      </c>
      <c r="S2043" s="8" t="s">
        <v>11639</v>
      </c>
      <c r="T2043" s="8" t="s">
        <v>11640</v>
      </c>
      <c r="U2043" s="8" t="s">
        <v>10304</v>
      </c>
      <c r="V2043" s="8" t="s">
        <v>11641</v>
      </c>
      <c r="W2043" s="8" t="s">
        <v>11642</v>
      </c>
    </row>
    <row r="2044" spans="1:23" ht="28" customHeight="1" x14ac:dyDescent="0.3">
      <c r="A2044" s="308">
        <v>43227</v>
      </c>
      <c r="B2044" s="302">
        <v>1045.4259999999999</v>
      </c>
      <c r="C2044" s="8">
        <v>11.12</v>
      </c>
      <c r="D2044" s="268">
        <v>1.0699999999999999E-2</v>
      </c>
      <c r="E2044" s="8">
        <v>42.93</v>
      </c>
      <c r="F2044" s="8">
        <v>108.196</v>
      </c>
      <c r="G2044" s="8">
        <v>104.85</v>
      </c>
      <c r="H2044" s="8">
        <v>93.04</v>
      </c>
      <c r="I2044" s="8">
        <v>130.49</v>
      </c>
      <c r="J2044" s="8">
        <v>47.06</v>
      </c>
      <c r="K2044" s="268">
        <v>0.223</v>
      </c>
      <c r="L2044" s="268">
        <v>0.1595</v>
      </c>
      <c r="M2044" s="268">
        <v>7.7000000000000002E-3</v>
      </c>
      <c r="N2044" s="8">
        <v>19.09</v>
      </c>
      <c r="O2044" s="8">
        <v>1008.04</v>
      </c>
      <c r="P2044" s="268">
        <v>1.89E-2</v>
      </c>
      <c r="Q2044" s="8">
        <v>63</v>
      </c>
      <c r="R2044" s="8" t="s">
        <v>11643</v>
      </c>
      <c r="S2044" s="8" t="s">
        <v>11644</v>
      </c>
      <c r="T2044" s="8" t="s">
        <v>10316</v>
      </c>
      <c r="U2044" s="8" t="s">
        <v>11645</v>
      </c>
      <c r="V2044" s="8" t="s">
        <v>11606</v>
      </c>
      <c r="W2044" s="8" t="s">
        <v>11646</v>
      </c>
    </row>
    <row r="2045" spans="1:23" ht="28" customHeight="1" x14ac:dyDescent="0.3">
      <c r="A2045" s="308">
        <v>43224</v>
      </c>
      <c r="B2045" s="302">
        <v>1034.306</v>
      </c>
      <c r="C2045" s="8">
        <v>3.653</v>
      </c>
      <c r="D2045" s="268">
        <v>3.5000000000000001E-3</v>
      </c>
      <c r="E2045" s="8">
        <v>28.03</v>
      </c>
      <c r="F2045" s="8">
        <v>106.944</v>
      </c>
      <c r="G2045" s="8">
        <v>104.379</v>
      </c>
      <c r="H2045" s="8">
        <v>90.94</v>
      </c>
      <c r="I2045" s="8">
        <v>130.71</v>
      </c>
      <c r="J2045" s="8">
        <v>71.430000000000007</v>
      </c>
      <c r="K2045" s="268">
        <v>0.23769999999999999</v>
      </c>
      <c r="L2045" s="268">
        <v>0.17180000000000001</v>
      </c>
      <c r="M2045" s="268">
        <v>9.7000000000000003E-3</v>
      </c>
      <c r="N2045" s="8">
        <v>13.79</v>
      </c>
      <c r="O2045" s="8">
        <v>1008.04</v>
      </c>
      <c r="P2045" s="268">
        <v>1.37E-2</v>
      </c>
      <c r="Q2045" s="8">
        <v>63</v>
      </c>
      <c r="R2045" s="8" t="s">
        <v>6121</v>
      </c>
      <c r="S2045" s="8" t="s">
        <v>11647</v>
      </c>
      <c r="T2045" s="8" t="s">
        <v>11648</v>
      </c>
      <c r="U2045" s="8" t="s">
        <v>11649</v>
      </c>
      <c r="V2045" s="8" t="s">
        <v>6516</v>
      </c>
      <c r="W2045" s="8" t="s">
        <v>11650</v>
      </c>
    </row>
    <row r="2046" spans="1:23" ht="28" customHeight="1" x14ac:dyDescent="0.3">
      <c r="A2046" s="308">
        <v>43223</v>
      </c>
      <c r="B2046" s="302">
        <v>1030.653</v>
      </c>
      <c r="C2046" s="8">
        <v>4.9459999999999997</v>
      </c>
      <c r="D2046" s="268">
        <v>4.7999999999999996E-3</v>
      </c>
      <c r="E2046" s="8">
        <v>25.68</v>
      </c>
      <c r="F2046" s="8">
        <v>106.6</v>
      </c>
      <c r="G2046" s="8">
        <v>103.845</v>
      </c>
      <c r="H2046" s="8">
        <v>90.99</v>
      </c>
      <c r="I2046" s="8">
        <v>129.34</v>
      </c>
      <c r="J2046" s="8">
        <v>67.42</v>
      </c>
      <c r="K2046" s="268">
        <v>0.22739999999999999</v>
      </c>
      <c r="L2046" s="268">
        <v>0.1452</v>
      </c>
      <c r="M2046" s="268">
        <v>1.0200000000000001E-2</v>
      </c>
      <c r="N2046" s="8">
        <v>16.34</v>
      </c>
      <c r="O2046" s="8">
        <v>1015.04</v>
      </c>
      <c r="P2046" s="268">
        <v>1.61E-2</v>
      </c>
      <c r="Q2046" s="8">
        <v>64</v>
      </c>
      <c r="R2046" s="8" t="s">
        <v>10101</v>
      </c>
      <c r="S2046" s="8" t="s">
        <v>11651</v>
      </c>
      <c r="T2046" s="8" t="s">
        <v>11652</v>
      </c>
      <c r="U2046" s="8" t="s">
        <v>11653</v>
      </c>
      <c r="V2046" s="8" t="s">
        <v>11654</v>
      </c>
      <c r="W2046" s="8" t="s">
        <v>7165</v>
      </c>
    </row>
    <row r="2047" spans="1:23" ht="28" customHeight="1" x14ac:dyDescent="0.3">
      <c r="A2047" s="308">
        <v>43222</v>
      </c>
      <c r="B2047" s="302">
        <v>1025.7070000000001</v>
      </c>
      <c r="C2047" s="8">
        <v>-2.2280000000000002</v>
      </c>
      <c r="D2047" s="268">
        <v>-2.2000000000000001E-3</v>
      </c>
      <c r="E2047" s="8">
        <v>13.81</v>
      </c>
      <c r="F2047" s="8">
        <v>106.099</v>
      </c>
      <c r="G2047" s="8">
        <v>103.235</v>
      </c>
      <c r="H2047" s="8">
        <v>89.54</v>
      </c>
      <c r="I2047" s="8">
        <v>130.13999999999999</v>
      </c>
      <c r="J2047" s="8">
        <v>77.72</v>
      </c>
      <c r="K2047" s="268">
        <v>0.2404</v>
      </c>
      <c r="L2047" s="268">
        <v>0.17460000000000001</v>
      </c>
      <c r="M2047" s="268">
        <v>1.11E-2</v>
      </c>
      <c r="N2047" s="8">
        <v>10.1</v>
      </c>
      <c r="O2047" s="8">
        <v>1015.04</v>
      </c>
      <c r="P2047" s="268">
        <v>9.9000000000000008E-3</v>
      </c>
      <c r="Q2047" s="8">
        <v>64</v>
      </c>
      <c r="R2047" s="8" t="s">
        <v>9587</v>
      </c>
      <c r="S2047" s="8" t="s">
        <v>11655</v>
      </c>
      <c r="T2047" s="8" t="s">
        <v>11656</v>
      </c>
      <c r="U2047" s="8" t="s">
        <v>11657</v>
      </c>
      <c r="V2047" s="8" t="s">
        <v>7175</v>
      </c>
      <c r="W2047" s="8" t="s">
        <v>3409</v>
      </c>
    </row>
    <row r="2048" spans="1:23" ht="28" customHeight="1" x14ac:dyDescent="0.3">
      <c r="A2048" s="308">
        <v>43217</v>
      </c>
      <c r="B2048" s="302">
        <v>1027.9349999999999</v>
      </c>
      <c r="C2048" s="8">
        <v>1.5920000000000001</v>
      </c>
      <c r="D2048" s="268">
        <v>1.5E-3</v>
      </c>
      <c r="E2048" s="8">
        <v>18.04</v>
      </c>
      <c r="F2048" s="8">
        <v>106.318</v>
      </c>
      <c r="G2048" s="8">
        <v>103.505</v>
      </c>
      <c r="H2048" s="8">
        <v>88.78</v>
      </c>
      <c r="I2048" s="8">
        <v>130.75</v>
      </c>
      <c r="J2048" s="8">
        <v>85.92</v>
      </c>
      <c r="K2048" s="268">
        <v>0.24429999999999999</v>
      </c>
      <c r="L2048" s="268">
        <v>0.16539999999999999</v>
      </c>
      <c r="M2048" s="268">
        <v>1.06E-2</v>
      </c>
      <c r="N2048" s="8">
        <v>13.96</v>
      </c>
      <c r="O2048" s="8">
        <v>1015.04</v>
      </c>
      <c r="P2048" s="268">
        <v>1.38E-2</v>
      </c>
      <c r="Q2048" s="8">
        <v>64</v>
      </c>
      <c r="R2048" s="8" t="s">
        <v>6284</v>
      </c>
      <c r="S2048" s="8" t="s">
        <v>11658</v>
      </c>
      <c r="T2048" s="8" t="s">
        <v>11659</v>
      </c>
      <c r="U2048" s="8" t="s">
        <v>11660</v>
      </c>
      <c r="V2048" s="8" t="s">
        <v>5195</v>
      </c>
      <c r="W2048" s="8" t="s">
        <v>11661</v>
      </c>
    </row>
    <row r="2049" spans="1:23" ht="28" customHeight="1" x14ac:dyDescent="0.3">
      <c r="A2049" s="308">
        <v>43216</v>
      </c>
      <c r="B2049" s="302">
        <v>1026.3430000000001</v>
      </c>
      <c r="C2049" s="8">
        <v>-6.548</v>
      </c>
      <c r="D2049" s="268">
        <v>-6.3E-3</v>
      </c>
      <c r="E2049" s="8">
        <v>12.91</v>
      </c>
      <c r="F2049" s="8">
        <v>106.128</v>
      </c>
      <c r="G2049" s="8">
        <v>103.205</v>
      </c>
      <c r="H2049" s="8">
        <v>88.09</v>
      </c>
      <c r="I2049" s="8">
        <v>130.34</v>
      </c>
      <c r="J2049" s="8">
        <v>86.16</v>
      </c>
      <c r="K2049" s="268">
        <v>0.24210000000000001</v>
      </c>
      <c r="L2049" s="268">
        <v>0.17100000000000001</v>
      </c>
      <c r="M2049" s="268">
        <v>1.09E-2</v>
      </c>
      <c r="N2049" s="8">
        <v>12.87</v>
      </c>
      <c r="O2049" s="8">
        <v>1015.04</v>
      </c>
      <c r="P2049" s="268">
        <v>1.2699999999999999E-2</v>
      </c>
      <c r="Q2049" s="8">
        <v>64</v>
      </c>
      <c r="R2049" s="8" t="s">
        <v>9780</v>
      </c>
      <c r="S2049" s="8" t="s">
        <v>11662</v>
      </c>
      <c r="T2049" s="8" t="s">
        <v>11663</v>
      </c>
      <c r="U2049" s="8" t="s">
        <v>11664</v>
      </c>
      <c r="V2049" s="8" t="s">
        <v>11665</v>
      </c>
      <c r="W2049" s="8" t="s">
        <v>11666</v>
      </c>
    </row>
    <row r="2050" spans="1:23" ht="28" customHeight="1" x14ac:dyDescent="0.3">
      <c r="A2050" s="308">
        <v>43215</v>
      </c>
      <c r="B2050" s="302">
        <v>1032.8910000000001</v>
      </c>
      <c r="C2050" s="8">
        <v>-0.46300000000000002</v>
      </c>
      <c r="D2050" s="268">
        <v>-4.0000000000000002E-4</v>
      </c>
      <c r="E2050" s="8">
        <v>24.41</v>
      </c>
      <c r="F2050" s="8">
        <v>107.035</v>
      </c>
      <c r="G2050" s="8">
        <v>105.03</v>
      </c>
      <c r="H2050" s="8">
        <v>90.28</v>
      </c>
      <c r="I2050" s="8">
        <v>130</v>
      </c>
      <c r="J2050" s="8">
        <v>70.180000000000007</v>
      </c>
      <c r="K2050" s="268">
        <v>0.22969999999999999</v>
      </c>
      <c r="L2050" s="268">
        <v>0.1769</v>
      </c>
      <c r="M2050" s="268">
        <v>9.2999999999999992E-3</v>
      </c>
      <c r="N2050" s="8">
        <v>14.06</v>
      </c>
      <c r="O2050" s="8">
        <v>1009.01</v>
      </c>
      <c r="P2050" s="268">
        <v>1.3899999999999999E-2</v>
      </c>
      <c r="Q2050" s="8">
        <v>63</v>
      </c>
      <c r="R2050" s="8" t="s">
        <v>11667</v>
      </c>
      <c r="S2050" s="8" t="s">
        <v>11668</v>
      </c>
      <c r="T2050" s="8" t="s">
        <v>11669</v>
      </c>
      <c r="U2050" s="8" t="s">
        <v>11489</v>
      </c>
      <c r="V2050" s="8" t="s">
        <v>9339</v>
      </c>
      <c r="W2050" s="8" t="s">
        <v>11670</v>
      </c>
    </row>
    <row r="2051" spans="1:23" ht="28" customHeight="1" x14ac:dyDescent="0.3">
      <c r="A2051" s="308">
        <v>43214</v>
      </c>
      <c r="B2051" s="302">
        <v>1033.354</v>
      </c>
      <c r="C2051" s="8">
        <v>12.574999999999999</v>
      </c>
      <c r="D2051" s="268">
        <v>1.23E-2</v>
      </c>
      <c r="E2051" s="8">
        <v>22.47</v>
      </c>
      <c r="F2051" s="8">
        <v>107.04</v>
      </c>
      <c r="G2051" s="8">
        <v>104.59</v>
      </c>
      <c r="H2051" s="8">
        <v>90.81</v>
      </c>
      <c r="I2051" s="8">
        <v>129.94</v>
      </c>
      <c r="J2051" s="8">
        <v>70.19</v>
      </c>
      <c r="K2051" s="268">
        <v>0.22900000000000001</v>
      </c>
      <c r="L2051" s="268">
        <v>0.1666</v>
      </c>
      <c r="M2051" s="268">
        <v>9.1999999999999998E-3</v>
      </c>
      <c r="N2051" s="8">
        <v>20.94</v>
      </c>
      <c r="O2051" s="8">
        <v>1009.01</v>
      </c>
      <c r="P2051" s="268">
        <v>2.07E-2</v>
      </c>
      <c r="Q2051" s="8">
        <v>63</v>
      </c>
      <c r="R2051" s="8" t="s">
        <v>11292</v>
      </c>
      <c r="S2051" s="8" t="s">
        <v>11644</v>
      </c>
      <c r="T2051" s="8" t="s">
        <v>11671</v>
      </c>
      <c r="U2051" s="8" t="s">
        <v>11672</v>
      </c>
      <c r="V2051" s="8" t="s">
        <v>11673</v>
      </c>
      <c r="W2051" s="8" t="s">
        <v>11674</v>
      </c>
    </row>
    <row r="2052" spans="1:23" ht="28" customHeight="1" x14ac:dyDescent="0.3">
      <c r="A2052" s="308">
        <v>43213</v>
      </c>
      <c r="B2052" s="302">
        <v>1020.779</v>
      </c>
      <c r="C2052" s="8">
        <v>-14.071</v>
      </c>
      <c r="D2052" s="268">
        <v>-1.3599999999999999E-2</v>
      </c>
      <c r="E2052" s="8">
        <v>12.84</v>
      </c>
      <c r="F2052" s="8">
        <v>105.643</v>
      </c>
      <c r="G2052" s="8">
        <v>103.87</v>
      </c>
      <c r="H2052" s="8">
        <v>88.91</v>
      </c>
      <c r="I2052" s="8">
        <v>130.44999999999999</v>
      </c>
      <c r="J2052" s="8">
        <v>85.79</v>
      </c>
      <c r="K2052" s="268">
        <v>0.24809999999999999</v>
      </c>
      <c r="L2052" s="268">
        <v>0.18890000000000001</v>
      </c>
      <c r="M2052" s="268">
        <v>1.15E-2</v>
      </c>
      <c r="N2052" s="8">
        <v>15.08</v>
      </c>
      <c r="O2052" s="8">
        <v>1009.01</v>
      </c>
      <c r="P2052" s="268">
        <v>1.49E-2</v>
      </c>
      <c r="Q2052" s="8">
        <v>63</v>
      </c>
      <c r="R2052" s="8" t="s">
        <v>11675</v>
      </c>
      <c r="S2052" s="8" t="s">
        <v>11676</v>
      </c>
      <c r="T2052" s="8" t="s">
        <v>11677</v>
      </c>
      <c r="U2052" s="8" t="s">
        <v>11678</v>
      </c>
      <c r="V2052" s="8" t="s">
        <v>11679</v>
      </c>
      <c r="W2052" s="8" t="s">
        <v>11680</v>
      </c>
    </row>
    <row r="2053" spans="1:23" ht="28" customHeight="1" x14ac:dyDescent="0.3">
      <c r="A2053" s="308">
        <v>43210</v>
      </c>
      <c r="B2053" s="302">
        <v>1034.8499999999999</v>
      </c>
      <c r="C2053" s="8">
        <v>-7.0469999999999997</v>
      </c>
      <c r="D2053" s="268">
        <v>-6.7999999999999996E-3</v>
      </c>
      <c r="E2053" s="8">
        <v>24.07</v>
      </c>
      <c r="F2053" s="8">
        <v>107.16200000000001</v>
      </c>
      <c r="G2053" s="8">
        <v>104.23</v>
      </c>
      <c r="H2053" s="8">
        <v>88.72</v>
      </c>
      <c r="I2053" s="8">
        <v>132.56</v>
      </c>
      <c r="J2053" s="8">
        <v>90.67</v>
      </c>
      <c r="K2053" s="268">
        <v>0.254</v>
      </c>
      <c r="L2053" s="268">
        <v>0.18090000000000001</v>
      </c>
      <c r="M2053" s="268">
        <v>8.6E-3</v>
      </c>
      <c r="N2053" s="8">
        <v>12.89</v>
      </c>
      <c r="O2053" s="8">
        <v>1009.01</v>
      </c>
      <c r="P2053" s="268">
        <v>1.2800000000000001E-2</v>
      </c>
      <c r="Q2053" s="8">
        <v>63</v>
      </c>
      <c r="R2053" s="8">
        <v>0</v>
      </c>
      <c r="S2053" s="8" t="s">
        <v>11681</v>
      </c>
      <c r="T2053" s="8" t="s">
        <v>11682</v>
      </c>
      <c r="U2053" s="8" t="s">
        <v>11683</v>
      </c>
      <c r="V2053" s="8" t="s">
        <v>11074</v>
      </c>
      <c r="W2053" s="8" t="s">
        <v>5736</v>
      </c>
    </row>
    <row r="2054" spans="1:23" ht="28" customHeight="1" x14ac:dyDescent="0.3">
      <c r="A2054" s="308">
        <v>43209</v>
      </c>
      <c r="B2054" s="302">
        <v>1041.8969999999999</v>
      </c>
      <c r="C2054" s="8">
        <v>2.3140000000000001</v>
      </c>
      <c r="D2054" s="268">
        <v>2.2000000000000001E-3</v>
      </c>
      <c r="E2054" s="8">
        <v>31.5</v>
      </c>
      <c r="F2054" s="8">
        <v>108.09</v>
      </c>
      <c r="G2054" s="8">
        <v>106</v>
      </c>
      <c r="H2054" s="8">
        <v>90.59</v>
      </c>
      <c r="I2054" s="8">
        <v>131.91</v>
      </c>
      <c r="J2054" s="8">
        <v>75</v>
      </c>
      <c r="K2054" s="268">
        <v>0.2382</v>
      </c>
      <c r="L2054" s="268">
        <v>0.16159999999999999</v>
      </c>
      <c r="M2054" s="268">
        <v>6.8999999999999999E-3</v>
      </c>
      <c r="N2054" s="8">
        <v>17.579999999999998</v>
      </c>
      <c r="O2054" s="8">
        <v>1007.2</v>
      </c>
      <c r="P2054" s="268">
        <v>1.7500000000000002E-2</v>
      </c>
      <c r="Q2054" s="8">
        <v>62</v>
      </c>
      <c r="R2054" s="8">
        <v>0</v>
      </c>
      <c r="S2054" s="8" t="s">
        <v>10969</v>
      </c>
      <c r="T2054" s="8" t="s">
        <v>11684</v>
      </c>
      <c r="U2054" s="8" t="s">
        <v>11685</v>
      </c>
      <c r="V2054" s="8" t="s">
        <v>3242</v>
      </c>
      <c r="W2054" s="8" t="s">
        <v>2830</v>
      </c>
    </row>
    <row r="2055" spans="1:23" ht="28" customHeight="1" x14ac:dyDescent="0.3">
      <c r="A2055" s="308">
        <v>43208</v>
      </c>
      <c r="B2055" s="302">
        <v>1039.5830000000001</v>
      </c>
      <c r="C2055" s="8">
        <v>5.7480000000000002</v>
      </c>
      <c r="D2055" s="268">
        <v>5.5999999999999999E-3</v>
      </c>
      <c r="E2055" s="8">
        <v>26.84</v>
      </c>
      <c r="F2055" s="8">
        <v>107.857</v>
      </c>
      <c r="G2055" s="8">
        <v>105.17</v>
      </c>
      <c r="H2055" s="8">
        <v>90.77</v>
      </c>
      <c r="I2055" s="8">
        <v>131.62</v>
      </c>
      <c r="J2055" s="8">
        <v>80.67</v>
      </c>
      <c r="K2055" s="268">
        <v>0.23769999999999999</v>
      </c>
      <c r="L2055" s="268">
        <v>0.1729</v>
      </c>
      <c r="M2055" s="268">
        <v>7.4000000000000003E-3</v>
      </c>
      <c r="N2055" s="8">
        <v>21.51</v>
      </c>
      <c r="O2055" s="8">
        <v>1007.2</v>
      </c>
      <c r="P2055" s="268">
        <v>2.1399999999999999E-2</v>
      </c>
      <c r="Q2055" s="8">
        <v>62</v>
      </c>
      <c r="R2055" s="8">
        <v>0</v>
      </c>
      <c r="S2055" s="8" t="s">
        <v>11686</v>
      </c>
      <c r="T2055" s="8" t="s">
        <v>11687</v>
      </c>
      <c r="U2055" s="8" t="s">
        <v>11688</v>
      </c>
      <c r="V2055" s="8" t="s">
        <v>3457</v>
      </c>
      <c r="W2055" s="8" t="s">
        <v>11689</v>
      </c>
    </row>
    <row r="2056" spans="1:23" ht="28" customHeight="1" x14ac:dyDescent="0.3">
      <c r="A2056" s="308">
        <v>43207</v>
      </c>
      <c r="B2056" s="302">
        <v>1033.835</v>
      </c>
      <c r="C2056" s="8">
        <v>-5.1029999999999998</v>
      </c>
      <c r="D2056" s="268">
        <v>-4.8999999999999998E-3</v>
      </c>
      <c r="E2056" s="8">
        <v>23.28</v>
      </c>
      <c r="F2056" s="8">
        <v>107.17</v>
      </c>
      <c r="G2056" s="8">
        <v>104.80500000000001</v>
      </c>
      <c r="H2056" s="8">
        <v>90.19</v>
      </c>
      <c r="I2056" s="8">
        <v>131.68</v>
      </c>
      <c r="J2056" s="8">
        <v>83.89</v>
      </c>
      <c r="K2056" s="268">
        <v>0.24510000000000001</v>
      </c>
      <c r="L2056" s="268">
        <v>0.18010000000000001</v>
      </c>
      <c r="M2056" s="268">
        <v>8.3999999999999995E-3</v>
      </c>
      <c r="N2056" s="8">
        <v>20.329999999999998</v>
      </c>
      <c r="O2056" s="8">
        <v>1007.2</v>
      </c>
      <c r="P2056" s="268">
        <v>2.0199999999999999E-2</v>
      </c>
      <c r="Q2056" s="8">
        <v>62</v>
      </c>
      <c r="R2056" s="8">
        <v>0</v>
      </c>
      <c r="S2056" s="8" t="s">
        <v>11686</v>
      </c>
      <c r="T2056" s="8" t="s">
        <v>2761</v>
      </c>
      <c r="U2056" s="8" t="s">
        <v>11690</v>
      </c>
      <c r="V2056" s="8" t="s">
        <v>11561</v>
      </c>
      <c r="W2056" s="8" t="s">
        <v>8133</v>
      </c>
    </row>
    <row r="2057" spans="1:23" ht="28" customHeight="1" x14ac:dyDescent="0.3">
      <c r="A2057" s="308">
        <v>43206</v>
      </c>
      <c r="B2057" s="302">
        <v>1038.9380000000001</v>
      </c>
      <c r="C2057" s="8">
        <v>-3.3860000000000001</v>
      </c>
      <c r="D2057" s="268">
        <v>-3.3E-3</v>
      </c>
      <c r="E2057" s="8">
        <v>28.13</v>
      </c>
      <c r="F2057" s="8">
        <v>107.761</v>
      </c>
      <c r="G2057" s="8">
        <v>105.21299999999999</v>
      </c>
      <c r="H2057" s="8">
        <v>92.59</v>
      </c>
      <c r="I2057" s="8">
        <v>130.26</v>
      </c>
      <c r="J2057" s="8">
        <v>76.349999999999994</v>
      </c>
      <c r="K2057" s="268">
        <v>0.22500000000000001</v>
      </c>
      <c r="L2057" s="268">
        <v>0.15210000000000001</v>
      </c>
      <c r="M2057" s="268">
        <v>7.4000000000000003E-3</v>
      </c>
      <c r="N2057" s="8">
        <v>17.72</v>
      </c>
      <c r="O2057" s="8">
        <v>1007.2</v>
      </c>
      <c r="P2057" s="268">
        <v>1.7600000000000001E-2</v>
      </c>
      <c r="Q2057" s="8">
        <v>62</v>
      </c>
      <c r="R2057" s="8">
        <v>0</v>
      </c>
      <c r="S2057" s="8" t="s">
        <v>11691</v>
      </c>
      <c r="T2057" s="8" t="s">
        <v>11692</v>
      </c>
      <c r="U2057" s="8" t="s">
        <v>11693</v>
      </c>
      <c r="V2057" s="8" t="s">
        <v>11694</v>
      </c>
      <c r="W2057" s="8" t="s">
        <v>11695</v>
      </c>
    </row>
    <row r="2058" spans="1:23" ht="28" customHeight="1" x14ac:dyDescent="0.3">
      <c r="A2058" s="308">
        <v>43203</v>
      </c>
      <c r="B2058" s="302">
        <v>1042.3240000000001</v>
      </c>
      <c r="C2058" s="8">
        <v>-2.8029999999999999</v>
      </c>
      <c r="D2058" s="268">
        <v>-2.7000000000000001E-3</v>
      </c>
      <c r="E2058" s="8">
        <v>33.33</v>
      </c>
      <c r="F2058" s="8">
        <v>108.081</v>
      </c>
      <c r="G2058" s="8">
        <v>105.82899999999999</v>
      </c>
      <c r="H2058" s="8">
        <v>92.91</v>
      </c>
      <c r="I2058" s="8">
        <v>130.27000000000001</v>
      </c>
      <c r="J2058" s="8">
        <v>72.42</v>
      </c>
      <c r="K2058" s="268">
        <v>0.2218</v>
      </c>
      <c r="L2058" s="268">
        <v>0.1361</v>
      </c>
      <c r="M2058" s="268">
        <v>6.7000000000000002E-3</v>
      </c>
      <c r="N2058" s="8">
        <v>13.04</v>
      </c>
      <c r="O2058" s="8">
        <v>1007.2</v>
      </c>
      <c r="P2058" s="268">
        <v>1.29E-2</v>
      </c>
      <c r="Q2058" s="8">
        <v>62</v>
      </c>
      <c r="R2058" s="8">
        <v>0</v>
      </c>
      <c r="S2058" s="8" t="s">
        <v>11696</v>
      </c>
      <c r="T2058" s="8" t="s">
        <v>8394</v>
      </c>
      <c r="U2058" s="8" t="s">
        <v>11697</v>
      </c>
      <c r="V2058" s="8" t="s">
        <v>3393</v>
      </c>
      <c r="W2058" s="8" t="s">
        <v>4121</v>
      </c>
    </row>
    <row r="2059" spans="1:23" ht="28" customHeight="1" x14ac:dyDescent="0.3">
      <c r="A2059" s="308">
        <v>43202</v>
      </c>
      <c r="B2059" s="302">
        <v>1045.127</v>
      </c>
      <c r="C2059" s="8">
        <v>-3.17</v>
      </c>
      <c r="D2059" s="268">
        <v>-3.0000000000000001E-3</v>
      </c>
      <c r="E2059" s="8">
        <v>43.66</v>
      </c>
      <c r="F2059" s="8">
        <v>108.378</v>
      </c>
      <c r="G2059" s="8">
        <v>106.139</v>
      </c>
      <c r="H2059" s="8">
        <v>93.21</v>
      </c>
      <c r="I2059" s="8">
        <v>130.6</v>
      </c>
      <c r="J2059" s="8">
        <v>69.430000000000007</v>
      </c>
      <c r="K2059" s="268">
        <v>0.22220000000000001</v>
      </c>
      <c r="L2059" s="268">
        <v>0.13619999999999999</v>
      </c>
      <c r="M2059" s="268">
        <v>6.1999999999999998E-3</v>
      </c>
      <c r="N2059" s="8">
        <v>14.57</v>
      </c>
      <c r="O2059" s="8">
        <v>1007.2</v>
      </c>
      <c r="P2059" s="268">
        <v>1.4500000000000001E-2</v>
      </c>
      <c r="Q2059" s="8">
        <v>62</v>
      </c>
      <c r="R2059" s="8">
        <v>0</v>
      </c>
      <c r="S2059" s="8" t="s">
        <v>11698</v>
      </c>
      <c r="T2059" s="8" t="s">
        <v>11209</v>
      </c>
      <c r="U2059" s="8" t="s">
        <v>11699</v>
      </c>
      <c r="V2059" s="8" t="s">
        <v>3682</v>
      </c>
      <c r="W2059" s="8" t="s">
        <v>11700</v>
      </c>
    </row>
    <row r="2060" spans="1:23" ht="28" customHeight="1" x14ac:dyDescent="0.3">
      <c r="A2060" s="308">
        <v>43201</v>
      </c>
      <c r="B2060" s="302">
        <v>1048.297</v>
      </c>
      <c r="C2060" s="8">
        <v>2.145</v>
      </c>
      <c r="D2060" s="268">
        <v>2E-3</v>
      </c>
      <c r="E2060" s="8">
        <v>48.89</v>
      </c>
      <c r="F2060" s="8">
        <v>108.75700000000001</v>
      </c>
      <c r="G2060" s="8">
        <v>105.992</v>
      </c>
      <c r="H2060" s="8">
        <v>94.06</v>
      </c>
      <c r="I2060" s="8">
        <v>130.5</v>
      </c>
      <c r="J2060" s="8">
        <v>66.67</v>
      </c>
      <c r="K2060" s="268">
        <v>0.21740000000000001</v>
      </c>
      <c r="L2060" s="268">
        <v>0.13819999999999999</v>
      </c>
      <c r="M2060" s="268">
        <v>5.5999999999999999E-3</v>
      </c>
      <c r="N2060" s="8">
        <v>17.5</v>
      </c>
      <c r="O2060" s="8">
        <v>957.21</v>
      </c>
      <c r="P2060" s="268">
        <v>1.83E-2</v>
      </c>
      <c r="Q2060" s="8">
        <v>61</v>
      </c>
      <c r="R2060" s="8">
        <v>0</v>
      </c>
      <c r="S2060" s="8" t="s">
        <v>10788</v>
      </c>
      <c r="T2060" s="8" t="s">
        <v>9058</v>
      </c>
      <c r="U2060" s="8" t="s">
        <v>11701</v>
      </c>
      <c r="V2060" s="8" t="s">
        <v>3290</v>
      </c>
      <c r="W2060" s="8" t="s">
        <v>11702</v>
      </c>
    </row>
    <row r="2061" spans="1:23" ht="28" customHeight="1" x14ac:dyDescent="0.3">
      <c r="A2061" s="308">
        <v>43200</v>
      </c>
      <c r="B2061" s="302">
        <v>1046.152</v>
      </c>
      <c r="C2061" s="8">
        <v>-0.94899999999999995</v>
      </c>
      <c r="D2061" s="268">
        <v>-8.9999999999999998E-4</v>
      </c>
      <c r="E2061" s="8">
        <v>44</v>
      </c>
      <c r="F2061" s="8">
        <v>108.32299999999999</v>
      </c>
      <c r="G2061" s="8">
        <v>105.72499999999999</v>
      </c>
      <c r="H2061" s="8">
        <v>93.62</v>
      </c>
      <c r="I2061" s="8">
        <v>130.69999999999999</v>
      </c>
      <c r="J2061" s="8">
        <v>66.290000000000006</v>
      </c>
      <c r="K2061" s="268">
        <v>0.2238</v>
      </c>
      <c r="L2061" s="268">
        <v>0.1386</v>
      </c>
      <c r="M2061" s="268">
        <v>6.1999999999999998E-3</v>
      </c>
      <c r="N2061" s="8">
        <v>15.4</v>
      </c>
      <c r="O2061" s="8">
        <v>952.41</v>
      </c>
      <c r="P2061" s="268">
        <v>1.6199999999999999E-2</v>
      </c>
      <c r="Q2061" s="8">
        <v>60</v>
      </c>
      <c r="R2061" s="8">
        <v>0</v>
      </c>
      <c r="S2061" s="8" t="s">
        <v>11703</v>
      </c>
      <c r="T2061" s="8" t="s">
        <v>11704</v>
      </c>
      <c r="U2061" s="8" t="s">
        <v>11705</v>
      </c>
      <c r="V2061" s="8" t="s">
        <v>2383</v>
      </c>
      <c r="W2061" s="8" t="s">
        <v>8340</v>
      </c>
    </row>
    <row r="2062" spans="1:23" ht="28" customHeight="1" x14ac:dyDescent="0.3">
      <c r="A2062" s="308">
        <v>43199</v>
      </c>
      <c r="B2062" s="302">
        <v>1047.1010000000001</v>
      </c>
      <c r="C2062" s="8">
        <v>1.214</v>
      </c>
      <c r="D2062" s="268">
        <v>1.1999999999999999E-3</v>
      </c>
      <c r="E2062" s="8">
        <v>35.119999999999997</v>
      </c>
      <c r="F2062" s="8">
        <v>108.523</v>
      </c>
      <c r="G2062" s="8">
        <v>105.99</v>
      </c>
      <c r="H2062" s="8">
        <v>94.58</v>
      </c>
      <c r="I2062" s="8">
        <v>131.13</v>
      </c>
      <c r="J2062" s="8">
        <v>75</v>
      </c>
      <c r="K2062" s="268">
        <v>0.2261</v>
      </c>
      <c r="L2062" s="268">
        <v>0.1484</v>
      </c>
      <c r="M2062" s="268">
        <v>5.8999999999999999E-3</v>
      </c>
      <c r="N2062" s="8">
        <v>13.38</v>
      </c>
      <c r="O2062" s="8">
        <v>943.59</v>
      </c>
      <c r="P2062" s="268">
        <v>1.4200000000000001E-2</v>
      </c>
      <c r="Q2062" s="8">
        <v>59</v>
      </c>
      <c r="R2062" s="8">
        <v>0</v>
      </c>
      <c r="S2062" s="8" t="s">
        <v>7789</v>
      </c>
      <c r="T2062" s="8" t="s">
        <v>11706</v>
      </c>
      <c r="U2062" s="8" t="s">
        <v>11707</v>
      </c>
      <c r="V2062" s="8" t="s">
        <v>6377</v>
      </c>
      <c r="W2062" s="8" t="s">
        <v>11708</v>
      </c>
    </row>
    <row r="2063" spans="1:23" ht="28" customHeight="1" x14ac:dyDescent="0.3">
      <c r="A2063" s="308">
        <v>43194</v>
      </c>
      <c r="B2063" s="302">
        <v>1045.8869999999999</v>
      </c>
      <c r="C2063" s="8">
        <v>-0.20899999999999999</v>
      </c>
      <c r="D2063" s="268">
        <v>-2.0000000000000001E-4</v>
      </c>
      <c r="E2063" s="8">
        <v>38.799999999999997</v>
      </c>
      <c r="F2063" s="8">
        <v>108.39400000000001</v>
      </c>
      <c r="G2063" s="8">
        <v>105.47</v>
      </c>
      <c r="H2063" s="8">
        <v>95.49</v>
      </c>
      <c r="I2063" s="8">
        <v>131.09</v>
      </c>
      <c r="J2063" s="8">
        <v>74.7</v>
      </c>
      <c r="K2063" s="268">
        <v>0.22700000000000001</v>
      </c>
      <c r="L2063" s="268">
        <v>0.15590000000000001</v>
      </c>
      <c r="M2063" s="268">
        <v>6.1999999999999998E-3</v>
      </c>
      <c r="N2063" s="8">
        <v>14.51</v>
      </c>
      <c r="O2063" s="8">
        <v>943.59</v>
      </c>
      <c r="P2063" s="268">
        <v>1.54E-2</v>
      </c>
      <c r="Q2063" s="8">
        <v>59</v>
      </c>
      <c r="R2063" s="8">
        <v>0</v>
      </c>
      <c r="S2063" s="8" t="s">
        <v>11709</v>
      </c>
      <c r="T2063" s="8" t="s">
        <v>2467</v>
      </c>
      <c r="U2063" s="8" t="s">
        <v>11710</v>
      </c>
      <c r="V2063" s="8" t="s">
        <v>11711</v>
      </c>
      <c r="W2063" s="8" t="s">
        <v>11712</v>
      </c>
    </row>
    <row r="2064" spans="1:23" ht="28" customHeight="1" x14ac:dyDescent="0.3">
      <c r="A2064" s="308">
        <v>43193</v>
      </c>
      <c r="B2064" s="302">
        <v>1046.096</v>
      </c>
      <c r="C2064" s="8">
        <v>-1.762</v>
      </c>
      <c r="D2064" s="268">
        <v>-1.6999999999999999E-3</v>
      </c>
      <c r="E2064" s="8">
        <v>36.049999999999997</v>
      </c>
      <c r="F2064" s="8">
        <v>108.459</v>
      </c>
      <c r="G2064" s="8">
        <v>105.72799999999999</v>
      </c>
      <c r="H2064" s="8">
        <v>95.39</v>
      </c>
      <c r="I2064" s="8">
        <v>129.74</v>
      </c>
      <c r="J2064" s="8">
        <v>66.150000000000006</v>
      </c>
      <c r="K2064" s="268">
        <v>0.21279999999999999</v>
      </c>
      <c r="L2064" s="268">
        <v>0.14349999999999999</v>
      </c>
      <c r="M2064" s="268">
        <v>6.1999999999999998E-3</v>
      </c>
      <c r="N2064" s="8">
        <v>14.23</v>
      </c>
      <c r="O2064" s="8">
        <v>943.59</v>
      </c>
      <c r="P2064" s="268">
        <v>1.5100000000000001E-2</v>
      </c>
      <c r="Q2064" s="8">
        <v>59</v>
      </c>
      <c r="R2064" s="8">
        <v>0</v>
      </c>
      <c r="S2064" s="8" t="s">
        <v>10704</v>
      </c>
      <c r="T2064" s="8" t="s">
        <v>3239</v>
      </c>
      <c r="U2064" s="8" t="s">
        <v>11713</v>
      </c>
      <c r="V2064" s="8" t="s">
        <v>7946</v>
      </c>
      <c r="W2064" s="8" t="s">
        <v>11714</v>
      </c>
    </row>
    <row r="2065" spans="1:23" ht="28" customHeight="1" x14ac:dyDescent="0.3">
      <c r="A2065" s="308">
        <v>43192</v>
      </c>
      <c r="B2065" s="302">
        <v>1047.8579999999999</v>
      </c>
      <c r="C2065" s="8">
        <v>6.9139999999999997</v>
      </c>
      <c r="D2065" s="268">
        <v>6.6E-3</v>
      </c>
      <c r="E2065" s="8">
        <v>36.82</v>
      </c>
      <c r="F2065" s="8">
        <v>108.675</v>
      </c>
      <c r="G2065" s="8">
        <v>105.8</v>
      </c>
      <c r="H2065" s="8">
        <v>95.76</v>
      </c>
      <c r="I2065" s="8">
        <v>129.12</v>
      </c>
      <c r="J2065" s="8">
        <v>62.56</v>
      </c>
      <c r="K2065" s="268">
        <v>0.2044</v>
      </c>
      <c r="L2065" s="268">
        <v>0.1308</v>
      </c>
      <c r="M2065" s="268">
        <v>5.7999999999999996E-3</v>
      </c>
      <c r="N2065" s="8">
        <v>19.260000000000002</v>
      </c>
      <c r="O2065" s="8">
        <v>950.94</v>
      </c>
      <c r="P2065" s="268">
        <v>2.0299999999999999E-2</v>
      </c>
      <c r="Q2065" s="8">
        <v>59</v>
      </c>
      <c r="R2065" s="8">
        <v>0</v>
      </c>
      <c r="S2065" s="8" t="s">
        <v>6265</v>
      </c>
      <c r="T2065" s="8" t="s">
        <v>11715</v>
      </c>
      <c r="U2065" s="8" t="s">
        <v>11716</v>
      </c>
      <c r="V2065" s="8" t="s">
        <v>11448</v>
      </c>
      <c r="W2065" s="8" t="s">
        <v>11717</v>
      </c>
    </row>
    <row r="2066" spans="1:23" ht="28" customHeight="1" x14ac:dyDescent="0.3">
      <c r="A2066" s="308">
        <v>43189</v>
      </c>
      <c r="B2066" s="302">
        <v>1040.944</v>
      </c>
      <c r="C2066" s="8">
        <v>7.7450000000000001</v>
      </c>
      <c r="D2066" s="268">
        <v>7.4999999999999997E-3</v>
      </c>
      <c r="E2066" s="8">
        <v>39.92</v>
      </c>
      <c r="F2066" s="8">
        <v>107.919</v>
      </c>
      <c r="G2066" s="8">
        <v>105.8</v>
      </c>
      <c r="H2066" s="8">
        <v>94.66</v>
      </c>
      <c r="I2066" s="8">
        <v>128.26</v>
      </c>
      <c r="J2066" s="8">
        <v>60</v>
      </c>
      <c r="K2066" s="268">
        <v>0.2034</v>
      </c>
      <c r="L2066" s="268">
        <v>0.1203</v>
      </c>
      <c r="M2066" s="268">
        <v>7.0000000000000001E-3</v>
      </c>
      <c r="N2066" s="8">
        <v>19.18</v>
      </c>
      <c r="O2066" s="8">
        <v>950.94</v>
      </c>
      <c r="P2066" s="268">
        <v>2.0199999999999999E-2</v>
      </c>
      <c r="Q2066" s="8">
        <v>59</v>
      </c>
      <c r="R2066" s="8">
        <v>0</v>
      </c>
      <c r="S2066" s="8" t="s">
        <v>11718</v>
      </c>
      <c r="T2066" s="8" t="s">
        <v>11719</v>
      </c>
      <c r="U2066" s="8" t="s">
        <v>11720</v>
      </c>
      <c r="V2066" s="8" t="s">
        <v>11721</v>
      </c>
      <c r="W2066" s="8" t="s">
        <v>11722</v>
      </c>
    </row>
    <row r="2067" spans="1:23" ht="28" customHeight="1" x14ac:dyDescent="0.3">
      <c r="A2067" s="308">
        <v>43188</v>
      </c>
      <c r="B2067" s="302">
        <v>1033.1990000000001</v>
      </c>
      <c r="C2067" s="8">
        <v>0.877</v>
      </c>
      <c r="D2067" s="268">
        <v>8.9999999999999998E-4</v>
      </c>
      <c r="E2067" s="8">
        <v>35.979999999999997</v>
      </c>
      <c r="F2067" s="8">
        <v>107.06100000000001</v>
      </c>
      <c r="G2067" s="8">
        <v>105.2</v>
      </c>
      <c r="H2067" s="8">
        <v>94.79</v>
      </c>
      <c r="I2067" s="8">
        <v>128.31</v>
      </c>
      <c r="J2067" s="8">
        <v>62.03</v>
      </c>
      <c r="K2067" s="268">
        <v>0.21249999999999999</v>
      </c>
      <c r="L2067" s="268">
        <v>0.12330000000000001</v>
      </c>
      <c r="M2067" s="268">
        <v>8.5000000000000006E-3</v>
      </c>
      <c r="N2067" s="8">
        <v>17.97</v>
      </c>
      <c r="O2067" s="8">
        <v>950.94</v>
      </c>
      <c r="P2067" s="268">
        <v>1.89E-2</v>
      </c>
      <c r="Q2067" s="8">
        <v>59</v>
      </c>
      <c r="R2067" s="8">
        <v>0</v>
      </c>
      <c r="S2067" s="8" t="s">
        <v>11723</v>
      </c>
      <c r="T2067" s="8" t="s">
        <v>11724</v>
      </c>
      <c r="U2067" s="8" t="s">
        <v>11725</v>
      </c>
      <c r="V2067" s="8" t="s">
        <v>4074</v>
      </c>
      <c r="W2067" s="8" t="s">
        <v>11726</v>
      </c>
    </row>
    <row r="2068" spans="1:23" ht="28" customHeight="1" x14ac:dyDescent="0.3">
      <c r="A2068" s="308">
        <v>43187</v>
      </c>
      <c r="B2068" s="302">
        <v>1032.3219999999999</v>
      </c>
      <c r="C2068" s="8">
        <v>-3.0009999999999999</v>
      </c>
      <c r="D2068" s="268">
        <v>-2.8999999999999998E-3</v>
      </c>
      <c r="E2068" s="8">
        <v>36.36</v>
      </c>
      <c r="F2068" s="8">
        <v>106.95699999999999</v>
      </c>
      <c r="G2068" s="8">
        <v>105.4</v>
      </c>
      <c r="H2068" s="8">
        <v>94.2</v>
      </c>
      <c r="I2068" s="8">
        <v>129.07</v>
      </c>
      <c r="J2068" s="8">
        <v>66.099999999999994</v>
      </c>
      <c r="K2068" s="268">
        <v>0.22109999999999999</v>
      </c>
      <c r="L2068" s="268">
        <v>0.1449</v>
      </c>
      <c r="M2068" s="268">
        <v>8.6E-3</v>
      </c>
      <c r="N2068" s="8">
        <v>16.96</v>
      </c>
      <c r="O2068" s="8">
        <v>950.94</v>
      </c>
      <c r="P2068" s="268">
        <v>1.78E-2</v>
      </c>
      <c r="Q2068" s="8">
        <v>59</v>
      </c>
      <c r="R2068" s="8">
        <v>0</v>
      </c>
      <c r="S2068" s="8" t="s">
        <v>11727</v>
      </c>
      <c r="T2068" s="8" t="s">
        <v>10303</v>
      </c>
      <c r="U2068" s="8" t="s">
        <v>11693</v>
      </c>
      <c r="V2068" s="8" t="s">
        <v>4233</v>
      </c>
      <c r="W2068" s="8" t="s">
        <v>9325</v>
      </c>
    </row>
    <row r="2069" spans="1:23" ht="28" customHeight="1" x14ac:dyDescent="0.3">
      <c r="A2069" s="308">
        <v>43186</v>
      </c>
      <c r="B2069" s="302">
        <v>1035.3230000000001</v>
      </c>
      <c r="C2069" s="8">
        <v>8.468</v>
      </c>
      <c r="D2069" s="268">
        <v>8.2000000000000007E-3</v>
      </c>
      <c r="E2069" s="8">
        <v>30.79</v>
      </c>
      <c r="F2069" s="8">
        <v>107.414</v>
      </c>
      <c r="G2069" s="8">
        <v>106.035</v>
      </c>
      <c r="H2069" s="8">
        <v>93.1</v>
      </c>
      <c r="I2069" s="8">
        <v>129.5</v>
      </c>
      <c r="J2069" s="8">
        <v>66.2</v>
      </c>
      <c r="K2069" s="268">
        <v>0.22090000000000001</v>
      </c>
      <c r="L2069" s="268">
        <v>0.13800000000000001</v>
      </c>
      <c r="M2069" s="268">
        <v>7.9000000000000008E-3</v>
      </c>
      <c r="N2069" s="8">
        <v>21.63</v>
      </c>
      <c r="O2069" s="8">
        <v>943.44</v>
      </c>
      <c r="P2069" s="268">
        <v>2.29E-2</v>
      </c>
      <c r="Q2069" s="8">
        <v>58</v>
      </c>
      <c r="R2069" s="8">
        <v>0</v>
      </c>
      <c r="S2069" s="8" t="s">
        <v>11728</v>
      </c>
      <c r="T2069" s="8" t="s">
        <v>10706</v>
      </c>
      <c r="U2069" s="8" t="s">
        <v>11729</v>
      </c>
      <c r="V2069" s="8" t="s">
        <v>11730</v>
      </c>
      <c r="W2069" s="8" t="s">
        <v>2882</v>
      </c>
    </row>
    <row r="2070" spans="1:23" ht="28" customHeight="1" x14ac:dyDescent="0.3">
      <c r="A2070" s="308">
        <v>43185</v>
      </c>
      <c r="B2070" s="302">
        <v>1026.855</v>
      </c>
      <c r="C2070" s="8">
        <v>6.4530000000000003</v>
      </c>
      <c r="D2070" s="268">
        <v>6.3E-3</v>
      </c>
      <c r="E2070" s="8">
        <v>25.8</v>
      </c>
      <c r="F2070" s="8">
        <v>106.504</v>
      </c>
      <c r="G2070" s="8">
        <v>105.155</v>
      </c>
      <c r="H2070" s="8">
        <v>90.84</v>
      </c>
      <c r="I2070" s="8">
        <v>130.65</v>
      </c>
      <c r="J2070" s="8">
        <v>73.819999999999993</v>
      </c>
      <c r="K2070" s="268">
        <v>0.2414</v>
      </c>
      <c r="L2070" s="268">
        <v>0.1477</v>
      </c>
      <c r="M2070" s="268">
        <v>9.4000000000000004E-3</v>
      </c>
      <c r="N2070" s="8">
        <v>20.55</v>
      </c>
      <c r="O2070" s="8">
        <v>943.44</v>
      </c>
      <c r="P2070" s="268">
        <v>2.18E-2</v>
      </c>
      <c r="Q2070" s="8">
        <v>58</v>
      </c>
      <c r="R2070" s="8">
        <v>0</v>
      </c>
      <c r="S2070" s="8" t="s">
        <v>11731</v>
      </c>
      <c r="T2070" s="8" t="s">
        <v>11562</v>
      </c>
      <c r="U2070" s="8" t="s">
        <v>10381</v>
      </c>
      <c r="V2070" s="8" t="s">
        <v>11732</v>
      </c>
      <c r="W2070" s="8" t="s">
        <v>11733</v>
      </c>
    </row>
    <row r="2071" spans="1:23" ht="28" customHeight="1" x14ac:dyDescent="0.3">
      <c r="A2071" s="308">
        <v>43182</v>
      </c>
      <c r="B2071" s="302">
        <v>1020.402</v>
      </c>
      <c r="C2071" s="8">
        <v>-16.692</v>
      </c>
      <c r="D2071" s="268">
        <v>-1.61E-2</v>
      </c>
      <c r="E2071" s="8">
        <v>17.78</v>
      </c>
      <c r="F2071" s="8">
        <v>105.748</v>
      </c>
      <c r="G2071" s="8">
        <v>104.78</v>
      </c>
      <c r="H2071" s="8">
        <v>90.48</v>
      </c>
      <c r="I2071" s="8">
        <v>131.52000000000001</v>
      </c>
      <c r="J2071" s="8">
        <v>80</v>
      </c>
      <c r="K2071" s="268">
        <v>0.25779999999999997</v>
      </c>
      <c r="L2071" s="268">
        <v>0.17780000000000001</v>
      </c>
      <c r="M2071" s="268">
        <v>1.0699999999999999E-2</v>
      </c>
      <c r="N2071" s="8">
        <v>33.36</v>
      </c>
      <c r="O2071" s="8">
        <v>936.53</v>
      </c>
      <c r="P2071" s="268">
        <v>3.56E-2</v>
      </c>
      <c r="Q2071" s="8">
        <v>57</v>
      </c>
      <c r="R2071" s="8">
        <v>0</v>
      </c>
      <c r="S2071" s="8" t="s">
        <v>11734</v>
      </c>
      <c r="T2071" s="8" t="s">
        <v>11735</v>
      </c>
      <c r="U2071" s="8" t="s">
        <v>11736</v>
      </c>
      <c r="V2071" s="8" t="s">
        <v>11737</v>
      </c>
      <c r="W2071" s="8">
        <v>0</v>
      </c>
    </row>
    <row r="2072" spans="1:23" ht="28" customHeight="1" x14ac:dyDescent="0.3">
      <c r="A2072" s="308">
        <v>43181</v>
      </c>
      <c r="B2072" s="302">
        <v>1037.0940000000001</v>
      </c>
      <c r="C2072" s="8">
        <v>-1.9670000000000001</v>
      </c>
      <c r="D2072" s="268">
        <v>-1.9E-3</v>
      </c>
      <c r="E2072" s="8">
        <v>39.93</v>
      </c>
      <c r="F2072" s="8">
        <v>107.578</v>
      </c>
      <c r="G2072" s="8">
        <v>106.13</v>
      </c>
      <c r="H2072" s="8">
        <v>94.91</v>
      </c>
      <c r="I2072" s="8">
        <v>128.96</v>
      </c>
      <c r="J2072" s="8">
        <v>59.45</v>
      </c>
      <c r="K2072" s="268">
        <v>0.21379999999999999</v>
      </c>
      <c r="L2072" s="268">
        <v>0.128</v>
      </c>
      <c r="M2072" s="268">
        <v>7.3000000000000001E-3</v>
      </c>
      <c r="N2072" s="8">
        <v>14.12</v>
      </c>
      <c r="O2072" s="8">
        <v>916.53</v>
      </c>
      <c r="P2072" s="268">
        <v>1.54E-2</v>
      </c>
      <c r="Q2072" s="8">
        <v>56</v>
      </c>
      <c r="R2072" s="8">
        <v>0</v>
      </c>
      <c r="S2072" s="8" t="s">
        <v>11257</v>
      </c>
      <c r="T2072" s="8" t="s">
        <v>11738</v>
      </c>
      <c r="U2072" s="8" t="s">
        <v>11739</v>
      </c>
      <c r="V2072" s="8" t="s">
        <v>6329</v>
      </c>
      <c r="W2072" s="8" t="s">
        <v>9741</v>
      </c>
    </row>
    <row r="2073" spans="1:23" ht="28" customHeight="1" x14ac:dyDescent="0.3">
      <c r="A2073" s="308">
        <v>43180</v>
      </c>
      <c r="B2073" s="302">
        <v>1039.0609999999999</v>
      </c>
      <c r="C2073" s="8">
        <v>-1.2989999999999999</v>
      </c>
      <c r="D2073" s="268">
        <v>-1.2999999999999999E-3</v>
      </c>
      <c r="E2073" s="8">
        <v>45.59</v>
      </c>
      <c r="F2073" s="8">
        <v>107.79600000000001</v>
      </c>
      <c r="G2073" s="8">
        <v>106</v>
      </c>
      <c r="H2073" s="8">
        <v>95.07</v>
      </c>
      <c r="I2073" s="8">
        <v>129.43</v>
      </c>
      <c r="J2073" s="8">
        <v>56.18</v>
      </c>
      <c r="K2073" s="268">
        <v>0.21629999999999999</v>
      </c>
      <c r="L2073" s="268">
        <v>0.12620000000000001</v>
      </c>
      <c r="M2073" s="268">
        <v>6.8999999999999999E-3</v>
      </c>
      <c r="N2073" s="8">
        <v>18.079999999999998</v>
      </c>
      <c r="O2073" s="8">
        <v>916.53</v>
      </c>
      <c r="P2073" s="268">
        <v>1.9699999999999999E-2</v>
      </c>
      <c r="Q2073" s="8">
        <v>56</v>
      </c>
      <c r="R2073" s="8">
        <v>0</v>
      </c>
      <c r="S2073" s="8" t="s">
        <v>11740</v>
      </c>
      <c r="T2073" s="8" t="s">
        <v>11741</v>
      </c>
      <c r="U2073" s="8" t="s">
        <v>2816</v>
      </c>
      <c r="V2073" s="8" t="s">
        <v>7032</v>
      </c>
      <c r="W2073" s="8" t="s">
        <v>11742</v>
      </c>
    </row>
    <row r="2074" spans="1:23" ht="28" customHeight="1" x14ac:dyDescent="0.3">
      <c r="A2074" s="308">
        <v>43179</v>
      </c>
      <c r="B2074" s="302">
        <v>1040.3599999999999</v>
      </c>
      <c r="C2074" s="8">
        <v>-1.375</v>
      </c>
      <c r="D2074" s="268">
        <v>-1.2999999999999999E-3</v>
      </c>
      <c r="E2074" s="8">
        <v>44.63</v>
      </c>
      <c r="F2074" s="8">
        <v>107.965</v>
      </c>
      <c r="G2074" s="8">
        <v>105.76</v>
      </c>
      <c r="H2074" s="8">
        <v>95.46</v>
      </c>
      <c r="I2074" s="8">
        <v>128.76</v>
      </c>
      <c r="J2074" s="8">
        <v>53.62</v>
      </c>
      <c r="K2074" s="268">
        <v>0.2079</v>
      </c>
      <c r="L2074" s="268">
        <v>0.13100000000000001</v>
      </c>
      <c r="M2074" s="268">
        <v>6.7000000000000002E-3</v>
      </c>
      <c r="N2074" s="8">
        <v>13.97</v>
      </c>
      <c r="O2074" s="8">
        <v>916.53</v>
      </c>
      <c r="P2074" s="268">
        <v>1.52E-2</v>
      </c>
      <c r="Q2074" s="8">
        <v>56</v>
      </c>
      <c r="R2074" s="8">
        <v>0</v>
      </c>
      <c r="S2074" s="8" t="s">
        <v>11354</v>
      </c>
      <c r="T2074" s="8" t="s">
        <v>10270</v>
      </c>
      <c r="U2074" s="8" t="s">
        <v>11743</v>
      </c>
      <c r="V2074" s="8" t="s">
        <v>11744</v>
      </c>
      <c r="W2074" s="8" t="s">
        <v>9136</v>
      </c>
    </row>
    <row r="2075" spans="1:23" ht="28" customHeight="1" x14ac:dyDescent="0.3">
      <c r="A2075" s="308">
        <v>43178</v>
      </c>
      <c r="B2075" s="302">
        <v>1041.7349999999999</v>
      </c>
      <c r="C2075" s="8">
        <v>1.0860000000000001</v>
      </c>
      <c r="D2075" s="268">
        <v>1E-3</v>
      </c>
      <c r="E2075" s="8">
        <v>55.9</v>
      </c>
      <c r="F2075" s="8">
        <v>107.88</v>
      </c>
      <c r="G2075" s="8">
        <v>106.598</v>
      </c>
      <c r="H2075" s="8">
        <v>95.4</v>
      </c>
      <c r="I2075" s="8">
        <v>129.03</v>
      </c>
      <c r="J2075" s="8">
        <v>52.5</v>
      </c>
      <c r="K2075" s="268">
        <v>0.21149999999999999</v>
      </c>
      <c r="L2075" s="268">
        <v>0.1431</v>
      </c>
      <c r="M2075" s="268">
        <v>6.7000000000000002E-3</v>
      </c>
      <c r="N2075" s="8">
        <v>15.37</v>
      </c>
      <c r="O2075" s="8">
        <v>916.47</v>
      </c>
      <c r="P2075" s="268">
        <v>1.6799999999999999E-2</v>
      </c>
      <c r="Q2075" s="8">
        <v>55</v>
      </c>
      <c r="R2075" s="8">
        <v>0</v>
      </c>
      <c r="S2075" s="8" t="s">
        <v>11745</v>
      </c>
      <c r="T2075" s="8" t="s">
        <v>3648</v>
      </c>
      <c r="U2075" s="8" t="s">
        <v>11746</v>
      </c>
      <c r="V2075" s="8" t="s">
        <v>6377</v>
      </c>
      <c r="W2075" s="8" t="s">
        <v>11747</v>
      </c>
    </row>
    <row r="2076" spans="1:23" ht="28" customHeight="1" x14ac:dyDescent="0.3">
      <c r="A2076" s="308">
        <v>43175</v>
      </c>
      <c r="B2076" s="302">
        <v>1040.6489999999999</v>
      </c>
      <c r="C2076" s="8">
        <v>-0.108</v>
      </c>
      <c r="D2076" s="268">
        <v>-1E-4</v>
      </c>
      <c r="E2076" s="8">
        <v>49.21</v>
      </c>
      <c r="F2076" s="8">
        <v>107.761</v>
      </c>
      <c r="G2076" s="8">
        <v>105.82</v>
      </c>
      <c r="H2076" s="8">
        <v>94.92</v>
      </c>
      <c r="I2076" s="8">
        <v>129.08000000000001</v>
      </c>
      <c r="J2076" s="8">
        <v>49.06</v>
      </c>
      <c r="K2076" s="268">
        <v>0.2132</v>
      </c>
      <c r="L2076" s="268">
        <v>0.1394</v>
      </c>
      <c r="M2076" s="268">
        <v>6.8999999999999999E-3</v>
      </c>
      <c r="N2076" s="8">
        <v>17.25</v>
      </c>
      <c r="O2076" s="8">
        <v>916.47</v>
      </c>
      <c r="P2076" s="268">
        <v>1.8800000000000001E-2</v>
      </c>
      <c r="Q2076" s="8">
        <v>55</v>
      </c>
      <c r="R2076" s="8">
        <v>0</v>
      </c>
      <c r="S2076" s="8" t="s">
        <v>11748</v>
      </c>
      <c r="T2076" s="8" t="s">
        <v>11749</v>
      </c>
      <c r="U2076" s="8" t="s">
        <v>10200</v>
      </c>
      <c r="V2076" s="8" t="s">
        <v>3230</v>
      </c>
      <c r="W2076" s="8" t="s">
        <v>11750</v>
      </c>
    </row>
    <row r="2077" spans="1:23" ht="28" customHeight="1" x14ac:dyDescent="0.3">
      <c r="A2077" s="308">
        <v>43174</v>
      </c>
      <c r="B2077" s="302">
        <v>1040.7570000000001</v>
      </c>
      <c r="C2077" s="8">
        <v>-1.556</v>
      </c>
      <c r="D2077" s="268">
        <v>-1.5E-3</v>
      </c>
      <c r="E2077" s="8">
        <v>50</v>
      </c>
      <c r="F2077" s="8">
        <v>107.789</v>
      </c>
      <c r="G2077" s="8">
        <v>106.7</v>
      </c>
      <c r="H2077" s="8">
        <v>95.59</v>
      </c>
      <c r="I2077" s="8">
        <v>128.59</v>
      </c>
      <c r="J2077" s="8">
        <v>53.85</v>
      </c>
      <c r="K2077" s="268">
        <v>0.20799999999999999</v>
      </c>
      <c r="L2077" s="268">
        <v>0.12280000000000001</v>
      </c>
      <c r="M2077" s="268">
        <v>6.8999999999999999E-3</v>
      </c>
      <c r="N2077" s="8">
        <v>15.89</v>
      </c>
      <c r="O2077" s="8">
        <v>916.47</v>
      </c>
      <c r="P2077" s="268">
        <v>1.7299999999999999E-2</v>
      </c>
      <c r="Q2077" s="8">
        <v>55</v>
      </c>
      <c r="R2077" s="8">
        <v>0</v>
      </c>
      <c r="S2077" s="8" t="s">
        <v>11751</v>
      </c>
      <c r="T2077" s="8" t="s">
        <v>11752</v>
      </c>
      <c r="U2077" s="8" t="s">
        <v>11753</v>
      </c>
      <c r="V2077" s="8" t="s">
        <v>11754</v>
      </c>
      <c r="W2077" s="8" t="s">
        <v>9264</v>
      </c>
    </row>
    <row r="2078" spans="1:23" ht="28" customHeight="1" x14ac:dyDescent="0.3">
      <c r="A2078" s="308">
        <v>43173</v>
      </c>
      <c r="B2078" s="302">
        <v>1042.3130000000001</v>
      </c>
      <c r="C2078" s="8">
        <v>-5.0739999999999998</v>
      </c>
      <c r="D2078" s="268">
        <v>-4.7999999999999996E-3</v>
      </c>
      <c r="E2078" s="8">
        <v>55</v>
      </c>
      <c r="F2078" s="8">
        <v>108.129</v>
      </c>
      <c r="G2078" s="8">
        <v>106.685</v>
      </c>
      <c r="H2078" s="8">
        <v>94.89</v>
      </c>
      <c r="I2078" s="8">
        <v>128.88999999999999</v>
      </c>
      <c r="J2078" s="8">
        <v>46.41</v>
      </c>
      <c r="K2078" s="268">
        <v>0.2077</v>
      </c>
      <c r="L2078" s="268">
        <v>0.12790000000000001</v>
      </c>
      <c r="M2078" s="268">
        <v>6.3E-3</v>
      </c>
      <c r="N2078" s="8">
        <v>18.59</v>
      </c>
      <c r="O2078" s="8">
        <v>886.48</v>
      </c>
      <c r="P2078" s="268">
        <v>2.1000000000000001E-2</v>
      </c>
      <c r="Q2078" s="8">
        <v>54</v>
      </c>
      <c r="R2078" s="8">
        <v>0</v>
      </c>
      <c r="S2078" s="8" t="s">
        <v>11755</v>
      </c>
      <c r="T2078" s="8" t="s">
        <v>11756</v>
      </c>
      <c r="U2078" s="8" t="s">
        <v>11757</v>
      </c>
      <c r="V2078" s="8" t="s">
        <v>11574</v>
      </c>
      <c r="W2078" s="8" t="s">
        <v>11758</v>
      </c>
    </row>
    <row r="2079" spans="1:23" ht="28" customHeight="1" x14ac:dyDescent="0.3">
      <c r="A2079" s="308">
        <v>43172</v>
      </c>
      <c r="B2079" s="302">
        <v>1047.3869999999999</v>
      </c>
      <c r="C2079" s="8">
        <v>-0.35499999999999998</v>
      </c>
      <c r="D2079" s="268">
        <v>-2.9999999999999997E-4</v>
      </c>
      <c r="E2079" s="8">
        <v>60.44</v>
      </c>
      <c r="F2079" s="8">
        <v>108.676</v>
      </c>
      <c r="G2079" s="8">
        <v>107.23699999999999</v>
      </c>
      <c r="H2079" s="8">
        <v>96.19</v>
      </c>
      <c r="I2079" s="8">
        <v>128.88999999999999</v>
      </c>
      <c r="J2079" s="8">
        <v>43.15</v>
      </c>
      <c r="K2079" s="268">
        <v>0.2021</v>
      </c>
      <c r="L2079" s="268">
        <v>0.1198</v>
      </c>
      <c r="M2079" s="268">
        <v>5.4000000000000003E-3</v>
      </c>
      <c r="N2079" s="8">
        <v>19.739999999999998</v>
      </c>
      <c r="O2079" s="8">
        <v>886.48</v>
      </c>
      <c r="P2079" s="268">
        <v>2.23E-2</v>
      </c>
      <c r="Q2079" s="8">
        <v>54</v>
      </c>
      <c r="R2079" s="8">
        <v>0</v>
      </c>
      <c r="S2079" s="8" t="s">
        <v>11759</v>
      </c>
      <c r="T2079" s="8" t="s">
        <v>8499</v>
      </c>
      <c r="U2079" s="8" t="s">
        <v>3031</v>
      </c>
      <c r="V2079" s="8" t="s">
        <v>11760</v>
      </c>
      <c r="W2079" s="8" t="s">
        <v>11761</v>
      </c>
    </row>
    <row r="2080" spans="1:23" ht="28" customHeight="1" x14ac:dyDescent="0.3">
      <c r="A2080" s="308">
        <v>43171</v>
      </c>
      <c r="B2080" s="302">
        <v>1047.742</v>
      </c>
      <c r="C2080" s="8">
        <v>11.238</v>
      </c>
      <c r="D2080" s="268">
        <v>1.0800000000000001E-2</v>
      </c>
      <c r="E2080" s="8">
        <v>62.64</v>
      </c>
      <c r="F2080" s="8">
        <v>108.758</v>
      </c>
      <c r="G2080" s="8">
        <v>107.065</v>
      </c>
      <c r="H2080" s="8">
        <v>96.84</v>
      </c>
      <c r="I2080" s="8">
        <v>128.32</v>
      </c>
      <c r="J2080" s="8">
        <v>35.29</v>
      </c>
      <c r="K2080" s="268">
        <v>0.1956</v>
      </c>
      <c r="L2080" s="268">
        <v>0.11459999999999999</v>
      </c>
      <c r="M2080" s="268">
        <v>5.1999999999999998E-3</v>
      </c>
      <c r="N2080" s="8">
        <v>25.32</v>
      </c>
      <c r="O2080" s="8">
        <v>886.48</v>
      </c>
      <c r="P2080" s="268">
        <v>2.86E-2</v>
      </c>
      <c r="Q2080" s="8">
        <v>54</v>
      </c>
      <c r="R2080" s="8">
        <v>0</v>
      </c>
      <c r="S2080" s="8" t="s">
        <v>11762</v>
      </c>
      <c r="T2080" s="8" t="s">
        <v>11763</v>
      </c>
      <c r="U2080" s="8" t="s">
        <v>11764</v>
      </c>
      <c r="V2080" s="8" t="s">
        <v>11765</v>
      </c>
      <c r="W2080" s="8" t="s">
        <v>11766</v>
      </c>
    </row>
    <row r="2081" spans="1:23" ht="28" customHeight="1" x14ac:dyDescent="0.3">
      <c r="A2081" s="308">
        <v>43168</v>
      </c>
      <c r="B2081" s="302">
        <v>1036.5039999999999</v>
      </c>
      <c r="C2081" s="8">
        <v>5.1020000000000003</v>
      </c>
      <c r="D2081" s="268">
        <v>4.8999999999999998E-3</v>
      </c>
      <c r="E2081" s="8">
        <v>49.47</v>
      </c>
      <c r="F2081" s="8">
        <v>107.58</v>
      </c>
      <c r="G2081" s="8">
        <v>105.875</v>
      </c>
      <c r="H2081" s="8">
        <v>96.23</v>
      </c>
      <c r="I2081" s="8">
        <v>127.87</v>
      </c>
      <c r="J2081" s="8">
        <v>41.05</v>
      </c>
      <c r="K2081" s="268">
        <v>0.2029</v>
      </c>
      <c r="L2081" s="268">
        <v>0.12790000000000001</v>
      </c>
      <c r="M2081" s="268">
        <v>7.3000000000000001E-3</v>
      </c>
      <c r="N2081" s="8">
        <v>19.61</v>
      </c>
      <c r="O2081" s="8">
        <v>886.48</v>
      </c>
      <c r="P2081" s="268">
        <v>2.2100000000000002E-2</v>
      </c>
      <c r="Q2081" s="8">
        <v>54</v>
      </c>
      <c r="R2081" s="8">
        <v>0</v>
      </c>
      <c r="S2081" s="8" t="s">
        <v>11767</v>
      </c>
      <c r="T2081" s="8" t="s">
        <v>11150</v>
      </c>
      <c r="U2081" s="8" t="s">
        <v>11768</v>
      </c>
      <c r="V2081" s="8" t="s">
        <v>11769</v>
      </c>
      <c r="W2081" s="8" t="s">
        <v>11770</v>
      </c>
    </row>
    <row r="2082" spans="1:23" ht="28" customHeight="1" x14ac:dyDescent="0.3">
      <c r="A2082" s="308">
        <v>43167</v>
      </c>
      <c r="B2082" s="302">
        <v>1031.402</v>
      </c>
      <c r="C2082" s="8">
        <v>1.0189999999999999</v>
      </c>
      <c r="D2082" s="268">
        <v>1E-3</v>
      </c>
      <c r="E2082" s="8">
        <v>40.61</v>
      </c>
      <c r="F2082" s="8">
        <v>107.03100000000001</v>
      </c>
      <c r="G2082" s="8">
        <v>105.83499999999999</v>
      </c>
      <c r="H2082" s="8">
        <v>95.31</v>
      </c>
      <c r="I2082" s="8">
        <v>128.69999999999999</v>
      </c>
      <c r="J2082" s="8">
        <v>44.29</v>
      </c>
      <c r="K2082" s="268">
        <v>0.2167</v>
      </c>
      <c r="L2082" s="268">
        <v>0.1338</v>
      </c>
      <c r="M2082" s="268">
        <v>8.2000000000000007E-3</v>
      </c>
      <c r="N2082" s="8">
        <v>13.9</v>
      </c>
      <c r="O2082" s="8">
        <v>886.48</v>
      </c>
      <c r="P2082" s="268">
        <v>1.5699999999999999E-2</v>
      </c>
      <c r="Q2082" s="8">
        <v>54</v>
      </c>
      <c r="R2082" s="8">
        <v>0</v>
      </c>
      <c r="S2082" s="8" t="s">
        <v>11490</v>
      </c>
      <c r="T2082" s="8" t="s">
        <v>11771</v>
      </c>
      <c r="U2082" s="8" t="s">
        <v>11772</v>
      </c>
      <c r="V2082" s="8" t="s">
        <v>11773</v>
      </c>
      <c r="W2082" s="8" t="s">
        <v>6591</v>
      </c>
    </row>
    <row r="2083" spans="1:23" ht="28" customHeight="1" x14ac:dyDescent="0.3">
      <c r="A2083" s="308">
        <v>43166</v>
      </c>
      <c r="B2083" s="302">
        <v>1030.383</v>
      </c>
      <c r="C2083" s="8">
        <v>-1.732</v>
      </c>
      <c r="D2083" s="268">
        <v>-1.6999999999999999E-3</v>
      </c>
      <c r="E2083" s="8">
        <v>38.64</v>
      </c>
      <c r="F2083" s="8">
        <v>106.919</v>
      </c>
      <c r="G2083" s="8">
        <v>106</v>
      </c>
      <c r="H2083" s="8">
        <v>95.05</v>
      </c>
      <c r="I2083" s="8">
        <v>128.91</v>
      </c>
      <c r="J2083" s="8">
        <v>48.16</v>
      </c>
      <c r="K2083" s="268">
        <v>0.21990000000000001</v>
      </c>
      <c r="L2083" s="268">
        <v>0.12909999999999999</v>
      </c>
      <c r="M2083" s="268">
        <v>8.5000000000000006E-3</v>
      </c>
      <c r="N2083" s="8">
        <v>18.34</v>
      </c>
      <c r="O2083" s="8">
        <v>886.48</v>
      </c>
      <c r="P2083" s="268">
        <v>2.07E-2</v>
      </c>
      <c r="Q2083" s="8">
        <v>54</v>
      </c>
      <c r="R2083" s="8">
        <v>0</v>
      </c>
      <c r="S2083" s="8" t="s">
        <v>11774</v>
      </c>
      <c r="T2083" s="8" t="s">
        <v>11614</v>
      </c>
      <c r="U2083" s="8" t="s">
        <v>11660</v>
      </c>
      <c r="V2083" s="8" t="s">
        <v>11775</v>
      </c>
      <c r="W2083" s="8" t="s">
        <v>11776</v>
      </c>
    </row>
    <row r="2084" spans="1:23" ht="28" customHeight="1" x14ac:dyDescent="0.3">
      <c r="A2084" s="308">
        <v>43165</v>
      </c>
      <c r="B2084" s="302">
        <v>1032.115</v>
      </c>
      <c r="C2084" s="8">
        <v>2.8570000000000002</v>
      </c>
      <c r="D2084" s="268">
        <v>2.8E-3</v>
      </c>
      <c r="E2084" s="8">
        <v>45.22</v>
      </c>
      <c r="F2084" s="8">
        <v>107.117</v>
      </c>
      <c r="G2084" s="8">
        <v>105.72499999999999</v>
      </c>
      <c r="H2084" s="8">
        <v>93.92</v>
      </c>
      <c r="I2084" s="8">
        <v>128.63999999999999</v>
      </c>
      <c r="J2084" s="8">
        <v>43.22</v>
      </c>
      <c r="K2084" s="268">
        <v>0.2152</v>
      </c>
      <c r="L2084" s="268">
        <v>0.1298</v>
      </c>
      <c r="M2084" s="268">
        <v>8.0999999999999996E-3</v>
      </c>
      <c r="N2084" s="8">
        <v>23.96</v>
      </c>
      <c r="O2084" s="8">
        <v>886.48</v>
      </c>
      <c r="P2084" s="268">
        <v>2.7E-2</v>
      </c>
      <c r="Q2084" s="8">
        <v>54</v>
      </c>
      <c r="R2084" s="8">
        <v>0</v>
      </c>
      <c r="S2084" s="8" t="s">
        <v>11777</v>
      </c>
      <c r="T2084" s="8" t="s">
        <v>11738</v>
      </c>
      <c r="U2084" s="8" t="s">
        <v>10429</v>
      </c>
      <c r="V2084" s="8" t="s">
        <v>11778</v>
      </c>
      <c r="W2084" s="8" t="s">
        <v>11300</v>
      </c>
    </row>
    <row r="2085" spans="1:23" ht="28" customHeight="1" x14ac:dyDescent="0.3">
      <c r="A2085" s="308">
        <v>43164</v>
      </c>
      <c r="B2085" s="302">
        <v>1029.258</v>
      </c>
      <c r="C2085" s="8">
        <v>-0.61799999999999999</v>
      </c>
      <c r="D2085" s="268">
        <v>-5.9999999999999995E-4</v>
      </c>
      <c r="E2085" s="8">
        <v>38.46</v>
      </c>
      <c r="F2085" s="8">
        <v>106.625</v>
      </c>
      <c r="G2085" s="8">
        <v>105.25</v>
      </c>
      <c r="H2085" s="8">
        <v>93.91</v>
      </c>
      <c r="I2085" s="8">
        <v>129.04</v>
      </c>
      <c r="J2085" s="8">
        <v>47.62</v>
      </c>
      <c r="K2085" s="268">
        <v>0.22420000000000001</v>
      </c>
      <c r="L2085" s="268">
        <v>0.14269999999999999</v>
      </c>
      <c r="M2085" s="268">
        <v>9.1999999999999998E-3</v>
      </c>
      <c r="N2085" s="8">
        <v>15.95</v>
      </c>
      <c r="O2085" s="8">
        <v>863.48</v>
      </c>
      <c r="P2085" s="268">
        <v>1.8499999999999999E-2</v>
      </c>
      <c r="Q2085" s="8">
        <v>53</v>
      </c>
      <c r="R2085" s="8">
        <v>0</v>
      </c>
      <c r="S2085" s="8" t="s">
        <v>11779</v>
      </c>
      <c r="T2085" s="8" t="s">
        <v>11576</v>
      </c>
      <c r="U2085" s="8" t="s">
        <v>11780</v>
      </c>
      <c r="V2085" s="8" t="s">
        <v>9338</v>
      </c>
      <c r="W2085" s="8" t="s">
        <v>11781</v>
      </c>
    </row>
    <row r="2086" spans="1:23" ht="28" customHeight="1" x14ac:dyDescent="0.3">
      <c r="A2086" s="308">
        <v>43161</v>
      </c>
      <c r="B2086" s="302">
        <v>1029.876</v>
      </c>
      <c r="C2086" s="8">
        <v>-5.9489999999999998</v>
      </c>
      <c r="D2086" s="268">
        <v>-5.7000000000000002E-3</v>
      </c>
      <c r="E2086" s="8">
        <v>45.28</v>
      </c>
      <c r="F2086" s="8">
        <v>106.694</v>
      </c>
      <c r="G2086" s="8">
        <v>105.61499999999999</v>
      </c>
      <c r="H2086" s="8">
        <v>92.86</v>
      </c>
      <c r="I2086" s="8">
        <v>130.03</v>
      </c>
      <c r="J2086" s="8">
        <v>47.47</v>
      </c>
      <c r="K2086" s="268">
        <v>0.2334</v>
      </c>
      <c r="L2086" s="268">
        <v>0.1517</v>
      </c>
      <c r="M2086" s="268">
        <v>8.9999999999999993E-3</v>
      </c>
      <c r="N2086" s="8">
        <v>18.43</v>
      </c>
      <c r="O2086" s="8">
        <v>863.48</v>
      </c>
      <c r="P2086" s="268">
        <v>2.1299999999999999E-2</v>
      </c>
      <c r="Q2086" s="8">
        <v>53</v>
      </c>
      <c r="R2086" s="8">
        <v>0</v>
      </c>
      <c r="S2086" s="8" t="s">
        <v>11782</v>
      </c>
      <c r="T2086" s="8" t="s">
        <v>11783</v>
      </c>
      <c r="U2086" s="8" t="s">
        <v>11784</v>
      </c>
      <c r="V2086" s="8" t="s">
        <v>5968</v>
      </c>
      <c r="W2086" s="8" t="s">
        <v>11785</v>
      </c>
    </row>
    <row r="2087" spans="1:23" ht="28" customHeight="1" x14ac:dyDescent="0.3">
      <c r="A2087" s="308">
        <v>43160</v>
      </c>
      <c r="B2087" s="302">
        <v>1035.825</v>
      </c>
      <c r="C2087" s="8">
        <v>3.6749999999999998</v>
      </c>
      <c r="D2087" s="268">
        <v>3.5999999999999999E-3</v>
      </c>
      <c r="E2087" s="8">
        <v>46.15</v>
      </c>
      <c r="F2087" s="8">
        <v>107.374</v>
      </c>
      <c r="G2087" s="8">
        <v>106.03</v>
      </c>
      <c r="H2087" s="8">
        <v>93.22</v>
      </c>
      <c r="I2087" s="8">
        <v>130.29</v>
      </c>
      <c r="J2087" s="8">
        <v>42.95</v>
      </c>
      <c r="K2087" s="268">
        <v>0.22919999999999999</v>
      </c>
      <c r="L2087" s="268">
        <v>0.14199999999999999</v>
      </c>
      <c r="M2087" s="268">
        <v>7.9000000000000008E-3</v>
      </c>
      <c r="N2087" s="8">
        <v>21.04</v>
      </c>
      <c r="O2087" s="8">
        <v>863.48</v>
      </c>
      <c r="P2087" s="268">
        <v>2.4400000000000002E-2</v>
      </c>
      <c r="Q2087" s="8">
        <v>53</v>
      </c>
      <c r="R2087" s="8">
        <v>0</v>
      </c>
      <c r="S2087" s="8" t="s">
        <v>11786</v>
      </c>
      <c r="T2087" s="8" t="s">
        <v>11480</v>
      </c>
      <c r="U2087" s="8" t="s">
        <v>10222</v>
      </c>
      <c r="V2087" s="8" t="s">
        <v>11787</v>
      </c>
      <c r="W2087" s="8" t="s">
        <v>11788</v>
      </c>
    </row>
    <row r="2088" spans="1:23" ht="28" customHeight="1" x14ac:dyDescent="0.3">
      <c r="A2088" s="308">
        <v>43159</v>
      </c>
      <c r="B2088" s="302">
        <v>1032.1500000000001</v>
      </c>
      <c r="C2088" s="8">
        <v>-2.4220000000000002</v>
      </c>
      <c r="D2088" s="268">
        <v>-2.3E-3</v>
      </c>
      <c r="E2088" s="8">
        <v>41.24</v>
      </c>
      <c r="F2088" s="8">
        <v>107.16</v>
      </c>
      <c r="G2088" s="8">
        <v>105.771</v>
      </c>
      <c r="H2088" s="8">
        <v>92.02</v>
      </c>
      <c r="I2088" s="8">
        <v>131.22999999999999</v>
      </c>
      <c r="J2088" s="8">
        <v>57.97</v>
      </c>
      <c r="K2088" s="268">
        <v>0.2407</v>
      </c>
      <c r="L2088" s="268">
        <v>0.153</v>
      </c>
      <c r="M2088" s="268">
        <v>8.2000000000000007E-3</v>
      </c>
      <c r="N2088" s="8">
        <v>20.309999999999999</v>
      </c>
      <c r="O2088" s="8">
        <v>866.53</v>
      </c>
      <c r="P2088" s="268">
        <v>2.3400000000000001E-2</v>
      </c>
      <c r="Q2088" s="8">
        <v>54</v>
      </c>
      <c r="R2088" s="8">
        <v>0</v>
      </c>
      <c r="S2088" s="8" t="s">
        <v>11789</v>
      </c>
      <c r="T2088" s="8" t="s">
        <v>11790</v>
      </c>
      <c r="U2088" s="8" t="s">
        <v>11791</v>
      </c>
      <c r="V2088" s="8" t="s">
        <v>9074</v>
      </c>
      <c r="W2088" s="8" t="s">
        <v>3625</v>
      </c>
    </row>
    <row r="2089" spans="1:23" ht="28" customHeight="1" x14ac:dyDescent="0.3">
      <c r="A2089" s="308">
        <v>43158</v>
      </c>
      <c r="B2089" s="302">
        <v>1034.5719999999999</v>
      </c>
      <c r="C2089" s="8">
        <v>-2.6040000000000001</v>
      </c>
      <c r="D2089" s="268">
        <v>-2.5000000000000001E-3</v>
      </c>
      <c r="E2089" s="8">
        <v>47.58</v>
      </c>
      <c r="F2089" s="8">
        <v>107.431</v>
      </c>
      <c r="G2089" s="8">
        <v>105.845</v>
      </c>
      <c r="H2089" s="8">
        <v>91.29</v>
      </c>
      <c r="I2089" s="8">
        <v>131.80000000000001</v>
      </c>
      <c r="J2089" s="8">
        <v>57.41</v>
      </c>
      <c r="K2089" s="268">
        <v>0.2437</v>
      </c>
      <c r="L2089" s="268">
        <v>0.15290000000000001</v>
      </c>
      <c r="M2089" s="268">
        <v>7.7000000000000002E-3</v>
      </c>
      <c r="N2089" s="8">
        <v>24.67</v>
      </c>
      <c r="O2089" s="8">
        <v>866.53</v>
      </c>
      <c r="P2089" s="268">
        <v>2.8500000000000001E-2</v>
      </c>
      <c r="Q2089" s="8">
        <v>54</v>
      </c>
      <c r="R2089" s="8">
        <v>0</v>
      </c>
      <c r="S2089" s="8" t="s">
        <v>11792</v>
      </c>
      <c r="T2089" s="8" t="s">
        <v>11793</v>
      </c>
      <c r="U2089" s="8" t="s">
        <v>11794</v>
      </c>
      <c r="V2089" s="8" t="s">
        <v>11795</v>
      </c>
      <c r="W2089" s="8" t="s">
        <v>4367</v>
      </c>
    </row>
    <row r="2090" spans="1:23" ht="28" customHeight="1" x14ac:dyDescent="0.3">
      <c r="A2090" s="308">
        <v>43157</v>
      </c>
      <c r="B2090" s="302">
        <v>1037.1759999999999</v>
      </c>
      <c r="C2090" s="8">
        <v>11.196</v>
      </c>
      <c r="D2090" s="268">
        <v>1.09E-2</v>
      </c>
      <c r="E2090" s="8">
        <v>51.53</v>
      </c>
      <c r="F2090" s="8">
        <v>107.724</v>
      </c>
      <c r="G2090" s="8">
        <v>105.72499999999999</v>
      </c>
      <c r="H2090" s="8">
        <v>90.51</v>
      </c>
      <c r="I2090" s="8">
        <v>132.44</v>
      </c>
      <c r="J2090" s="8">
        <v>62.68</v>
      </c>
      <c r="K2090" s="268">
        <v>0.24709999999999999</v>
      </c>
      <c r="L2090" s="268">
        <v>0.1575</v>
      </c>
      <c r="M2090" s="268">
        <v>7.1999999999999998E-3</v>
      </c>
      <c r="N2090" s="8">
        <v>27.03</v>
      </c>
      <c r="O2090" s="8">
        <v>866.53</v>
      </c>
      <c r="P2090" s="268">
        <v>3.1199999999999999E-2</v>
      </c>
      <c r="Q2090" s="8">
        <v>54</v>
      </c>
      <c r="R2090" s="8">
        <v>0</v>
      </c>
      <c r="S2090" s="8" t="s">
        <v>10845</v>
      </c>
      <c r="T2090" s="8" t="s">
        <v>11796</v>
      </c>
      <c r="U2090" s="8" t="s">
        <v>11797</v>
      </c>
      <c r="V2090" s="8" t="s">
        <v>11798</v>
      </c>
      <c r="W2090" s="8" t="s">
        <v>11799</v>
      </c>
    </row>
    <row r="2091" spans="1:23" ht="28" customHeight="1" x14ac:dyDescent="0.3">
      <c r="A2091" s="308">
        <v>43154</v>
      </c>
      <c r="B2091" s="302">
        <v>1025.98</v>
      </c>
      <c r="C2091" s="8">
        <v>-0.91700000000000004</v>
      </c>
      <c r="D2091" s="268">
        <v>-8.9999999999999998E-4</v>
      </c>
      <c r="E2091" s="8">
        <v>37.450000000000003</v>
      </c>
      <c r="F2091" s="8">
        <v>106.527</v>
      </c>
      <c r="G2091" s="8">
        <v>104.11</v>
      </c>
      <c r="H2091" s="8">
        <v>87.29</v>
      </c>
      <c r="I2091" s="8">
        <v>133.18</v>
      </c>
      <c r="J2091" s="8">
        <v>72.73</v>
      </c>
      <c r="K2091" s="268">
        <v>0.26650000000000001</v>
      </c>
      <c r="L2091" s="268">
        <v>0.1832</v>
      </c>
      <c r="M2091" s="268">
        <v>9.2999999999999992E-3</v>
      </c>
      <c r="N2091" s="8">
        <v>18.2</v>
      </c>
      <c r="O2091" s="8">
        <v>866.53</v>
      </c>
      <c r="P2091" s="268">
        <v>2.1000000000000001E-2</v>
      </c>
      <c r="Q2091" s="8">
        <v>54</v>
      </c>
      <c r="R2091" s="8">
        <v>0</v>
      </c>
      <c r="S2091" s="8" t="s">
        <v>10277</v>
      </c>
      <c r="T2091" s="8" t="s">
        <v>11614</v>
      </c>
      <c r="U2091" s="8" t="s">
        <v>6310</v>
      </c>
      <c r="V2091" s="8" t="s">
        <v>9920</v>
      </c>
      <c r="W2091" s="8" t="s">
        <v>11800</v>
      </c>
    </row>
    <row r="2092" spans="1:23" ht="28" customHeight="1" x14ac:dyDescent="0.3">
      <c r="A2092" s="308">
        <v>43153</v>
      </c>
      <c r="B2092" s="302">
        <v>1026.8969999999999</v>
      </c>
      <c r="C2092" s="8">
        <v>8.1890000000000001</v>
      </c>
      <c r="D2092" s="268">
        <v>8.0000000000000002E-3</v>
      </c>
      <c r="E2092" s="8">
        <v>35.75</v>
      </c>
      <c r="F2092" s="8">
        <v>106.637</v>
      </c>
      <c r="G2092" s="8">
        <v>104.429</v>
      </c>
      <c r="H2092" s="8">
        <v>87</v>
      </c>
      <c r="I2092" s="8">
        <v>133.82</v>
      </c>
      <c r="J2092" s="8">
        <v>69.88</v>
      </c>
      <c r="K2092" s="268">
        <v>0.27189999999999998</v>
      </c>
      <c r="L2092" s="268">
        <v>0.1855</v>
      </c>
      <c r="M2092" s="268">
        <v>9.1000000000000004E-3</v>
      </c>
      <c r="N2092" s="8">
        <v>20.78</v>
      </c>
      <c r="O2092" s="8">
        <v>866.53</v>
      </c>
      <c r="P2092" s="268">
        <v>2.4E-2</v>
      </c>
      <c r="Q2092" s="8">
        <v>54</v>
      </c>
      <c r="R2092" s="8">
        <v>0</v>
      </c>
      <c r="S2092" s="8" t="s">
        <v>11801</v>
      </c>
      <c r="T2092" s="8" t="s">
        <v>11802</v>
      </c>
      <c r="U2092" s="8" t="s">
        <v>11803</v>
      </c>
      <c r="V2092" s="8" t="s">
        <v>11804</v>
      </c>
      <c r="W2092" s="8" t="s">
        <v>11805</v>
      </c>
    </row>
    <row r="2093" spans="1:23" ht="28" customHeight="1" x14ac:dyDescent="0.3">
      <c r="A2093" s="308">
        <v>43145</v>
      </c>
      <c r="B2093" s="302">
        <v>1018.708</v>
      </c>
      <c r="C2093" s="8">
        <v>2.653</v>
      </c>
      <c r="D2093" s="268">
        <v>2.5999999999999999E-3</v>
      </c>
      <c r="E2093" s="8">
        <v>28.57</v>
      </c>
      <c r="F2093" s="8">
        <v>105.893</v>
      </c>
      <c r="G2093" s="8">
        <v>104.2</v>
      </c>
      <c r="H2093" s="8">
        <v>89.36</v>
      </c>
      <c r="I2093" s="8">
        <v>134.74</v>
      </c>
      <c r="J2093" s="8">
        <v>81.150000000000006</v>
      </c>
      <c r="K2093" s="268">
        <v>0.28849999999999998</v>
      </c>
      <c r="L2093" s="268">
        <v>0.2084</v>
      </c>
      <c r="M2093" s="268">
        <v>1.04E-2</v>
      </c>
      <c r="N2093" s="8">
        <v>9.35</v>
      </c>
      <c r="O2093" s="8">
        <v>848.94</v>
      </c>
      <c r="P2093" s="268">
        <v>1.0999999999999999E-2</v>
      </c>
      <c r="Q2093" s="8">
        <v>53</v>
      </c>
      <c r="R2093" s="8">
        <v>0</v>
      </c>
      <c r="S2093" s="8" t="s">
        <v>8379</v>
      </c>
      <c r="T2093" s="8" t="s">
        <v>9566</v>
      </c>
      <c r="U2093" s="8" t="s">
        <v>8295</v>
      </c>
      <c r="V2093" s="8" t="s">
        <v>11806</v>
      </c>
      <c r="W2093" s="8" t="s">
        <v>11807</v>
      </c>
    </row>
    <row r="2094" spans="1:23" ht="28" customHeight="1" x14ac:dyDescent="0.3">
      <c r="A2094" s="308">
        <v>43144</v>
      </c>
      <c r="B2094" s="302">
        <v>1016.0549999999999</v>
      </c>
      <c r="C2094" s="8">
        <v>6.8360000000000003</v>
      </c>
      <c r="D2094" s="268">
        <v>6.7999999999999996E-3</v>
      </c>
      <c r="E2094" s="8">
        <v>27.27</v>
      </c>
      <c r="F2094" s="8">
        <v>105.59699999999999</v>
      </c>
      <c r="G2094" s="8">
        <v>103.92</v>
      </c>
      <c r="H2094" s="8">
        <v>86.73</v>
      </c>
      <c r="I2094" s="8">
        <v>134.56</v>
      </c>
      <c r="J2094" s="8">
        <v>84.03</v>
      </c>
      <c r="K2094" s="268">
        <v>0.28960000000000002</v>
      </c>
      <c r="L2094" s="268">
        <v>0.20219999999999999</v>
      </c>
      <c r="M2094" s="268">
        <v>1.09E-2</v>
      </c>
      <c r="N2094" s="8">
        <v>29.56</v>
      </c>
      <c r="O2094" s="8">
        <v>848.94</v>
      </c>
      <c r="P2094" s="268">
        <v>3.4799999999999998E-2</v>
      </c>
      <c r="Q2094" s="8">
        <v>53</v>
      </c>
      <c r="R2094" s="8">
        <v>0</v>
      </c>
      <c r="S2094" s="8" t="s">
        <v>10054</v>
      </c>
      <c r="T2094" s="8" t="s">
        <v>11644</v>
      </c>
      <c r="U2094" s="8" t="s">
        <v>11808</v>
      </c>
      <c r="V2094" s="8" t="s">
        <v>5587</v>
      </c>
      <c r="W2094" s="8" t="s">
        <v>11809</v>
      </c>
    </row>
    <row r="2095" spans="1:23" ht="28" customHeight="1" x14ac:dyDescent="0.3">
      <c r="A2095" s="308">
        <v>43143</v>
      </c>
      <c r="B2095" s="302">
        <v>1009.2190000000001</v>
      </c>
      <c r="C2095" s="8">
        <v>18.079999999999998</v>
      </c>
      <c r="D2095" s="268">
        <v>1.8200000000000001E-2</v>
      </c>
      <c r="E2095" s="8">
        <v>18.18</v>
      </c>
      <c r="F2095" s="8">
        <v>104.839</v>
      </c>
      <c r="G2095" s="8">
        <v>103.91</v>
      </c>
      <c r="H2095" s="8">
        <v>85.1</v>
      </c>
      <c r="I2095" s="8">
        <v>133.88</v>
      </c>
      <c r="J2095" s="8">
        <v>85.71</v>
      </c>
      <c r="K2095" s="268">
        <v>0.29039999999999999</v>
      </c>
      <c r="L2095" s="268">
        <v>0.20519999999999999</v>
      </c>
      <c r="M2095" s="268">
        <v>1.23E-2</v>
      </c>
      <c r="N2095" s="8">
        <v>23.43</v>
      </c>
      <c r="O2095" s="8">
        <v>848.94</v>
      </c>
      <c r="P2095" s="268">
        <v>2.76E-2</v>
      </c>
      <c r="Q2095" s="8">
        <v>53</v>
      </c>
      <c r="R2095" s="8">
        <v>0</v>
      </c>
      <c r="S2095" s="8" t="s">
        <v>11810</v>
      </c>
      <c r="T2095" s="8" t="s">
        <v>11811</v>
      </c>
      <c r="U2095" s="8" t="s">
        <v>11812</v>
      </c>
      <c r="V2095" s="8" t="s">
        <v>11813</v>
      </c>
      <c r="W2095" s="8" t="s">
        <v>11814</v>
      </c>
    </row>
    <row r="2096" spans="1:23" ht="28" customHeight="1" x14ac:dyDescent="0.3">
      <c r="A2096" s="308">
        <v>43140</v>
      </c>
      <c r="B2096" s="302">
        <v>991.13900000000001</v>
      </c>
      <c r="C2096" s="8">
        <v>-21.698</v>
      </c>
      <c r="D2096" s="268">
        <v>-2.1399999999999999E-2</v>
      </c>
      <c r="E2096" s="8">
        <v>8.68</v>
      </c>
      <c r="F2096" s="8">
        <v>102.91800000000001</v>
      </c>
      <c r="G2096" s="8">
        <v>101.98</v>
      </c>
      <c r="H2096" s="8">
        <v>82.74</v>
      </c>
      <c r="I2096" s="8">
        <v>134.05000000000001</v>
      </c>
      <c r="J2096" s="8">
        <v>93.75</v>
      </c>
      <c r="K2096" s="268">
        <v>0.31130000000000002</v>
      </c>
      <c r="L2096" s="268">
        <v>0.23139999999999999</v>
      </c>
      <c r="M2096" s="268">
        <v>1.5699999999999999E-2</v>
      </c>
      <c r="N2096" s="8">
        <v>51.08</v>
      </c>
      <c r="O2096" s="8">
        <v>848.94</v>
      </c>
      <c r="P2096" s="268">
        <v>6.0199999999999997E-2</v>
      </c>
      <c r="Q2096" s="8">
        <v>53</v>
      </c>
      <c r="R2096" s="8">
        <v>0</v>
      </c>
      <c r="S2096" s="8" t="s">
        <v>11815</v>
      </c>
      <c r="T2096" s="8" t="s">
        <v>11816</v>
      </c>
      <c r="U2096" s="8" t="s">
        <v>11817</v>
      </c>
      <c r="V2096" s="8" t="s">
        <v>11818</v>
      </c>
      <c r="W2096" s="8">
        <v>0</v>
      </c>
    </row>
    <row r="2097" spans="1:23" ht="28" customHeight="1" x14ac:dyDescent="0.3">
      <c r="A2097" s="308">
        <v>43139</v>
      </c>
      <c r="B2097" s="302">
        <v>1012.837</v>
      </c>
      <c r="C2097" s="8">
        <v>-0.61799999999999999</v>
      </c>
      <c r="D2097" s="268">
        <v>-5.9999999999999995E-4</v>
      </c>
      <c r="E2097" s="8">
        <v>14.01</v>
      </c>
      <c r="F2097" s="8">
        <v>105.315</v>
      </c>
      <c r="G2097" s="8">
        <v>102.39100000000001</v>
      </c>
      <c r="H2097" s="8">
        <v>84.71</v>
      </c>
      <c r="I2097" s="8">
        <v>133.44</v>
      </c>
      <c r="J2097" s="8">
        <v>88.37</v>
      </c>
      <c r="K2097" s="268">
        <v>0.28120000000000001</v>
      </c>
      <c r="L2097" s="268">
        <v>0.20810000000000001</v>
      </c>
      <c r="M2097" s="268">
        <v>1.1299999999999999E-2</v>
      </c>
      <c r="N2097" s="8">
        <v>37.47</v>
      </c>
      <c r="O2097" s="8">
        <v>848.94</v>
      </c>
      <c r="P2097" s="268">
        <v>4.41E-2</v>
      </c>
      <c r="Q2097" s="8">
        <v>53</v>
      </c>
      <c r="R2097" s="8">
        <v>0</v>
      </c>
      <c r="S2097" s="8" t="s">
        <v>11819</v>
      </c>
      <c r="T2097" s="8" t="s">
        <v>10079</v>
      </c>
      <c r="U2097" s="8" t="s">
        <v>11404</v>
      </c>
      <c r="V2097" s="8" t="s">
        <v>8351</v>
      </c>
      <c r="W2097" s="8" t="s">
        <v>6190</v>
      </c>
    </row>
    <row r="2098" spans="1:23" ht="28" customHeight="1" x14ac:dyDescent="0.3">
      <c r="A2098" s="308">
        <v>43138</v>
      </c>
      <c r="B2098" s="302">
        <v>1013.455</v>
      </c>
      <c r="C2098" s="8">
        <v>-0.36</v>
      </c>
      <c r="D2098" s="268">
        <v>-4.0000000000000002E-4</v>
      </c>
      <c r="E2098" s="8">
        <v>12.82</v>
      </c>
      <c r="F2098" s="8">
        <v>105.41500000000001</v>
      </c>
      <c r="G2098" s="8">
        <v>102</v>
      </c>
      <c r="H2098" s="8">
        <v>83.79</v>
      </c>
      <c r="I2098" s="8">
        <v>134.79</v>
      </c>
      <c r="J2098" s="8">
        <v>92.31</v>
      </c>
      <c r="K2098" s="268">
        <v>0.29380000000000001</v>
      </c>
      <c r="L2098" s="268">
        <v>0.22070000000000001</v>
      </c>
      <c r="M2098" s="268">
        <v>1.12E-2</v>
      </c>
      <c r="N2098" s="8">
        <v>42.26</v>
      </c>
      <c r="O2098" s="8">
        <v>848.94</v>
      </c>
      <c r="P2098" s="268">
        <v>4.9799999999999997E-2</v>
      </c>
      <c r="Q2098" s="8">
        <v>53</v>
      </c>
      <c r="R2098" s="8">
        <v>0</v>
      </c>
      <c r="S2098" s="8" t="s">
        <v>10900</v>
      </c>
      <c r="T2098" s="8" t="s">
        <v>11820</v>
      </c>
      <c r="U2098" s="8" t="s">
        <v>11821</v>
      </c>
      <c r="V2098" s="8" t="s">
        <v>11822</v>
      </c>
      <c r="W2098" s="8" t="s">
        <v>6080</v>
      </c>
    </row>
    <row r="2099" spans="1:23" ht="28" customHeight="1" x14ac:dyDescent="0.3">
      <c r="A2099" s="308">
        <v>43137</v>
      </c>
      <c r="B2099" s="302">
        <v>1013.8150000000001</v>
      </c>
      <c r="C2099" s="8">
        <v>-14.266999999999999</v>
      </c>
      <c r="D2099" s="268">
        <v>-1.3899999999999999E-2</v>
      </c>
      <c r="E2099" s="8">
        <v>10.94</v>
      </c>
      <c r="F2099" s="8">
        <v>105.42700000000001</v>
      </c>
      <c r="G2099" s="8">
        <v>102.084</v>
      </c>
      <c r="H2099" s="8">
        <v>82.41</v>
      </c>
      <c r="I2099" s="8">
        <v>136.04</v>
      </c>
      <c r="J2099" s="8">
        <v>100</v>
      </c>
      <c r="K2099" s="268">
        <v>0.30609999999999998</v>
      </c>
      <c r="L2099" s="268">
        <v>0.2447</v>
      </c>
      <c r="M2099" s="268">
        <v>1.12E-2</v>
      </c>
      <c r="N2099" s="8">
        <v>31.95</v>
      </c>
      <c r="O2099" s="8">
        <v>848.79</v>
      </c>
      <c r="P2099" s="268">
        <v>3.7600000000000001E-2</v>
      </c>
      <c r="Q2099" s="8">
        <v>52</v>
      </c>
      <c r="R2099" s="8">
        <v>0</v>
      </c>
      <c r="S2099" s="8" t="s">
        <v>11823</v>
      </c>
      <c r="T2099" s="8" t="s">
        <v>11824</v>
      </c>
      <c r="U2099" s="8" t="s">
        <v>11825</v>
      </c>
      <c r="V2099" s="8" t="s">
        <v>11826</v>
      </c>
      <c r="W2099" s="8" t="s">
        <v>11827</v>
      </c>
    </row>
    <row r="2100" spans="1:23" ht="28" customHeight="1" x14ac:dyDescent="0.3">
      <c r="A2100" s="308">
        <v>43136</v>
      </c>
      <c r="B2100" s="302">
        <v>1028.0820000000001</v>
      </c>
      <c r="C2100" s="8">
        <v>4.18</v>
      </c>
      <c r="D2100" s="268">
        <v>4.1000000000000003E-3</v>
      </c>
      <c r="E2100" s="8">
        <v>25</v>
      </c>
      <c r="F2100" s="8">
        <v>106.976</v>
      </c>
      <c r="G2100" s="8">
        <v>103.63</v>
      </c>
      <c r="H2100" s="8">
        <v>86.08</v>
      </c>
      <c r="I2100" s="8">
        <v>133.01</v>
      </c>
      <c r="J2100" s="8">
        <v>89.66</v>
      </c>
      <c r="K2100" s="268">
        <v>0.26040000000000002</v>
      </c>
      <c r="L2100" s="268">
        <v>0.188</v>
      </c>
      <c r="M2100" s="268">
        <v>8.3999999999999995E-3</v>
      </c>
      <c r="N2100" s="8">
        <v>30.41</v>
      </c>
      <c r="O2100" s="8">
        <v>848.79</v>
      </c>
      <c r="P2100" s="268">
        <v>3.5799999999999998E-2</v>
      </c>
      <c r="Q2100" s="8">
        <v>52</v>
      </c>
      <c r="R2100" s="8">
        <v>0</v>
      </c>
      <c r="S2100" s="8" t="s">
        <v>10314</v>
      </c>
      <c r="T2100" s="8" t="s">
        <v>11828</v>
      </c>
      <c r="U2100" s="8" t="s">
        <v>11829</v>
      </c>
      <c r="V2100" s="8" t="s">
        <v>11830</v>
      </c>
      <c r="W2100" s="8" t="s">
        <v>11831</v>
      </c>
    </row>
    <row r="2101" spans="1:23" ht="28" customHeight="1" x14ac:dyDescent="0.3">
      <c r="A2101" s="308">
        <v>43133</v>
      </c>
      <c r="B2101" s="302">
        <v>1023.902</v>
      </c>
      <c r="C2101" s="8">
        <v>6.4260000000000002</v>
      </c>
      <c r="D2101" s="268">
        <v>6.3E-3</v>
      </c>
      <c r="E2101" s="8">
        <v>31.84</v>
      </c>
      <c r="F2101" s="8">
        <v>106.474</v>
      </c>
      <c r="G2101" s="8">
        <v>103.76</v>
      </c>
      <c r="H2101" s="8">
        <v>86.77</v>
      </c>
      <c r="I2101" s="8">
        <v>132.03</v>
      </c>
      <c r="J2101" s="8">
        <v>94.3</v>
      </c>
      <c r="K2101" s="268">
        <v>0.2555</v>
      </c>
      <c r="L2101" s="268">
        <v>0.19639999999999999</v>
      </c>
      <c r="M2101" s="268">
        <v>9.2999999999999992E-3</v>
      </c>
      <c r="N2101" s="8">
        <v>23.09</v>
      </c>
      <c r="O2101" s="8">
        <v>848.79</v>
      </c>
      <c r="P2101" s="268">
        <v>2.7199999999999998E-2</v>
      </c>
      <c r="Q2101" s="8">
        <v>52</v>
      </c>
      <c r="R2101" s="8">
        <v>0</v>
      </c>
      <c r="S2101" s="8" t="s">
        <v>11832</v>
      </c>
      <c r="T2101" s="8" t="s">
        <v>11833</v>
      </c>
      <c r="U2101" s="8" t="s">
        <v>11834</v>
      </c>
      <c r="V2101" s="8" t="s">
        <v>11835</v>
      </c>
      <c r="W2101" s="8" t="s">
        <v>11836</v>
      </c>
    </row>
    <row r="2102" spans="1:23" ht="28" customHeight="1" x14ac:dyDescent="0.3">
      <c r="A2102" s="308">
        <v>43132</v>
      </c>
      <c r="B2102" s="302">
        <v>1017.476</v>
      </c>
      <c r="C2102" s="8">
        <v>-12.643000000000001</v>
      </c>
      <c r="D2102" s="268">
        <v>-1.23E-2</v>
      </c>
      <c r="E2102" s="8">
        <v>24.04</v>
      </c>
      <c r="F2102" s="8">
        <v>105.812</v>
      </c>
      <c r="G2102" s="8">
        <v>103.846</v>
      </c>
      <c r="H2102" s="8">
        <v>87.29</v>
      </c>
      <c r="I2102" s="8">
        <v>130.66999999999999</v>
      </c>
      <c r="J2102" s="8">
        <v>98.42</v>
      </c>
      <c r="K2102" s="268">
        <v>0.24859999999999999</v>
      </c>
      <c r="L2102" s="268">
        <v>0.17799999999999999</v>
      </c>
      <c r="M2102" s="268">
        <v>1.04E-2</v>
      </c>
      <c r="N2102" s="8">
        <v>36.81</v>
      </c>
      <c r="O2102" s="8">
        <v>848.79</v>
      </c>
      <c r="P2102" s="268">
        <v>4.3400000000000001E-2</v>
      </c>
      <c r="Q2102" s="8">
        <v>52</v>
      </c>
      <c r="R2102" s="8">
        <v>0</v>
      </c>
      <c r="S2102" s="8" t="s">
        <v>11837</v>
      </c>
      <c r="T2102" s="8" t="s">
        <v>11838</v>
      </c>
      <c r="U2102" s="8" t="s">
        <v>11839</v>
      </c>
      <c r="V2102" s="8" t="s">
        <v>11421</v>
      </c>
      <c r="W2102" s="8" t="s">
        <v>11247</v>
      </c>
    </row>
    <row r="2103" spans="1:23" ht="28" customHeight="1" x14ac:dyDescent="0.3">
      <c r="A2103" s="308">
        <v>43131</v>
      </c>
      <c r="B2103" s="302">
        <v>1030.1189999999999</v>
      </c>
      <c r="C2103" s="8">
        <v>-5.2930000000000001</v>
      </c>
      <c r="D2103" s="268">
        <v>-5.1000000000000004E-3</v>
      </c>
      <c r="E2103" s="8">
        <v>33.33</v>
      </c>
      <c r="F2103" s="8">
        <v>107.148</v>
      </c>
      <c r="G2103" s="8">
        <v>105.14</v>
      </c>
      <c r="H2103" s="8">
        <v>90.19</v>
      </c>
      <c r="I2103" s="8">
        <v>128.46</v>
      </c>
      <c r="J2103" s="8">
        <v>69.19</v>
      </c>
      <c r="K2103" s="268">
        <v>0.21310000000000001</v>
      </c>
      <c r="L2103" s="268">
        <v>0.13980000000000001</v>
      </c>
      <c r="M2103" s="268">
        <v>7.9000000000000008E-3</v>
      </c>
      <c r="N2103" s="8">
        <v>26.31</v>
      </c>
      <c r="O2103" s="8">
        <v>848.79</v>
      </c>
      <c r="P2103" s="268">
        <v>3.1E-2</v>
      </c>
      <c r="Q2103" s="8">
        <v>52</v>
      </c>
      <c r="R2103" s="8">
        <v>0</v>
      </c>
      <c r="S2103" s="8" t="s">
        <v>11840</v>
      </c>
      <c r="T2103" s="8" t="s">
        <v>11841</v>
      </c>
      <c r="U2103" s="8" t="s">
        <v>5725</v>
      </c>
      <c r="V2103" s="8" t="s">
        <v>7169</v>
      </c>
      <c r="W2103" s="8" t="s">
        <v>11842</v>
      </c>
    </row>
    <row r="2104" spans="1:23" ht="28" customHeight="1" x14ac:dyDescent="0.3">
      <c r="A2104" s="308">
        <v>43130</v>
      </c>
      <c r="B2104" s="302">
        <v>1035.412</v>
      </c>
      <c r="C2104" s="8">
        <v>-4.4779999999999998</v>
      </c>
      <c r="D2104" s="268">
        <v>-4.3E-3</v>
      </c>
      <c r="E2104" s="8">
        <v>42.86</v>
      </c>
      <c r="F2104" s="8">
        <v>107.666</v>
      </c>
      <c r="G2104" s="8">
        <v>105.5</v>
      </c>
      <c r="H2104" s="8">
        <v>92.73</v>
      </c>
      <c r="I2104" s="8">
        <v>127.83</v>
      </c>
      <c r="J2104" s="8">
        <v>56.74</v>
      </c>
      <c r="K2104" s="268">
        <v>0.20169999999999999</v>
      </c>
      <c r="L2104" s="268">
        <v>0.13780000000000001</v>
      </c>
      <c r="M2104" s="268">
        <v>7.0000000000000001E-3</v>
      </c>
      <c r="N2104" s="8">
        <v>29.94</v>
      </c>
      <c r="O2104" s="8">
        <v>848.72</v>
      </c>
      <c r="P2104" s="268">
        <v>3.5299999999999998E-2</v>
      </c>
      <c r="Q2104" s="8">
        <v>51</v>
      </c>
      <c r="R2104" s="8">
        <v>0</v>
      </c>
      <c r="S2104" s="8" t="s">
        <v>11843</v>
      </c>
      <c r="T2104" s="8" t="s">
        <v>11226</v>
      </c>
      <c r="U2104" s="8" t="s">
        <v>11844</v>
      </c>
      <c r="V2104" s="8" t="s">
        <v>8157</v>
      </c>
      <c r="W2104" s="8" t="s">
        <v>6068</v>
      </c>
    </row>
    <row r="2105" spans="1:23" ht="28" customHeight="1" x14ac:dyDescent="0.3">
      <c r="A2105" s="308">
        <v>43129</v>
      </c>
      <c r="B2105" s="302">
        <v>1039.8900000000001</v>
      </c>
      <c r="C2105" s="8">
        <v>-20.239999999999998</v>
      </c>
      <c r="D2105" s="268">
        <v>-1.9099999999999999E-2</v>
      </c>
      <c r="E2105" s="8">
        <v>44.61</v>
      </c>
      <c r="F2105" s="8">
        <v>107.95</v>
      </c>
      <c r="G2105" s="8">
        <v>104.968</v>
      </c>
      <c r="H2105" s="8">
        <v>92.4</v>
      </c>
      <c r="I2105" s="8">
        <v>129.62</v>
      </c>
      <c r="J2105" s="8">
        <v>60</v>
      </c>
      <c r="K2105" s="268">
        <v>0.2167</v>
      </c>
      <c r="L2105" s="268">
        <v>0.14749999999999999</v>
      </c>
      <c r="M2105" s="268">
        <v>6.4999999999999997E-3</v>
      </c>
      <c r="N2105" s="8">
        <v>33.07</v>
      </c>
      <c r="O2105" s="8">
        <v>837.21</v>
      </c>
      <c r="P2105" s="268">
        <v>3.95E-2</v>
      </c>
      <c r="Q2105" s="8">
        <v>48</v>
      </c>
      <c r="R2105" s="8">
        <v>0</v>
      </c>
      <c r="S2105" s="8" t="s">
        <v>11845</v>
      </c>
      <c r="T2105" s="8" t="s">
        <v>11846</v>
      </c>
      <c r="U2105" s="8" t="s">
        <v>11847</v>
      </c>
      <c r="V2105" s="8" t="s">
        <v>11848</v>
      </c>
      <c r="W2105" s="8" t="s">
        <v>9635</v>
      </c>
    </row>
    <row r="2106" spans="1:23" ht="28" customHeight="1" x14ac:dyDescent="0.3">
      <c r="A2106" s="308">
        <v>43126</v>
      </c>
      <c r="B2106" s="302">
        <v>1060.1300000000001</v>
      </c>
      <c r="C2106" s="8">
        <v>-1.9319999999999999</v>
      </c>
      <c r="D2106" s="268">
        <v>-1.8E-3</v>
      </c>
      <c r="E2106" s="8">
        <v>73.959999999999994</v>
      </c>
      <c r="F2106" s="8">
        <v>109.996</v>
      </c>
      <c r="G2106" s="8">
        <v>106.19499999999999</v>
      </c>
      <c r="H2106" s="8">
        <v>93.23</v>
      </c>
      <c r="I2106" s="8">
        <v>132.47</v>
      </c>
      <c r="J2106" s="8">
        <v>77.12</v>
      </c>
      <c r="K2106" s="268">
        <v>0.22470000000000001</v>
      </c>
      <c r="L2106" s="268">
        <v>0.15939999999999999</v>
      </c>
      <c r="M2106" s="268">
        <v>2.7000000000000001E-3</v>
      </c>
      <c r="N2106" s="8">
        <v>31.23</v>
      </c>
      <c r="O2106" s="8">
        <v>825.83</v>
      </c>
      <c r="P2106" s="268">
        <v>3.78E-2</v>
      </c>
      <c r="Q2106" s="8">
        <v>46</v>
      </c>
      <c r="R2106" s="8">
        <v>0</v>
      </c>
      <c r="S2106" s="8" t="s">
        <v>2427</v>
      </c>
      <c r="T2106" s="8" t="s">
        <v>11849</v>
      </c>
      <c r="U2106" s="8" t="s">
        <v>11850</v>
      </c>
      <c r="V2106" s="8" t="s">
        <v>9418</v>
      </c>
      <c r="W2106" s="8" t="s">
        <v>4027</v>
      </c>
    </row>
    <row r="2107" spans="1:23" ht="28" customHeight="1" x14ac:dyDescent="0.3">
      <c r="A2107" s="308">
        <v>43125</v>
      </c>
      <c r="B2107" s="302">
        <v>1062.0619999999999</v>
      </c>
      <c r="C2107" s="8">
        <v>6.8120000000000003</v>
      </c>
      <c r="D2107" s="268">
        <v>6.4999999999999997E-3</v>
      </c>
      <c r="E2107" s="8">
        <v>93.75</v>
      </c>
      <c r="F2107" s="8">
        <v>110.325</v>
      </c>
      <c r="G2107" s="8">
        <v>107.322</v>
      </c>
      <c r="H2107" s="8">
        <v>96.85</v>
      </c>
      <c r="I2107" s="8">
        <v>133.18</v>
      </c>
      <c r="J2107" s="8">
        <v>78.260000000000005</v>
      </c>
      <c r="K2107" s="268">
        <v>0.22850000000000001</v>
      </c>
      <c r="L2107" s="268">
        <v>0.15329999999999999</v>
      </c>
      <c r="M2107" s="268">
        <v>2.3E-3</v>
      </c>
      <c r="N2107" s="8">
        <v>38.99</v>
      </c>
      <c r="O2107" s="8">
        <v>815.83</v>
      </c>
      <c r="P2107" s="268">
        <v>4.7800000000000002E-2</v>
      </c>
      <c r="Q2107" s="8">
        <v>45</v>
      </c>
      <c r="R2107" s="8">
        <v>0</v>
      </c>
      <c r="S2107" s="8" t="s">
        <v>11851</v>
      </c>
      <c r="T2107" s="8" t="s">
        <v>11852</v>
      </c>
      <c r="U2107" s="8" t="s">
        <v>11853</v>
      </c>
      <c r="V2107" s="8" t="s">
        <v>3297</v>
      </c>
      <c r="W2107" s="8" t="s">
        <v>4044</v>
      </c>
    </row>
    <row r="2108" spans="1:23" ht="28" customHeight="1" x14ac:dyDescent="0.3">
      <c r="A2108" s="308">
        <v>43124</v>
      </c>
      <c r="B2108" s="302">
        <v>1055.25</v>
      </c>
      <c r="C2108" s="8">
        <v>10.167</v>
      </c>
      <c r="D2108" s="268">
        <v>9.7000000000000003E-3</v>
      </c>
      <c r="E2108" s="8">
        <v>84.01</v>
      </c>
      <c r="F2108" s="8">
        <v>109.634</v>
      </c>
      <c r="G2108" s="8">
        <v>106.71</v>
      </c>
      <c r="H2108" s="8">
        <v>95.38</v>
      </c>
      <c r="I2108" s="8">
        <v>132.09</v>
      </c>
      <c r="J2108" s="8">
        <v>68.52</v>
      </c>
      <c r="K2108" s="268">
        <v>0.22459999999999999</v>
      </c>
      <c r="L2108" s="268">
        <v>0.15690000000000001</v>
      </c>
      <c r="M2108" s="268">
        <v>3.5000000000000001E-3</v>
      </c>
      <c r="N2108" s="8">
        <v>43.48</v>
      </c>
      <c r="O2108" s="8">
        <v>815.83</v>
      </c>
      <c r="P2108" s="268">
        <v>5.33E-2</v>
      </c>
      <c r="Q2108" s="8">
        <v>45</v>
      </c>
      <c r="R2108" s="8">
        <v>0</v>
      </c>
      <c r="S2108" s="8" t="s">
        <v>11854</v>
      </c>
      <c r="T2108" s="8" t="s">
        <v>11855</v>
      </c>
      <c r="U2108" s="8" t="s">
        <v>11856</v>
      </c>
      <c r="V2108" s="8" t="s">
        <v>11857</v>
      </c>
      <c r="W2108" s="8" t="s">
        <v>3851</v>
      </c>
    </row>
    <row r="2109" spans="1:23" ht="28" customHeight="1" x14ac:dyDescent="0.3">
      <c r="A2109" s="308">
        <v>43123</v>
      </c>
      <c r="B2109" s="302">
        <v>1045.0830000000001</v>
      </c>
      <c r="C2109" s="8">
        <v>5.6150000000000002</v>
      </c>
      <c r="D2109" s="268">
        <v>5.4000000000000003E-3</v>
      </c>
      <c r="E2109" s="8">
        <v>66.67</v>
      </c>
      <c r="F2109" s="8">
        <v>108.589</v>
      </c>
      <c r="G2109" s="8">
        <v>106.271</v>
      </c>
      <c r="H2109" s="8">
        <v>94.57</v>
      </c>
      <c r="I2109" s="8">
        <v>131.15</v>
      </c>
      <c r="J2109" s="8">
        <v>71.8</v>
      </c>
      <c r="K2109" s="268">
        <v>0.22559999999999999</v>
      </c>
      <c r="L2109" s="268">
        <v>0.155</v>
      </c>
      <c r="M2109" s="268">
        <v>5.4000000000000003E-3</v>
      </c>
      <c r="N2109" s="8">
        <v>46.13</v>
      </c>
      <c r="O2109" s="8">
        <v>815.83</v>
      </c>
      <c r="P2109" s="268">
        <v>5.6500000000000002E-2</v>
      </c>
      <c r="Q2109" s="8">
        <v>45</v>
      </c>
      <c r="R2109" s="8">
        <v>0</v>
      </c>
      <c r="S2109" s="8" t="s">
        <v>2859</v>
      </c>
      <c r="T2109" s="8" t="s">
        <v>6236</v>
      </c>
      <c r="U2109" s="8" t="s">
        <v>10899</v>
      </c>
      <c r="V2109" s="8" t="s">
        <v>11858</v>
      </c>
      <c r="W2109" s="8" t="s">
        <v>11859</v>
      </c>
    </row>
    <row r="2110" spans="1:23" ht="28" customHeight="1" x14ac:dyDescent="0.3">
      <c r="A2110" s="308">
        <v>43122</v>
      </c>
      <c r="B2110" s="302">
        <v>1039.4680000000001</v>
      </c>
      <c r="C2110" s="8">
        <v>11.715999999999999</v>
      </c>
      <c r="D2110" s="268">
        <v>1.14E-2</v>
      </c>
      <c r="E2110" s="8">
        <v>64.09</v>
      </c>
      <c r="F2110" s="8">
        <v>108.014</v>
      </c>
      <c r="G2110" s="8">
        <v>105.74</v>
      </c>
      <c r="H2110" s="8">
        <v>93.97</v>
      </c>
      <c r="I2110" s="8">
        <v>130.52000000000001</v>
      </c>
      <c r="J2110" s="8">
        <v>79.900000000000006</v>
      </c>
      <c r="K2110" s="268">
        <v>0.22500000000000001</v>
      </c>
      <c r="L2110" s="268">
        <v>0.14699999999999999</v>
      </c>
      <c r="M2110" s="268">
        <v>6.4999999999999997E-3</v>
      </c>
      <c r="N2110" s="8">
        <v>32.229999999999997</v>
      </c>
      <c r="O2110" s="8">
        <v>815.4</v>
      </c>
      <c r="P2110" s="268">
        <v>3.95E-2</v>
      </c>
      <c r="Q2110" s="8">
        <v>44</v>
      </c>
      <c r="R2110" s="8">
        <v>0</v>
      </c>
      <c r="S2110" s="8" t="s">
        <v>11860</v>
      </c>
      <c r="T2110" s="8" t="s">
        <v>11861</v>
      </c>
      <c r="U2110" s="8" t="s">
        <v>11862</v>
      </c>
      <c r="V2110" s="8" t="s">
        <v>11863</v>
      </c>
      <c r="W2110" s="8" t="s">
        <v>11864</v>
      </c>
    </row>
    <row r="2111" spans="1:23" ht="28" customHeight="1" x14ac:dyDescent="0.3">
      <c r="A2111" s="308">
        <v>43119</v>
      </c>
      <c r="B2111" s="302">
        <v>1027.752</v>
      </c>
      <c r="C2111" s="8">
        <v>5.6340000000000003</v>
      </c>
      <c r="D2111" s="268">
        <v>5.4999999999999997E-3</v>
      </c>
      <c r="E2111" s="8">
        <v>38.46</v>
      </c>
      <c r="F2111" s="8">
        <v>106.914</v>
      </c>
      <c r="G2111" s="8">
        <v>104.51</v>
      </c>
      <c r="H2111" s="8">
        <v>93.7</v>
      </c>
      <c r="I2111" s="8">
        <v>129.57</v>
      </c>
      <c r="J2111" s="8">
        <v>83.33</v>
      </c>
      <c r="K2111" s="268">
        <v>0.2266</v>
      </c>
      <c r="L2111" s="268">
        <v>0.15110000000000001</v>
      </c>
      <c r="M2111" s="268">
        <v>8.6E-3</v>
      </c>
      <c r="N2111" s="8">
        <v>28.81</v>
      </c>
      <c r="O2111" s="8">
        <v>806.12</v>
      </c>
      <c r="P2111" s="268">
        <v>3.5700000000000003E-2</v>
      </c>
      <c r="Q2111" s="8">
        <v>43</v>
      </c>
      <c r="R2111" s="8">
        <v>0</v>
      </c>
      <c r="S2111" s="8" t="s">
        <v>11772</v>
      </c>
      <c r="T2111" s="8" t="s">
        <v>8356</v>
      </c>
      <c r="U2111" s="8" t="s">
        <v>11865</v>
      </c>
      <c r="V2111" s="8" t="s">
        <v>11866</v>
      </c>
      <c r="W2111" s="8">
        <v>0</v>
      </c>
    </row>
    <row r="2112" spans="1:23" ht="28" customHeight="1" x14ac:dyDescent="0.3">
      <c r="A2112" s="308">
        <v>43118</v>
      </c>
      <c r="B2112" s="302">
        <v>1022.1180000000001</v>
      </c>
      <c r="C2112" s="8">
        <v>6.5469999999999997</v>
      </c>
      <c r="D2112" s="268">
        <v>6.4999999999999997E-3</v>
      </c>
      <c r="E2112" s="8">
        <v>32.35</v>
      </c>
      <c r="F2112" s="8">
        <v>106.301</v>
      </c>
      <c r="G2112" s="8">
        <v>104.35</v>
      </c>
      <c r="H2112" s="8">
        <v>95.6</v>
      </c>
      <c r="I2112" s="8">
        <v>128.37</v>
      </c>
      <c r="J2112" s="8">
        <v>64.290000000000006</v>
      </c>
      <c r="K2112" s="268">
        <v>0.22070000000000001</v>
      </c>
      <c r="L2112" s="268">
        <v>0.1358</v>
      </c>
      <c r="M2112" s="268">
        <v>9.5999999999999992E-3</v>
      </c>
      <c r="N2112" s="8">
        <v>22.43</v>
      </c>
      <c r="O2112" s="8">
        <v>806.12</v>
      </c>
      <c r="P2112" s="268">
        <v>2.7799999999999998E-2</v>
      </c>
      <c r="Q2112" s="8">
        <v>43</v>
      </c>
      <c r="R2112" s="8">
        <v>0</v>
      </c>
      <c r="S2112" s="8" t="s">
        <v>11867</v>
      </c>
      <c r="T2112" s="8" t="s">
        <v>3576</v>
      </c>
      <c r="U2112" s="8" t="s">
        <v>11868</v>
      </c>
      <c r="V2112" s="8" t="s">
        <v>11869</v>
      </c>
      <c r="W2112" s="8">
        <v>0</v>
      </c>
    </row>
    <row r="2113" spans="1:23" ht="28" customHeight="1" x14ac:dyDescent="0.3">
      <c r="A2113" s="308">
        <v>43117</v>
      </c>
      <c r="B2113" s="302">
        <v>1015.571</v>
      </c>
      <c r="C2113" s="8">
        <v>-0.317</v>
      </c>
      <c r="D2113" s="268">
        <v>-2.9999999999999997E-4</v>
      </c>
      <c r="E2113" s="8">
        <v>25.27</v>
      </c>
      <c r="F2113" s="8">
        <v>105.79600000000001</v>
      </c>
      <c r="G2113" s="8">
        <v>104.176</v>
      </c>
      <c r="H2113" s="8">
        <v>93.99</v>
      </c>
      <c r="I2113" s="8">
        <v>127.63</v>
      </c>
      <c r="J2113" s="8">
        <v>69.05</v>
      </c>
      <c r="K2113" s="268">
        <v>0.21829999999999999</v>
      </c>
      <c r="L2113" s="268">
        <v>0.13519999999999999</v>
      </c>
      <c r="M2113" s="268">
        <v>1.04E-2</v>
      </c>
      <c r="N2113" s="8">
        <v>24.3</v>
      </c>
      <c r="O2113" s="8">
        <v>768.95</v>
      </c>
      <c r="P2113" s="268">
        <v>3.1600000000000003E-2</v>
      </c>
      <c r="Q2113" s="8">
        <v>42</v>
      </c>
      <c r="R2113" s="8">
        <v>0</v>
      </c>
      <c r="S2113" s="8" t="s">
        <v>10838</v>
      </c>
      <c r="T2113" s="8" t="s">
        <v>11111</v>
      </c>
      <c r="U2113" s="8" t="s">
        <v>11297</v>
      </c>
      <c r="V2113" s="8" t="s">
        <v>10610</v>
      </c>
      <c r="W2113" s="8">
        <v>0</v>
      </c>
    </row>
    <row r="2114" spans="1:23" ht="28" customHeight="1" x14ac:dyDescent="0.3">
      <c r="A2114" s="308">
        <v>43116</v>
      </c>
      <c r="B2114" s="302">
        <v>1015.888</v>
      </c>
      <c r="C2114" s="8">
        <v>2.0990000000000002</v>
      </c>
      <c r="D2114" s="268">
        <v>2.0999999999999999E-3</v>
      </c>
      <c r="E2114" s="8">
        <v>15.38</v>
      </c>
      <c r="F2114" s="8">
        <v>105.39400000000001</v>
      </c>
      <c r="G2114" s="8">
        <v>103.72</v>
      </c>
      <c r="H2114" s="8">
        <v>93.92</v>
      </c>
      <c r="I2114" s="8">
        <v>127.48</v>
      </c>
      <c r="J2114" s="8">
        <v>62.42</v>
      </c>
      <c r="K2114" s="268">
        <v>0.22090000000000001</v>
      </c>
      <c r="L2114" s="268">
        <v>0.14449999999999999</v>
      </c>
      <c r="M2114" s="268">
        <v>1.12E-2</v>
      </c>
      <c r="N2114" s="8">
        <v>15.83</v>
      </c>
      <c r="O2114" s="8">
        <v>756.97</v>
      </c>
      <c r="P2114" s="268">
        <v>2.0899999999999998E-2</v>
      </c>
      <c r="Q2114" s="8">
        <v>41</v>
      </c>
      <c r="R2114" s="8">
        <v>0</v>
      </c>
      <c r="S2114" s="8" t="s">
        <v>11870</v>
      </c>
      <c r="T2114" s="8" t="s">
        <v>9146</v>
      </c>
      <c r="U2114" s="8" t="s">
        <v>11871</v>
      </c>
      <c r="V2114" s="8" t="s">
        <v>11872</v>
      </c>
      <c r="W2114" s="8">
        <v>0</v>
      </c>
    </row>
    <row r="2115" spans="1:23" ht="28" customHeight="1" x14ac:dyDescent="0.3">
      <c r="A2115" s="308">
        <v>43115</v>
      </c>
      <c r="B2115" s="302">
        <v>1013.789</v>
      </c>
      <c r="C2115" s="8">
        <v>-12.063000000000001</v>
      </c>
      <c r="D2115" s="268">
        <v>-1.18E-2</v>
      </c>
      <c r="E2115" s="8">
        <v>13.33</v>
      </c>
      <c r="F2115" s="8">
        <v>105.417</v>
      </c>
      <c r="G2115" s="8">
        <v>104.145</v>
      </c>
      <c r="H2115" s="8">
        <v>92.9</v>
      </c>
      <c r="I2115" s="8">
        <v>129.1</v>
      </c>
      <c r="J2115" s="8">
        <v>71.05</v>
      </c>
      <c r="K2115" s="268">
        <v>0.23680000000000001</v>
      </c>
      <c r="L2115" s="268">
        <v>0.14779999999999999</v>
      </c>
      <c r="M2115" s="268">
        <v>1.1599999999999999E-2</v>
      </c>
      <c r="N2115" s="8">
        <v>22.62</v>
      </c>
      <c r="O2115" s="8">
        <v>717.43</v>
      </c>
      <c r="P2115" s="268">
        <v>3.15E-2</v>
      </c>
      <c r="Q2115" s="8">
        <v>39</v>
      </c>
      <c r="R2115" s="8">
        <v>0</v>
      </c>
      <c r="S2115" s="8" t="s">
        <v>11873</v>
      </c>
      <c r="T2115" s="8" t="s">
        <v>11874</v>
      </c>
      <c r="U2115" s="8" t="s">
        <v>11875</v>
      </c>
      <c r="V2115" s="8" t="s">
        <v>3687</v>
      </c>
      <c r="W2115" s="8">
        <v>0</v>
      </c>
    </row>
    <row r="2116" spans="1:23" ht="28" customHeight="1" x14ac:dyDescent="0.3">
      <c r="A2116" s="308">
        <v>43112</v>
      </c>
      <c r="B2116" s="302">
        <v>1025.8520000000001</v>
      </c>
      <c r="C2116" s="8">
        <v>-0.78900000000000003</v>
      </c>
      <c r="D2116" s="268">
        <v>-8.0000000000000004E-4</v>
      </c>
      <c r="E2116" s="8">
        <v>34.630000000000003</v>
      </c>
      <c r="F2116" s="8">
        <v>106.542</v>
      </c>
      <c r="G2116" s="8">
        <v>105.836</v>
      </c>
      <c r="H2116" s="8">
        <v>94.23</v>
      </c>
      <c r="I2116" s="8">
        <v>128.5</v>
      </c>
      <c r="J2116" s="8">
        <v>51.6</v>
      </c>
      <c r="K2116" s="268">
        <v>0.21959999999999999</v>
      </c>
      <c r="L2116" s="268">
        <v>0.1211</v>
      </c>
      <c r="M2116" s="268">
        <v>9.5999999999999992E-3</v>
      </c>
      <c r="N2116" s="8">
        <v>12.9</v>
      </c>
      <c r="O2116" s="8">
        <v>717.32</v>
      </c>
      <c r="P2116" s="268">
        <v>1.7999999999999999E-2</v>
      </c>
      <c r="Q2116" s="8">
        <v>38</v>
      </c>
      <c r="R2116" s="8">
        <v>0</v>
      </c>
      <c r="S2116" s="8" t="s">
        <v>2784</v>
      </c>
      <c r="T2116" s="8" t="s">
        <v>11050</v>
      </c>
      <c r="U2116" s="8" t="s">
        <v>9507</v>
      </c>
      <c r="V2116" s="8" t="s">
        <v>4217</v>
      </c>
      <c r="W2116" s="8">
        <v>0</v>
      </c>
    </row>
    <row r="2117" spans="1:23" ht="28" customHeight="1" x14ac:dyDescent="0.3">
      <c r="A2117" s="308">
        <v>43111</v>
      </c>
      <c r="B2117" s="302">
        <v>1026.6410000000001</v>
      </c>
      <c r="C2117" s="8">
        <v>1.22</v>
      </c>
      <c r="D2117" s="268">
        <v>1.1999999999999999E-3</v>
      </c>
      <c r="E2117" s="8">
        <v>32.880000000000003</v>
      </c>
      <c r="F2117" s="8">
        <v>106.631</v>
      </c>
      <c r="G2117" s="8">
        <v>106.08</v>
      </c>
      <c r="H2117" s="8">
        <v>94.52</v>
      </c>
      <c r="I2117" s="8">
        <v>127.72</v>
      </c>
      <c r="J2117" s="8">
        <v>33.33</v>
      </c>
      <c r="K2117" s="268">
        <v>0.2109</v>
      </c>
      <c r="L2117" s="268">
        <v>0.11609999999999999</v>
      </c>
      <c r="M2117" s="268">
        <v>9.4000000000000004E-3</v>
      </c>
      <c r="N2117" s="8">
        <v>14.4</v>
      </c>
      <c r="O2117" s="8">
        <v>717.32</v>
      </c>
      <c r="P2117" s="268">
        <v>2.01E-2</v>
      </c>
      <c r="Q2117" s="8">
        <v>38</v>
      </c>
      <c r="R2117" s="8">
        <v>0</v>
      </c>
      <c r="S2117" s="8" t="s">
        <v>11297</v>
      </c>
      <c r="T2117" s="8" t="s">
        <v>11876</v>
      </c>
      <c r="U2117" s="8" t="s">
        <v>11877</v>
      </c>
      <c r="V2117" s="8" t="s">
        <v>7946</v>
      </c>
      <c r="W2117" s="8">
        <v>0</v>
      </c>
    </row>
    <row r="2118" spans="1:23" ht="28" customHeight="1" x14ac:dyDescent="0.3">
      <c r="A2118" s="308">
        <v>43110</v>
      </c>
      <c r="B2118" s="302">
        <v>1025.421</v>
      </c>
      <c r="C2118" s="8">
        <v>-4.556</v>
      </c>
      <c r="D2118" s="268">
        <v>-4.4000000000000003E-3</v>
      </c>
      <c r="E2118" s="8">
        <v>35.159999999999997</v>
      </c>
      <c r="F2118" s="8">
        <v>106.51600000000001</v>
      </c>
      <c r="G2118" s="8">
        <v>105.75</v>
      </c>
      <c r="H2118" s="8">
        <v>94.1</v>
      </c>
      <c r="I2118" s="8">
        <v>128.34</v>
      </c>
      <c r="J2118" s="8">
        <v>55.12</v>
      </c>
      <c r="K2118" s="268">
        <v>0.21829999999999999</v>
      </c>
      <c r="L2118" s="268">
        <v>0.11940000000000001</v>
      </c>
      <c r="M2118" s="268">
        <v>9.4999999999999998E-3</v>
      </c>
      <c r="N2118" s="8">
        <v>17.64</v>
      </c>
      <c r="O2118" s="8">
        <v>717.32</v>
      </c>
      <c r="P2118" s="268">
        <v>2.46E-2</v>
      </c>
      <c r="Q2118" s="8">
        <v>38</v>
      </c>
      <c r="R2118" s="8">
        <v>0</v>
      </c>
      <c r="S2118" s="8" t="s">
        <v>11878</v>
      </c>
      <c r="T2118" s="8" t="s">
        <v>11879</v>
      </c>
      <c r="U2118" s="8" t="s">
        <v>2863</v>
      </c>
      <c r="V2118" s="8" t="s">
        <v>11880</v>
      </c>
      <c r="W2118" s="8" t="s">
        <v>9273</v>
      </c>
    </row>
    <row r="2119" spans="1:23" ht="28" customHeight="1" x14ac:dyDescent="0.3">
      <c r="A2119" s="308">
        <v>43109</v>
      </c>
      <c r="B2119" s="302">
        <v>1029.9770000000001</v>
      </c>
      <c r="C2119" s="8">
        <v>-5.6680000000000001</v>
      </c>
      <c r="D2119" s="268">
        <v>-5.4999999999999997E-3</v>
      </c>
      <c r="E2119" s="8">
        <v>45.45</v>
      </c>
      <c r="F2119" s="8">
        <v>107.069</v>
      </c>
      <c r="G2119" s="8">
        <v>106.371</v>
      </c>
      <c r="H2119" s="8">
        <v>95.54</v>
      </c>
      <c r="I2119" s="8">
        <v>128.74</v>
      </c>
      <c r="J2119" s="8">
        <v>48.28</v>
      </c>
      <c r="K2119" s="268">
        <v>0.2167</v>
      </c>
      <c r="L2119" s="268">
        <v>0.1227</v>
      </c>
      <c r="M2119" s="268">
        <v>8.5000000000000006E-3</v>
      </c>
      <c r="N2119" s="8">
        <v>12.01</v>
      </c>
      <c r="O2119" s="8">
        <v>698.6</v>
      </c>
      <c r="P2119" s="268">
        <v>1.72E-2</v>
      </c>
      <c r="Q2119" s="8">
        <v>37</v>
      </c>
      <c r="R2119" s="8">
        <v>0</v>
      </c>
      <c r="S2119" s="8" t="s">
        <v>11881</v>
      </c>
      <c r="T2119" s="8" t="s">
        <v>11882</v>
      </c>
      <c r="U2119" s="8" t="s">
        <v>11883</v>
      </c>
      <c r="V2119" s="8" t="s">
        <v>4302</v>
      </c>
      <c r="W2119" s="8" t="s">
        <v>9208</v>
      </c>
    </row>
    <row r="2120" spans="1:23" ht="28" customHeight="1" x14ac:dyDescent="0.3">
      <c r="A2120" s="308">
        <v>43108</v>
      </c>
      <c r="B2120" s="302">
        <v>1035.645</v>
      </c>
      <c r="C2120" s="8">
        <v>0.99</v>
      </c>
      <c r="D2120" s="268">
        <v>1E-3</v>
      </c>
      <c r="E2120" s="8">
        <v>50.53</v>
      </c>
      <c r="F2120" s="8">
        <v>107.667</v>
      </c>
      <c r="G2120" s="8">
        <v>107.80500000000001</v>
      </c>
      <c r="H2120" s="8">
        <v>95.82</v>
      </c>
      <c r="I2120" s="8">
        <v>129.83000000000001</v>
      </c>
      <c r="J2120" s="8">
        <v>56.24</v>
      </c>
      <c r="K2120" s="268">
        <v>0.22159999999999999</v>
      </c>
      <c r="L2120" s="268">
        <v>0.12540000000000001</v>
      </c>
      <c r="M2120" s="268">
        <v>7.4000000000000003E-3</v>
      </c>
      <c r="N2120" s="8">
        <v>20.51</v>
      </c>
      <c r="O2120" s="8">
        <v>698.6</v>
      </c>
      <c r="P2120" s="268">
        <v>2.9399999999999999E-2</v>
      </c>
      <c r="Q2120" s="8">
        <v>37</v>
      </c>
      <c r="R2120" s="8">
        <v>0</v>
      </c>
      <c r="S2120" s="8" t="s">
        <v>9186</v>
      </c>
      <c r="T2120" s="8" t="s">
        <v>11884</v>
      </c>
      <c r="U2120" s="8" t="s">
        <v>11265</v>
      </c>
      <c r="V2120" s="8" t="s">
        <v>11885</v>
      </c>
      <c r="W2120" s="8" t="s">
        <v>11886</v>
      </c>
    </row>
    <row r="2121" spans="1:23" ht="28" x14ac:dyDescent="0.3">
      <c r="A2121" s="308">
        <v>43105</v>
      </c>
      <c r="B2121" s="302">
        <v>1034.655</v>
      </c>
      <c r="C2121" s="8">
        <v>10.311</v>
      </c>
      <c r="D2121" s="268">
        <v>1.01E-2</v>
      </c>
      <c r="E2121" s="8">
        <v>65.91</v>
      </c>
      <c r="F2121" s="8">
        <v>107.336</v>
      </c>
      <c r="G2121" s="8">
        <v>107</v>
      </c>
      <c r="H2121" s="8">
        <v>94.26</v>
      </c>
      <c r="I2121" s="8">
        <v>129.61000000000001</v>
      </c>
      <c r="J2121" s="8">
        <v>52.02</v>
      </c>
      <c r="K2121" s="268">
        <v>0.22270000000000001</v>
      </c>
      <c r="L2121" s="268">
        <v>0.1193</v>
      </c>
      <c r="M2121" s="268">
        <v>8.0999999999999996E-3</v>
      </c>
      <c r="N2121" s="8">
        <v>19.97</v>
      </c>
      <c r="O2121" s="8">
        <v>700.44</v>
      </c>
      <c r="P2121" s="268">
        <v>2.8500000000000001E-2</v>
      </c>
      <c r="Q2121" s="8">
        <v>38</v>
      </c>
      <c r="R2121" s="8">
        <v>0</v>
      </c>
      <c r="S2121" s="8" t="s">
        <v>10442</v>
      </c>
      <c r="T2121" s="8" t="s">
        <v>11887</v>
      </c>
      <c r="U2121" s="8" t="s">
        <v>11888</v>
      </c>
      <c r="V2121" s="8" t="s">
        <v>11889</v>
      </c>
      <c r="W2121" s="8" t="s">
        <v>11890</v>
      </c>
    </row>
    <row r="2122" spans="1:23" ht="28" x14ac:dyDescent="0.3">
      <c r="A2122" s="308">
        <v>43104</v>
      </c>
      <c r="B2122" s="302">
        <v>1024.3440000000001</v>
      </c>
      <c r="C2122" s="8">
        <v>5.5359999999999996</v>
      </c>
      <c r="D2122" s="268">
        <v>5.4000000000000003E-3</v>
      </c>
      <c r="E2122" s="8">
        <v>49.2</v>
      </c>
      <c r="F2122" s="8">
        <v>106.295</v>
      </c>
      <c r="G2122" s="8">
        <v>104.655</v>
      </c>
      <c r="H2122" s="8">
        <v>93.27</v>
      </c>
      <c r="I2122" s="8">
        <v>127.74</v>
      </c>
      <c r="J2122" s="8">
        <v>37.04</v>
      </c>
      <c r="K2122" s="268">
        <v>0.2145</v>
      </c>
      <c r="L2122" s="268">
        <v>0.11219999999999999</v>
      </c>
      <c r="M2122" s="268">
        <v>1.04E-2</v>
      </c>
      <c r="N2122" s="8">
        <v>15.49</v>
      </c>
      <c r="O2122" s="8">
        <v>700.44</v>
      </c>
      <c r="P2122" s="268">
        <v>2.2100000000000002E-2</v>
      </c>
      <c r="Q2122" s="8">
        <v>38</v>
      </c>
      <c r="R2122" s="8">
        <v>0</v>
      </c>
      <c r="S2122" s="8" t="s">
        <v>11891</v>
      </c>
      <c r="T2122" s="8" t="s">
        <v>11892</v>
      </c>
      <c r="U2122" s="8" t="s">
        <v>11445</v>
      </c>
      <c r="V2122" s="8" t="s">
        <v>11893</v>
      </c>
      <c r="W2122" s="8">
        <v>0</v>
      </c>
    </row>
    <row r="2123" spans="1:23" ht="28" x14ac:dyDescent="0.3">
      <c r="A2123" s="308">
        <v>43103</v>
      </c>
      <c r="B2123" s="302">
        <v>1018.808</v>
      </c>
      <c r="C2123" s="8">
        <v>9.9770000000000003</v>
      </c>
      <c r="D2123" s="268">
        <v>9.9000000000000008E-3</v>
      </c>
      <c r="E2123" s="8">
        <v>41.28</v>
      </c>
      <c r="F2123" s="8">
        <v>105.90300000000001</v>
      </c>
      <c r="G2123" s="8">
        <v>105.21</v>
      </c>
      <c r="H2123" s="8">
        <v>94.95</v>
      </c>
      <c r="I2123" s="8">
        <v>127.43</v>
      </c>
      <c r="J2123" s="8">
        <v>32.69</v>
      </c>
      <c r="K2123" s="268">
        <v>0.2152</v>
      </c>
      <c r="L2123" s="268">
        <v>0.1132</v>
      </c>
      <c r="M2123" s="268">
        <v>1.12E-2</v>
      </c>
      <c r="N2123" s="8">
        <v>15.96</v>
      </c>
      <c r="O2123" s="8">
        <v>691.25</v>
      </c>
      <c r="P2123" s="268">
        <v>2.3099999999999999E-2</v>
      </c>
      <c r="Q2123" s="8">
        <v>37</v>
      </c>
      <c r="R2123" s="8">
        <v>0</v>
      </c>
      <c r="S2123" s="8" t="s">
        <v>11458</v>
      </c>
      <c r="T2123" s="8" t="s">
        <v>11860</v>
      </c>
      <c r="U2123" s="8" t="s">
        <v>11894</v>
      </c>
      <c r="V2123" s="8" t="s">
        <v>11895</v>
      </c>
      <c r="W2123" s="8">
        <v>0</v>
      </c>
    </row>
    <row r="2124" spans="1:23" ht="28" x14ac:dyDescent="0.3">
      <c r="A2124" s="308">
        <v>43102</v>
      </c>
      <c r="B2124" s="302">
        <v>1008.831</v>
      </c>
      <c r="C2124" s="8">
        <v>8.8309999999999995</v>
      </c>
      <c r="D2124" s="268">
        <v>8.8000000000000005E-3</v>
      </c>
      <c r="E2124" s="8">
        <v>27.53</v>
      </c>
      <c r="F2124" s="8">
        <v>104.907</v>
      </c>
      <c r="G2124" s="8">
        <v>104.8</v>
      </c>
      <c r="H2124" s="8">
        <v>90.72</v>
      </c>
      <c r="I2124" s="8">
        <v>126.96</v>
      </c>
      <c r="J2124" s="8">
        <v>30.17</v>
      </c>
      <c r="K2124" s="268">
        <v>0.2205</v>
      </c>
      <c r="L2124" s="268">
        <v>0.11310000000000001</v>
      </c>
      <c r="M2124" s="268">
        <v>1.3100000000000001E-2</v>
      </c>
      <c r="N2124" s="8">
        <v>13.94</v>
      </c>
      <c r="O2124" s="8">
        <v>690.6</v>
      </c>
      <c r="P2124" s="268">
        <v>2.0199999999999999E-2</v>
      </c>
      <c r="Q2124" s="8">
        <v>36</v>
      </c>
      <c r="R2124" s="8">
        <v>0</v>
      </c>
      <c r="S2124" s="8" t="s">
        <v>11896</v>
      </c>
      <c r="T2124" s="8" t="s">
        <v>11897</v>
      </c>
      <c r="U2124" s="8" t="s">
        <v>11898</v>
      </c>
      <c r="V2124" s="8" t="s">
        <v>11899</v>
      </c>
      <c r="W2124" s="8">
        <v>0</v>
      </c>
    </row>
    <row r="2125" spans="1:23" ht="28" x14ac:dyDescent="0.3">
      <c r="A2125" s="308">
        <v>43098</v>
      </c>
      <c r="B2125" s="302">
        <v>1000</v>
      </c>
      <c r="C2125" s="8">
        <v>0</v>
      </c>
      <c r="D2125" s="268">
        <v>0</v>
      </c>
      <c r="E2125" s="8">
        <v>15.7</v>
      </c>
      <c r="F2125" s="8">
        <v>103.956</v>
      </c>
      <c r="G2125" s="8">
        <v>104.111</v>
      </c>
      <c r="H2125" s="8">
        <v>89.77</v>
      </c>
      <c r="I2125" s="8">
        <v>126.75</v>
      </c>
      <c r="J2125" s="8">
        <v>30</v>
      </c>
      <c r="K2125" s="268">
        <v>0.22789999999999999</v>
      </c>
      <c r="L2125" s="268">
        <v>0.1168</v>
      </c>
      <c r="M2125" s="268">
        <v>1.4800000000000001E-2</v>
      </c>
      <c r="N2125" s="8">
        <v>10.58</v>
      </c>
      <c r="O2125" s="8">
        <v>853.79</v>
      </c>
      <c r="P2125" s="268">
        <v>1.24E-2</v>
      </c>
      <c r="Q2125" s="8">
        <v>36</v>
      </c>
      <c r="R2125" s="8">
        <v>0</v>
      </c>
      <c r="S2125" s="8" t="s">
        <v>11900</v>
      </c>
      <c r="T2125" s="8" t="s">
        <v>10040</v>
      </c>
      <c r="U2125" s="8" t="s">
        <v>11901</v>
      </c>
      <c r="V2125" s="8" t="s">
        <v>6080</v>
      </c>
      <c r="W2125" s="8">
        <v>0</v>
      </c>
    </row>
  </sheetData>
  <phoneticPr fontId="16"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8"/>
  <dimension ref="E2:V25"/>
  <sheetViews>
    <sheetView topLeftCell="D1" workbookViewId="0">
      <selection activeCell="L33" sqref="L33"/>
    </sheetView>
  </sheetViews>
  <sheetFormatPr defaultColWidth="8.58203125" defaultRowHeight="14" x14ac:dyDescent="0.3"/>
  <cols>
    <col min="1" max="12" width="8.58203125" style="4" customWidth="1"/>
    <col min="13" max="13" width="14.58203125" style="4" customWidth="1"/>
    <col min="14" max="16" width="8.58203125" style="4" customWidth="1"/>
    <col min="17" max="17" width="13.83203125" style="4" customWidth="1"/>
    <col min="18" max="152" width="8.58203125" style="4" customWidth="1"/>
    <col min="153" max="16384" width="8.58203125" style="4"/>
  </cols>
  <sheetData>
    <row r="2" spans="5:22" x14ac:dyDescent="0.3">
      <c r="F2" s="4" t="s">
        <v>1971</v>
      </c>
      <c r="G2" s="4" t="s">
        <v>2127</v>
      </c>
      <c r="H2" s="4" t="s">
        <v>2122</v>
      </c>
      <c r="I2" s="4" t="s">
        <v>2130</v>
      </c>
    </row>
    <row r="3" spans="5:22" x14ac:dyDescent="0.3">
      <c r="I3" s="4">
        <f>SUM(I4:I40)</f>
        <v>98344</v>
      </c>
    </row>
    <row r="4" spans="5:22" x14ac:dyDescent="0.3">
      <c r="E4" s="4">
        <v>920088</v>
      </c>
      <c r="F4" s="4" t="s">
        <v>11902</v>
      </c>
      <c r="G4" s="4">
        <v>200</v>
      </c>
      <c r="H4" s="4">
        <f>7.32*200</f>
        <v>1464</v>
      </c>
      <c r="I4" s="4">
        <f>9186-H4</f>
        <v>7722</v>
      </c>
    </row>
    <row r="5" spans="5:22" ht="42" customHeight="1" x14ac:dyDescent="0.3">
      <c r="E5" s="4">
        <v>920111</v>
      </c>
      <c r="F5" s="4" t="s">
        <v>11903</v>
      </c>
      <c r="G5" s="4">
        <v>300</v>
      </c>
      <c r="H5" s="4">
        <v>1875</v>
      </c>
      <c r="I5" s="4">
        <v>6264</v>
      </c>
      <c r="K5" s="275"/>
      <c r="L5" s="8" t="s">
        <v>11904</v>
      </c>
      <c r="M5" s="8" t="s">
        <v>11905</v>
      </c>
      <c r="N5" s="8" t="s">
        <v>11906</v>
      </c>
      <c r="O5" s="8" t="s">
        <v>11907</v>
      </c>
      <c r="P5" s="8" t="s">
        <v>11908</v>
      </c>
      <c r="Q5" s="8" t="s">
        <v>11909</v>
      </c>
      <c r="R5" s="8" t="s">
        <v>11910</v>
      </c>
      <c r="S5" s="8" t="s">
        <v>11911</v>
      </c>
      <c r="T5" s="8" t="s">
        <v>2131</v>
      </c>
      <c r="U5" s="8" t="s">
        <v>11912</v>
      </c>
      <c r="V5" s="286" t="s">
        <v>11913</v>
      </c>
    </row>
    <row r="6" spans="5:22" x14ac:dyDescent="0.3">
      <c r="E6" s="4">
        <v>920066</v>
      </c>
      <c r="F6" s="4" t="s">
        <v>11914</v>
      </c>
      <c r="G6" s="4">
        <v>100</v>
      </c>
      <c r="H6" s="4">
        <v>1331</v>
      </c>
      <c r="I6" s="4">
        <f>4566-H6</f>
        <v>3235</v>
      </c>
      <c r="K6" s="276" t="s">
        <v>11915</v>
      </c>
      <c r="L6" s="8">
        <v>3301988</v>
      </c>
      <c r="M6" s="8">
        <v>600000</v>
      </c>
      <c r="N6" s="8">
        <f t="shared" ref="N6:N14" si="0">M6/L6</f>
        <v>0.1817087160825539</v>
      </c>
      <c r="O6" s="8">
        <v>1762</v>
      </c>
      <c r="P6" s="8">
        <f t="shared" ref="P6:P14" si="1">O6*N6</f>
        <v>320.17075773745995</v>
      </c>
      <c r="Q6" s="8">
        <f>33.91*200</f>
        <v>6781.9999999999991</v>
      </c>
      <c r="R6" s="8">
        <f t="shared" ref="R6:R14" si="2">Q6*N6</f>
        <v>1232.3485124718804</v>
      </c>
      <c r="S6" s="8">
        <f t="shared" ref="S6:S14" si="3">R6-P6</f>
        <v>912.17775473442043</v>
      </c>
      <c r="T6" s="277">
        <f t="shared" ref="T6:T14" si="4">(Q6-O6)/L6</f>
        <v>1.5202962578907007E-3</v>
      </c>
      <c r="U6" s="278">
        <f t="shared" ref="U6:U14" si="5">T6/3*365</f>
        <v>0.18496937804336858</v>
      </c>
      <c r="V6" s="4">
        <f>Q6-O6-S6-(L6-M6)*0.0001*3</f>
        <v>3297.2258452655792</v>
      </c>
    </row>
    <row r="7" spans="5:22" x14ac:dyDescent="0.3">
      <c r="E7" s="4">
        <v>920060</v>
      </c>
      <c r="F7" s="4" t="s">
        <v>11916</v>
      </c>
      <c r="G7" s="4">
        <v>400</v>
      </c>
      <c r="H7" s="4">
        <f>11.16*G7</f>
        <v>4464</v>
      </c>
      <c r="I7" s="4">
        <v>13000</v>
      </c>
      <c r="K7" s="276" t="s">
        <v>11917</v>
      </c>
      <c r="L7" s="275">
        <v>4000000</v>
      </c>
      <c r="M7" s="275">
        <v>1500000</v>
      </c>
      <c r="N7" s="8">
        <f t="shared" si="0"/>
        <v>0.375</v>
      </c>
      <c r="O7" s="275">
        <v>2000</v>
      </c>
      <c r="P7" s="8">
        <f t="shared" si="1"/>
        <v>750</v>
      </c>
      <c r="Q7" s="275">
        <v>10000</v>
      </c>
      <c r="R7" s="8">
        <f t="shared" si="2"/>
        <v>3750</v>
      </c>
      <c r="S7" s="8">
        <f t="shared" si="3"/>
        <v>3000</v>
      </c>
      <c r="T7" s="277">
        <f t="shared" si="4"/>
        <v>2E-3</v>
      </c>
      <c r="U7" s="278">
        <f t="shared" si="5"/>
        <v>0.24333333333333332</v>
      </c>
      <c r="V7" s="4">
        <f>Q7-O7-S7</f>
        <v>5000</v>
      </c>
    </row>
    <row r="8" spans="5:22" x14ac:dyDescent="0.3">
      <c r="E8" s="4">
        <v>920128</v>
      </c>
      <c r="F8" s="4" t="s">
        <v>11918</v>
      </c>
      <c r="G8" s="4">
        <v>200</v>
      </c>
      <c r="H8" s="4">
        <f>9.12*200</f>
        <v>1823.9999999999998</v>
      </c>
      <c r="I8" s="4">
        <v>8000</v>
      </c>
      <c r="K8" s="283" t="s">
        <v>11919</v>
      </c>
      <c r="L8" s="4">
        <v>4250844</v>
      </c>
      <c r="M8" s="4">
        <v>1660000</v>
      </c>
      <c r="N8" s="8">
        <f t="shared" si="0"/>
        <v>0.39051068446642595</v>
      </c>
      <c r="O8" s="4">
        <v>2232</v>
      </c>
      <c r="P8" s="8">
        <f t="shared" si="1"/>
        <v>871.61984772906271</v>
      </c>
      <c r="Q8" s="4">
        <f>200*61</f>
        <v>12200</v>
      </c>
      <c r="R8" s="8">
        <f t="shared" si="2"/>
        <v>4764.2303504903966</v>
      </c>
      <c r="S8" s="8">
        <f t="shared" si="3"/>
        <v>3892.6105027613339</v>
      </c>
      <c r="T8" s="277">
        <f t="shared" si="4"/>
        <v>2.3449460860008038E-3</v>
      </c>
      <c r="U8" s="278">
        <f t="shared" si="5"/>
        <v>0.28530177379676447</v>
      </c>
      <c r="V8" s="4">
        <f>Q8-O8-S8-(L8-M8)*0.0001*3</f>
        <v>5298.136297238666</v>
      </c>
    </row>
    <row r="9" spans="5:22" x14ac:dyDescent="0.3">
      <c r="E9" s="4">
        <v>920098</v>
      </c>
      <c r="F9" s="4" t="s">
        <v>11920</v>
      </c>
      <c r="G9" s="4">
        <v>100</v>
      </c>
      <c r="H9" s="4">
        <v>1400</v>
      </c>
      <c r="I9" s="4">
        <v>3000</v>
      </c>
      <c r="K9" s="287" t="s">
        <v>11921</v>
      </c>
      <c r="L9" s="4">
        <v>5423138</v>
      </c>
      <c r="M9" s="4">
        <v>2900000</v>
      </c>
      <c r="N9" s="8">
        <f t="shared" si="0"/>
        <v>0.53474575052303663</v>
      </c>
      <c r="O9" s="4">
        <f>9.17*300</f>
        <v>2751</v>
      </c>
      <c r="P9" s="8">
        <f t="shared" si="1"/>
        <v>1471.0855596888737</v>
      </c>
      <c r="Q9" s="4">
        <f>37.2*300</f>
        <v>11160</v>
      </c>
      <c r="R9" s="8">
        <f t="shared" si="2"/>
        <v>5967.7625758370887</v>
      </c>
      <c r="S9" s="8">
        <f t="shared" si="3"/>
        <v>4496.6770161482145</v>
      </c>
      <c r="T9" s="277">
        <f t="shared" si="4"/>
        <v>1.5505782814304191E-3</v>
      </c>
      <c r="U9" s="278">
        <f t="shared" si="5"/>
        <v>0.18865369090736764</v>
      </c>
      <c r="V9" s="4">
        <f>Q9-O9-S9-(L9-M9)*0.0001*3</f>
        <v>3155.3815838517853</v>
      </c>
    </row>
    <row r="10" spans="5:22" x14ac:dyDescent="0.3">
      <c r="E10" s="4">
        <v>920082</v>
      </c>
      <c r="F10" s="4" t="s">
        <v>11922</v>
      </c>
      <c r="G10" s="4">
        <v>300</v>
      </c>
      <c r="H10" s="4">
        <f>G10*3.51</f>
        <v>1053</v>
      </c>
      <c r="I10" s="4">
        <v>5000</v>
      </c>
      <c r="K10" s="289" t="s">
        <v>11923</v>
      </c>
      <c r="L10" s="4">
        <v>5061420</v>
      </c>
      <c r="M10" s="4">
        <v>2550000</v>
      </c>
      <c r="N10" s="8">
        <f t="shared" si="0"/>
        <v>0.50381118342283393</v>
      </c>
      <c r="O10" s="289">
        <f>7.21*200</f>
        <v>1442</v>
      </c>
      <c r="P10" s="8">
        <f t="shared" si="1"/>
        <v>726.49572649572656</v>
      </c>
      <c r="Q10" s="4">
        <f>36*200</f>
        <v>7200</v>
      </c>
      <c r="R10" s="8">
        <f t="shared" si="2"/>
        <v>3627.4405206444044</v>
      </c>
      <c r="S10" s="8">
        <f t="shared" si="3"/>
        <v>2900.9447941486778</v>
      </c>
      <c r="T10" s="277">
        <f t="shared" si="4"/>
        <v>1.1376254094700696E-3</v>
      </c>
      <c r="U10" s="278">
        <f t="shared" si="5"/>
        <v>0.13841109148552513</v>
      </c>
      <c r="V10" s="4">
        <f>Q10-O10-S10-(L10-M10)*0.0001*4</f>
        <v>1852.487205851322</v>
      </c>
    </row>
    <row r="11" spans="5:22" x14ac:dyDescent="0.3">
      <c r="E11" s="4">
        <v>920116</v>
      </c>
      <c r="F11" s="4" t="s">
        <v>11924</v>
      </c>
      <c r="G11" s="4">
        <v>200</v>
      </c>
      <c r="H11" s="4">
        <v>1384</v>
      </c>
      <c r="I11" s="4">
        <v>7000</v>
      </c>
      <c r="K11" s="292" t="s">
        <v>11925</v>
      </c>
      <c r="L11" s="4">
        <f>18.15*165300</f>
        <v>3000194.9999999995</v>
      </c>
      <c r="M11" s="4">
        <v>700000</v>
      </c>
      <c r="N11" s="8">
        <f t="shared" si="0"/>
        <v>0.23331816765243596</v>
      </c>
      <c r="O11" s="289">
        <f>18.15*100</f>
        <v>1814.9999999999998</v>
      </c>
      <c r="P11" s="8">
        <f t="shared" si="1"/>
        <v>423.4724742891712</v>
      </c>
      <c r="Q11" s="4">
        <f>3900</f>
        <v>3900</v>
      </c>
      <c r="R11" s="8">
        <f t="shared" si="2"/>
        <v>909.94085384450023</v>
      </c>
      <c r="S11" s="8">
        <f t="shared" si="3"/>
        <v>486.46837955532902</v>
      </c>
      <c r="T11" s="277">
        <f t="shared" si="4"/>
        <v>6.9495482793618425E-4</v>
      </c>
      <c r="U11" s="278">
        <f t="shared" si="5"/>
        <v>8.4552837398902417E-2</v>
      </c>
      <c r="V11" s="4">
        <f>Q11-O11-S11-(L11-M11)*0.0001*4</f>
        <v>678.45362044467117</v>
      </c>
    </row>
    <row r="12" spans="5:22" x14ac:dyDescent="0.3">
      <c r="E12" s="4">
        <v>920108</v>
      </c>
      <c r="F12" s="4" t="s">
        <v>11926</v>
      </c>
      <c r="G12" s="4">
        <v>200</v>
      </c>
      <c r="H12" s="4">
        <v>1114</v>
      </c>
      <c r="I12" s="4">
        <f>3600-270*4</f>
        <v>2520</v>
      </c>
      <c r="J12" s="301" t="s">
        <v>11927</v>
      </c>
      <c r="K12" s="294" t="s">
        <v>11928</v>
      </c>
      <c r="L12" s="4">
        <v>6179250</v>
      </c>
      <c r="M12" s="4">
        <f>3960000-M13</f>
        <v>1092900</v>
      </c>
      <c r="N12" s="8">
        <f t="shared" si="0"/>
        <v>0.17686612452967593</v>
      </c>
      <c r="O12" s="4">
        <f>8.25*100</f>
        <v>825</v>
      </c>
      <c r="P12" s="8">
        <f t="shared" si="1"/>
        <v>145.91455273698264</v>
      </c>
      <c r="Q12" s="4">
        <v>3658</v>
      </c>
      <c r="R12" s="8">
        <f t="shared" si="2"/>
        <v>646.97628352955451</v>
      </c>
      <c r="S12" s="8">
        <f t="shared" si="3"/>
        <v>501.06173079257189</v>
      </c>
      <c r="T12" s="277">
        <f t="shared" si="4"/>
        <v>4.5846987903062669E-4</v>
      </c>
      <c r="U12" s="278">
        <f t="shared" si="5"/>
        <v>5.5780501948726254E-2</v>
      </c>
      <c r="V12" s="4">
        <f>Q12-O12-S12-(L12-M12)*0.0001*4</f>
        <v>297.39826920742803</v>
      </c>
    </row>
    <row r="13" spans="5:22" x14ac:dyDescent="0.3">
      <c r="E13" s="4">
        <v>920029</v>
      </c>
      <c r="F13" s="4" t="s">
        <v>11929</v>
      </c>
      <c r="G13" s="4">
        <v>200</v>
      </c>
      <c r="H13" s="4">
        <f>G13*30+500</f>
        <v>6500</v>
      </c>
      <c r="I13" s="4">
        <f>73.5*G13-H13</f>
        <v>8200</v>
      </c>
      <c r="J13" s="301" t="s">
        <v>11930</v>
      </c>
      <c r="K13" s="294" t="s">
        <v>11928</v>
      </c>
      <c r="L13" s="4">
        <v>6179250</v>
      </c>
      <c r="M13" s="4">
        <f>2867100</f>
        <v>2867100</v>
      </c>
      <c r="N13" s="8">
        <f t="shared" si="0"/>
        <v>0.46398834810049766</v>
      </c>
      <c r="O13" s="4">
        <f>8.25*100</f>
        <v>825</v>
      </c>
      <c r="P13" s="8">
        <f t="shared" si="1"/>
        <v>382.79038718291059</v>
      </c>
      <c r="Q13" s="4">
        <v>3658</v>
      </c>
      <c r="R13" s="8">
        <f t="shared" si="2"/>
        <v>1697.2693773516205</v>
      </c>
      <c r="S13" s="8">
        <f t="shared" si="3"/>
        <v>1314.47899016871</v>
      </c>
      <c r="T13" s="277">
        <f t="shared" si="4"/>
        <v>4.5846987903062669E-4</v>
      </c>
      <c r="U13" s="278">
        <f t="shared" si="5"/>
        <v>5.5780501948726254E-2</v>
      </c>
      <c r="V13" s="4">
        <f>Q13-O13-S13-(L13-M13)*0.0001*4</f>
        <v>193.6610098312899</v>
      </c>
    </row>
    <row r="14" spans="5:22" x14ac:dyDescent="0.3">
      <c r="E14" s="4">
        <v>920068</v>
      </c>
      <c r="F14" s="14" t="s">
        <v>11931</v>
      </c>
      <c r="G14" s="4">
        <v>300</v>
      </c>
      <c r="H14" s="4">
        <f>3.94*G14</f>
        <v>1182</v>
      </c>
      <c r="I14" s="4">
        <f>22*G14-H14-600</f>
        <v>4818</v>
      </c>
      <c r="J14" s="298"/>
      <c r="K14" s="294" t="s">
        <v>11928</v>
      </c>
      <c r="L14" s="4">
        <v>6179250</v>
      </c>
      <c r="M14" s="4">
        <v>3960000</v>
      </c>
      <c r="N14" s="8">
        <f t="shared" si="0"/>
        <v>0.64085447263017359</v>
      </c>
      <c r="O14" s="4">
        <f>8.25*100</f>
        <v>825</v>
      </c>
      <c r="P14" s="8">
        <f t="shared" si="1"/>
        <v>528.70493991989326</v>
      </c>
      <c r="Q14" s="4">
        <v>3658</v>
      </c>
      <c r="R14" s="8">
        <f t="shared" si="2"/>
        <v>2344.2456608811749</v>
      </c>
      <c r="S14" s="8">
        <f t="shared" si="3"/>
        <v>1815.5407209612817</v>
      </c>
      <c r="T14" s="277">
        <f t="shared" si="4"/>
        <v>4.5846987903062669E-4</v>
      </c>
      <c r="U14" s="278">
        <f t="shared" si="5"/>
        <v>5.5780501948726254E-2</v>
      </c>
      <c r="V14" s="4">
        <f>Q14-O14-S14-(L14-M14)*0.0001*4</f>
        <v>129.7592790387182</v>
      </c>
    </row>
    <row r="15" spans="5:22" x14ac:dyDescent="0.3">
      <c r="E15" s="4">
        <v>920027</v>
      </c>
      <c r="F15" s="274" t="s">
        <v>11915</v>
      </c>
      <c r="G15" s="4">
        <v>200</v>
      </c>
      <c r="H15" s="4">
        <f>G15*8.81</f>
        <v>1762</v>
      </c>
      <c r="I15" s="4">
        <v>3300</v>
      </c>
      <c r="J15" s="298"/>
      <c r="K15" s="298"/>
      <c r="N15" s="8"/>
      <c r="P15" s="8"/>
      <c r="R15" s="8"/>
      <c r="S15" s="8"/>
      <c r="T15" s="277"/>
      <c r="U15" s="278"/>
    </row>
    <row r="16" spans="5:22" x14ac:dyDescent="0.3">
      <c r="E16" s="4">
        <v>920037</v>
      </c>
      <c r="F16" s="274" t="s">
        <v>11917</v>
      </c>
      <c r="G16" s="4">
        <v>200</v>
      </c>
      <c r="H16" s="4">
        <f>G16*10</f>
        <v>2000</v>
      </c>
      <c r="I16" s="4">
        <v>4500</v>
      </c>
      <c r="J16" s="307" t="s">
        <v>11927</v>
      </c>
      <c r="K16" s="298" t="s">
        <v>11932</v>
      </c>
      <c r="L16" s="4">
        <f>1144500*5.33</f>
        <v>6100185</v>
      </c>
      <c r="M16" s="4">
        <f>3960000-M17</f>
        <v>1092900</v>
      </c>
      <c r="N16" s="8">
        <f>M16/L16</f>
        <v>0.17915850093070948</v>
      </c>
      <c r="O16" s="4">
        <f>5.33*300</f>
        <v>1599</v>
      </c>
      <c r="P16" s="8">
        <f>O16*N16</f>
        <v>286.47444298820449</v>
      </c>
      <c r="Q16" s="307">
        <f>21*300</f>
        <v>6300</v>
      </c>
      <c r="R16" s="8">
        <f>Q16*N16</f>
        <v>1128.6985558634697</v>
      </c>
      <c r="S16" s="8">
        <f>R16-P16</f>
        <v>842.22411287526518</v>
      </c>
      <c r="T16" s="277">
        <f>(Q16-O16)/L16</f>
        <v>7.7063236606758644E-4</v>
      </c>
      <c r="U16" s="278">
        <f>T16/3*365</f>
        <v>9.3760271204889681E-2</v>
      </c>
      <c r="V16" s="4">
        <f>Q16-O16-S16-(L16-M16)*0.0001*4</f>
        <v>1855.8618871247347</v>
      </c>
    </row>
    <row r="17" spans="5:22" x14ac:dyDescent="0.3">
      <c r="E17" s="4">
        <v>920005</v>
      </c>
      <c r="F17" s="283" t="s">
        <v>11919</v>
      </c>
      <c r="G17" s="4">
        <v>200</v>
      </c>
      <c r="H17" s="4">
        <f>G17*11.16</f>
        <v>2232</v>
      </c>
      <c r="I17" s="4">
        <v>5000</v>
      </c>
      <c r="J17" s="307" t="s">
        <v>11930</v>
      </c>
      <c r="K17" s="298" t="s">
        <v>11932</v>
      </c>
      <c r="L17" s="4">
        <f>1144500*5.33</f>
        <v>6100185</v>
      </c>
      <c r="M17" s="4">
        <f>2867100</f>
        <v>2867100</v>
      </c>
      <c r="N17" s="8">
        <f>M17/L17</f>
        <v>0.4700021392793825</v>
      </c>
      <c r="O17" s="4">
        <f>5.33*300</f>
        <v>1599</v>
      </c>
      <c r="P17" s="8">
        <f>O17*N17</f>
        <v>751.5334207077326</v>
      </c>
      <c r="Q17" s="4">
        <f>Q16</f>
        <v>6300</v>
      </c>
      <c r="R17" s="8">
        <f>Q17*N17</f>
        <v>2961.0134774601097</v>
      </c>
      <c r="S17" s="8">
        <f>R17-P17</f>
        <v>2209.4800567523771</v>
      </c>
      <c r="T17" s="277">
        <f>(Q17-O17)/L17</f>
        <v>7.7063236606758644E-4</v>
      </c>
      <c r="U17" s="278">
        <f>T17/3*365</f>
        <v>9.3760271204889681E-2</v>
      </c>
      <c r="V17" s="4">
        <f>Q17-O17-S17-(L17-M17)*0.0001*4</f>
        <v>1198.2859432476228</v>
      </c>
    </row>
    <row r="18" spans="5:22" x14ac:dyDescent="0.3">
      <c r="E18" s="4">
        <v>920018</v>
      </c>
      <c r="F18" s="290" t="s">
        <v>11921</v>
      </c>
      <c r="G18" s="4">
        <v>300</v>
      </c>
      <c r="H18" s="4">
        <f>9.18*G18</f>
        <v>2754</v>
      </c>
      <c r="I18" s="4">
        <v>3155</v>
      </c>
      <c r="K18" s="298" t="s">
        <v>11932</v>
      </c>
      <c r="L18" s="4">
        <f>1144500*5.33</f>
        <v>6100185</v>
      </c>
      <c r="M18" s="4">
        <v>3960000</v>
      </c>
      <c r="N18" s="8">
        <f>M18/L18</f>
        <v>0.64916064021009201</v>
      </c>
      <c r="O18" s="4">
        <f>5.33*300</f>
        <v>1599</v>
      </c>
      <c r="P18" s="8">
        <f>O18*N18</f>
        <v>1038.0078636959372</v>
      </c>
      <c r="Q18" s="4">
        <f>Q17</f>
        <v>6300</v>
      </c>
      <c r="R18" s="8">
        <f>Q18*N18</f>
        <v>4089.7120333235798</v>
      </c>
      <c r="S18" s="8">
        <f>R18-P18</f>
        <v>3051.7041696276428</v>
      </c>
      <c r="T18" s="277">
        <f>(Q18-O18)/L18</f>
        <v>7.7063236606758644E-4</v>
      </c>
      <c r="U18" s="278">
        <f>T18/3*365</f>
        <v>9.3760271204889681E-2</v>
      </c>
      <c r="V18" s="4">
        <f>Q18-O18-S18-(L18-M18)*0.0001*4</f>
        <v>793.22183037235709</v>
      </c>
    </row>
    <row r="19" spans="5:22" x14ac:dyDescent="0.3">
      <c r="F19" s="291" t="s">
        <v>11923</v>
      </c>
      <c r="G19" s="4">
        <v>200</v>
      </c>
      <c r="H19" s="4">
        <f>7.21*G19</f>
        <v>1442</v>
      </c>
      <c r="I19" s="4">
        <v>1852</v>
      </c>
    </row>
    <row r="20" spans="5:22" x14ac:dyDescent="0.3">
      <c r="F20" s="292" t="s">
        <v>11925</v>
      </c>
      <c r="G20" s="4">
        <v>100</v>
      </c>
      <c r="H20" s="289">
        <f>18.15*100</f>
        <v>1814.9999999999998</v>
      </c>
      <c r="I20" s="4">
        <v>678</v>
      </c>
      <c r="K20" s="301"/>
      <c r="N20" s="8"/>
      <c r="P20" s="8"/>
      <c r="R20" s="8"/>
      <c r="S20" s="8"/>
      <c r="T20" s="277"/>
      <c r="U20" s="278"/>
    </row>
    <row r="21" spans="5:22" x14ac:dyDescent="0.3">
      <c r="F21" s="301" t="s">
        <v>11928</v>
      </c>
      <c r="G21" s="4">
        <v>100</v>
      </c>
      <c r="H21" s="4">
        <f>8.25*100</f>
        <v>825</v>
      </c>
      <c r="I21" s="4">
        <v>200</v>
      </c>
      <c r="K21" s="301"/>
      <c r="N21" s="8"/>
      <c r="P21" s="8"/>
      <c r="R21" s="8"/>
      <c r="S21" s="8"/>
      <c r="T21" s="277"/>
      <c r="U21" s="278"/>
    </row>
    <row r="22" spans="5:22" x14ac:dyDescent="0.3">
      <c r="F22" s="307" t="s">
        <v>11932</v>
      </c>
      <c r="G22" s="4">
        <v>300</v>
      </c>
      <c r="H22" s="4">
        <v>1599</v>
      </c>
      <c r="I22" s="4">
        <v>800</v>
      </c>
      <c r="K22" s="301"/>
      <c r="N22" s="8"/>
      <c r="P22" s="8"/>
      <c r="R22" s="8"/>
      <c r="S22" s="8"/>
      <c r="T22" s="277"/>
      <c r="U22" s="278"/>
    </row>
    <row r="23" spans="5:22" x14ac:dyDescent="0.3">
      <c r="F23" s="301" t="s">
        <v>11933</v>
      </c>
      <c r="G23" s="4">
        <v>100</v>
      </c>
      <c r="H23" s="4">
        <v>750</v>
      </c>
      <c r="I23" s="4">
        <v>500</v>
      </c>
      <c r="K23" s="301" t="s">
        <v>11933</v>
      </c>
      <c r="L23" s="4">
        <v>2200000</v>
      </c>
      <c r="M23" s="4">
        <v>0</v>
      </c>
      <c r="N23" s="8">
        <f>M23/L23</f>
        <v>0</v>
      </c>
      <c r="O23" s="4">
        <f>7.5*100</f>
        <v>750</v>
      </c>
      <c r="P23" s="8">
        <f>O23*N23</f>
        <v>0</v>
      </c>
      <c r="Q23" s="4">
        <f>21*100</f>
        <v>2100</v>
      </c>
      <c r="R23" s="8">
        <f>Q23*N23</f>
        <v>0</v>
      </c>
      <c r="S23" s="8">
        <f>R23-P23</f>
        <v>0</v>
      </c>
      <c r="T23" s="277">
        <f>(Q23-O23)/L23</f>
        <v>6.1363636363636362E-4</v>
      </c>
      <c r="U23" s="278">
        <f>T23/3*365</f>
        <v>7.4659090909090911E-2</v>
      </c>
      <c r="V23" s="4">
        <f>Q23-O23-S23-(L23-M23)*0.0001*4</f>
        <v>470</v>
      </c>
    </row>
    <row r="24" spans="5:22" x14ac:dyDescent="0.3">
      <c r="F24" s="309" t="s">
        <v>11934</v>
      </c>
      <c r="G24" s="4">
        <v>500</v>
      </c>
      <c r="H24" s="4">
        <v>13.75</v>
      </c>
      <c r="I24" s="4">
        <v>9600</v>
      </c>
    </row>
    <row r="25" spans="5:22" x14ac:dyDescent="0.3">
      <c r="F25" s="301"/>
    </row>
  </sheetData>
  <phoneticPr fontId="16" type="noConversion"/>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16"/>
  <sheetViews>
    <sheetView workbookViewId="0">
      <selection activeCell="D11" sqref="D11"/>
    </sheetView>
  </sheetViews>
  <sheetFormatPr defaultRowHeight="14" x14ac:dyDescent="0.3"/>
  <sheetData>
    <row r="1" spans="1:14" x14ac:dyDescent="0.3">
      <c r="A1" t="s">
        <v>11935</v>
      </c>
    </row>
    <row r="2" spans="1:14" ht="28" customHeight="1" x14ac:dyDescent="0.3">
      <c r="A2" s="8"/>
      <c r="B2" s="8"/>
      <c r="C2" s="8"/>
      <c r="D2" s="8" t="s">
        <v>11936</v>
      </c>
      <c r="E2" s="8" t="s">
        <v>11937</v>
      </c>
      <c r="F2" s="8" t="s">
        <v>11938</v>
      </c>
      <c r="G2" s="8" t="s">
        <v>11939</v>
      </c>
      <c r="H2" s="8" t="s">
        <v>11940</v>
      </c>
      <c r="I2" s="8" t="s">
        <v>11941</v>
      </c>
      <c r="J2" s="8" t="s">
        <v>11942</v>
      </c>
      <c r="K2" s="8" t="s">
        <v>11943</v>
      </c>
    </row>
    <row r="3" spans="1:14" x14ac:dyDescent="0.3">
      <c r="B3" t="s">
        <v>11944</v>
      </c>
      <c r="C3" t="s">
        <v>11945</v>
      </c>
      <c r="D3">
        <v>750</v>
      </c>
      <c r="E3">
        <v>257</v>
      </c>
      <c r="I3">
        <v>1107</v>
      </c>
      <c r="J3">
        <v>971</v>
      </c>
      <c r="N3" t="s">
        <v>11946</v>
      </c>
    </row>
    <row r="4" spans="1:14" x14ac:dyDescent="0.3">
      <c r="C4" t="s">
        <v>11947</v>
      </c>
      <c r="D4">
        <v>661</v>
      </c>
      <c r="E4">
        <v>257</v>
      </c>
      <c r="I4">
        <v>1055</v>
      </c>
      <c r="J4">
        <v>967</v>
      </c>
      <c r="N4" t="s">
        <v>11948</v>
      </c>
    </row>
    <row r="5" spans="1:14" x14ac:dyDescent="0.3">
      <c r="C5" t="s">
        <v>11949</v>
      </c>
      <c r="D5">
        <v>594</v>
      </c>
      <c r="E5">
        <v>271</v>
      </c>
      <c r="I5">
        <v>908</v>
      </c>
      <c r="J5">
        <v>441</v>
      </c>
      <c r="N5" t="s">
        <v>11950</v>
      </c>
    </row>
    <row r="6" spans="1:14" x14ac:dyDescent="0.3">
      <c r="C6" t="s">
        <v>11951</v>
      </c>
      <c r="D6">
        <v>527</v>
      </c>
      <c r="E6">
        <v>277</v>
      </c>
      <c r="I6">
        <v>873</v>
      </c>
      <c r="J6">
        <v>593</v>
      </c>
    </row>
    <row r="7" spans="1:14" x14ac:dyDescent="0.3">
      <c r="C7" t="s">
        <v>11952</v>
      </c>
      <c r="D7">
        <v>457</v>
      </c>
      <c r="E7">
        <v>230</v>
      </c>
      <c r="I7">
        <v>882</v>
      </c>
      <c r="J7">
        <v>947</v>
      </c>
    </row>
    <row r="8" spans="1:14" x14ac:dyDescent="0.3">
      <c r="C8" t="s">
        <v>11953</v>
      </c>
    </row>
    <row r="9" spans="1:14" x14ac:dyDescent="0.3">
      <c r="B9" t="s">
        <v>11954</v>
      </c>
      <c r="C9" t="s">
        <v>11955</v>
      </c>
      <c r="E9">
        <v>280</v>
      </c>
      <c r="F9">
        <v>180</v>
      </c>
      <c r="G9">
        <v>60</v>
      </c>
      <c r="H9">
        <v>42</v>
      </c>
    </row>
    <row r="10" spans="1:14" x14ac:dyDescent="0.3">
      <c r="C10" t="s">
        <v>11949</v>
      </c>
      <c r="E10">
        <v>280</v>
      </c>
    </row>
    <row r="11" spans="1:14" x14ac:dyDescent="0.3">
      <c r="C11" t="s">
        <v>11951</v>
      </c>
      <c r="D11">
        <v>420</v>
      </c>
      <c r="E11">
        <v>280</v>
      </c>
    </row>
    <row r="12" spans="1:14" x14ac:dyDescent="0.3">
      <c r="B12" t="s">
        <v>11956</v>
      </c>
    </row>
    <row r="13" spans="1:14" x14ac:dyDescent="0.3">
      <c r="C13" t="s">
        <v>11957</v>
      </c>
      <c r="D13">
        <v>526</v>
      </c>
      <c r="E13">
        <v>293</v>
      </c>
      <c r="F13">
        <v>179</v>
      </c>
      <c r="G13">
        <v>30</v>
      </c>
    </row>
    <row r="14" spans="1:14" x14ac:dyDescent="0.3">
      <c r="C14" t="s">
        <v>11949</v>
      </c>
      <c r="D14">
        <v>484</v>
      </c>
      <c r="F14">
        <v>195.8</v>
      </c>
      <c r="K14">
        <v>731</v>
      </c>
    </row>
    <row r="15" spans="1:14" x14ac:dyDescent="0.3">
      <c r="C15" t="s">
        <v>11951</v>
      </c>
      <c r="F15">
        <v>173.2</v>
      </c>
    </row>
    <row r="16" spans="1:14" x14ac:dyDescent="0.3">
      <c r="C16" t="s">
        <v>11952</v>
      </c>
      <c r="D16">
        <v>470</v>
      </c>
      <c r="F16">
        <v>173.2</v>
      </c>
    </row>
  </sheetData>
  <phoneticPr fontId="16" type="noConversion"/>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3:U20"/>
  <sheetViews>
    <sheetView workbookViewId="0">
      <selection activeCell="O16" sqref="O16"/>
    </sheetView>
  </sheetViews>
  <sheetFormatPr defaultRowHeight="14" x14ac:dyDescent="0.3"/>
  <sheetData>
    <row r="3" spans="1:21" x14ac:dyDescent="0.3">
      <c r="L3" t="s">
        <v>422</v>
      </c>
      <c r="M3" t="s">
        <v>11958</v>
      </c>
      <c r="N3" t="s">
        <v>11959</v>
      </c>
      <c r="O3" t="s">
        <v>1532</v>
      </c>
      <c r="P3" t="s">
        <v>11960</v>
      </c>
      <c r="Q3" t="s">
        <v>11961</v>
      </c>
      <c r="R3" t="s">
        <v>11962</v>
      </c>
      <c r="S3" t="s">
        <v>1971</v>
      </c>
    </row>
    <row r="4" spans="1:21" x14ac:dyDescent="0.3">
      <c r="C4" t="s">
        <v>11963</v>
      </c>
      <c r="D4" t="s">
        <v>11964</v>
      </c>
      <c r="E4" t="s">
        <v>11965</v>
      </c>
      <c r="F4" t="s">
        <v>11966</v>
      </c>
      <c r="G4" t="s">
        <v>11967</v>
      </c>
      <c r="L4" t="s">
        <v>11968</v>
      </c>
      <c r="M4" t="s">
        <v>11969</v>
      </c>
      <c r="N4">
        <v>4.4000000000000004</v>
      </c>
      <c r="O4">
        <v>7.1</v>
      </c>
      <c r="P4">
        <v>4.7</v>
      </c>
      <c r="Q4">
        <v>0.6</v>
      </c>
      <c r="R4">
        <v>14.4</v>
      </c>
      <c r="S4">
        <f>SUM(N4:R4)</f>
        <v>31.200000000000003</v>
      </c>
    </row>
    <row r="5" spans="1:21" x14ac:dyDescent="0.3">
      <c r="A5" t="s">
        <v>11970</v>
      </c>
      <c r="B5" t="s">
        <v>11958</v>
      </c>
      <c r="E5">
        <f>E6/0.96</f>
        <v>0.44687500000000002</v>
      </c>
      <c r="F5">
        <f>F6/0.86</f>
        <v>930.23255813953494</v>
      </c>
      <c r="G5">
        <v>3.6</v>
      </c>
      <c r="L5" t="s">
        <v>11968</v>
      </c>
      <c r="M5" t="s">
        <v>11971</v>
      </c>
      <c r="N5" s="279">
        <f>N4/$S$4</f>
        <v>0.14102564102564102</v>
      </c>
      <c r="O5" s="279">
        <f>O4/$S$4</f>
        <v>0.22756410256410253</v>
      </c>
      <c r="P5" s="279">
        <f>P4/$S$4</f>
        <v>0.15064102564102563</v>
      </c>
      <c r="Q5" s="279">
        <f>Q4/$S$4</f>
        <v>1.9230769230769228E-2</v>
      </c>
      <c r="R5" s="279">
        <f>R4/$S$4</f>
        <v>0.46153846153846151</v>
      </c>
    </row>
    <row r="6" spans="1:21" x14ac:dyDescent="0.3">
      <c r="B6" t="s">
        <v>11972</v>
      </c>
      <c r="C6">
        <v>1317</v>
      </c>
      <c r="D6">
        <v>273.8</v>
      </c>
      <c r="E6">
        <v>0.42899999999999999</v>
      </c>
      <c r="F6">
        <v>800</v>
      </c>
      <c r="G6">
        <v>5</v>
      </c>
      <c r="M6" t="s">
        <v>11973</v>
      </c>
      <c r="N6">
        <v>0.05</v>
      </c>
      <c r="O6">
        <v>2.1160000000000001</v>
      </c>
      <c r="P6">
        <v>0.25840000000000002</v>
      </c>
      <c r="Q6">
        <v>0</v>
      </c>
      <c r="R6">
        <v>0.61750000000000005</v>
      </c>
      <c r="S6">
        <f>SUM(N6:R6)</f>
        <v>3.0419</v>
      </c>
    </row>
    <row r="7" spans="1:21" x14ac:dyDescent="0.3">
      <c r="M7" t="s">
        <v>11964</v>
      </c>
      <c r="N7">
        <v>5525</v>
      </c>
      <c r="O7">
        <v>3914</v>
      </c>
      <c r="P7">
        <v>5088</v>
      </c>
      <c r="Q7">
        <v>2300</v>
      </c>
      <c r="R7">
        <v>30052</v>
      </c>
      <c r="S7">
        <f>SUM(N7:R7)</f>
        <v>46879</v>
      </c>
    </row>
    <row r="8" spans="1:21" x14ac:dyDescent="0.3">
      <c r="M8" t="s">
        <v>11974</v>
      </c>
      <c r="N8" s="279">
        <f>N7/$S$7</f>
        <v>0.11785660956931675</v>
      </c>
      <c r="O8" s="279">
        <f>O7/$S$7</f>
        <v>8.3491542055077972E-2</v>
      </c>
      <c r="P8" s="279">
        <f>P7/$S$7</f>
        <v>0.10853473836899251</v>
      </c>
      <c r="Q8" s="279">
        <f>Q7/$S$7</f>
        <v>4.9062480001706522E-2</v>
      </c>
      <c r="R8" s="279">
        <f>R7/$S$7</f>
        <v>0.64105463000490626</v>
      </c>
    </row>
    <row r="9" spans="1:21" x14ac:dyDescent="0.3">
      <c r="M9" t="s">
        <v>11955</v>
      </c>
      <c r="N9" t="s">
        <v>11959</v>
      </c>
      <c r="O9" t="s">
        <v>1532</v>
      </c>
      <c r="P9" t="s">
        <v>11960</v>
      </c>
      <c r="Q9" t="s">
        <v>11961</v>
      </c>
      <c r="R9" t="s">
        <v>11962</v>
      </c>
      <c r="S9" t="s">
        <v>1971</v>
      </c>
    </row>
    <row r="10" spans="1:21" x14ac:dyDescent="0.3">
      <c r="M10" t="s">
        <v>11969</v>
      </c>
      <c r="N10">
        <v>4.4000000000000004</v>
      </c>
      <c r="O10">
        <v>8.8000000000000007</v>
      </c>
      <c r="P10">
        <v>5.2</v>
      </c>
      <c r="Q10">
        <v>0.6</v>
      </c>
      <c r="R10">
        <v>14.4</v>
      </c>
      <c r="S10">
        <f>SUM(N10:R10)</f>
        <v>33.400000000000006</v>
      </c>
    </row>
    <row r="11" spans="1:21" x14ac:dyDescent="0.3">
      <c r="M11" t="s">
        <v>11971</v>
      </c>
      <c r="N11" s="279">
        <f>N10/$S$10</f>
        <v>0.13173652694610777</v>
      </c>
      <c r="O11" s="279">
        <f>O10/$S$10</f>
        <v>0.26347305389221554</v>
      </c>
      <c r="P11" s="279">
        <f>P10/$S$10</f>
        <v>0.155688622754491</v>
      </c>
      <c r="Q11" s="279">
        <f>Q10/$S$10</f>
        <v>1.7964071856287421E-2</v>
      </c>
      <c r="R11" s="279">
        <f>R10/$S$10</f>
        <v>0.43113772455089816</v>
      </c>
    </row>
    <row r="12" spans="1:21" x14ac:dyDescent="0.3">
      <c r="A12" t="s">
        <v>422</v>
      </c>
      <c r="B12" t="s">
        <v>11975</v>
      </c>
      <c r="C12" t="s">
        <v>11976</v>
      </c>
      <c r="D12" t="s">
        <v>11977</v>
      </c>
      <c r="E12" t="s">
        <v>11964</v>
      </c>
      <c r="F12" t="s">
        <v>11978</v>
      </c>
      <c r="G12" t="s">
        <v>11979</v>
      </c>
      <c r="H12" t="s">
        <v>11980</v>
      </c>
      <c r="I12" t="s">
        <v>11981</v>
      </c>
      <c r="J12" t="s">
        <v>11982</v>
      </c>
      <c r="M12" t="s">
        <v>11973</v>
      </c>
      <c r="N12">
        <v>0.13780000000000001</v>
      </c>
      <c r="O12">
        <v>2.78</v>
      </c>
      <c r="P12">
        <v>0.8</v>
      </c>
      <c r="Q12">
        <v>3.8399999999999997E-2</v>
      </c>
      <c r="R12">
        <v>0.5</v>
      </c>
      <c r="S12">
        <f>SUM(N12:R12)</f>
        <v>4.2561999999999998</v>
      </c>
    </row>
    <row r="13" spans="1:21" x14ac:dyDescent="0.3">
      <c r="A13" t="s">
        <v>11972</v>
      </c>
      <c r="B13">
        <v>0.68</v>
      </c>
      <c r="D13">
        <v>4.8418000000000001</v>
      </c>
      <c r="E13">
        <v>4.5370999999999997</v>
      </c>
      <c r="F13">
        <v>24</v>
      </c>
      <c r="G13">
        <v>2.2000000000000002</v>
      </c>
      <c r="H13">
        <v>23.9</v>
      </c>
      <c r="I13">
        <v>5.15</v>
      </c>
      <c r="J13">
        <v>8.15</v>
      </c>
      <c r="M13" t="s">
        <v>11964</v>
      </c>
      <c r="N13">
        <v>14239</v>
      </c>
      <c r="O13">
        <v>18300</v>
      </c>
      <c r="P13">
        <v>9360</v>
      </c>
      <c r="Q13">
        <v>4447</v>
      </c>
      <c r="R13">
        <v>63700</v>
      </c>
      <c r="S13">
        <f>SUM(N13:R13)</f>
        <v>110046</v>
      </c>
    </row>
    <row r="14" spans="1:21" x14ac:dyDescent="0.3">
      <c r="A14" t="s">
        <v>11983</v>
      </c>
      <c r="B14" s="279"/>
      <c r="C14" s="279"/>
      <c r="D14" s="279">
        <v>3.6999999999999998E-2</v>
      </c>
      <c r="E14" s="279">
        <v>8.0000000000000002E-3</v>
      </c>
      <c r="F14" s="279">
        <v>5.3999999999999999E-2</v>
      </c>
      <c r="G14" s="279">
        <v>-0.111</v>
      </c>
      <c r="H14" s="279">
        <v>4.0000000000000001E-3</v>
      </c>
      <c r="I14" s="279">
        <v>-0.03</v>
      </c>
      <c r="J14" s="279">
        <v>-4.2999999999999997E-2</v>
      </c>
      <c r="K14" s="279"/>
      <c r="M14" t="s">
        <v>11974</v>
      </c>
      <c r="N14" s="279">
        <f>N13/$S$13</f>
        <v>0.12939134543736255</v>
      </c>
      <c r="O14" s="279">
        <f>O13/$S$13</f>
        <v>0.16629409519655416</v>
      </c>
      <c r="P14" s="279">
        <f>P13/$S$13</f>
        <v>8.5055340493975243E-2</v>
      </c>
      <c r="Q14" s="279">
        <f>Q13/$S$13</f>
        <v>4.0410373843665373E-2</v>
      </c>
      <c r="R14" s="279">
        <f>R13/$S$13</f>
        <v>0.57884884502844269</v>
      </c>
    </row>
    <row r="15" spans="1:21" x14ac:dyDescent="0.3">
      <c r="A15" t="s">
        <v>11984</v>
      </c>
      <c r="M15" t="s">
        <v>11972</v>
      </c>
      <c r="N15" t="s">
        <v>11959</v>
      </c>
      <c r="O15" t="s">
        <v>1532</v>
      </c>
      <c r="P15" t="s">
        <v>11960</v>
      </c>
      <c r="Q15" t="s">
        <v>11961</v>
      </c>
      <c r="R15" t="s">
        <v>11962</v>
      </c>
      <c r="S15" t="s">
        <v>1971</v>
      </c>
      <c r="U15" t="s">
        <v>11985</v>
      </c>
    </row>
    <row r="16" spans="1:21" x14ac:dyDescent="0.3">
      <c r="A16" t="s">
        <v>11983</v>
      </c>
      <c r="M16" t="s">
        <v>11969</v>
      </c>
      <c r="N16">
        <v>4.4000000000000004</v>
      </c>
      <c r="O16">
        <v>11</v>
      </c>
      <c r="P16">
        <v>5.73</v>
      </c>
      <c r="Q16">
        <v>0.6</v>
      </c>
      <c r="R16">
        <v>14.7</v>
      </c>
      <c r="S16">
        <f>SUM(N16:R16)</f>
        <v>36.430000000000007</v>
      </c>
    </row>
    <row r="17" spans="13:19" x14ac:dyDescent="0.3">
      <c r="M17" t="s">
        <v>11971</v>
      </c>
      <c r="N17" s="279">
        <f>N16/$S$16</f>
        <v>0.12077957727147953</v>
      </c>
      <c r="O17" s="279">
        <f>O16/$S$16</f>
        <v>0.3019489431786988</v>
      </c>
      <c r="P17" s="279">
        <f>P16/$S$16</f>
        <v>0.15728794949217675</v>
      </c>
      <c r="Q17" s="279">
        <f>Q16/$S$16</f>
        <v>1.6469942355201755E-2</v>
      </c>
      <c r="R17" s="279">
        <f>R16/$S$16</f>
        <v>0.40351358770244294</v>
      </c>
    </row>
    <row r="18" spans="13:19" x14ac:dyDescent="0.3">
      <c r="M18" t="s">
        <v>11973</v>
      </c>
      <c r="N18">
        <v>3.9300000000000002E-2</v>
      </c>
      <c r="O18">
        <v>2.12</v>
      </c>
      <c r="P18">
        <v>0.51390000000000002</v>
      </c>
      <c r="Q18">
        <v>0</v>
      </c>
      <c r="R18">
        <v>0.3</v>
      </c>
      <c r="S18">
        <f>SUM(N18:R18)</f>
        <v>2.9731999999999998</v>
      </c>
    </row>
    <row r="19" spans="13:19" x14ac:dyDescent="0.3">
      <c r="M19" t="s">
        <v>11964</v>
      </c>
      <c r="N19">
        <v>5398</v>
      </c>
      <c r="O19">
        <v>5591</v>
      </c>
      <c r="P19">
        <v>5880</v>
      </c>
      <c r="Q19">
        <v>2300</v>
      </c>
      <c r="R19">
        <v>29400</v>
      </c>
      <c r="S19">
        <f>SUM(N19:R19)</f>
        <v>48569</v>
      </c>
    </row>
    <row r="20" spans="13:19" x14ac:dyDescent="0.3">
      <c r="M20" t="s">
        <v>11974</v>
      </c>
      <c r="N20" s="279">
        <f>N19/$S$19</f>
        <v>0.11114085116020507</v>
      </c>
      <c r="O20" s="279">
        <f>O19/$S$19</f>
        <v>0.11511457925837468</v>
      </c>
      <c r="P20" s="279">
        <f>P19/$S$19</f>
        <v>0.12106487677325042</v>
      </c>
      <c r="Q20" s="279">
        <f>Q19/$S$19</f>
        <v>4.7355308941917681E-2</v>
      </c>
      <c r="R20" s="279">
        <f>R19/$S$19</f>
        <v>0.60532438386625209</v>
      </c>
    </row>
  </sheetData>
  <phoneticPr fontId="16" type="noConversion"/>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46"/>
  <sheetViews>
    <sheetView workbookViewId="0">
      <pane xSplit="6" ySplit="5" topLeftCell="G6" activePane="bottomRight" state="frozen"/>
      <selection pane="topRight" activeCell="G1" sqref="G1"/>
      <selection pane="bottomLeft" activeCell="A6" sqref="A6"/>
      <selection pane="bottomRight" activeCell="I11" sqref="I11"/>
    </sheetView>
  </sheetViews>
  <sheetFormatPr defaultRowHeight="14" x14ac:dyDescent="0.3"/>
  <cols>
    <col min="2" max="2" width="5.08203125" style="350" customWidth="1"/>
    <col min="3" max="3" width="5.58203125" style="350" customWidth="1"/>
    <col min="4" max="4" width="6.5" style="350" bestFit="1" customWidth="1"/>
    <col min="8" max="8" width="9.33203125" style="350" bestFit="1" customWidth="1"/>
    <col min="9" max="9" width="8.58203125" style="350" bestFit="1" customWidth="1"/>
    <col min="10" max="10" width="7.33203125" style="350" bestFit="1" customWidth="1"/>
    <col min="11" max="11" width="11.75" style="350" bestFit="1" customWidth="1"/>
    <col min="12" max="12" width="7.5" style="350" bestFit="1" customWidth="1"/>
    <col min="13" max="16" width="13" style="350" hidden="1" customWidth="1"/>
    <col min="20" max="20" width="7.5" style="350" bestFit="1" customWidth="1"/>
    <col min="21" max="21" width="8.4140625" style="350" bestFit="1" customWidth="1"/>
    <col min="22" max="22" width="6.08203125" style="350" customWidth="1"/>
    <col min="23" max="23" width="8.83203125" style="350" bestFit="1" customWidth="1"/>
    <col min="24" max="25" width="7.33203125" style="350" bestFit="1" customWidth="1"/>
    <col min="26" max="27" width="6.5" style="350" bestFit="1" customWidth="1"/>
    <col min="28" max="29" width="6.33203125" style="350" bestFit="1" customWidth="1"/>
    <col min="30" max="30" width="6.5" style="350" bestFit="1" customWidth="1"/>
    <col min="31" max="31" width="9.33203125" style="350" bestFit="1" customWidth="1"/>
    <col min="36" max="36" width="9.33203125" style="350" bestFit="1" customWidth="1"/>
  </cols>
  <sheetData>
    <row r="1" spans="1:38" ht="45" customHeight="1" x14ac:dyDescent="0.3">
      <c r="A1" s="394" t="s">
        <v>11986</v>
      </c>
      <c r="B1" s="395"/>
      <c r="C1" s="395"/>
      <c r="D1" s="395"/>
      <c r="E1" s="396"/>
      <c r="F1" s="396"/>
      <c r="G1" s="314"/>
      <c r="H1" s="314"/>
      <c r="I1" s="314"/>
      <c r="J1" s="314"/>
      <c r="Q1" t="s">
        <v>11987</v>
      </c>
    </row>
    <row r="2" spans="1:38" x14ac:dyDescent="0.3">
      <c r="I2" t="s">
        <v>11988</v>
      </c>
    </row>
    <row r="3" spans="1:38" s="8" customFormat="1" ht="42" customHeight="1" x14ac:dyDescent="0.3">
      <c r="A3" s="8" t="s">
        <v>422</v>
      </c>
      <c r="B3" s="8" t="s">
        <v>11989</v>
      </c>
      <c r="C3" s="8" t="s">
        <v>11990</v>
      </c>
      <c r="D3" s="8" t="s">
        <v>11991</v>
      </c>
      <c r="E3" t="s">
        <v>11992</v>
      </c>
      <c r="F3" s="8" t="s">
        <v>11993</v>
      </c>
      <c r="G3" s="8" t="s">
        <v>11994</v>
      </c>
      <c r="H3" s="8" t="s">
        <v>11995</v>
      </c>
      <c r="I3" s="8" t="s">
        <v>11996</v>
      </c>
      <c r="J3" s="8" t="s">
        <v>11995</v>
      </c>
      <c r="K3" s="8" t="s">
        <v>1958</v>
      </c>
      <c r="L3" s="8" t="s">
        <v>19</v>
      </c>
      <c r="M3" s="8" t="s">
        <v>11997</v>
      </c>
      <c r="N3" s="8" t="s">
        <v>11990</v>
      </c>
      <c r="O3" s="8" t="s">
        <v>11991</v>
      </c>
      <c r="P3" s="8" t="s">
        <v>11998</v>
      </c>
      <c r="Q3" s="8" t="s">
        <v>11999</v>
      </c>
    </row>
    <row r="4" spans="1:38" s="8" customFormat="1" ht="28" customHeight="1" x14ac:dyDescent="0.3">
      <c r="A4" s="8" t="s">
        <v>12000</v>
      </c>
      <c r="E4" s="293"/>
      <c r="F4" s="293">
        <f>1*(1+F6)*(1+F7)*(1+F8)*(1+F9)*(1+F10)*(1+F11)*(1+F12)-1</f>
        <v>5.2191580892397873</v>
      </c>
      <c r="G4" s="293"/>
      <c r="H4" s="293"/>
      <c r="I4" s="293">
        <f>1*(1+I6)*(1+I7)*(1+I8)*(1+I9)*(1+I10)*(1+I11)*(1+I12)-1</f>
        <v>13.325004550399999</v>
      </c>
      <c r="J4" s="293"/>
      <c r="K4" s="293">
        <f>1*(1+K6)*(1+K7)*(1+K8)*(1+K9)*(1+K10)*(1+K11)*(1+K12)-1</f>
        <v>0.55397170241149074</v>
      </c>
      <c r="L4" s="293">
        <f>1*(1+L6)*(1+L7)*(1+L8)*(1+L9)*(1+L10)*(1+L11)*(1+L12)-1</f>
        <v>7.5298308997523087</v>
      </c>
      <c r="P4" s="293">
        <f>1*(1+P6)*(1+P7)*(1+P8)*(1+P9)*(1+P10)*(1+P11)*(1+P12)-1</f>
        <v>6.5239441661606277</v>
      </c>
      <c r="Q4" s="293">
        <f>1*(1+Q6)*(1+Q7)*(1+Q8)*(1+Q9)*(1+Q10)*(1+Q11)*(1+Q12)-1</f>
        <v>4.3634888325582146</v>
      </c>
      <c r="R4" s="8" t="s">
        <v>12001</v>
      </c>
      <c r="T4" s="8" t="s">
        <v>12002</v>
      </c>
    </row>
    <row r="5" spans="1:38" s="8" customFormat="1" ht="28" customHeight="1" x14ac:dyDescent="0.3">
      <c r="A5" s="8" t="s">
        <v>11912</v>
      </c>
      <c r="E5" s="293"/>
      <c r="F5" s="293">
        <f>POWER(1+F4,1/COUNT(F6:F12))-1</f>
        <v>0.29834535365199466</v>
      </c>
      <c r="G5" s="293"/>
      <c r="H5" s="293"/>
      <c r="I5" s="293">
        <f>POWER(1+I4,1/COUNT(I6:I12))-1</f>
        <v>0.55841263784887585</v>
      </c>
      <c r="J5" s="293"/>
      <c r="K5" s="293">
        <f>POWER(1+K4,1/COUNT(K6:K12))-1</f>
        <v>6.4998546752735198E-2</v>
      </c>
      <c r="L5" s="293">
        <f>POWER(1+L4,1/COUNT(L6:L12))-1</f>
        <v>0.3582868269219448</v>
      </c>
      <c r="P5" s="293">
        <f>POWER(1+P4,1/COUNT(P6:P12))-1</f>
        <v>0.33415567891576692</v>
      </c>
      <c r="Q5" s="293">
        <f>POWER(1+Q4,1/COUNT(Q6:Q12))-1</f>
        <v>0.27117917269402603</v>
      </c>
      <c r="R5" s="8" t="s">
        <v>12003</v>
      </c>
      <c r="S5" s="8">
        <v>1</v>
      </c>
      <c r="T5" s="8">
        <v>2</v>
      </c>
      <c r="U5" s="8">
        <v>3</v>
      </c>
      <c r="V5" s="8">
        <v>4</v>
      </c>
      <c r="W5" s="8">
        <v>5</v>
      </c>
      <c r="X5" s="8">
        <v>6</v>
      </c>
      <c r="Y5" s="8">
        <v>7</v>
      </c>
      <c r="Z5" s="8">
        <v>8</v>
      </c>
      <c r="AA5" s="8">
        <v>9</v>
      </c>
      <c r="AB5" s="8">
        <v>10</v>
      </c>
      <c r="AC5" s="8">
        <v>11</v>
      </c>
      <c r="AD5" s="316">
        <v>12</v>
      </c>
      <c r="AE5" s="8">
        <v>1</v>
      </c>
      <c r="AF5" s="8">
        <v>2</v>
      </c>
      <c r="AG5" s="8">
        <v>3</v>
      </c>
      <c r="AH5" s="8">
        <v>4</v>
      </c>
      <c r="AI5" s="8">
        <v>5</v>
      </c>
      <c r="AJ5" s="8">
        <v>6</v>
      </c>
      <c r="AK5" s="8">
        <v>7</v>
      </c>
      <c r="AL5" s="8">
        <v>8</v>
      </c>
    </row>
    <row r="6" spans="1:38" s="8" customFormat="1" x14ac:dyDescent="0.3">
      <c r="A6" s="8">
        <v>2019</v>
      </c>
      <c r="B6" s="8">
        <v>34</v>
      </c>
      <c r="C6" s="8">
        <v>11</v>
      </c>
      <c r="D6" s="279">
        <f t="shared" ref="D6:D12" si="0">C6/B6</f>
        <v>0.3235294117647059</v>
      </c>
      <c r="E6" s="293"/>
      <c r="F6" s="293">
        <v>-0.1963</v>
      </c>
      <c r="G6" s="293"/>
      <c r="H6" s="293"/>
      <c r="I6" s="293"/>
      <c r="J6" s="293"/>
      <c r="K6" s="293">
        <v>0.36070000000000002</v>
      </c>
      <c r="L6" s="293">
        <v>0.44800000000000001</v>
      </c>
      <c r="N6" s="8">
        <v>15</v>
      </c>
      <c r="O6" s="279">
        <f t="shared" ref="O6:O12" si="1">N6/B6</f>
        <v>0.44117647058823528</v>
      </c>
      <c r="P6" s="293">
        <v>-6.3700000000000007E-2</v>
      </c>
      <c r="Q6" s="293">
        <v>0.55149999999999999</v>
      </c>
      <c r="R6" s="8">
        <v>2019</v>
      </c>
      <c r="S6" s="293"/>
      <c r="T6" s="293"/>
      <c r="U6" s="293"/>
      <c r="V6" s="293"/>
      <c r="W6" s="293"/>
      <c r="X6" s="293"/>
      <c r="Y6" s="293"/>
      <c r="Z6" s="293"/>
      <c r="AA6" s="293"/>
      <c r="AB6" s="293"/>
      <c r="AC6" s="293"/>
      <c r="AD6" s="293"/>
    </row>
    <row r="7" spans="1:38" x14ac:dyDescent="0.3">
      <c r="A7">
        <v>2020</v>
      </c>
      <c r="B7">
        <v>88</v>
      </c>
      <c r="C7">
        <v>59</v>
      </c>
      <c r="D7" s="279">
        <f t="shared" si="0"/>
        <v>0.67045454545454541</v>
      </c>
      <c r="E7" s="279"/>
      <c r="F7" s="279">
        <v>0.13320000000000001</v>
      </c>
      <c r="G7" s="279"/>
      <c r="H7" s="279"/>
      <c r="I7" s="279">
        <v>7.0000000000000007E-2</v>
      </c>
      <c r="J7" s="279"/>
      <c r="K7" s="279">
        <v>0.27210000000000001</v>
      </c>
      <c r="L7" s="279">
        <v>0.2031</v>
      </c>
      <c r="N7">
        <v>61</v>
      </c>
      <c r="O7" s="279">
        <f t="shared" si="1"/>
        <v>0.69318181818181823</v>
      </c>
      <c r="P7" s="279">
        <v>0.22170000000000001</v>
      </c>
      <c r="Q7" s="279">
        <v>0.3649</v>
      </c>
      <c r="R7">
        <v>2020</v>
      </c>
      <c r="S7" s="293"/>
      <c r="T7" s="293">
        <v>-0.32390000000000002</v>
      </c>
      <c r="U7" s="293"/>
      <c r="V7" s="293">
        <v>-1.26E-2</v>
      </c>
      <c r="W7" s="293">
        <v>-3.7199999999999997E-2</v>
      </c>
      <c r="X7" s="293">
        <v>6.5199999999999994E-2</v>
      </c>
      <c r="Y7" s="293">
        <v>7.2700000000000001E-2</v>
      </c>
      <c r="Z7" s="293">
        <v>7.3200000000000001E-2</v>
      </c>
      <c r="AA7" s="293">
        <v>-3.9100000000000003E-2</v>
      </c>
      <c r="AB7" s="293">
        <v>1.4800000000000001E-2</v>
      </c>
      <c r="AC7" s="293">
        <v>3.6999999999999998E-2</v>
      </c>
      <c r="AD7" s="293">
        <v>-4.5199999999999997E-2</v>
      </c>
      <c r="AE7" s="293">
        <v>1.4E-3</v>
      </c>
      <c r="AF7" s="293">
        <v>8.9399999999999993E-2</v>
      </c>
      <c r="AG7" s="293">
        <v>0.1177</v>
      </c>
      <c r="AH7" s="293">
        <v>1.9599999999999999E-2</v>
      </c>
      <c r="AI7" s="293">
        <v>8.9099999999999999E-2</v>
      </c>
      <c r="AJ7" s="293">
        <v>0.1071</v>
      </c>
      <c r="AK7" s="293">
        <v>1.46E-2</v>
      </c>
      <c r="AL7" s="293">
        <v>0.12889999999999999</v>
      </c>
    </row>
    <row r="8" spans="1:38" x14ac:dyDescent="0.3">
      <c r="A8">
        <v>2021</v>
      </c>
      <c r="B8">
        <v>32</v>
      </c>
      <c r="C8">
        <v>29</v>
      </c>
      <c r="D8" s="279">
        <f t="shared" si="0"/>
        <v>0.90625</v>
      </c>
      <c r="E8" s="279"/>
      <c r="F8" s="279">
        <v>0.79100000000000004</v>
      </c>
      <c r="G8" s="279"/>
      <c r="H8" s="279">
        <v>-0.1</v>
      </c>
      <c r="I8" s="279">
        <v>0.84</v>
      </c>
      <c r="J8" s="279">
        <v>-0.1014</v>
      </c>
      <c r="K8" s="279">
        <v>-5.1999999999999998E-2</v>
      </c>
      <c r="L8" s="279">
        <v>0.42699999999999999</v>
      </c>
      <c r="N8">
        <v>30</v>
      </c>
      <c r="O8" s="279">
        <f t="shared" si="1"/>
        <v>0.9375</v>
      </c>
      <c r="P8" s="279">
        <v>0.77170000000000005</v>
      </c>
      <c r="Q8" s="279">
        <v>0.42130000000000001</v>
      </c>
      <c r="R8">
        <v>2021</v>
      </c>
      <c r="S8" s="293"/>
      <c r="T8" s="293">
        <v>-0.21410000000000001</v>
      </c>
      <c r="U8" s="293"/>
      <c r="V8" s="293">
        <v>-4.3E-3</v>
      </c>
      <c r="W8" s="293">
        <v>8.4500000000000006E-2</v>
      </c>
      <c r="X8" s="293">
        <v>0.1981</v>
      </c>
      <c r="Y8" s="293">
        <v>5.1999999999999998E-3</v>
      </c>
      <c r="Z8" s="293">
        <v>0.19189999999999999</v>
      </c>
      <c r="AA8" s="293">
        <v>-1.11E-2</v>
      </c>
      <c r="AB8" s="293">
        <v>3.4700000000000002E-2</v>
      </c>
      <c r="AC8" s="293">
        <v>0.1278</v>
      </c>
      <c r="AD8" s="293">
        <v>-1.0699999999999999E-2</v>
      </c>
      <c r="AE8" s="293">
        <v>-5.16E-2</v>
      </c>
      <c r="AF8" s="293">
        <v>6.9099999999999995E-2</v>
      </c>
      <c r="AG8" s="293">
        <v>1.01E-2</v>
      </c>
      <c r="AH8" s="293">
        <v>-8.2900000000000001E-2</v>
      </c>
      <c r="AI8" s="293">
        <v>0.2079</v>
      </c>
      <c r="AJ8" s="293">
        <v>-4.1999999999999997E-3</v>
      </c>
      <c r="AK8" s="293">
        <v>1.9300000000000001E-2</v>
      </c>
      <c r="AL8" s="293">
        <v>3.9899999999999998E-2</v>
      </c>
    </row>
    <row r="9" spans="1:38" x14ac:dyDescent="0.3">
      <c r="A9">
        <v>2022</v>
      </c>
      <c r="B9">
        <v>20</v>
      </c>
      <c r="C9">
        <v>18</v>
      </c>
      <c r="D9" s="279">
        <f t="shared" si="0"/>
        <v>0.9</v>
      </c>
      <c r="E9" s="279"/>
      <c r="F9" s="279">
        <v>0.39450000000000002</v>
      </c>
      <c r="G9" s="279"/>
      <c r="H9" s="279">
        <v>-0.1241</v>
      </c>
      <c r="I9" s="279">
        <v>0.5</v>
      </c>
      <c r="J9" s="279">
        <v>-0.12559999999999999</v>
      </c>
      <c r="K9" s="279">
        <v>-0.21629999999999999</v>
      </c>
      <c r="L9" s="279">
        <v>0.222</v>
      </c>
      <c r="N9">
        <v>16</v>
      </c>
      <c r="O9" s="279">
        <f t="shared" si="1"/>
        <v>0.8</v>
      </c>
      <c r="P9" s="279">
        <v>0.35310000000000002</v>
      </c>
      <c r="Q9" s="279">
        <v>1.7399999999999999E-2</v>
      </c>
      <c r="R9">
        <v>2022</v>
      </c>
      <c r="S9" s="293"/>
      <c r="T9" s="293">
        <v>-0.3296</v>
      </c>
      <c r="U9" s="293"/>
      <c r="V9" s="293">
        <v>-1.18E-2</v>
      </c>
      <c r="W9" s="293">
        <v>6.4299999999999996E-2</v>
      </c>
      <c r="X9" s="293">
        <v>0.112</v>
      </c>
      <c r="Y9" s="293">
        <v>0.19409999999999999</v>
      </c>
      <c r="Z9" s="293">
        <v>-4.1999999999999997E-3</v>
      </c>
      <c r="AA9" s="293">
        <v>-5.5599999999999997E-2</v>
      </c>
      <c r="AB9" s="293">
        <v>-1.9599999999999999E-2</v>
      </c>
      <c r="AC9" s="293">
        <v>0.15340000000000001</v>
      </c>
      <c r="AD9" s="293">
        <v>-2.81E-2</v>
      </c>
      <c r="AE9" s="293">
        <v>1.72E-2</v>
      </c>
      <c r="AF9" s="293">
        <v>3.27E-2</v>
      </c>
      <c r="AG9" s="293">
        <v>4.6100000000000002E-2</v>
      </c>
      <c r="AH9" s="293">
        <v>4.2799999999999998E-2</v>
      </c>
      <c r="AI9" s="293">
        <v>-5.0000000000000001E-3</v>
      </c>
      <c r="AJ9" s="293">
        <v>-3.3999999999999998E-3</v>
      </c>
      <c r="AK9" s="293">
        <v>0.03</v>
      </c>
      <c r="AL9" s="293">
        <v>-1.9800000000000002E-2</v>
      </c>
    </row>
    <row r="10" spans="1:38" x14ac:dyDescent="0.3">
      <c r="A10">
        <v>2023</v>
      </c>
      <c r="B10">
        <v>26</v>
      </c>
      <c r="C10">
        <v>18</v>
      </c>
      <c r="D10" s="279">
        <f t="shared" si="0"/>
        <v>0.69230769230769229</v>
      </c>
      <c r="E10" s="279"/>
      <c r="F10" s="279">
        <v>0.1288</v>
      </c>
      <c r="G10" s="279"/>
      <c r="H10" s="279">
        <v>-0.1027</v>
      </c>
      <c r="I10" s="279">
        <v>0.56999999999999995</v>
      </c>
      <c r="J10" s="279">
        <v>0.09</v>
      </c>
      <c r="K10" s="279">
        <v>-0.1138</v>
      </c>
      <c r="L10" s="279">
        <v>0.47599999999999998</v>
      </c>
      <c r="N10">
        <v>19</v>
      </c>
      <c r="O10" s="279">
        <f t="shared" si="1"/>
        <v>0.73076923076923073</v>
      </c>
      <c r="P10" s="279">
        <v>0.22389999999999999</v>
      </c>
      <c r="Q10" s="279">
        <v>0.14169999999999999</v>
      </c>
      <c r="R10">
        <v>2023</v>
      </c>
      <c r="S10" s="293"/>
      <c r="T10" s="293">
        <v>-0.17949999999999999</v>
      </c>
      <c r="U10" s="293"/>
      <c r="V10" s="293">
        <v>3.1199999999999999E-2</v>
      </c>
      <c r="W10" s="293">
        <v>-0.1037</v>
      </c>
      <c r="X10" s="293">
        <v>0.1598</v>
      </c>
      <c r="Y10" s="293">
        <v>-1.1299999999999999E-2</v>
      </c>
      <c r="Z10" s="293">
        <v>3.0300000000000001E-2</v>
      </c>
      <c r="AA10" s="293">
        <v>3.0700000000000002E-2</v>
      </c>
      <c r="AB10" s="293">
        <v>1.49E-2</v>
      </c>
      <c r="AC10" s="293">
        <v>5.6300000000000003E-2</v>
      </c>
      <c r="AD10" s="293">
        <v>8.3999999999999995E-3</v>
      </c>
      <c r="AE10" s="293">
        <v>-0.1273</v>
      </c>
      <c r="AF10" s="293">
        <v>-3.3500000000000002E-2</v>
      </c>
      <c r="AG10" s="293">
        <v>6.0499999999999998E-2</v>
      </c>
      <c r="AH10" s="293">
        <v>-2.7300000000000001E-2</v>
      </c>
      <c r="AI10" s="293">
        <v>3.2300000000000002E-2</v>
      </c>
      <c r="AJ10" s="293">
        <v>-0.13159999999999999</v>
      </c>
      <c r="AK10" s="293">
        <v>-2.07E-2</v>
      </c>
      <c r="AL10" s="293">
        <v>-3.1099999999999999E-2</v>
      </c>
    </row>
    <row r="11" spans="1:38" x14ac:dyDescent="0.3">
      <c r="A11">
        <v>2024</v>
      </c>
      <c r="B11">
        <v>28</v>
      </c>
      <c r="C11">
        <v>21</v>
      </c>
      <c r="D11" s="279">
        <f t="shared" si="0"/>
        <v>0.75</v>
      </c>
      <c r="E11" s="279"/>
      <c r="F11" s="279">
        <v>0.59530000000000005</v>
      </c>
      <c r="G11" s="279"/>
      <c r="H11" s="279">
        <v>-0.22850000000000001</v>
      </c>
      <c r="I11" s="279">
        <v>1</v>
      </c>
      <c r="J11" s="279">
        <v>-0.27129999999999999</v>
      </c>
      <c r="K11" s="279">
        <v>0.14680000000000001</v>
      </c>
      <c r="L11" s="279">
        <v>9.3299999999999994E-2</v>
      </c>
      <c r="N11">
        <v>25</v>
      </c>
      <c r="O11" s="279">
        <f t="shared" si="1"/>
        <v>0.8928571428571429</v>
      </c>
      <c r="P11" s="279">
        <v>0.60289999999999999</v>
      </c>
      <c r="Q11" s="279">
        <v>0.1711</v>
      </c>
      <c r="R11">
        <v>2024</v>
      </c>
      <c r="S11" s="293"/>
      <c r="T11" s="293">
        <v>-0.377</v>
      </c>
      <c r="U11" s="293"/>
      <c r="V11" s="293">
        <v>4.2700000000000002E-2</v>
      </c>
      <c r="W11" s="293">
        <v>-5.9400000000000001E-2</v>
      </c>
      <c r="X11" s="293">
        <v>-0.1381</v>
      </c>
      <c r="Y11" s="293">
        <v>0.17230000000000001</v>
      </c>
      <c r="Z11" s="293">
        <v>0.1681</v>
      </c>
      <c r="AA11" s="293">
        <v>6.9599999999999995E-2</v>
      </c>
      <c r="AB11" s="293">
        <v>0.27889999999999998</v>
      </c>
      <c r="AC11" s="293">
        <v>8.9300000000000004E-2</v>
      </c>
      <c r="AD11" s="293">
        <v>4.1700000000000001E-2</v>
      </c>
      <c r="AE11" s="293">
        <v>-3.78E-2</v>
      </c>
      <c r="AF11" s="293">
        <v>5.1499999999999997E-2</v>
      </c>
      <c r="AG11" s="293">
        <v>0.16120000000000001</v>
      </c>
      <c r="AH11" s="293">
        <v>6.4799999999999996E-2</v>
      </c>
      <c r="AI11" s="293">
        <v>8.4400000000000003E-2</v>
      </c>
      <c r="AJ11" s="293">
        <v>0.109</v>
      </c>
      <c r="AK11" s="293">
        <v>-6.0000000000000001E-3</v>
      </c>
      <c r="AL11" s="293">
        <v>8.3400000000000002E-2</v>
      </c>
    </row>
    <row r="12" spans="1:38" x14ac:dyDescent="0.3">
      <c r="A12">
        <v>2025</v>
      </c>
      <c r="B12">
        <v>91</v>
      </c>
      <c r="C12">
        <v>84</v>
      </c>
      <c r="D12" s="279">
        <f t="shared" si="0"/>
        <v>0.92307692307692313</v>
      </c>
      <c r="E12" s="279"/>
      <c r="F12" s="279">
        <v>0.51829999999999998</v>
      </c>
      <c r="G12" s="279"/>
      <c r="H12" s="279">
        <v>-6.1199999999999997E-2</v>
      </c>
      <c r="I12" s="279">
        <v>0.54479999999999995</v>
      </c>
      <c r="J12" s="279">
        <v>-8.2000000000000003E-2</v>
      </c>
      <c r="K12" s="279">
        <v>0.189</v>
      </c>
      <c r="L12" s="279">
        <v>0.74</v>
      </c>
      <c r="N12">
        <v>82</v>
      </c>
      <c r="O12" s="279">
        <f t="shared" si="1"/>
        <v>0.90109890109890112</v>
      </c>
      <c r="P12" s="279">
        <v>0.39860000000000001</v>
      </c>
      <c r="Q12" s="279">
        <v>0.31</v>
      </c>
      <c r="R12">
        <v>2025</v>
      </c>
      <c r="S12" s="317" t="s">
        <v>12004</v>
      </c>
      <c r="T12" s="293">
        <v>-0.2036</v>
      </c>
      <c r="U12" s="293"/>
      <c r="V12" s="293">
        <v>2.01E-2</v>
      </c>
      <c r="W12" s="293">
        <v>0.24279999999999999</v>
      </c>
      <c r="X12" s="293">
        <v>3.4500000000000003E-2</v>
      </c>
      <c r="Y12" s="293">
        <v>1.38E-2</v>
      </c>
      <c r="Z12" s="293">
        <v>0.1023</v>
      </c>
      <c r="AA12" s="293">
        <v>1.6400000000000001E-2</v>
      </c>
      <c r="AB12" s="293">
        <v>6.7500000000000004E-2</v>
      </c>
      <c r="AC12" s="293">
        <v>5.11E-2</v>
      </c>
      <c r="AD12" s="293">
        <v>-0.04</v>
      </c>
      <c r="AE12" s="293">
        <v>2.7699999999999999E-2</v>
      </c>
      <c r="AF12" s="293">
        <v>8.3999999999999995E-3</v>
      </c>
      <c r="AG12" s="293">
        <v>-4.2199999999999988E-2</v>
      </c>
      <c r="AH12" s="293">
        <v>0.05</v>
      </c>
      <c r="AI12" s="293">
        <v>3.6799999999999999E-2</v>
      </c>
    </row>
    <row r="13" spans="1:38" x14ac:dyDescent="0.3">
      <c r="R13">
        <v>2026</v>
      </c>
    </row>
    <row r="14" spans="1:38" x14ac:dyDescent="0.3">
      <c r="F14" s="293">
        <f>1*(1+F16)*(1+F17)*(1+F18)*(1+F19)*(1+F20)*(1+F21)*(1+F22)-1</f>
        <v>2.6754683371761558</v>
      </c>
    </row>
    <row r="15" spans="1:38" x14ac:dyDescent="0.3">
      <c r="A15" s="8" t="s">
        <v>12005</v>
      </c>
      <c r="F15" s="293">
        <f>POWER(1+F14,1/COUNT(F16:F22))-1</f>
        <v>0.24227796216773734</v>
      </c>
      <c r="G15" s="8"/>
      <c r="H15" s="8"/>
      <c r="I15" s="8"/>
      <c r="J15" s="8"/>
      <c r="R15" t="s">
        <v>12006</v>
      </c>
    </row>
    <row r="16" spans="1:38" x14ac:dyDescent="0.3">
      <c r="A16">
        <v>2020</v>
      </c>
      <c r="B16">
        <v>98</v>
      </c>
      <c r="C16">
        <v>60</v>
      </c>
      <c r="D16" s="279">
        <f t="shared" ref="D16:D21" si="2">C16/B16</f>
        <v>0.61224489795918369</v>
      </c>
      <c r="E16" s="9">
        <f t="shared" ref="E16:E21" si="3">D16-D7</f>
        <v>-5.8209647495361727E-2</v>
      </c>
      <c r="F16" s="279">
        <v>0.13059999999999999</v>
      </c>
      <c r="G16" s="279">
        <f t="shared" ref="G16:G21" si="4">F16-F7</f>
        <v>-2.600000000000019E-3</v>
      </c>
      <c r="H16" s="279"/>
      <c r="I16" s="279"/>
      <c r="J16" s="279"/>
      <c r="K16" s="279">
        <v>0.27210000000000001</v>
      </c>
      <c r="L16" s="279">
        <f t="shared" ref="L16:L21" si="5">L7</f>
        <v>0.2031</v>
      </c>
      <c r="Q16" s="279">
        <f t="shared" ref="Q16:Q21" si="6">Q7</f>
        <v>0.3649</v>
      </c>
      <c r="R16" s="8" t="s">
        <v>422</v>
      </c>
      <c r="S16" s="8">
        <v>1</v>
      </c>
      <c r="T16" s="8">
        <v>2</v>
      </c>
      <c r="U16" s="8">
        <v>3</v>
      </c>
      <c r="V16" s="8">
        <v>4</v>
      </c>
      <c r="W16" s="8">
        <v>5</v>
      </c>
      <c r="X16" s="8">
        <v>6</v>
      </c>
      <c r="Y16" s="8">
        <v>7</v>
      </c>
      <c r="Z16" s="8">
        <v>8</v>
      </c>
      <c r="AA16" s="8">
        <v>9</v>
      </c>
      <c r="AB16" s="8">
        <v>10</v>
      </c>
      <c r="AC16" s="8">
        <v>11</v>
      </c>
      <c r="AD16" s="316">
        <v>12</v>
      </c>
      <c r="AE16" s="8">
        <v>1</v>
      </c>
      <c r="AF16" s="8">
        <v>2</v>
      </c>
      <c r="AG16" s="8">
        <v>3</v>
      </c>
      <c r="AH16" s="8">
        <v>4</v>
      </c>
      <c r="AI16" s="8">
        <v>5</v>
      </c>
      <c r="AJ16" s="8">
        <v>6</v>
      </c>
      <c r="AK16" s="8">
        <v>7</v>
      </c>
      <c r="AL16" s="8">
        <v>8</v>
      </c>
    </row>
    <row r="17" spans="1:38" x14ac:dyDescent="0.3">
      <c r="A17">
        <v>2021</v>
      </c>
      <c r="B17">
        <v>54</v>
      </c>
      <c r="C17">
        <v>42</v>
      </c>
      <c r="D17" s="279">
        <f t="shared" si="2"/>
        <v>0.77777777777777779</v>
      </c>
      <c r="E17" s="9">
        <f t="shared" si="3"/>
        <v>-0.12847222222222221</v>
      </c>
      <c r="F17" s="279">
        <v>0.60229999999999995</v>
      </c>
      <c r="G17" s="279">
        <f t="shared" si="4"/>
        <v>-0.18870000000000009</v>
      </c>
      <c r="H17" s="279"/>
      <c r="I17" s="279"/>
      <c r="J17" s="279"/>
      <c r="K17" s="279">
        <v>-5.1999999999999998E-2</v>
      </c>
      <c r="L17" s="279">
        <f t="shared" si="5"/>
        <v>0.42699999999999999</v>
      </c>
      <c r="Q17" s="279">
        <f t="shared" si="6"/>
        <v>0.42130000000000001</v>
      </c>
      <c r="R17" s="8">
        <v>2019</v>
      </c>
      <c r="S17" s="317"/>
      <c r="T17" s="293"/>
      <c r="U17" s="293"/>
      <c r="V17" s="293"/>
      <c r="W17" s="293"/>
      <c r="X17" s="293"/>
      <c r="Y17" s="293"/>
      <c r="Z17" s="293"/>
      <c r="AA17" s="293"/>
      <c r="AB17" s="293"/>
      <c r="AC17" s="293"/>
      <c r="AD17" s="293"/>
    </row>
    <row r="18" spans="1:38" x14ac:dyDescent="0.3">
      <c r="A18">
        <v>2022</v>
      </c>
      <c r="B18">
        <v>45</v>
      </c>
      <c r="C18">
        <v>29</v>
      </c>
      <c r="D18" s="279">
        <f t="shared" si="2"/>
        <v>0.64444444444444449</v>
      </c>
      <c r="E18" s="9">
        <f t="shared" si="3"/>
        <v>-0.25555555555555554</v>
      </c>
      <c r="F18" s="279">
        <v>0.27389999999999998</v>
      </c>
      <c r="G18" s="279">
        <f t="shared" si="4"/>
        <v>-0.12060000000000004</v>
      </c>
      <c r="H18" s="279"/>
      <c r="I18" s="279"/>
      <c r="J18" s="279"/>
      <c r="K18" s="279">
        <v>-0.21629999999999999</v>
      </c>
      <c r="L18" s="279">
        <f t="shared" si="5"/>
        <v>0.222</v>
      </c>
      <c r="Q18" s="279">
        <f t="shared" si="6"/>
        <v>1.7399999999999999E-2</v>
      </c>
      <c r="R18">
        <v>2020</v>
      </c>
      <c r="S18" s="317" t="s">
        <v>12007</v>
      </c>
      <c r="T18" s="293">
        <v>-0.32250000000000001</v>
      </c>
      <c r="U18" s="293"/>
      <c r="V18" s="293">
        <v>-1.4E-3</v>
      </c>
      <c r="W18" s="293">
        <v>-9.1999999999999998E-3</v>
      </c>
      <c r="X18" s="293">
        <v>7.7200000000000005E-2</v>
      </c>
      <c r="Y18" s="293">
        <v>8.4599999999999995E-2</v>
      </c>
      <c r="Z18" s="293">
        <v>7.4399999999999994E-2</v>
      </c>
      <c r="AA18" s="293">
        <v>-4.5900000000000003E-2</v>
      </c>
      <c r="AB18" s="293">
        <v>1.38E-2</v>
      </c>
      <c r="AC18" s="293">
        <v>3.9100000000000003E-2</v>
      </c>
      <c r="AD18" s="293">
        <v>-3.95E-2</v>
      </c>
      <c r="AE18" s="293">
        <v>-2.8999999999999998E-3</v>
      </c>
      <c r="AF18" s="293">
        <v>8.3299999999999999E-2</v>
      </c>
      <c r="AG18" s="293">
        <v>0.1129</v>
      </c>
      <c r="AH18" s="293">
        <v>1.77E-2</v>
      </c>
      <c r="AI18" s="293">
        <v>9.2600000000000002E-2</v>
      </c>
      <c r="AJ18" s="293">
        <v>0.1108</v>
      </c>
      <c r="AK18" s="293">
        <v>1.4200000000000001E-2</v>
      </c>
      <c r="AL18" s="293">
        <v>0</v>
      </c>
    </row>
    <row r="19" spans="1:38" x14ac:dyDescent="0.3">
      <c r="A19">
        <v>2023</v>
      </c>
      <c r="B19">
        <v>53</v>
      </c>
      <c r="C19">
        <v>23</v>
      </c>
      <c r="D19" s="279">
        <f t="shared" si="2"/>
        <v>0.43396226415094341</v>
      </c>
      <c r="E19" s="9">
        <f t="shared" si="3"/>
        <v>-0.25834542815674888</v>
      </c>
      <c r="F19" s="279">
        <v>-0.08</v>
      </c>
      <c r="G19" s="279">
        <f t="shared" si="4"/>
        <v>-0.20879999999999999</v>
      </c>
      <c r="H19" s="279"/>
      <c r="I19" s="279"/>
      <c r="J19" s="279"/>
      <c r="K19" s="279">
        <v>-0.1138</v>
      </c>
      <c r="L19" s="279">
        <f t="shared" si="5"/>
        <v>0.47599999999999998</v>
      </c>
      <c r="Q19" s="279">
        <f t="shared" si="6"/>
        <v>0.14169999999999999</v>
      </c>
      <c r="R19">
        <v>2021</v>
      </c>
      <c r="S19" s="317" t="s">
        <v>12008</v>
      </c>
      <c r="T19" s="293">
        <v>-0.1915</v>
      </c>
      <c r="U19" s="293"/>
      <c r="V19" s="293">
        <v>5.1900000000000002E-2</v>
      </c>
      <c r="W19" s="293">
        <v>8.9700000000000002E-2</v>
      </c>
      <c r="X19" s="293">
        <v>0.20619999999999999</v>
      </c>
      <c r="Y19" s="293">
        <v>-1.3599999999999999E-2</v>
      </c>
      <c r="Z19" s="293">
        <v>0.21329999999999999</v>
      </c>
      <c r="AA19" s="293">
        <v>-2.7900000000000001E-2</v>
      </c>
      <c r="AB19" s="293">
        <v>4.1799999999999997E-2</v>
      </c>
      <c r="AC19" s="293">
        <v>0.1273</v>
      </c>
      <c r="AD19" s="293">
        <v>4.7999999999999996E-3</v>
      </c>
      <c r="AE19" s="293">
        <v>-5.2499999999999998E-2</v>
      </c>
      <c r="AF19" s="293">
        <v>8.4400000000000003E-2</v>
      </c>
      <c r="AG19" s="293">
        <v>1.0999999999999999E-2</v>
      </c>
      <c r="AH19" s="293">
        <v>-9.3200000000000005E-2</v>
      </c>
      <c r="AI19" s="293">
        <v>0.21709999999999999</v>
      </c>
      <c r="AJ19" s="293">
        <v>-8.0000000000000004E-4</v>
      </c>
      <c r="AK19" s="293">
        <v>1.8599999999999998E-2</v>
      </c>
      <c r="AL19" s="293">
        <v>0</v>
      </c>
    </row>
    <row r="20" spans="1:38" x14ac:dyDescent="0.3">
      <c r="A20">
        <v>2024</v>
      </c>
      <c r="B20">
        <v>57</v>
      </c>
      <c r="C20">
        <v>33</v>
      </c>
      <c r="D20" s="279">
        <f t="shared" si="2"/>
        <v>0.57894736842105265</v>
      </c>
      <c r="E20" s="9">
        <f t="shared" si="3"/>
        <v>-0.17105263157894735</v>
      </c>
      <c r="F20" s="279">
        <v>0.21060000000000001</v>
      </c>
      <c r="G20" s="279">
        <f t="shared" si="4"/>
        <v>-0.38470000000000004</v>
      </c>
      <c r="H20" s="279"/>
      <c r="I20" s="279"/>
      <c r="J20" s="279"/>
      <c r="K20" s="279">
        <v>0.14680000000000001</v>
      </c>
      <c r="L20" s="279">
        <f t="shared" si="5"/>
        <v>9.3299999999999994E-2</v>
      </c>
      <c r="Q20" s="279">
        <f t="shared" si="6"/>
        <v>0.1711</v>
      </c>
      <c r="R20">
        <v>2022</v>
      </c>
      <c r="S20" s="317" t="s">
        <v>12009</v>
      </c>
      <c r="T20" s="293">
        <v>-0.36940000000000001</v>
      </c>
      <c r="U20" s="293"/>
      <c r="V20" s="293">
        <v>0</v>
      </c>
      <c r="W20" s="293">
        <v>5.3999999999999999E-2</v>
      </c>
      <c r="X20" s="293">
        <v>7.1199999999999999E-2</v>
      </c>
      <c r="Y20" s="293">
        <v>0.16350000000000001</v>
      </c>
      <c r="Z20" s="293">
        <v>1.7299999999999999E-2</v>
      </c>
      <c r="AA20" s="293">
        <v>-5.8900000000000001E-2</v>
      </c>
      <c r="AB20" s="293">
        <v>-2.0000000000000001E-4</v>
      </c>
      <c r="AC20" s="293">
        <v>0.15579999999999999</v>
      </c>
      <c r="AD20" s="293">
        <v>-3.0499999999999999E-2</v>
      </c>
      <c r="AE20" s="293">
        <v>1.14E-2</v>
      </c>
      <c r="AF20" s="293">
        <v>-2.7000000000000001E-3</v>
      </c>
      <c r="AG20" s="293">
        <v>3.8300000000000001E-2</v>
      </c>
      <c r="AH20" s="293">
        <v>7.5800000000000006E-2</v>
      </c>
      <c r="AI20" s="293">
        <v>4.0000000000000001E-3</v>
      </c>
      <c r="AJ20" s="293">
        <v>1.2200000000000001E-2</v>
      </c>
      <c r="AK20" s="293">
        <v>4.36E-2</v>
      </c>
      <c r="AL20" s="293">
        <v>0</v>
      </c>
    </row>
    <row r="21" spans="1:38" x14ac:dyDescent="0.3">
      <c r="A21">
        <v>2025</v>
      </c>
      <c r="B21">
        <v>99</v>
      </c>
      <c r="C21">
        <v>81</v>
      </c>
      <c r="D21" s="279">
        <f t="shared" si="2"/>
        <v>0.81818181818181823</v>
      </c>
      <c r="E21" s="9">
        <f t="shared" si="3"/>
        <v>-0.1048951048951049</v>
      </c>
      <c r="F21" s="279">
        <v>0.43</v>
      </c>
      <c r="G21" s="279">
        <f t="shared" si="4"/>
        <v>-8.829999999999999E-2</v>
      </c>
      <c r="H21" s="279"/>
      <c r="I21" s="279"/>
      <c r="J21" s="279"/>
      <c r="K21" s="279">
        <v>0.189</v>
      </c>
      <c r="L21" s="279">
        <f t="shared" si="5"/>
        <v>0.74</v>
      </c>
      <c r="Q21" s="279">
        <f t="shared" si="6"/>
        <v>0.31</v>
      </c>
      <c r="R21">
        <v>2023</v>
      </c>
      <c r="S21" s="317" t="s">
        <v>12010</v>
      </c>
      <c r="T21" s="293">
        <v>-0.19769999999999999</v>
      </c>
      <c r="U21" s="293"/>
      <c r="V21" s="293">
        <v>8.8000000000000005E-3</v>
      </c>
      <c r="W21" s="293">
        <v>-8.1900000000000001E-2</v>
      </c>
      <c r="X21" s="293">
        <v>9.0200000000000002E-2</v>
      </c>
      <c r="Y21" s="293">
        <v>2.3E-3</v>
      </c>
      <c r="Z21" s="293">
        <v>1.7899999999999999E-2</v>
      </c>
      <c r="AA21" s="293">
        <v>2.69E-2</v>
      </c>
      <c r="AB21" s="293">
        <v>4.2200000000000001E-2</v>
      </c>
      <c r="AC21" s="293">
        <v>9.5899999999999999E-2</v>
      </c>
      <c r="AD21" s="293">
        <v>1.1299999999999999E-2</v>
      </c>
      <c r="AE21" s="293">
        <v>-0.12909999999999999</v>
      </c>
      <c r="AF21" s="293">
        <v>-3.9E-2</v>
      </c>
      <c r="AG21" s="293">
        <v>1.9300000000000001E-2</v>
      </c>
      <c r="AH21" s="293">
        <v>-3.5200000000000002E-2</v>
      </c>
      <c r="AI21" s="293">
        <v>9.1000000000000004E-3</v>
      </c>
      <c r="AJ21" s="293">
        <v>-0.12520000000000001</v>
      </c>
      <c r="AK21" s="293">
        <v>-1.2999999999999999E-2</v>
      </c>
      <c r="AL21" s="293">
        <v>0</v>
      </c>
    </row>
    <row r="22" spans="1:38" x14ac:dyDescent="0.3">
      <c r="R22">
        <v>2024</v>
      </c>
      <c r="S22" s="317" t="s">
        <v>12011</v>
      </c>
      <c r="T22" s="293">
        <v>-0.39050000000000001</v>
      </c>
      <c r="U22" s="293"/>
      <c r="V22" s="293">
        <v>2.7699999999999999E-2</v>
      </c>
      <c r="W22" s="293">
        <v>-0.1237</v>
      </c>
      <c r="X22" s="293">
        <v>-0.11269999999999999</v>
      </c>
      <c r="Y22" s="293">
        <v>8.9099999999999999E-2</v>
      </c>
      <c r="Z22" s="293">
        <v>6.2E-2</v>
      </c>
      <c r="AA22" s="293">
        <v>7.7499999999999999E-2</v>
      </c>
      <c r="AB22" s="293">
        <v>0.2293</v>
      </c>
      <c r="AC22" s="293">
        <v>8.8999999999999996E-2</v>
      </c>
      <c r="AD22" s="293">
        <v>4.2200000000000001E-2</v>
      </c>
      <c r="AE22" s="293">
        <v>4.0000000000000001E-3</v>
      </c>
      <c r="AF22" s="293">
        <v>8.8200000000000001E-2</v>
      </c>
      <c r="AG22" s="293">
        <v>0.18010000000000001</v>
      </c>
      <c r="AH22" s="293">
        <v>6.5799999999999997E-2</v>
      </c>
      <c r="AI22" s="293">
        <v>8.3199999999999996E-2</v>
      </c>
      <c r="AJ22" s="293">
        <v>0.18859999999999999</v>
      </c>
      <c r="AK22" s="293">
        <v>8.8999999999999999E-3</v>
      </c>
      <c r="AL22" s="293">
        <v>0</v>
      </c>
    </row>
    <row r="23" spans="1:38" x14ac:dyDescent="0.3">
      <c r="F23" s="293">
        <f>1*(1+F25)*(1+F26)*(1+F27)*(1+F28)*(1+F29)*(1+F30)*(1+F31)-1</f>
        <v>5.9764264737965327</v>
      </c>
      <c r="R23">
        <v>2025</v>
      </c>
      <c r="S23" s="317" t="s">
        <v>12012</v>
      </c>
      <c r="T23" s="293">
        <v>-0.24110000000000001</v>
      </c>
      <c r="U23" s="293"/>
      <c r="V23" s="293">
        <v>-4.2299999999999997E-2</v>
      </c>
      <c r="W23" s="293">
        <v>0.19600000000000001</v>
      </c>
      <c r="X23" s="293">
        <v>3.4000000000000002E-2</v>
      </c>
      <c r="Y23" s="293">
        <v>3.8999999999999998E-3</v>
      </c>
      <c r="Z23" s="293">
        <v>0.10100000000000001</v>
      </c>
      <c r="AA23" s="293">
        <v>1.35E-2</v>
      </c>
      <c r="AB23" s="293">
        <v>5.7599999999999998E-2</v>
      </c>
      <c r="AC23" s="293">
        <v>4.9700000000000001E-2</v>
      </c>
      <c r="AD23" s="293">
        <v>-3.8800000000000001E-2</v>
      </c>
      <c r="AE23" s="293"/>
      <c r="AF23" s="293"/>
      <c r="AG23" s="293"/>
      <c r="AH23" s="293"/>
      <c r="AJ23" s="293"/>
      <c r="AK23" s="293"/>
      <c r="AL23" s="293"/>
    </row>
    <row r="24" spans="1:38" ht="28" customHeight="1" x14ac:dyDescent="0.3">
      <c r="A24" s="8" t="s">
        <v>12013</v>
      </c>
      <c r="F24" s="293">
        <f>POWER(1+F23,1/COUNT(F25:F31))-1</f>
        <v>0.38231017105630505</v>
      </c>
      <c r="G24" s="8"/>
      <c r="H24" s="8"/>
      <c r="I24" s="8"/>
      <c r="J24" s="8"/>
      <c r="R24">
        <v>2026</v>
      </c>
      <c r="S24" s="318"/>
      <c r="AD24"/>
    </row>
    <row r="25" spans="1:38" x14ac:dyDescent="0.3">
      <c r="A25">
        <v>2020</v>
      </c>
      <c r="B25">
        <v>84</v>
      </c>
      <c r="C25">
        <v>57</v>
      </c>
      <c r="D25" s="279">
        <f t="shared" ref="D25:D30" si="7">C25/B25</f>
        <v>0.6785714285714286</v>
      </c>
      <c r="E25" s="9">
        <f t="shared" ref="E25:E30" si="8">D25-D7</f>
        <v>8.116883116883189E-3</v>
      </c>
      <c r="F25" s="279">
        <v>0.19689999999999999</v>
      </c>
      <c r="G25" s="279">
        <f t="shared" ref="G25:G30" si="9">F25-F7</f>
        <v>6.3699999999999979E-2</v>
      </c>
      <c r="H25" s="279"/>
      <c r="I25" s="279"/>
      <c r="J25" s="279"/>
      <c r="K25" s="279">
        <v>0.27210000000000001</v>
      </c>
      <c r="L25" s="279">
        <f t="shared" ref="L25:L30" si="10">L16</f>
        <v>0.2031</v>
      </c>
      <c r="Q25" s="279">
        <f t="shared" ref="Q25:Q30" si="11">Q16</f>
        <v>0.3649</v>
      </c>
    </row>
    <row r="26" spans="1:38" x14ac:dyDescent="0.3">
      <c r="A26">
        <v>2021</v>
      </c>
      <c r="B26">
        <v>27</v>
      </c>
      <c r="C26">
        <v>25</v>
      </c>
      <c r="D26" s="279">
        <f t="shared" si="7"/>
        <v>0.92592592592592593</v>
      </c>
      <c r="E26" s="9">
        <f t="shared" si="8"/>
        <v>1.967592592592593E-2</v>
      </c>
      <c r="F26" s="279">
        <v>0.88629999999999998</v>
      </c>
      <c r="G26" s="279">
        <f t="shared" si="9"/>
        <v>9.529999999999994E-2</v>
      </c>
      <c r="H26" s="279"/>
      <c r="I26" s="279"/>
      <c r="J26" s="279"/>
      <c r="K26" s="279">
        <v>-5.1999999999999998E-2</v>
      </c>
      <c r="L26" s="279">
        <f t="shared" si="10"/>
        <v>0.42699999999999999</v>
      </c>
      <c r="Q26" s="279">
        <f t="shared" si="11"/>
        <v>0.42130000000000001</v>
      </c>
      <c r="R26" t="s">
        <v>12014</v>
      </c>
    </row>
    <row r="27" spans="1:38" x14ac:dyDescent="0.3">
      <c r="A27">
        <v>2022</v>
      </c>
      <c r="B27">
        <v>14</v>
      </c>
      <c r="C27">
        <v>13</v>
      </c>
      <c r="D27" s="279">
        <f t="shared" si="7"/>
        <v>0.9285714285714286</v>
      </c>
      <c r="E27" s="9">
        <f t="shared" si="8"/>
        <v>2.8571428571428581E-2</v>
      </c>
      <c r="F27" s="279">
        <v>0.34289999999999998</v>
      </c>
      <c r="G27" s="279">
        <f t="shared" si="9"/>
        <v>-5.1600000000000035E-2</v>
      </c>
      <c r="H27" s="279"/>
      <c r="I27" s="279"/>
      <c r="J27" s="279"/>
      <c r="K27" s="279">
        <v>-0.21629999999999999</v>
      </c>
      <c r="L27" s="279">
        <f t="shared" si="10"/>
        <v>0.222</v>
      </c>
      <c r="Q27" s="279">
        <f t="shared" si="11"/>
        <v>1.7399999999999999E-2</v>
      </c>
      <c r="R27" s="8" t="s">
        <v>12003</v>
      </c>
      <c r="S27" s="8">
        <v>1</v>
      </c>
      <c r="T27" s="8">
        <v>2</v>
      </c>
      <c r="U27" s="8">
        <v>3</v>
      </c>
      <c r="V27" s="8">
        <v>4</v>
      </c>
      <c r="W27" s="8">
        <v>5</v>
      </c>
      <c r="X27" s="8">
        <v>6</v>
      </c>
      <c r="Y27" s="8">
        <v>7</v>
      </c>
      <c r="Z27" s="8">
        <v>8</v>
      </c>
      <c r="AA27" s="8">
        <v>9</v>
      </c>
      <c r="AB27" s="8">
        <v>10</v>
      </c>
      <c r="AC27" s="8">
        <v>11</v>
      </c>
      <c r="AD27" s="316">
        <v>12</v>
      </c>
      <c r="AE27" s="8">
        <v>1</v>
      </c>
      <c r="AF27" s="8">
        <v>2</v>
      </c>
      <c r="AG27" s="8">
        <v>3</v>
      </c>
      <c r="AH27" s="8">
        <v>4</v>
      </c>
      <c r="AI27" s="8">
        <v>5</v>
      </c>
      <c r="AJ27" s="8">
        <v>6</v>
      </c>
      <c r="AK27" s="8">
        <v>7</v>
      </c>
      <c r="AL27" s="8">
        <v>8</v>
      </c>
    </row>
    <row r="28" spans="1:38" x14ac:dyDescent="0.3">
      <c r="A28">
        <v>2023</v>
      </c>
      <c r="B28">
        <v>14</v>
      </c>
      <c r="C28">
        <v>10</v>
      </c>
      <c r="D28" s="279">
        <f t="shared" si="7"/>
        <v>0.7142857142857143</v>
      </c>
      <c r="E28" s="9">
        <f t="shared" si="8"/>
        <v>2.1978021978022011E-2</v>
      </c>
      <c r="F28" s="279">
        <v>0.16550000000000001</v>
      </c>
      <c r="G28" s="279">
        <f t="shared" si="9"/>
        <v>3.670000000000001E-2</v>
      </c>
      <c r="H28" s="279"/>
      <c r="I28" s="279"/>
      <c r="J28" s="279"/>
      <c r="K28" s="279">
        <v>-0.1138</v>
      </c>
      <c r="L28" s="279">
        <f t="shared" si="10"/>
        <v>0.47599999999999998</v>
      </c>
      <c r="Q28" s="279">
        <f t="shared" si="11"/>
        <v>0.14169999999999999</v>
      </c>
      <c r="R28" s="8">
        <v>2019</v>
      </c>
      <c r="S28" s="293"/>
      <c r="T28" s="293"/>
      <c r="U28" s="293"/>
      <c r="V28" s="293"/>
      <c r="W28" s="293"/>
      <c r="X28" s="293"/>
      <c r="Y28" s="293"/>
      <c r="Z28" s="293"/>
      <c r="AA28" s="293"/>
      <c r="AB28" s="293"/>
      <c r="AC28" s="293"/>
      <c r="AD28" s="293"/>
    </row>
    <row r="29" spans="1:38" x14ac:dyDescent="0.3">
      <c r="A29">
        <v>2024</v>
      </c>
      <c r="B29">
        <v>15</v>
      </c>
      <c r="C29">
        <v>13</v>
      </c>
      <c r="D29" s="279">
        <f t="shared" si="7"/>
        <v>0.8666666666666667</v>
      </c>
      <c r="E29" s="9">
        <f t="shared" si="8"/>
        <v>0.1166666666666667</v>
      </c>
      <c r="F29" s="279">
        <v>0.2908</v>
      </c>
      <c r="G29" s="279">
        <f t="shared" si="9"/>
        <v>-0.30450000000000005</v>
      </c>
      <c r="H29" s="279"/>
      <c r="I29" s="279"/>
      <c r="J29" s="279"/>
      <c r="K29" s="279">
        <v>0.14680000000000001</v>
      </c>
      <c r="L29" s="279">
        <f t="shared" si="10"/>
        <v>9.3299999999999994E-2</v>
      </c>
      <c r="Q29" s="279">
        <f t="shared" si="11"/>
        <v>0.1711</v>
      </c>
      <c r="R29">
        <v>2020</v>
      </c>
      <c r="S29" s="317" t="s">
        <v>12015</v>
      </c>
      <c r="T29" s="293"/>
      <c r="U29" s="293"/>
      <c r="V29" s="293"/>
      <c r="W29" s="293">
        <v>3.9199999999999999E-2</v>
      </c>
      <c r="X29" s="293">
        <v>5.04E-2</v>
      </c>
      <c r="Y29" s="293">
        <v>0.22969999999999999</v>
      </c>
      <c r="Z29" s="293">
        <v>8.5599999999999996E-2</v>
      </c>
      <c r="AA29" s="293">
        <v>9.1999999999999998E-3</v>
      </c>
      <c r="AB29" s="293">
        <v>4.7600000000000003E-2</v>
      </c>
      <c r="AC29" s="293">
        <v>8.3999999999999995E-3</v>
      </c>
      <c r="AD29" s="293">
        <v>-3.7999999999999999E-2</v>
      </c>
      <c r="AE29" s="293">
        <v>-3.3799999999999997E-2</v>
      </c>
      <c r="AF29" s="293">
        <v>2.7099999999999999E-2</v>
      </c>
      <c r="AG29" s="293">
        <v>8.6599999999999996E-2</v>
      </c>
      <c r="AH29" s="293">
        <v>2.06E-2</v>
      </c>
      <c r="AI29" s="293">
        <v>3.0200000000000001E-2</v>
      </c>
      <c r="AJ29" s="293">
        <v>4.0999999999999988E-2</v>
      </c>
      <c r="AK29" s="293">
        <v>-4.1700000000000001E-2</v>
      </c>
      <c r="AL29" s="293">
        <v>8.7899999999999992E-2</v>
      </c>
    </row>
    <row r="30" spans="1:38" x14ac:dyDescent="0.3">
      <c r="A30">
        <v>2025</v>
      </c>
      <c r="B30">
        <v>76</v>
      </c>
      <c r="C30">
        <v>67</v>
      </c>
      <c r="D30" s="279">
        <f t="shared" si="7"/>
        <v>0.88157894736842102</v>
      </c>
      <c r="E30" s="9">
        <f t="shared" si="8"/>
        <v>-4.1497975708502111E-2</v>
      </c>
      <c r="F30" s="279">
        <v>0.52949999999999997</v>
      </c>
      <c r="G30" s="279">
        <f t="shared" si="9"/>
        <v>1.1199999999999988E-2</v>
      </c>
      <c r="H30" s="279"/>
      <c r="I30" s="279"/>
      <c r="J30" s="279"/>
      <c r="K30" s="279">
        <v>0.189</v>
      </c>
      <c r="L30" s="279">
        <f t="shared" si="10"/>
        <v>0.74</v>
      </c>
      <c r="Q30" s="279">
        <f t="shared" si="11"/>
        <v>0.31</v>
      </c>
      <c r="R30">
        <v>2021</v>
      </c>
      <c r="S30" s="317" t="s">
        <v>12016</v>
      </c>
      <c r="T30" s="293"/>
      <c r="U30" s="293"/>
      <c r="V30" s="293"/>
      <c r="W30" s="293">
        <v>0.151</v>
      </c>
      <c r="X30" s="293">
        <v>0.1633</v>
      </c>
      <c r="Y30" s="293">
        <v>6.7900000000000002E-2</v>
      </c>
      <c r="Z30" s="293">
        <v>6.6299999999999998E-2</v>
      </c>
      <c r="AA30" s="293">
        <v>9.7299999999999998E-2</v>
      </c>
      <c r="AB30" s="293">
        <v>-2.46E-2</v>
      </c>
      <c r="AC30" s="293">
        <v>9.6799999999999997E-2</v>
      </c>
      <c r="AD30" s="293">
        <v>-9.35E-2</v>
      </c>
      <c r="AE30" s="293">
        <v>-0.107</v>
      </c>
      <c r="AF30" s="293">
        <v>3.5299999999999998E-2</v>
      </c>
      <c r="AG30" s="293">
        <v>4.9299999999999997E-2</v>
      </c>
      <c r="AH30" s="293">
        <v>6.4000000000000003E-3</v>
      </c>
      <c r="AI30" s="293">
        <v>8.5199999999999998E-2</v>
      </c>
      <c r="AJ30" s="293">
        <v>-8.0000000000000002E-3</v>
      </c>
      <c r="AK30" s="293">
        <v>6.7199999999999996E-2</v>
      </c>
      <c r="AL30" s="293">
        <v>3.2000000000000001E-2</v>
      </c>
    </row>
    <row r="31" spans="1:38" x14ac:dyDescent="0.3">
      <c r="R31">
        <v>2022</v>
      </c>
      <c r="S31" s="317" t="s">
        <v>12017</v>
      </c>
      <c r="T31" s="293"/>
      <c r="U31" s="293"/>
      <c r="V31" s="293"/>
      <c r="W31" s="293">
        <v>0.17</v>
      </c>
      <c r="X31" s="293">
        <v>9.6500000000000002E-2</v>
      </c>
      <c r="Y31" s="293">
        <v>0.2064</v>
      </c>
      <c r="Z31" s="293">
        <v>-0.03</v>
      </c>
      <c r="AA31" s="293">
        <v>-3.1600000000000003E-2</v>
      </c>
      <c r="AB31" s="293">
        <v>-3.2500000000000001E-2</v>
      </c>
      <c r="AC31" s="293">
        <v>0.13800000000000001</v>
      </c>
      <c r="AD31" s="293">
        <v>-3.6999999999999998E-2</v>
      </c>
      <c r="AE31" s="293">
        <v>3.7499999999999999E-2</v>
      </c>
      <c r="AF31" s="293">
        <v>7.3300000000000004E-2</v>
      </c>
      <c r="AG31" s="293">
        <v>2.5499999999999998E-2</v>
      </c>
      <c r="AH31" s="293">
        <v>4.8999999999999998E-3</v>
      </c>
      <c r="AI31" s="293">
        <v>2.1700000000000001E-2</v>
      </c>
      <c r="AJ31" s="293">
        <v>-2.3E-2</v>
      </c>
      <c r="AK31" s="293">
        <v>2.8299999999999999E-2</v>
      </c>
      <c r="AL31" s="293">
        <v>-7.5999999999999998E-2</v>
      </c>
    </row>
    <row r="32" spans="1:38" x14ac:dyDescent="0.3">
      <c r="R32">
        <v>2023</v>
      </c>
      <c r="S32" s="317" t="s">
        <v>12018</v>
      </c>
      <c r="T32" s="293"/>
      <c r="U32" s="293"/>
      <c r="V32" s="293"/>
      <c r="W32" s="293">
        <v>-8.5000000000000006E-2</v>
      </c>
      <c r="X32" s="293">
        <v>0.15679999999999999</v>
      </c>
      <c r="Y32" s="293">
        <v>3.0000000000000001E-3</v>
      </c>
      <c r="Z32" s="293">
        <v>-3.8E-3</v>
      </c>
      <c r="AA32" s="293">
        <v>3.32E-2</v>
      </c>
      <c r="AB32" s="293">
        <v>-7.4999999999999997E-3</v>
      </c>
      <c r="AC32" s="293">
        <v>4.7000000000000002E-3</v>
      </c>
      <c r="AD32" s="293">
        <v>6.0600000000000001E-2</v>
      </c>
      <c r="AE32" s="293">
        <v>-0.1145</v>
      </c>
      <c r="AF32" s="293">
        <v>-6.1199999999999997E-2</v>
      </c>
      <c r="AG32" s="293">
        <v>5.2600000000000001E-2</v>
      </c>
      <c r="AH32" s="293">
        <v>-4.3099999999999999E-2</v>
      </c>
      <c r="AI32" s="293">
        <v>-7.1000000000000004E-3</v>
      </c>
      <c r="AJ32" s="293">
        <v>-0.1396</v>
      </c>
      <c r="AK32" s="293">
        <v>-7.7000000000000002E-3</v>
      </c>
      <c r="AL32" s="293">
        <v>-4.7399999999999998E-2</v>
      </c>
    </row>
    <row r="33" spans="18:38" x14ac:dyDescent="0.3">
      <c r="R33">
        <v>2024</v>
      </c>
      <c r="S33" s="317" t="s">
        <v>12019</v>
      </c>
      <c r="T33" s="293"/>
      <c r="U33" s="293"/>
      <c r="V33" s="293"/>
      <c r="W33" s="293">
        <v>0.1142</v>
      </c>
      <c r="X33" s="293">
        <v>-0.1004</v>
      </c>
      <c r="Y33" s="293">
        <v>4.2299999999999997E-2</v>
      </c>
      <c r="Z33" s="293">
        <v>0.17399999999999999</v>
      </c>
      <c r="AA33" s="293">
        <v>0.1056</v>
      </c>
      <c r="AB33" s="293">
        <v>0.20430000000000001</v>
      </c>
      <c r="AC33" s="293">
        <v>0.13020000000000001</v>
      </c>
      <c r="AD33" s="293">
        <v>5.6800000000000003E-2</v>
      </c>
      <c r="AE33" s="293">
        <v>-7.9399999999999998E-2</v>
      </c>
      <c r="AF33" s="293">
        <v>-2E-3</v>
      </c>
      <c r="AG33" s="293">
        <v>2.7199999999999998E-2</v>
      </c>
      <c r="AH33" s="293">
        <v>5.8999999999999999E-3</v>
      </c>
      <c r="AI33" s="293">
        <v>0.1245</v>
      </c>
      <c r="AJ33" s="293">
        <v>2.1399999999999999E-2</v>
      </c>
      <c r="AK33" s="293">
        <v>-4.3400000000000001E-2</v>
      </c>
      <c r="AL33" s="293">
        <v>7.400000000000001E-2</v>
      </c>
    </row>
    <row r="34" spans="18:38" x14ac:dyDescent="0.3">
      <c r="R34">
        <v>2025</v>
      </c>
      <c r="S34" s="317" t="s">
        <v>12020</v>
      </c>
      <c r="T34" s="293"/>
      <c r="U34" s="293"/>
      <c r="V34" s="293"/>
      <c r="W34" s="293">
        <v>0.13500000000000001</v>
      </c>
      <c r="X34" s="293">
        <v>5.5500000000000001E-2</v>
      </c>
      <c r="Y34" s="293">
        <v>-8.0000000000000004E-4</v>
      </c>
      <c r="Z34" s="293">
        <v>-1.41E-2</v>
      </c>
      <c r="AA34" s="293">
        <v>2.35E-2</v>
      </c>
      <c r="AB34" s="293">
        <v>3.0800000000000001E-2</v>
      </c>
      <c r="AC34" s="293">
        <v>8.5099999999999995E-2</v>
      </c>
      <c r="AD34" s="293">
        <v>-1.0699999999999999E-2</v>
      </c>
      <c r="AE34" s="293">
        <v>-1.49E-2</v>
      </c>
      <c r="AF34" s="293">
        <v>6.9099999999999995E-2</v>
      </c>
      <c r="AG34" s="293">
        <v>0.01</v>
      </c>
      <c r="AH34" s="293">
        <v>3.8899999999999997E-2</v>
      </c>
      <c r="AI34" s="293">
        <v>2.1600000000000001E-2</v>
      </c>
    </row>
    <row r="35" spans="18:38" x14ac:dyDescent="0.3">
      <c r="R35">
        <v>2026</v>
      </c>
      <c r="W35" s="293">
        <v>-5.7000000000000002E-3</v>
      </c>
    </row>
    <row r="37" spans="18:38" x14ac:dyDescent="0.3">
      <c r="R37" t="s">
        <v>12021</v>
      </c>
    </row>
    <row r="38" spans="18:38" x14ac:dyDescent="0.3">
      <c r="R38" s="8" t="s">
        <v>12003</v>
      </c>
      <c r="S38" s="8">
        <v>1</v>
      </c>
      <c r="T38" s="8">
        <v>2</v>
      </c>
      <c r="U38" s="8">
        <v>3</v>
      </c>
      <c r="V38" s="8">
        <v>4</v>
      </c>
      <c r="W38" s="8">
        <v>5</v>
      </c>
      <c r="X38" s="8">
        <v>6</v>
      </c>
      <c r="Y38" s="8">
        <v>7</v>
      </c>
      <c r="Z38" s="8">
        <v>8</v>
      </c>
      <c r="AA38" s="8">
        <v>9</v>
      </c>
      <c r="AB38" s="8">
        <v>10</v>
      </c>
      <c r="AC38" s="8">
        <v>11</v>
      </c>
      <c r="AD38" s="316">
        <v>12</v>
      </c>
      <c r="AE38" s="8">
        <v>1</v>
      </c>
      <c r="AF38" s="8">
        <v>2</v>
      </c>
      <c r="AG38" s="8">
        <v>3</v>
      </c>
      <c r="AH38" s="8">
        <v>4</v>
      </c>
      <c r="AI38" s="8">
        <v>5</v>
      </c>
      <c r="AJ38" s="8">
        <v>6</v>
      </c>
      <c r="AK38" s="8">
        <v>7</v>
      </c>
      <c r="AL38" s="8">
        <v>8</v>
      </c>
    </row>
    <row r="39" spans="18:38" x14ac:dyDescent="0.3">
      <c r="R39" s="8">
        <v>2019</v>
      </c>
      <c r="S39" s="293"/>
      <c r="T39" s="293"/>
      <c r="U39" s="293"/>
      <c r="V39" s="293"/>
      <c r="W39" s="293"/>
      <c r="X39" s="293"/>
      <c r="Y39" s="293"/>
      <c r="Z39" s="293"/>
      <c r="AA39" s="293"/>
      <c r="AB39" s="293"/>
      <c r="AC39" s="293"/>
      <c r="AD39" s="293"/>
    </row>
    <row r="40" spans="18:38" x14ac:dyDescent="0.3">
      <c r="R40">
        <v>2020</v>
      </c>
      <c r="S40" s="293">
        <v>-5.11E-2</v>
      </c>
      <c r="T40" s="293">
        <v>-5.7599999999999998E-2</v>
      </c>
      <c r="U40" s="293">
        <v>-1.35E-2</v>
      </c>
      <c r="V40" s="293">
        <v>-8.8000000000000005E-3</v>
      </c>
      <c r="W40" s="293">
        <v>-3.0300000000000001E-2</v>
      </c>
      <c r="X40" s="293">
        <v>3.3300000000000003E-2</v>
      </c>
      <c r="Y40" s="293">
        <v>4.8399999999999999E-2</v>
      </c>
      <c r="Z40" s="293">
        <v>3.09E-2</v>
      </c>
      <c r="AA40" s="293">
        <v>-3.7900000000000003E-2</v>
      </c>
      <c r="AB40" s="293">
        <v>8.9999999999999993E-3</v>
      </c>
      <c r="AC40" s="293">
        <v>1.8700000000000001E-2</v>
      </c>
      <c r="AD40" s="293">
        <v>-1.1299999999999999E-2</v>
      </c>
      <c r="AE40" s="293">
        <f t="shared" ref="AE40:AE45" si="12">SUM(S40:AD40)</f>
        <v>-7.0199999999999985E-2</v>
      </c>
      <c r="AF40" s="293">
        <v>0</v>
      </c>
      <c r="AG40" s="293">
        <v>0</v>
      </c>
      <c r="AH40" s="293">
        <v>0</v>
      </c>
      <c r="AI40" s="293">
        <v>0</v>
      </c>
      <c r="AJ40" s="293">
        <v>0</v>
      </c>
      <c r="AK40" s="293">
        <v>0</v>
      </c>
      <c r="AL40" s="293">
        <v>0</v>
      </c>
    </row>
    <row r="41" spans="18:38" x14ac:dyDescent="0.3">
      <c r="R41">
        <v>2021</v>
      </c>
      <c r="S41" s="293">
        <v>-5.0500000000000003E-2</v>
      </c>
      <c r="T41" s="293">
        <v>5.8099999999999999E-2</v>
      </c>
      <c r="U41" s="293">
        <v>7.7399999999999997E-2</v>
      </c>
      <c r="V41" s="293">
        <v>4.6399999999999997E-2</v>
      </c>
      <c r="W41" s="293">
        <v>4.3200000000000002E-2</v>
      </c>
      <c r="X41" s="293">
        <v>0.1016</v>
      </c>
      <c r="Y41" s="293">
        <v>8.0999999999999996E-3</v>
      </c>
      <c r="Z41" s="293">
        <v>7.0000000000000007E-2</v>
      </c>
      <c r="AA41" s="293">
        <v>-1.2999999999999999E-2</v>
      </c>
      <c r="AB41" s="293">
        <v>-1.66E-2</v>
      </c>
      <c r="AC41" s="293">
        <v>7.3700000000000002E-2</v>
      </c>
      <c r="AD41" s="293">
        <v>4.7300000000000002E-2</v>
      </c>
      <c r="AE41" s="293">
        <f t="shared" si="12"/>
        <v>0.44569999999999999</v>
      </c>
      <c r="AF41" s="293">
        <v>0</v>
      </c>
      <c r="AG41" s="293">
        <v>0</v>
      </c>
      <c r="AH41" s="293">
        <v>0</v>
      </c>
      <c r="AI41" s="293">
        <v>0</v>
      </c>
      <c r="AJ41" s="293">
        <v>0</v>
      </c>
      <c r="AK41" s="293">
        <v>0</v>
      </c>
      <c r="AL41" s="293">
        <v>0</v>
      </c>
    </row>
    <row r="42" spans="18:38" x14ac:dyDescent="0.3">
      <c r="R42">
        <v>2022</v>
      </c>
      <c r="S42" s="293">
        <v>-8.2100000000000006E-2</v>
      </c>
      <c r="T42" s="293">
        <v>1.34E-2</v>
      </c>
      <c r="U42" s="293">
        <v>-6.4000000000000003E-3</v>
      </c>
      <c r="V42" s="293">
        <v>-8.2000000000000003E-2</v>
      </c>
      <c r="W42" s="293">
        <v>7.1499999999999994E-2</v>
      </c>
      <c r="X42" s="293">
        <v>1.7999999999999999E-2</v>
      </c>
      <c r="Y42" s="293">
        <v>5.2600000000000001E-2</v>
      </c>
      <c r="Z42" s="293">
        <v>4.24E-2</v>
      </c>
      <c r="AA42" s="293">
        <v>-5.16E-2</v>
      </c>
      <c r="AB42" s="293">
        <v>-2.07E-2</v>
      </c>
      <c r="AC42" s="293">
        <v>0.14050000000000001</v>
      </c>
      <c r="AD42" s="293">
        <v>-1.4999999999999999E-2</v>
      </c>
      <c r="AE42" s="293">
        <f t="shared" si="12"/>
        <v>8.0599999999999991E-2</v>
      </c>
      <c r="AF42" s="293">
        <v>0</v>
      </c>
      <c r="AG42" s="293">
        <v>0</v>
      </c>
      <c r="AH42" s="293">
        <v>0</v>
      </c>
      <c r="AI42" s="293">
        <v>0</v>
      </c>
      <c r="AJ42" s="293">
        <v>0</v>
      </c>
      <c r="AK42" s="293">
        <v>0</v>
      </c>
      <c r="AL42" s="293">
        <v>0</v>
      </c>
    </row>
    <row r="43" spans="18:38" x14ac:dyDescent="0.3">
      <c r="R43">
        <v>2023</v>
      </c>
      <c r="S43" s="293">
        <v>4.87E-2</v>
      </c>
      <c r="T43" s="293">
        <v>6.8999999999999999E-3</v>
      </c>
      <c r="U43" s="293">
        <v>-1.6899999999999998E-2</v>
      </c>
      <c r="V43" s="293">
        <v>-2.6499999999999999E-2</v>
      </c>
      <c r="W43" s="293">
        <v>-3.1600000000000003E-2</v>
      </c>
      <c r="X43" s="293">
        <v>4.5999999999999999E-2</v>
      </c>
      <c r="Y43" s="293">
        <v>8.2000000000000007E-3</v>
      </c>
      <c r="Z43" s="293">
        <v>-1.43E-2</v>
      </c>
      <c r="AA43" s="293">
        <v>2.9899999999999999E-2</v>
      </c>
      <c r="AB43" s="293">
        <v>3.5999999999999999E-3</v>
      </c>
      <c r="AC43" s="293">
        <v>5.0999999999999997E-2</v>
      </c>
      <c r="AD43" s="293">
        <v>-1.8599999999999998E-2</v>
      </c>
      <c r="AE43" s="293">
        <f t="shared" si="12"/>
        <v>8.6400000000000005E-2</v>
      </c>
      <c r="AF43" s="293">
        <v>0</v>
      </c>
      <c r="AG43" s="293">
        <v>0</v>
      </c>
      <c r="AH43" s="293">
        <v>0</v>
      </c>
      <c r="AI43" s="293">
        <v>0</v>
      </c>
      <c r="AJ43" s="293">
        <v>0</v>
      </c>
      <c r="AK43" s="293">
        <v>0</v>
      </c>
      <c r="AL43" s="293">
        <v>0</v>
      </c>
    </row>
    <row r="44" spans="18:38" x14ac:dyDescent="0.3">
      <c r="R44">
        <v>2024</v>
      </c>
      <c r="S44" s="293">
        <v>-0.1174</v>
      </c>
      <c r="T44" s="293">
        <v>-1.17E-2</v>
      </c>
      <c r="U44" s="293">
        <v>4.5900000000000003E-2</v>
      </c>
      <c r="V44" s="293">
        <v>-9.2799999999999994E-2</v>
      </c>
      <c r="W44" s="293">
        <v>-2.35E-2</v>
      </c>
      <c r="X44" s="293">
        <v>-8.2199999999999995E-2</v>
      </c>
      <c r="Y44" s="293">
        <v>0.1139</v>
      </c>
      <c r="Z44" s="293">
        <v>3.04E-2</v>
      </c>
      <c r="AA44" s="293">
        <v>0.1022</v>
      </c>
      <c r="AB44" s="293">
        <v>0.1585</v>
      </c>
      <c r="AC44" s="293">
        <v>9.9699999999999997E-2</v>
      </c>
      <c r="AD44" s="293">
        <v>-1.18E-2</v>
      </c>
      <c r="AE44" s="293">
        <f t="shared" si="12"/>
        <v>0.21120000000000005</v>
      </c>
      <c r="AF44" s="293">
        <v>0</v>
      </c>
      <c r="AG44" s="293">
        <v>0</v>
      </c>
      <c r="AH44" s="293">
        <v>0</v>
      </c>
      <c r="AI44" s="293">
        <v>0</v>
      </c>
      <c r="AJ44" s="293">
        <v>0</v>
      </c>
      <c r="AK44" s="293">
        <v>0</v>
      </c>
      <c r="AL44" s="293">
        <v>0</v>
      </c>
    </row>
    <row r="45" spans="18:38" x14ac:dyDescent="0.3">
      <c r="R45">
        <v>2025</v>
      </c>
      <c r="S45" s="293">
        <v>1.6000000000000001E-3</v>
      </c>
      <c r="T45" s="293">
        <v>4.1799999999999997E-2</v>
      </c>
      <c r="U45" s="293">
        <v>2.3599999999999999E-2</v>
      </c>
      <c r="V45" s="293">
        <v>2.7E-2</v>
      </c>
      <c r="W45" s="293">
        <v>8.8499999999999995E-2</v>
      </c>
      <c r="X45" s="293">
        <v>9.69E-2</v>
      </c>
      <c r="Y45" s="293">
        <v>2.0999999999999999E-3</v>
      </c>
      <c r="Z45" s="293">
        <v>0.1011</v>
      </c>
      <c r="AA45" s="293">
        <v>1.41E-2</v>
      </c>
      <c r="AB45" s="293">
        <v>5.2900000000000003E-2</v>
      </c>
      <c r="AC45" s="293">
        <v>4.9099999999999998E-2</v>
      </c>
      <c r="AD45" s="293">
        <v>-4.2200000000000001E-2</v>
      </c>
      <c r="AE45" s="293">
        <f t="shared" si="12"/>
        <v>0.45649999999999991</v>
      </c>
    </row>
    <row r="46" spans="18:38" x14ac:dyDescent="0.3">
      <c r="R46">
        <v>2026</v>
      </c>
      <c r="S46" s="293">
        <v>4.5100000000000001E-2</v>
      </c>
      <c r="T46" s="293">
        <v>9.8599999999999993E-2</v>
      </c>
      <c r="U46" s="293">
        <v>-4.9299999999999997E-2</v>
      </c>
      <c r="V46" s="293">
        <v>1.12E-2</v>
      </c>
      <c r="W46" s="293">
        <v>-6.3899999999999998E-2</v>
      </c>
    </row>
  </sheetData>
  <mergeCells count="1">
    <mergeCell ref="A1:F1"/>
  </mergeCells>
  <phoneticPr fontId="16" type="noConversion"/>
  <conditionalFormatting sqref="S6:AD12 AE12:AI12 S18:AL22 S23:AH23 AJ23:AL23">
    <cfRule type="cellIs" dxfId="15" priority="1" operator="lessThan">
      <formula>0</formula>
    </cfRule>
  </conditionalFormatting>
  <conditionalFormatting sqref="S17:AD17">
    <cfRule type="cellIs" dxfId="14" priority="3" operator="lessThan">
      <formula>0</formula>
    </cfRule>
  </conditionalFormatting>
  <conditionalFormatting sqref="S28:AD34 W35">
    <cfRule type="cellIs" dxfId="13" priority="2" operator="lessThan">
      <formula>0</formula>
    </cfRule>
  </conditionalFormatting>
  <conditionalFormatting sqref="S39:AD39 S40:AL40 AF41:AL44 S41:AE45 S46:W46">
    <cfRule type="cellIs" dxfId="12" priority="4" operator="lessThan">
      <formula>0</formula>
    </cfRule>
  </conditionalFormatting>
  <conditionalFormatting sqref="AE7:AL11">
    <cfRule type="cellIs" dxfId="11" priority="6" operator="lessThan">
      <formula>0</formula>
    </cfRule>
  </conditionalFormatting>
  <conditionalFormatting sqref="AE29:AL33 AE34:AI34">
    <cfRule type="cellIs" dxfId="10" priority="5" operator="lessThan">
      <formula>0</formula>
    </cfRule>
  </conditionalFormatting>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6"/>
  <sheetViews>
    <sheetView workbookViewId="0">
      <selection activeCell="G6" sqref="G6"/>
    </sheetView>
  </sheetViews>
  <sheetFormatPr defaultRowHeight="14" x14ac:dyDescent="0.3"/>
  <cols>
    <col min="3" max="3" width="9.08203125" style="350" bestFit="1" customWidth="1"/>
    <col min="4" max="4" width="28.5" style="8" customWidth="1"/>
  </cols>
  <sheetData>
    <row r="1" spans="1:7" x14ac:dyDescent="0.3">
      <c r="A1" t="s">
        <v>12022</v>
      </c>
      <c r="B1" t="s">
        <v>430</v>
      </c>
      <c r="C1" t="s">
        <v>12023</v>
      </c>
      <c r="D1" s="8" t="s">
        <v>431</v>
      </c>
      <c r="E1" t="s">
        <v>305</v>
      </c>
      <c r="F1" t="s">
        <v>450</v>
      </c>
      <c r="G1" t="s">
        <v>504</v>
      </c>
    </row>
    <row r="2" spans="1:7" ht="28" customHeight="1" x14ac:dyDescent="0.3">
      <c r="A2">
        <v>600608</v>
      </c>
      <c r="B2" t="s">
        <v>1476</v>
      </c>
      <c r="C2">
        <v>20251212</v>
      </c>
      <c r="D2" s="8" t="s">
        <v>12024</v>
      </c>
      <c r="F2" t="s">
        <v>441</v>
      </c>
      <c r="G2" t="s">
        <v>534</v>
      </c>
    </row>
    <row r="3" spans="1:7" ht="42" customHeight="1" x14ac:dyDescent="0.3">
      <c r="A3">
        <v>567</v>
      </c>
      <c r="B3" t="s">
        <v>12025</v>
      </c>
      <c r="C3">
        <v>20251128</v>
      </c>
      <c r="D3" s="8" t="s">
        <v>12026</v>
      </c>
      <c r="F3" t="s">
        <v>441</v>
      </c>
      <c r="G3" t="s">
        <v>237</v>
      </c>
    </row>
    <row r="4" spans="1:7" ht="42" customHeight="1" x14ac:dyDescent="0.3">
      <c r="A4">
        <v>2963</v>
      </c>
      <c r="B4" t="s">
        <v>12027</v>
      </c>
      <c r="C4">
        <v>20251122</v>
      </c>
      <c r="D4" s="8" t="s">
        <v>12028</v>
      </c>
      <c r="F4" t="s">
        <v>441</v>
      </c>
      <c r="G4" t="s">
        <v>237</v>
      </c>
    </row>
    <row r="5" spans="1:7" x14ac:dyDescent="0.3">
      <c r="A5">
        <v>300173</v>
      </c>
      <c r="B5" t="s">
        <v>12029</v>
      </c>
      <c r="C5">
        <v>20241206</v>
      </c>
      <c r="D5" s="8" t="s">
        <v>12030</v>
      </c>
      <c r="F5" t="s">
        <v>441</v>
      </c>
      <c r="G5" t="s">
        <v>534</v>
      </c>
    </row>
    <row r="6" spans="1:7" x14ac:dyDescent="0.3">
      <c r="A6">
        <v>600581</v>
      </c>
      <c r="B6" t="s">
        <v>1604</v>
      </c>
      <c r="C6">
        <v>20251108</v>
      </c>
      <c r="D6" s="8" t="s">
        <v>12030</v>
      </c>
      <c r="F6" t="s">
        <v>441</v>
      </c>
      <c r="G6" t="s">
        <v>534</v>
      </c>
    </row>
  </sheetData>
  <phoneticPr fontId="16" type="noConversion"/>
  <dataValidations count="3">
    <dataValidation type="list" allowBlank="1" showInputMessage="1" showErrorMessage="1" sqref="F2:F1048576" xr:uid="{00000000-0002-0000-1400-000000000000}">
      <formula1>"是,否"</formula1>
    </dataValidation>
    <dataValidation type="list" allowBlank="1" showInputMessage="1" showErrorMessage="1" sqref="E2:E1048576" xr:uid="{00000000-0002-0000-1400-000001000000}">
      <formula1>"普通警告,其他风险,强制退市"</formula1>
    </dataValidation>
    <dataValidation type="list" allowBlank="1" showInputMessage="1" showErrorMessage="1" sqref="G2:G1048576" xr:uid="{00000000-0002-0000-1400-000002000000}">
      <formula1>"民营,国企"</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D2:W63"/>
  <sheetViews>
    <sheetView topLeftCell="B1" workbookViewId="0">
      <pane xSplit="3" ySplit="4" topLeftCell="E5" activePane="bottomRight" state="frozen"/>
      <selection activeCell="B1" sqref="B1"/>
      <selection pane="topRight" activeCell="E1" sqref="E1"/>
      <selection pane="bottomLeft" activeCell="B5" sqref="B5"/>
      <selection pane="bottomRight" activeCell="G14" sqref="G14"/>
    </sheetView>
  </sheetViews>
  <sheetFormatPr defaultRowHeight="14" x14ac:dyDescent="0.3"/>
  <cols>
    <col min="16" max="16" width="10.33203125" style="350" bestFit="1" customWidth="1"/>
  </cols>
  <sheetData>
    <row r="2" spans="4:23" x14ac:dyDescent="0.3">
      <c r="D2" t="s">
        <v>12031</v>
      </c>
    </row>
    <row r="3" spans="4:23" x14ac:dyDescent="0.3">
      <c r="W3" t="s">
        <v>12032</v>
      </c>
    </row>
    <row r="4" spans="4:23" x14ac:dyDescent="0.3">
      <c r="D4" s="321"/>
      <c r="E4" s="322"/>
      <c r="F4" s="323" t="s">
        <v>12033</v>
      </c>
      <c r="G4" s="323" t="s">
        <v>12034</v>
      </c>
      <c r="H4" s="323" t="s">
        <v>12035</v>
      </c>
      <c r="I4" s="322" t="s">
        <v>12036</v>
      </c>
      <c r="J4" s="322" t="s">
        <v>12037</v>
      </c>
      <c r="K4" s="322" t="s">
        <v>12038</v>
      </c>
      <c r="L4" s="322" t="s">
        <v>12039</v>
      </c>
      <c r="M4" s="324" t="s">
        <v>12040</v>
      </c>
      <c r="N4" t="s">
        <v>12041</v>
      </c>
      <c r="O4" t="s">
        <v>1848</v>
      </c>
      <c r="P4" t="s">
        <v>12042</v>
      </c>
      <c r="Q4" t="s">
        <v>12043</v>
      </c>
      <c r="R4" t="s">
        <v>1675</v>
      </c>
      <c r="S4" t="s">
        <v>12044</v>
      </c>
      <c r="T4" t="s">
        <v>418</v>
      </c>
      <c r="U4" t="s">
        <v>1971</v>
      </c>
      <c r="W4" t="s">
        <v>12045</v>
      </c>
    </row>
    <row r="5" spans="4:23" x14ac:dyDescent="0.3">
      <c r="R5" s="8"/>
      <c r="S5" s="8"/>
      <c r="T5" s="8"/>
      <c r="U5" s="8"/>
    </row>
    <row r="6" spans="4:23" x14ac:dyDescent="0.3">
      <c r="R6" s="8"/>
      <c r="S6" s="8"/>
      <c r="T6" s="8"/>
      <c r="U6" s="8"/>
    </row>
    <row r="7" spans="4:23" ht="28" customHeight="1" x14ac:dyDescent="0.3">
      <c r="D7" t="s">
        <v>12046</v>
      </c>
      <c r="J7" s="8" t="s">
        <v>12047</v>
      </c>
    </row>
    <row r="10" spans="4:23" x14ac:dyDescent="0.3">
      <c r="D10" s="325" t="s">
        <v>12048</v>
      </c>
      <c r="E10" s="326"/>
      <c r="F10" s="326">
        <v>86</v>
      </c>
      <c r="G10" s="326"/>
      <c r="H10" s="326"/>
      <c r="I10" s="326">
        <v>68</v>
      </c>
      <c r="J10" s="326"/>
      <c r="K10" s="326"/>
      <c r="L10" s="326"/>
      <c r="M10" s="327"/>
    </row>
    <row r="11" spans="4:23" x14ac:dyDescent="0.3">
      <c r="D11" s="328" t="s">
        <v>310</v>
      </c>
      <c r="E11" s="329"/>
      <c r="F11" s="329">
        <v>63.59</v>
      </c>
      <c r="G11" s="329">
        <v>29.53</v>
      </c>
      <c r="H11" s="329">
        <v>66</v>
      </c>
      <c r="I11" s="329"/>
      <c r="J11" s="329"/>
      <c r="K11" s="329"/>
      <c r="L11" s="329">
        <v>61</v>
      </c>
      <c r="M11" s="330"/>
    </row>
    <row r="12" spans="4:23" x14ac:dyDescent="0.3">
      <c r="E12">
        <v>202601</v>
      </c>
      <c r="F12">
        <v>11.8</v>
      </c>
    </row>
    <row r="13" spans="4:23" x14ac:dyDescent="0.3">
      <c r="E13">
        <v>202512</v>
      </c>
      <c r="F13">
        <v>11.6</v>
      </c>
    </row>
    <row r="14" spans="4:23" x14ac:dyDescent="0.3">
      <c r="E14">
        <v>202510</v>
      </c>
      <c r="F14">
        <v>11.3</v>
      </c>
      <c r="M14">
        <v>13.3</v>
      </c>
      <c r="N14">
        <v>11.9</v>
      </c>
    </row>
    <row r="15" spans="4:23" x14ac:dyDescent="0.3">
      <c r="E15">
        <v>202509</v>
      </c>
      <c r="F15">
        <v>11.6</v>
      </c>
      <c r="G15">
        <v>12.5</v>
      </c>
    </row>
    <row r="16" spans="4:23" x14ac:dyDescent="0.3">
      <c r="E16">
        <v>202410</v>
      </c>
      <c r="F16">
        <v>13.3</v>
      </c>
    </row>
    <row r="17" spans="4:13" x14ac:dyDescent="0.3">
      <c r="E17">
        <v>202409</v>
      </c>
      <c r="F17">
        <v>13.7</v>
      </c>
      <c r="G17">
        <v>13.4</v>
      </c>
    </row>
    <row r="18" spans="4:13" x14ac:dyDescent="0.3">
      <c r="E18">
        <v>202408</v>
      </c>
      <c r="F18">
        <v>13.7</v>
      </c>
      <c r="G18">
        <v>13.4</v>
      </c>
      <c r="K18" s="326">
        <v>14.6</v>
      </c>
    </row>
    <row r="19" spans="4:13" x14ac:dyDescent="0.3">
      <c r="E19">
        <v>202407</v>
      </c>
      <c r="F19">
        <v>13.8</v>
      </c>
      <c r="G19">
        <v>13.7</v>
      </c>
      <c r="H19">
        <v>14.4</v>
      </c>
      <c r="J19">
        <v>14.75</v>
      </c>
      <c r="K19" s="326">
        <v>14.6</v>
      </c>
    </row>
    <row r="20" spans="4:13" x14ac:dyDescent="0.3">
      <c r="D20" s="325"/>
      <c r="E20" s="326">
        <v>202406</v>
      </c>
      <c r="F20" s="326">
        <v>14</v>
      </c>
      <c r="G20" s="326">
        <v>13.7</v>
      </c>
      <c r="H20" s="326">
        <v>14.5</v>
      </c>
      <c r="I20" s="326"/>
      <c r="J20" s="326">
        <v>15.07</v>
      </c>
      <c r="K20" s="326">
        <v>14.6</v>
      </c>
      <c r="L20" s="326">
        <v>14</v>
      </c>
      <c r="M20" s="327"/>
    </row>
    <row r="21" spans="4:13" x14ac:dyDescent="0.3">
      <c r="D21" s="397" t="s">
        <v>12049</v>
      </c>
      <c r="E21">
        <v>202405</v>
      </c>
      <c r="F21">
        <v>14.3</v>
      </c>
      <c r="G21">
        <v>14</v>
      </c>
      <c r="H21">
        <v>14.1</v>
      </c>
      <c r="I21">
        <v>14.2</v>
      </c>
      <c r="J21">
        <v>14.88</v>
      </c>
      <c r="K21">
        <v>14.7</v>
      </c>
      <c r="L21">
        <v>14</v>
      </c>
      <c r="M21" s="331"/>
    </row>
    <row r="22" spans="4:13" x14ac:dyDescent="0.3">
      <c r="D22" s="398"/>
      <c r="E22">
        <v>202404</v>
      </c>
      <c r="F22">
        <v>14.8</v>
      </c>
      <c r="G22">
        <v>14.2</v>
      </c>
      <c r="H22">
        <v>14.6</v>
      </c>
      <c r="I22">
        <v>14.4</v>
      </c>
      <c r="J22">
        <v>15.5</v>
      </c>
      <c r="M22" s="331"/>
    </row>
    <row r="23" spans="4:13" x14ac:dyDescent="0.3">
      <c r="D23" s="398"/>
      <c r="E23">
        <v>202403</v>
      </c>
      <c r="F23">
        <v>15.1</v>
      </c>
      <c r="G23">
        <v>14.5</v>
      </c>
      <c r="H23">
        <v>15.36</v>
      </c>
      <c r="I23">
        <v>14.8</v>
      </c>
      <c r="J23">
        <v>15.5</v>
      </c>
      <c r="L23">
        <v>15</v>
      </c>
      <c r="M23" s="331"/>
    </row>
    <row r="24" spans="4:13" x14ac:dyDescent="0.3">
      <c r="D24" s="398"/>
      <c r="E24">
        <v>202402</v>
      </c>
      <c r="F24">
        <v>15.8</v>
      </c>
      <c r="G24">
        <v>14.5</v>
      </c>
      <c r="H24">
        <v>15.7</v>
      </c>
      <c r="L24">
        <v>15</v>
      </c>
      <c r="M24" s="331"/>
    </row>
    <row r="25" spans="4:13" x14ac:dyDescent="0.3">
      <c r="D25" s="398"/>
      <c r="E25">
        <v>202401</v>
      </c>
      <c r="F25">
        <v>15.8</v>
      </c>
      <c r="G25">
        <v>14.5</v>
      </c>
      <c r="H25">
        <v>15.7</v>
      </c>
      <c r="L25">
        <v>15</v>
      </c>
      <c r="M25" s="331"/>
    </row>
    <row r="26" spans="4:13" x14ac:dyDescent="0.3">
      <c r="D26" s="398"/>
      <c r="E26">
        <v>2023</v>
      </c>
      <c r="F26">
        <v>15</v>
      </c>
      <c r="G26">
        <v>16.2</v>
      </c>
      <c r="H26">
        <v>16</v>
      </c>
      <c r="I26">
        <v>16.600000000000001</v>
      </c>
      <c r="K26">
        <v>15.8</v>
      </c>
      <c r="M26" s="331"/>
    </row>
    <row r="27" spans="4:13" x14ac:dyDescent="0.3">
      <c r="D27" s="399"/>
      <c r="E27" s="329">
        <v>2022</v>
      </c>
      <c r="F27" s="329">
        <v>15.7</v>
      </c>
      <c r="G27" s="329">
        <v>16.7</v>
      </c>
      <c r="H27" s="329"/>
      <c r="I27" s="329">
        <v>17.2</v>
      </c>
      <c r="J27" s="329"/>
      <c r="K27" s="329">
        <v>16.7</v>
      </c>
      <c r="L27" s="329"/>
      <c r="M27" s="330"/>
    </row>
    <row r="29" spans="4:13" x14ac:dyDescent="0.3">
      <c r="E29">
        <v>202407</v>
      </c>
      <c r="G29">
        <v>28</v>
      </c>
    </row>
    <row r="30" spans="4:13" x14ac:dyDescent="0.3">
      <c r="D30" s="325"/>
      <c r="E30" s="326">
        <v>202406</v>
      </c>
      <c r="F30" s="332">
        <v>28</v>
      </c>
      <c r="G30" s="326" t="s">
        <v>12050</v>
      </c>
      <c r="H30" s="326"/>
      <c r="I30" s="326"/>
      <c r="J30" s="326">
        <v>27</v>
      </c>
      <c r="K30" s="326"/>
      <c r="L30" s="326">
        <v>29</v>
      </c>
      <c r="M30" s="327"/>
    </row>
    <row r="31" spans="4:13" x14ac:dyDescent="0.3">
      <c r="D31" s="397" t="s">
        <v>12051</v>
      </c>
      <c r="E31">
        <v>202405</v>
      </c>
      <c r="F31" t="s">
        <v>12052</v>
      </c>
      <c r="G31" t="s">
        <v>12050</v>
      </c>
      <c r="H31">
        <v>25.5</v>
      </c>
      <c r="I31">
        <v>23</v>
      </c>
      <c r="M31" s="331"/>
    </row>
    <row r="32" spans="4:13" x14ac:dyDescent="0.3">
      <c r="D32" s="398"/>
      <c r="E32">
        <v>202404</v>
      </c>
      <c r="F32" t="s">
        <v>12053</v>
      </c>
      <c r="G32" t="s">
        <v>12050</v>
      </c>
      <c r="H32">
        <v>25</v>
      </c>
      <c r="I32">
        <v>23</v>
      </c>
      <c r="K32">
        <v>25</v>
      </c>
      <c r="M32" s="331"/>
    </row>
    <row r="33" spans="4:20" x14ac:dyDescent="0.3">
      <c r="D33" s="398"/>
      <c r="E33">
        <v>202403</v>
      </c>
      <c r="G33" t="s">
        <v>12050</v>
      </c>
      <c r="H33">
        <v>25</v>
      </c>
      <c r="M33" s="331"/>
    </row>
    <row r="34" spans="4:20" x14ac:dyDescent="0.3">
      <c r="D34" s="398"/>
      <c r="E34">
        <v>202402</v>
      </c>
      <c r="G34" t="s">
        <v>12050</v>
      </c>
      <c r="H34">
        <v>25</v>
      </c>
      <c r="M34" s="331"/>
    </row>
    <row r="35" spans="4:20" x14ac:dyDescent="0.3">
      <c r="D35" s="398"/>
      <c r="E35">
        <v>202401</v>
      </c>
      <c r="G35" t="s">
        <v>12050</v>
      </c>
      <c r="H35">
        <v>25</v>
      </c>
      <c r="M35" s="331"/>
    </row>
    <row r="36" spans="4:20" x14ac:dyDescent="0.3">
      <c r="D36" s="398"/>
      <c r="E36">
        <v>2023</v>
      </c>
      <c r="M36" s="331"/>
    </row>
    <row r="37" spans="4:20" x14ac:dyDescent="0.3">
      <c r="D37" s="399"/>
      <c r="E37" s="329">
        <v>2022</v>
      </c>
      <c r="F37" s="329"/>
      <c r="G37" s="329"/>
      <c r="H37" s="329"/>
      <c r="I37" s="329"/>
      <c r="J37" s="329"/>
      <c r="K37" s="329"/>
      <c r="L37" s="329"/>
      <c r="M37" s="330"/>
    </row>
    <row r="39" spans="4:20" x14ac:dyDescent="0.3">
      <c r="D39" s="325"/>
      <c r="E39" s="326">
        <v>202406</v>
      </c>
      <c r="F39" s="326">
        <v>84</v>
      </c>
      <c r="G39" s="326"/>
      <c r="H39" s="326"/>
      <c r="I39" s="326"/>
      <c r="J39" s="326"/>
      <c r="K39" s="326"/>
      <c r="L39" s="326"/>
      <c r="M39" s="327"/>
    </row>
    <row r="40" spans="4:20" x14ac:dyDescent="0.3">
      <c r="D40" s="397" t="s">
        <v>12054</v>
      </c>
      <c r="E40">
        <v>202405</v>
      </c>
      <c r="F40">
        <v>82.6</v>
      </c>
      <c r="H40">
        <v>89</v>
      </c>
      <c r="I40">
        <v>92</v>
      </c>
      <c r="M40" s="331"/>
    </row>
    <row r="41" spans="4:20" x14ac:dyDescent="0.3">
      <c r="D41" s="398"/>
      <c r="E41">
        <v>202404</v>
      </c>
      <c r="F41" t="s">
        <v>12055</v>
      </c>
      <c r="H41">
        <v>90</v>
      </c>
      <c r="I41">
        <v>92</v>
      </c>
      <c r="K41">
        <v>92</v>
      </c>
      <c r="M41" s="331"/>
    </row>
    <row r="42" spans="4:20" x14ac:dyDescent="0.3">
      <c r="D42" s="398"/>
      <c r="E42">
        <v>202403</v>
      </c>
      <c r="H42">
        <v>90</v>
      </c>
      <c r="M42" s="331"/>
      <c r="R42" s="8"/>
      <c r="S42" s="8"/>
      <c r="T42" s="8"/>
    </row>
    <row r="43" spans="4:20" x14ac:dyDescent="0.3">
      <c r="D43" s="398"/>
      <c r="E43">
        <v>202402</v>
      </c>
      <c r="H43">
        <v>90</v>
      </c>
      <c r="M43" s="331"/>
    </row>
    <row r="44" spans="4:20" x14ac:dyDescent="0.3">
      <c r="D44" s="398"/>
      <c r="E44">
        <v>202401</v>
      </c>
      <c r="H44">
        <v>90</v>
      </c>
      <c r="M44" s="331"/>
    </row>
    <row r="45" spans="4:20" x14ac:dyDescent="0.3">
      <c r="D45" s="398"/>
      <c r="E45">
        <v>2023</v>
      </c>
      <c r="M45" s="331"/>
    </row>
    <row r="46" spans="4:20" x14ac:dyDescent="0.3">
      <c r="D46" s="399"/>
      <c r="E46" s="329">
        <v>2022</v>
      </c>
      <c r="F46" s="329"/>
      <c r="G46" s="329"/>
      <c r="H46" s="329"/>
      <c r="I46" s="329"/>
      <c r="J46" s="329"/>
      <c r="K46" s="329"/>
      <c r="L46" s="329"/>
      <c r="M46" s="330"/>
    </row>
    <row r="48" spans="4:20" x14ac:dyDescent="0.3">
      <c r="E48">
        <v>202410</v>
      </c>
      <c r="F48">
        <v>260</v>
      </c>
    </row>
    <row r="49" spans="4:21" x14ac:dyDescent="0.3">
      <c r="E49">
        <v>202407</v>
      </c>
      <c r="G49">
        <v>308</v>
      </c>
      <c r="H49">
        <v>330</v>
      </c>
    </row>
    <row r="50" spans="4:21" x14ac:dyDescent="0.3">
      <c r="D50" s="325"/>
      <c r="E50" s="326">
        <v>202406</v>
      </c>
      <c r="F50" s="326">
        <v>270</v>
      </c>
      <c r="G50" s="326">
        <v>305</v>
      </c>
      <c r="H50" s="326"/>
      <c r="I50" s="326"/>
      <c r="J50" s="326"/>
      <c r="K50" s="326"/>
      <c r="L50" s="326">
        <v>300</v>
      </c>
      <c r="M50" s="327"/>
    </row>
    <row r="51" spans="4:21" x14ac:dyDescent="0.3">
      <c r="D51" s="397" t="s">
        <v>12056</v>
      </c>
      <c r="E51">
        <v>202405</v>
      </c>
      <c r="H51">
        <v>325</v>
      </c>
      <c r="I51">
        <v>330</v>
      </c>
      <c r="J51">
        <v>288</v>
      </c>
      <c r="K51">
        <v>288</v>
      </c>
      <c r="M51" s="331"/>
    </row>
    <row r="52" spans="4:21" x14ac:dyDescent="0.3">
      <c r="D52" s="398"/>
      <c r="E52">
        <v>202404</v>
      </c>
      <c r="F52">
        <v>300</v>
      </c>
      <c r="G52">
        <v>320</v>
      </c>
      <c r="H52">
        <v>325</v>
      </c>
      <c r="I52">
        <v>350</v>
      </c>
      <c r="M52" s="331"/>
    </row>
    <row r="53" spans="4:21" x14ac:dyDescent="0.3">
      <c r="D53" s="398"/>
      <c r="E53">
        <v>202403</v>
      </c>
      <c r="H53">
        <v>349</v>
      </c>
      <c r="M53" s="331"/>
    </row>
    <row r="54" spans="4:21" x14ac:dyDescent="0.3">
      <c r="D54" s="398"/>
      <c r="E54">
        <v>202402</v>
      </c>
      <c r="F54">
        <v>325</v>
      </c>
      <c r="H54">
        <v>352</v>
      </c>
      <c r="M54" s="331"/>
    </row>
    <row r="55" spans="4:21" x14ac:dyDescent="0.3">
      <c r="D55" s="398"/>
      <c r="E55">
        <v>202401</v>
      </c>
      <c r="M55" s="331"/>
    </row>
    <row r="56" spans="4:21" x14ac:dyDescent="0.3">
      <c r="D56" s="398"/>
      <c r="E56">
        <v>2023</v>
      </c>
      <c r="M56" s="331"/>
    </row>
    <row r="57" spans="4:21" x14ac:dyDescent="0.3">
      <c r="D57" s="399"/>
      <c r="E57" s="329">
        <v>2022</v>
      </c>
      <c r="F57" s="329"/>
      <c r="G57" s="329"/>
      <c r="H57" s="329"/>
      <c r="I57" s="329"/>
      <c r="J57" s="329"/>
      <c r="K57" s="329"/>
      <c r="L57" s="329"/>
      <c r="M57" s="330"/>
    </row>
    <row r="62" spans="4:21" x14ac:dyDescent="0.3">
      <c r="D62" t="s">
        <v>12057</v>
      </c>
      <c r="E62">
        <v>202510</v>
      </c>
      <c r="F62">
        <v>707</v>
      </c>
      <c r="G62">
        <v>33</v>
      </c>
      <c r="H62">
        <v>23</v>
      </c>
      <c r="I62">
        <v>389</v>
      </c>
      <c r="J62">
        <v>30</v>
      </c>
      <c r="K62">
        <v>168</v>
      </c>
      <c r="L62">
        <v>46</v>
      </c>
      <c r="M62">
        <v>62</v>
      </c>
      <c r="O62">
        <v>90</v>
      </c>
      <c r="P62">
        <v>59</v>
      </c>
      <c r="Q62">
        <v>46</v>
      </c>
      <c r="R62">
        <v>19</v>
      </c>
      <c r="S62">
        <v>16</v>
      </c>
      <c r="T62">
        <v>68</v>
      </c>
      <c r="U62">
        <f>SUM(F62:T62)</f>
        <v>1756</v>
      </c>
    </row>
    <row r="63" spans="4:21" x14ac:dyDescent="0.3">
      <c r="E63">
        <v>202509</v>
      </c>
      <c r="F63">
        <v>557</v>
      </c>
      <c r="G63">
        <v>22.9</v>
      </c>
      <c r="H63">
        <v>22</v>
      </c>
      <c r="I63">
        <v>332</v>
      </c>
      <c r="J63">
        <v>27</v>
      </c>
      <c r="K63">
        <v>140</v>
      </c>
      <c r="L63">
        <v>35</v>
      </c>
      <c r="M63">
        <v>41</v>
      </c>
      <c r="O63">
        <v>80</v>
      </c>
      <c r="P63">
        <v>47</v>
      </c>
      <c r="Q63">
        <v>37</v>
      </c>
      <c r="R63">
        <v>16</v>
      </c>
      <c r="S63">
        <v>11</v>
      </c>
      <c r="T63">
        <v>61</v>
      </c>
      <c r="U63">
        <f>SUM(F63:T63)</f>
        <v>1428.9</v>
      </c>
    </row>
  </sheetData>
  <mergeCells count="4">
    <mergeCell ref="D51:D57"/>
    <mergeCell ref="D31:D37"/>
    <mergeCell ref="D21:D27"/>
    <mergeCell ref="D40:D46"/>
  </mergeCells>
  <phoneticPr fontId="16" type="noConversion"/>
  <pageMargins left="0.7" right="0.7" top="0.75" bottom="0.75" header="0.3" footer="0.3"/>
  <pageSetup paperSize="9" orientation="portrait"/>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F14:J16"/>
  <sheetViews>
    <sheetView workbookViewId="0">
      <selection activeCell="J16" sqref="J16"/>
    </sheetView>
  </sheetViews>
  <sheetFormatPr defaultRowHeight="14" x14ac:dyDescent="0.3"/>
  <sheetData>
    <row r="14" spans="6:10" x14ac:dyDescent="0.3">
      <c r="G14" t="s">
        <v>12058</v>
      </c>
      <c r="H14" t="s">
        <v>12059</v>
      </c>
      <c r="I14" t="s">
        <v>12060</v>
      </c>
      <c r="J14" t="s">
        <v>12061</v>
      </c>
    </row>
    <row r="15" spans="6:10" x14ac:dyDescent="0.3">
      <c r="F15">
        <v>202506</v>
      </c>
      <c r="G15">
        <v>10000</v>
      </c>
      <c r="H15">
        <v>7365</v>
      </c>
      <c r="I15">
        <v>5301</v>
      </c>
      <c r="J15">
        <f>(G15-H15)/I15</f>
        <v>0.49707602339181284</v>
      </c>
    </row>
    <row r="16" spans="6:10" x14ac:dyDescent="0.3">
      <c r="F16">
        <v>202509</v>
      </c>
      <c r="G16">
        <v>10000</v>
      </c>
      <c r="H16">
        <v>8420</v>
      </c>
      <c r="I16">
        <v>3337</v>
      </c>
      <c r="J16">
        <f>(G16-H16)/I16</f>
        <v>0.47347917290979924</v>
      </c>
    </row>
  </sheetData>
  <phoneticPr fontId="16"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R11"/>
  <sheetViews>
    <sheetView topLeftCell="A25" workbookViewId="0">
      <selection activeCell="D24" sqref="D24"/>
    </sheetView>
  </sheetViews>
  <sheetFormatPr defaultRowHeight="14" x14ac:dyDescent="0.3"/>
  <cols>
    <col min="5" max="5" width="14.33203125" style="350" bestFit="1" customWidth="1"/>
  </cols>
  <sheetData>
    <row r="2" spans="1:18" x14ac:dyDescent="0.3">
      <c r="B2" t="s">
        <v>12062</v>
      </c>
    </row>
    <row r="5" spans="1:18" x14ac:dyDescent="0.3">
      <c r="B5" t="s">
        <v>12063</v>
      </c>
      <c r="C5" t="s">
        <v>12064</v>
      </c>
      <c r="D5" t="s">
        <v>12065</v>
      </c>
      <c r="E5" t="s">
        <v>12066</v>
      </c>
      <c r="F5" t="s">
        <v>12067</v>
      </c>
      <c r="I5" t="s">
        <v>12068</v>
      </c>
      <c r="N5" t="s">
        <v>12069</v>
      </c>
      <c r="O5" t="s">
        <v>12070</v>
      </c>
      <c r="P5" t="s">
        <v>12071</v>
      </c>
      <c r="Q5" t="s">
        <v>12072</v>
      </c>
      <c r="R5" t="s">
        <v>12073</v>
      </c>
    </row>
    <row r="6" spans="1:18" x14ac:dyDescent="0.3">
      <c r="A6">
        <v>2023</v>
      </c>
      <c r="D6">
        <v>185</v>
      </c>
      <c r="E6">
        <v>630</v>
      </c>
      <c r="H6" t="s">
        <v>2020</v>
      </c>
      <c r="I6" t="s">
        <v>12064</v>
      </c>
      <c r="J6" t="s">
        <v>12074</v>
      </c>
      <c r="M6" t="s">
        <v>2122</v>
      </c>
      <c r="N6">
        <v>4</v>
      </c>
      <c r="O6">
        <v>6.3</v>
      </c>
      <c r="P6">
        <v>6.5</v>
      </c>
      <c r="Q6">
        <v>7.4</v>
      </c>
      <c r="R6">
        <v>7.7</v>
      </c>
    </row>
    <row r="7" spans="1:18" x14ac:dyDescent="0.3">
      <c r="A7">
        <v>2024</v>
      </c>
      <c r="B7">
        <v>145</v>
      </c>
      <c r="C7">
        <v>48.5</v>
      </c>
      <c r="D7">
        <v>326</v>
      </c>
      <c r="E7">
        <v>1100</v>
      </c>
      <c r="I7">
        <v>20.5</v>
      </c>
      <c r="J7">
        <v>12.5</v>
      </c>
    </row>
    <row r="8" spans="1:18" x14ac:dyDescent="0.3">
      <c r="A8">
        <v>2025</v>
      </c>
      <c r="B8">
        <v>160</v>
      </c>
      <c r="D8">
        <v>580</v>
      </c>
      <c r="E8">
        <v>752</v>
      </c>
      <c r="F8">
        <v>145</v>
      </c>
    </row>
    <row r="9" spans="1:18" x14ac:dyDescent="0.3">
      <c r="A9">
        <v>2026</v>
      </c>
      <c r="B9">
        <v>190</v>
      </c>
      <c r="D9">
        <f>D8*1.5</f>
        <v>870</v>
      </c>
      <c r="E9">
        <v>1100</v>
      </c>
      <c r="F9">
        <v>190</v>
      </c>
    </row>
    <row r="10" spans="1:18" x14ac:dyDescent="0.3">
      <c r="M10" t="s">
        <v>12075</v>
      </c>
    </row>
    <row r="11" spans="1:18" x14ac:dyDescent="0.3">
      <c r="L11">
        <v>202511</v>
      </c>
      <c r="M11">
        <v>55</v>
      </c>
    </row>
  </sheetData>
  <phoneticPr fontId="1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3"/>
  <sheetViews>
    <sheetView workbookViewId="0">
      <selection activeCell="K3" sqref="K3"/>
    </sheetView>
  </sheetViews>
  <sheetFormatPr defaultColWidth="8.58203125" defaultRowHeight="14" x14ac:dyDescent="0.3"/>
  <cols>
    <col min="1" max="2" width="8.58203125" style="8" customWidth="1"/>
    <col min="3" max="3" width="9.08203125" style="8" bestFit="1" customWidth="1"/>
    <col min="4" max="12" width="8.58203125" style="8" customWidth="1"/>
    <col min="13" max="14" width="14.33203125" style="293" customWidth="1"/>
    <col min="15" max="15" width="21.58203125" style="8" customWidth="1"/>
    <col min="16" max="150" width="8.58203125" style="8" customWidth="1"/>
    <col min="151" max="16384" width="8.58203125" style="8"/>
  </cols>
  <sheetData>
    <row r="1" spans="1:15" ht="28" customHeight="1" x14ac:dyDescent="0.3">
      <c r="A1" s="8" t="s">
        <v>429</v>
      </c>
      <c r="B1" s="8" t="s">
        <v>430</v>
      </c>
      <c r="C1" s="8" t="s">
        <v>12076</v>
      </c>
      <c r="D1" s="8" t="s">
        <v>12077</v>
      </c>
      <c r="E1" s="8" t="s">
        <v>12078</v>
      </c>
      <c r="F1" s="8" t="s">
        <v>12079</v>
      </c>
      <c r="G1" s="8" t="s">
        <v>12080</v>
      </c>
      <c r="H1" s="8" t="s">
        <v>513</v>
      </c>
      <c r="I1" s="8" t="s">
        <v>12081</v>
      </c>
      <c r="J1" s="8" t="s">
        <v>524</v>
      </c>
      <c r="K1" s="8" t="s">
        <v>305</v>
      </c>
      <c r="L1" s="8" t="s">
        <v>12082</v>
      </c>
      <c r="M1" s="8" t="s">
        <v>12083</v>
      </c>
      <c r="N1" s="8" t="s">
        <v>12084</v>
      </c>
      <c r="O1" s="8" t="s">
        <v>431</v>
      </c>
    </row>
    <row r="2" spans="1:15" ht="56" customHeight="1" x14ac:dyDescent="0.3">
      <c r="A2" s="8">
        <v>605077</v>
      </c>
      <c r="B2" s="8" t="s">
        <v>12085</v>
      </c>
      <c r="C2" s="8">
        <v>20241026</v>
      </c>
      <c r="D2" s="8" t="s">
        <v>12086</v>
      </c>
      <c r="E2" s="8">
        <v>4.8</v>
      </c>
      <c r="F2" s="8">
        <v>1</v>
      </c>
      <c r="G2" s="8">
        <v>9</v>
      </c>
      <c r="H2" s="8">
        <v>11</v>
      </c>
      <c r="I2" s="8" t="s">
        <v>12087</v>
      </c>
      <c r="K2" s="8" t="s">
        <v>316</v>
      </c>
      <c r="L2" s="8">
        <v>47</v>
      </c>
      <c r="M2" s="293">
        <v>0.2</v>
      </c>
      <c r="N2" s="293" t="s">
        <v>441</v>
      </c>
      <c r="O2" s="8" t="s">
        <v>12088</v>
      </c>
    </row>
    <row r="3" spans="1:15" x14ac:dyDescent="0.3">
      <c r="A3" s="8">
        <v>600179</v>
      </c>
      <c r="B3" s="8" t="s">
        <v>12089</v>
      </c>
      <c r="C3" s="8">
        <v>20240529</v>
      </c>
      <c r="E3" s="8">
        <v>35</v>
      </c>
      <c r="F3" s="8">
        <v>11</v>
      </c>
      <c r="G3" s="8">
        <v>75</v>
      </c>
      <c r="K3" s="8" t="s">
        <v>316</v>
      </c>
      <c r="L3" s="8">
        <v>90</v>
      </c>
      <c r="M3" s="293">
        <v>0.3</v>
      </c>
      <c r="N3" s="293" t="s">
        <v>458</v>
      </c>
    </row>
  </sheetData>
  <phoneticPr fontId="16" type="noConversion"/>
  <dataValidations count="3">
    <dataValidation type="list" allowBlank="1" showInputMessage="1" showErrorMessage="1" sqref="I1:I1048576" xr:uid="{00000000-0002-0000-1800-000000000000}">
      <formula1>"现金,现金和股份,股份"</formula1>
    </dataValidation>
    <dataValidation type="list" allowBlank="1" showInputMessage="1" showErrorMessage="1" sqref="K2:K1048576" xr:uid="{00000000-0002-0000-1800-000001000000}">
      <formula1>"成功,失败"</formula1>
    </dataValidation>
    <dataValidation type="list" allowBlank="1" showInputMessage="1" showErrorMessage="1" sqref="N2:N1048576" xr:uid="{00000000-0002-0000-1800-000002000000}">
      <formula1>"是,否"</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 filterMode="1"/>
  <dimension ref="A1:K97"/>
  <sheetViews>
    <sheetView topLeftCell="A2" workbookViewId="0">
      <selection activeCell="N8" sqref="N8"/>
    </sheetView>
  </sheetViews>
  <sheetFormatPr defaultRowHeight="14" x14ac:dyDescent="0.3"/>
  <cols>
    <col min="6" max="6" width="16.5" style="350" customWidth="1"/>
    <col min="8" max="8" width="17.75" style="350" customWidth="1"/>
    <col min="9" max="9" width="27.33203125" style="350" customWidth="1"/>
    <col min="10" max="10" width="36" style="350" customWidth="1"/>
  </cols>
  <sheetData>
    <row r="1" spans="1:11" ht="42" customHeight="1" x14ac:dyDescent="0.3">
      <c r="A1" s="17"/>
      <c r="B1" s="17"/>
      <c r="C1" s="17"/>
      <c r="D1" s="17"/>
      <c r="E1" s="17"/>
      <c r="F1" s="17"/>
      <c r="G1" s="17"/>
      <c r="H1" s="18" t="s">
        <v>12090</v>
      </c>
      <c r="I1" s="17"/>
      <c r="J1" s="17"/>
    </row>
    <row r="2" spans="1:11" ht="52.5" customHeight="1" x14ac:dyDescent="0.3">
      <c r="A2" s="209"/>
      <c r="B2" s="209"/>
      <c r="C2" s="209"/>
      <c r="D2" s="209"/>
      <c r="E2" s="209"/>
      <c r="F2" s="19" t="s">
        <v>12091</v>
      </c>
      <c r="G2" s="421" t="s">
        <v>12092</v>
      </c>
      <c r="H2" s="422"/>
      <c r="I2" s="20" t="s">
        <v>12093</v>
      </c>
      <c r="J2" s="21" t="s">
        <v>12094</v>
      </c>
      <c r="K2" t="s">
        <v>12095</v>
      </c>
    </row>
    <row r="3" spans="1:11" ht="26" hidden="1" customHeight="1" x14ac:dyDescent="0.3">
      <c r="A3" s="210">
        <v>1</v>
      </c>
      <c r="B3" s="211"/>
      <c r="C3" s="22">
        <v>300096</v>
      </c>
      <c r="D3" s="23" t="s">
        <v>12096</v>
      </c>
      <c r="E3" s="24" t="s">
        <v>12097</v>
      </c>
      <c r="F3" s="25" t="s">
        <v>12098</v>
      </c>
      <c r="G3" s="432" t="s">
        <v>12099</v>
      </c>
      <c r="H3" s="433"/>
      <c r="I3" s="26" t="s">
        <v>12100</v>
      </c>
      <c r="J3" s="27" t="s">
        <v>12101</v>
      </c>
      <c r="K3" t="s">
        <v>12102</v>
      </c>
    </row>
    <row r="4" spans="1:11" ht="52" hidden="1" customHeight="1" x14ac:dyDescent="0.3">
      <c r="A4" s="212">
        <v>2</v>
      </c>
      <c r="B4" s="213"/>
      <c r="C4" s="28">
        <v>300205</v>
      </c>
      <c r="D4" s="29" t="s">
        <v>12103</v>
      </c>
      <c r="E4" s="30" t="s">
        <v>12104</v>
      </c>
      <c r="F4" s="31" t="s">
        <v>12105</v>
      </c>
      <c r="G4" s="400" t="s">
        <v>12106</v>
      </c>
      <c r="H4" s="401"/>
      <c r="I4" s="32" t="s">
        <v>12107</v>
      </c>
      <c r="J4" s="33" t="s">
        <v>12108</v>
      </c>
      <c r="K4" t="s">
        <v>12102</v>
      </c>
    </row>
    <row r="5" spans="1:11" ht="26" hidden="1" customHeight="1" x14ac:dyDescent="0.3">
      <c r="A5" s="34" t="s">
        <v>12109</v>
      </c>
      <c r="B5" s="35">
        <v>3</v>
      </c>
      <c r="C5" s="36">
        <v>2822</v>
      </c>
      <c r="D5" s="37" t="s">
        <v>1626</v>
      </c>
      <c r="E5" s="38" t="s">
        <v>12110</v>
      </c>
      <c r="F5" s="37" t="s">
        <v>12111</v>
      </c>
      <c r="G5" s="434" t="s">
        <v>12112</v>
      </c>
      <c r="H5" s="401"/>
      <c r="I5" s="39" t="s">
        <v>12113</v>
      </c>
      <c r="J5" s="40" t="s">
        <v>12114</v>
      </c>
      <c r="K5" t="s">
        <v>12102</v>
      </c>
    </row>
    <row r="6" spans="1:11" ht="39" customHeight="1" x14ac:dyDescent="0.3">
      <c r="A6" s="214">
        <v>4</v>
      </c>
      <c r="B6" s="215"/>
      <c r="C6" s="41">
        <v>600375</v>
      </c>
      <c r="D6" s="42" t="s">
        <v>12115</v>
      </c>
      <c r="E6" s="43" t="s">
        <v>12116</v>
      </c>
      <c r="F6" s="42" t="s">
        <v>12117</v>
      </c>
      <c r="G6" s="416" t="s">
        <v>12118</v>
      </c>
      <c r="H6" s="401"/>
      <c r="I6" s="40" t="s">
        <v>12119</v>
      </c>
      <c r="J6" s="45" t="s">
        <v>12120</v>
      </c>
      <c r="K6" t="s">
        <v>248</v>
      </c>
    </row>
    <row r="7" spans="1:11" ht="26" hidden="1" customHeight="1" x14ac:dyDescent="0.3">
      <c r="A7" s="46" t="s">
        <v>12109</v>
      </c>
      <c r="B7" s="47">
        <v>5</v>
      </c>
      <c r="C7" s="48">
        <v>2490</v>
      </c>
      <c r="D7" s="42" t="s">
        <v>12121</v>
      </c>
      <c r="E7" s="44" t="s">
        <v>12116</v>
      </c>
      <c r="F7" s="37" t="s">
        <v>12122</v>
      </c>
      <c r="G7" s="406" t="s">
        <v>12123</v>
      </c>
      <c r="H7" s="401"/>
      <c r="I7" s="44" t="s">
        <v>12124</v>
      </c>
      <c r="J7" s="38" t="s">
        <v>12125</v>
      </c>
      <c r="K7" t="s">
        <v>248</v>
      </c>
    </row>
    <row r="8" spans="1:11" ht="52" customHeight="1" x14ac:dyDescent="0.3">
      <c r="A8" s="46" t="s">
        <v>12109</v>
      </c>
      <c r="B8" s="50">
        <v>6</v>
      </c>
      <c r="C8" s="51">
        <v>600165</v>
      </c>
      <c r="D8" s="25" t="s">
        <v>12126</v>
      </c>
      <c r="E8" s="52" t="s">
        <v>12127</v>
      </c>
      <c r="F8" s="53" t="s">
        <v>12128</v>
      </c>
      <c r="G8" s="429" t="s">
        <v>12129</v>
      </c>
      <c r="H8" s="401"/>
      <c r="I8" s="27" t="s">
        <v>12130</v>
      </c>
      <c r="J8" s="45" t="s">
        <v>12131</v>
      </c>
      <c r="K8" t="s">
        <v>248</v>
      </c>
    </row>
    <row r="9" spans="1:11" ht="39" hidden="1" customHeight="1" x14ac:dyDescent="0.3">
      <c r="A9" s="46" t="s">
        <v>12109</v>
      </c>
      <c r="B9" s="47">
        <v>7</v>
      </c>
      <c r="C9" s="54">
        <v>2336</v>
      </c>
      <c r="D9" s="55" t="s">
        <v>12132</v>
      </c>
      <c r="E9" s="38" t="s">
        <v>12133</v>
      </c>
      <c r="F9" s="39" t="s">
        <v>12134</v>
      </c>
      <c r="G9" s="443" t="s">
        <v>12135</v>
      </c>
      <c r="H9" s="401"/>
      <c r="I9" s="39" t="s">
        <v>12113</v>
      </c>
      <c r="J9" s="261" t="s">
        <v>12136</v>
      </c>
      <c r="K9" t="s">
        <v>12137</v>
      </c>
    </row>
    <row r="10" spans="1:11" ht="26" hidden="1" customHeight="1" x14ac:dyDescent="0.3">
      <c r="A10" s="56" t="s">
        <v>12138</v>
      </c>
      <c r="B10" s="216"/>
      <c r="C10" s="57" t="s">
        <v>12139</v>
      </c>
      <c r="D10" s="58" t="s">
        <v>12140</v>
      </c>
      <c r="E10" s="59" t="s">
        <v>12141</v>
      </c>
      <c r="F10" s="60"/>
      <c r="G10" s="430" t="s">
        <v>12142</v>
      </c>
      <c r="H10" s="401"/>
      <c r="I10" s="61" t="s">
        <v>12143</v>
      </c>
      <c r="J10" s="62" t="s">
        <v>12144</v>
      </c>
      <c r="K10" t="s">
        <v>12137</v>
      </c>
    </row>
    <row r="11" spans="1:11" ht="65" hidden="1" customHeight="1" x14ac:dyDescent="0.3">
      <c r="A11" s="56" t="s">
        <v>12145</v>
      </c>
      <c r="B11" s="63">
        <v>9</v>
      </c>
      <c r="C11" s="64">
        <v>656</v>
      </c>
      <c r="D11" s="65" t="s">
        <v>12146</v>
      </c>
      <c r="E11" s="66" t="s">
        <v>12141</v>
      </c>
      <c r="F11" s="39" t="s">
        <v>12147</v>
      </c>
      <c r="G11" s="424" t="s">
        <v>1559</v>
      </c>
      <c r="H11" s="401"/>
      <c r="I11" s="67" t="s">
        <v>12148</v>
      </c>
      <c r="J11" s="27" t="s">
        <v>12149</v>
      </c>
      <c r="K11" t="s">
        <v>12102</v>
      </c>
    </row>
    <row r="12" spans="1:11" ht="26" hidden="1" customHeight="1" x14ac:dyDescent="0.3">
      <c r="A12" s="217">
        <v>10</v>
      </c>
      <c r="B12" s="218"/>
      <c r="C12" s="48">
        <v>989</v>
      </c>
      <c r="D12" s="42" t="s">
        <v>12150</v>
      </c>
      <c r="E12" s="38" t="s">
        <v>12151</v>
      </c>
      <c r="F12" s="42" t="s">
        <v>12152</v>
      </c>
      <c r="G12" s="416" t="s">
        <v>12153</v>
      </c>
      <c r="H12" s="401"/>
      <c r="I12" s="68" t="s">
        <v>12154</v>
      </c>
      <c r="J12" s="69" t="s">
        <v>12155</v>
      </c>
      <c r="K12" t="s">
        <v>248</v>
      </c>
    </row>
    <row r="13" spans="1:11" ht="26" customHeight="1" x14ac:dyDescent="0.3">
      <c r="A13" s="70" t="s">
        <v>12109</v>
      </c>
      <c r="B13" s="71">
        <v>11</v>
      </c>
      <c r="C13" s="51">
        <v>300965</v>
      </c>
      <c r="D13" s="25" t="s">
        <v>12156</v>
      </c>
      <c r="E13" s="27" t="s">
        <v>12151</v>
      </c>
      <c r="F13" s="25" t="s">
        <v>12157</v>
      </c>
      <c r="G13" s="426" t="s">
        <v>12158</v>
      </c>
      <c r="H13" s="401"/>
      <c r="I13" s="67" t="s">
        <v>12159</v>
      </c>
      <c r="J13" s="72" t="s">
        <v>12160</v>
      </c>
      <c r="K13" t="s">
        <v>248</v>
      </c>
    </row>
    <row r="14" spans="1:11" ht="26" hidden="1" customHeight="1" x14ac:dyDescent="0.3">
      <c r="A14" s="219">
        <v>12</v>
      </c>
      <c r="B14" s="220"/>
      <c r="C14" s="73" t="s">
        <v>12161</v>
      </c>
      <c r="D14" s="74" t="s">
        <v>12162</v>
      </c>
      <c r="E14" s="75" t="s">
        <v>12163</v>
      </c>
      <c r="F14" s="76" t="s">
        <v>12164</v>
      </c>
      <c r="G14" s="402" t="s">
        <v>2170</v>
      </c>
      <c r="H14" s="401"/>
      <c r="I14" s="77" t="s">
        <v>12165</v>
      </c>
      <c r="J14" s="78" t="s">
        <v>12166</v>
      </c>
      <c r="K14" t="s">
        <v>12137</v>
      </c>
    </row>
    <row r="15" spans="1:11" ht="39" customHeight="1" x14ac:dyDescent="0.3">
      <c r="A15" s="46" t="s">
        <v>12109</v>
      </c>
      <c r="B15" s="79">
        <v>13</v>
      </c>
      <c r="C15" s="80">
        <v>600715</v>
      </c>
      <c r="D15" s="42" t="s">
        <v>12167</v>
      </c>
      <c r="E15" s="40" t="s">
        <v>12163</v>
      </c>
      <c r="F15" s="81" t="s">
        <v>12168</v>
      </c>
      <c r="G15" s="402" t="s">
        <v>12169</v>
      </c>
      <c r="H15" s="401"/>
      <c r="I15" s="68" t="s">
        <v>12159</v>
      </c>
      <c r="J15" s="45" t="s">
        <v>12170</v>
      </c>
      <c r="K15" t="s">
        <v>248</v>
      </c>
    </row>
    <row r="16" spans="1:11" ht="52" hidden="1" customHeight="1" x14ac:dyDescent="0.3">
      <c r="A16" s="217">
        <v>14</v>
      </c>
      <c r="B16" s="218"/>
      <c r="C16" s="48">
        <v>809</v>
      </c>
      <c r="D16" s="42" t="s">
        <v>12171</v>
      </c>
      <c r="E16" s="38" t="s">
        <v>12172</v>
      </c>
      <c r="F16" s="82" t="s">
        <v>12173</v>
      </c>
      <c r="G16" s="441" t="s">
        <v>12174</v>
      </c>
      <c r="H16" s="401"/>
      <c r="I16" s="68" t="s">
        <v>12175</v>
      </c>
      <c r="J16" s="69" t="s">
        <v>12176</v>
      </c>
      <c r="K16" t="s">
        <v>248</v>
      </c>
    </row>
    <row r="17" spans="1:11" ht="39" customHeight="1" x14ac:dyDescent="0.3">
      <c r="A17" s="217">
        <v>15</v>
      </c>
      <c r="B17" s="218"/>
      <c r="C17" s="83">
        <v>2141</v>
      </c>
      <c r="D17" s="42" t="s">
        <v>12177</v>
      </c>
      <c r="E17" s="40" t="s">
        <v>12163</v>
      </c>
      <c r="F17" s="42" t="s">
        <v>12178</v>
      </c>
      <c r="G17" s="402" t="s">
        <v>12179</v>
      </c>
      <c r="H17" s="401"/>
      <c r="I17" s="39" t="s">
        <v>12113</v>
      </c>
      <c r="J17" s="45" t="s">
        <v>12180</v>
      </c>
      <c r="K17" t="s">
        <v>248</v>
      </c>
    </row>
    <row r="18" spans="1:11" ht="52.5" hidden="1" customHeight="1" x14ac:dyDescent="0.3">
      <c r="A18" s="217">
        <v>16</v>
      </c>
      <c r="B18" s="218"/>
      <c r="C18" s="84">
        <v>300117</v>
      </c>
      <c r="D18" s="42" t="s">
        <v>12181</v>
      </c>
      <c r="E18" s="38" t="s">
        <v>12163</v>
      </c>
      <c r="F18" s="38" t="s">
        <v>12182</v>
      </c>
      <c r="G18" s="447" t="s">
        <v>12183</v>
      </c>
      <c r="H18" s="401"/>
      <c r="I18" s="68" t="s">
        <v>12159</v>
      </c>
      <c r="J18" s="266" t="s">
        <v>12184</v>
      </c>
      <c r="K18" t="s">
        <v>12137</v>
      </c>
    </row>
    <row r="19" spans="1:11" ht="52" customHeight="1" x14ac:dyDescent="0.3">
      <c r="A19" s="217">
        <v>17</v>
      </c>
      <c r="B19" s="218"/>
      <c r="C19" s="83">
        <v>609</v>
      </c>
      <c r="D19" s="42" t="s">
        <v>12185</v>
      </c>
      <c r="E19" s="40" t="s">
        <v>12163</v>
      </c>
      <c r="F19" s="38" t="s">
        <v>12186</v>
      </c>
      <c r="G19" s="431" t="s">
        <v>1559</v>
      </c>
      <c r="H19" s="401"/>
      <c r="I19" s="68" t="s">
        <v>12159</v>
      </c>
      <c r="J19" s="85" t="s">
        <v>12187</v>
      </c>
      <c r="K19" t="s">
        <v>248</v>
      </c>
    </row>
    <row r="20" spans="1:11" ht="52" hidden="1" customHeight="1" x14ac:dyDescent="0.3">
      <c r="A20" s="217">
        <v>18</v>
      </c>
      <c r="B20" s="218"/>
      <c r="C20" s="84">
        <v>300506</v>
      </c>
      <c r="D20" s="42" t="s">
        <v>12188</v>
      </c>
      <c r="E20" s="38" t="s">
        <v>12163</v>
      </c>
      <c r="F20" s="42" t="s">
        <v>12189</v>
      </c>
      <c r="G20" s="402" t="s">
        <v>12190</v>
      </c>
      <c r="H20" s="401"/>
      <c r="I20" s="43" t="s">
        <v>12191</v>
      </c>
      <c r="J20" s="86" t="s">
        <v>12192</v>
      </c>
      <c r="K20" t="s">
        <v>248</v>
      </c>
    </row>
    <row r="21" spans="1:11" ht="39" customHeight="1" x14ac:dyDescent="0.3">
      <c r="A21" s="217">
        <v>19</v>
      </c>
      <c r="B21" s="218"/>
      <c r="C21" s="54">
        <v>2310</v>
      </c>
      <c r="D21" s="42" t="s">
        <v>12193</v>
      </c>
      <c r="E21" s="40" t="s">
        <v>12194</v>
      </c>
      <c r="F21" s="37" t="s">
        <v>12195</v>
      </c>
      <c r="G21" s="413" t="s">
        <v>12196</v>
      </c>
      <c r="H21" s="401"/>
      <c r="I21" s="68" t="s">
        <v>12159</v>
      </c>
      <c r="J21" s="45" t="s">
        <v>12120</v>
      </c>
      <c r="K21" t="s">
        <v>248</v>
      </c>
    </row>
    <row r="22" spans="1:11" ht="65" hidden="1" customHeight="1" x14ac:dyDescent="0.3">
      <c r="A22" s="217">
        <v>20</v>
      </c>
      <c r="B22" s="218"/>
      <c r="C22" s="41">
        <v>300125</v>
      </c>
      <c r="D22" s="42" t="s">
        <v>12197</v>
      </c>
      <c r="E22" s="69" t="s">
        <v>12194</v>
      </c>
      <c r="F22" s="88" t="s">
        <v>12198</v>
      </c>
      <c r="G22" s="448" t="s">
        <v>12199</v>
      </c>
      <c r="H22" s="401"/>
      <c r="I22" s="68" t="s">
        <v>12175</v>
      </c>
      <c r="J22" s="261" t="s">
        <v>12200</v>
      </c>
      <c r="K22" t="s">
        <v>12201</v>
      </c>
    </row>
    <row r="23" spans="1:11" ht="52" hidden="1" customHeight="1" x14ac:dyDescent="0.3">
      <c r="A23" s="221">
        <v>21</v>
      </c>
      <c r="B23" s="222"/>
      <c r="C23" s="89">
        <v>2665</v>
      </c>
      <c r="D23" s="90" t="s">
        <v>12202</v>
      </c>
      <c r="E23" s="91" t="s">
        <v>12194</v>
      </c>
      <c r="F23" s="92" t="s">
        <v>12203</v>
      </c>
      <c r="G23" s="452" t="s">
        <v>12204</v>
      </c>
      <c r="H23" s="401"/>
      <c r="I23" s="93" t="s">
        <v>12205</v>
      </c>
      <c r="J23" s="267" t="s">
        <v>12206</v>
      </c>
      <c r="K23" t="s">
        <v>12137</v>
      </c>
    </row>
    <row r="24" spans="1:11" ht="26" hidden="1" customHeight="1" x14ac:dyDescent="0.3">
      <c r="A24" s="223">
        <v>22</v>
      </c>
      <c r="B24" s="224"/>
      <c r="C24" s="94">
        <v>603388</v>
      </c>
      <c r="D24" s="73" t="s">
        <v>12207</v>
      </c>
      <c r="E24" s="95" t="s">
        <v>12194</v>
      </c>
      <c r="F24" s="37" t="s">
        <v>12208</v>
      </c>
      <c r="G24" s="437" t="s">
        <v>12209</v>
      </c>
      <c r="H24" s="401"/>
      <c r="I24" s="96" t="s">
        <v>12210</v>
      </c>
      <c r="J24" s="97" t="s">
        <v>12155</v>
      </c>
      <c r="K24" t="s">
        <v>12102</v>
      </c>
    </row>
    <row r="25" spans="1:11" ht="26" hidden="1" customHeight="1" x14ac:dyDescent="0.3">
      <c r="A25" s="225">
        <v>23</v>
      </c>
      <c r="B25" s="226"/>
      <c r="C25" s="98">
        <v>600777</v>
      </c>
      <c r="D25" s="74" t="s">
        <v>12211</v>
      </c>
      <c r="E25" s="75" t="s">
        <v>12194</v>
      </c>
      <c r="F25" s="42" t="s">
        <v>1302</v>
      </c>
      <c r="G25" s="420" t="s">
        <v>12212</v>
      </c>
      <c r="H25" s="401"/>
      <c r="I25" s="99" t="s">
        <v>12213</v>
      </c>
      <c r="J25" s="100" t="s">
        <v>12155</v>
      </c>
      <c r="K25" t="s">
        <v>12214</v>
      </c>
    </row>
    <row r="26" spans="1:11" ht="26" hidden="1" customHeight="1" x14ac:dyDescent="0.3">
      <c r="A26" s="217">
        <v>24</v>
      </c>
      <c r="B26" s="218"/>
      <c r="C26" s="41">
        <v>300208</v>
      </c>
      <c r="D26" s="42" t="s">
        <v>12215</v>
      </c>
      <c r="E26" s="69" t="s">
        <v>12194</v>
      </c>
      <c r="F26" s="42" t="s">
        <v>12216</v>
      </c>
      <c r="G26" s="439" t="s">
        <v>12217</v>
      </c>
      <c r="H26" s="401"/>
      <c r="I26" s="68" t="s">
        <v>12213</v>
      </c>
      <c r="J26" s="260" t="s">
        <v>12218</v>
      </c>
      <c r="K26" t="s">
        <v>12137</v>
      </c>
    </row>
    <row r="27" spans="1:11" ht="39" customHeight="1" x14ac:dyDescent="0.3">
      <c r="A27" s="217">
        <v>25</v>
      </c>
      <c r="B27" s="218"/>
      <c r="C27" s="84">
        <v>300013</v>
      </c>
      <c r="D27" s="42" t="s">
        <v>12219</v>
      </c>
      <c r="E27" s="38" t="s">
        <v>12194</v>
      </c>
      <c r="F27" s="81" t="s">
        <v>12220</v>
      </c>
      <c r="G27" s="402" t="s">
        <v>12221</v>
      </c>
      <c r="H27" s="401"/>
      <c r="I27" s="68" t="s">
        <v>12222</v>
      </c>
      <c r="J27" s="45" t="s">
        <v>12223</v>
      </c>
      <c r="K27" t="s">
        <v>248</v>
      </c>
    </row>
    <row r="28" spans="1:11" ht="26" customHeight="1" x14ac:dyDescent="0.3">
      <c r="A28" s="225">
        <v>26</v>
      </c>
      <c r="B28" s="226"/>
      <c r="C28" s="98">
        <v>600234</v>
      </c>
      <c r="D28" s="76" t="s">
        <v>12224</v>
      </c>
      <c r="E28" s="101" t="s">
        <v>12194</v>
      </c>
      <c r="F28" s="81" t="s">
        <v>12225</v>
      </c>
      <c r="G28" s="402" t="s">
        <v>12226</v>
      </c>
      <c r="H28" s="401"/>
      <c r="I28" s="77" t="s">
        <v>12227</v>
      </c>
      <c r="J28" s="78" t="s">
        <v>12160</v>
      </c>
      <c r="K28" t="s">
        <v>248</v>
      </c>
    </row>
    <row r="29" spans="1:11" ht="52" hidden="1" customHeight="1" x14ac:dyDescent="0.3">
      <c r="A29" s="217">
        <v>27</v>
      </c>
      <c r="B29" s="218"/>
      <c r="C29" s="48">
        <v>2650</v>
      </c>
      <c r="D29" s="42" t="s">
        <v>12228</v>
      </c>
      <c r="E29" s="38" t="s">
        <v>12194</v>
      </c>
      <c r="F29" s="39" t="s">
        <v>12229</v>
      </c>
      <c r="G29" s="402" t="s">
        <v>12230</v>
      </c>
      <c r="H29" s="401"/>
      <c r="I29" s="68" t="s">
        <v>12154</v>
      </c>
      <c r="J29" s="69" t="s">
        <v>12155</v>
      </c>
      <c r="K29" t="s">
        <v>12102</v>
      </c>
    </row>
    <row r="30" spans="1:11" ht="39" customHeight="1" x14ac:dyDescent="0.3">
      <c r="A30" s="217">
        <v>28</v>
      </c>
      <c r="B30" s="218"/>
      <c r="C30" s="102">
        <v>300536</v>
      </c>
      <c r="D30" s="103" t="s">
        <v>12231</v>
      </c>
      <c r="E30" s="38" t="s">
        <v>12194</v>
      </c>
      <c r="F30" s="38" t="s">
        <v>12232</v>
      </c>
      <c r="G30" s="402" t="s">
        <v>12209</v>
      </c>
      <c r="H30" s="401"/>
      <c r="I30" s="104" t="s">
        <v>12107</v>
      </c>
      <c r="J30" s="105" t="s">
        <v>12233</v>
      </c>
      <c r="K30" t="s">
        <v>248</v>
      </c>
    </row>
    <row r="31" spans="1:11" ht="26" hidden="1" customHeight="1" x14ac:dyDescent="0.3">
      <c r="A31" s="227">
        <v>29</v>
      </c>
      <c r="B31" s="228"/>
      <c r="C31" s="106">
        <v>300116</v>
      </c>
      <c r="D31" s="262" t="s">
        <v>12234</v>
      </c>
      <c r="E31" s="107" t="s">
        <v>12194</v>
      </c>
      <c r="F31" s="108" t="s">
        <v>12235</v>
      </c>
      <c r="G31" s="403" t="s">
        <v>1162</v>
      </c>
      <c r="H31" s="401"/>
      <c r="I31" s="61" t="s">
        <v>12236</v>
      </c>
      <c r="J31" s="109" t="s">
        <v>12237</v>
      </c>
      <c r="K31" t="s">
        <v>12137</v>
      </c>
    </row>
    <row r="32" spans="1:11" ht="26" hidden="1" customHeight="1" x14ac:dyDescent="0.3">
      <c r="A32" s="225">
        <v>30</v>
      </c>
      <c r="B32" s="226"/>
      <c r="C32" s="110">
        <v>603879</v>
      </c>
      <c r="D32" s="74" t="s">
        <v>12238</v>
      </c>
      <c r="E32" s="111" t="s">
        <v>12239</v>
      </c>
      <c r="F32" s="37" t="s">
        <v>12240</v>
      </c>
      <c r="G32" s="427" t="s">
        <v>12241</v>
      </c>
      <c r="H32" s="401"/>
      <c r="I32" s="113" t="s">
        <v>12242</v>
      </c>
      <c r="J32" s="78" t="s">
        <v>12155</v>
      </c>
      <c r="K32" t="s">
        <v>248</v>
      </c>
    </row>
    <row r="33" spans="1:11" ht="26" hidden="1" customHeight="1" x14ac:dyDescent="0.3">
      <c r="A33" s="221">
        <v>31</v>
      </c>
      <c r="B33" s="222"/>
      <c r="C33" s="114">
        <v>600220</v>
      </c>
      <c r="D33" s="115" t="s">
        <v>12243</v>
      </c>
      <c r="E33" s="116" t="s">
        <v>12244</v>
      </c>
      <c r="F33" s="117" t="s">
        <v>12245</v>
      </c>
      <c r="G33" s="438" t="s">
        <v>12246</v>
      </c>
      <c r="H33" s="401"/>
      <c r="I33" s="116" t="s">
        <v>12247</v>
      </c>
      <c r="J33" s="119" t="s">
        <v>12248</v>
      </c>
      <c r="K33" t="s">
        <v>12137</v>
      </c>
    </row>
    <row r="34" spans="1:11" ht="39" hidden="1" customHeight="1" x14ac:dyDescent="0.3">
      <c r="A34" s="217">
        <v>32</v>
      </c>
      <c r="B34" s="218"/>
      <c r="C34" s="84">
        <v>603869</v>
      </c>
      <c r="D34" s="81" t="s">
        <v>12249</v>
      </c>
      <c r="E34" s="53" t="s">
        <v>12239</v>
      </c>
      <c r="F34" s="39" t="s">
        <v>12250</v>
      </c>
      <c r="G34" s="413" t="s">
        <v>12251</v>
      </c>
      <c r="H34" s="401"/>
      <c r="I34" s="40" t="s">
        <v>12252</v>
      </c>
      <c r="J34" s="120" t="s">
        <v>12155</v>
      </c>
      <c r="K34" t="s">
        <v>12102</v>
      </c>
    </row>
    <row r="35" spans="1:11" ht="26" hidden="1" customHeight="1" x14ac:dyDescent="0.3">
      <c r="A35" s="229">
        <v>33</v>
      </c>
      <c r="B35" s="230"/>
      <c r="C35" s="121">
        <v>600213</v>
      </c>
      <c r="D35" s="122" t="s">
        <v>12253</v>
      </c>
      <c r="E35" s="123" t="s">
        <v>12239</v>
      </c>
      <c r="F35" s="124" t="s">
        <v>12254</v>
      </c>
      <c r="G35" s="440" t="s">
        <v>12255</v>
      </c>
      <c r="H35" s="401"/>
      <c r="I35" s="125" t="s">
        <v>12143</v>
      </c>
      <c r="J35" s="126" t="s">
        <v>12256</v>
      </c>
      <c r="K35" t="s">
        <v>12137</v>
      </c>
    </row>
    <row r="36" spans="1:11" ht="26" hidden="1" customHeight="1" x14ac:dyDescent="0.3">
      <c r="A36" s="217">
        <v>34</v>
      </c>
      <c r="B36" s="218"/>
      <c r="C36" s="41">
        <v>603023</v>
      </c>
      <c r="D36" s="42" t="s">
        <v>12257</v>
      </c>
      <c r="E36" s="87" t="s">
        <v>12239</v>
      </c>
      <c r="F36" s="55" t="s">
        <v>12258</v>
      </c>
      <c r="G36" s="408" t="s">
        <v>12259</v>
      </c>
      <c r="H36" s="401"/>
      <c r="I36" s="78" t="s">
        <v>12260</v>
      </c>
      <c r="J36" s="69" t="s">
        <v>12176</v>
      </c>
      <c r="K36" t="s">
        <v>248</v>
      </c>
    </row>
    <row r="37" spans="1:11" ht="26" hidden="1" customHeight="1" x14ac:dyDescent="0.3">
      <c r="A37" s="225">
        <v>35</v>
      </c>
      <c r="B37" s="226"/>
      <c r="C37" s="98">
        <v>600381</v>
      </c>
      <c r="D37" s="74" t="s">
        <v>12261</v>
      </c>
      <c r="E37" s="112" t="s">
        <v>12239</v>
      </c>
      <c r="F37" s="42" t="s">
        <v>12262</v>
      </c>
      <c r="G37" s="425" t="s">
        <v>12263</v>
      </c>
      <c r="H37" s="401"/>
      <c r="I37" s="77" t="s">
        <v>12264</v>
      </c>
      <c r="J37" s="101" t="s">
        <v>12265</v>
      </c>
      <c r="K37" t="s">
        <v>12102</v>
      </c>
    </row>
    <row r="38" spans="1:11" ht="26" hidden="1" customHeight="1" x14ac:dyDescent="0.3">
      <c r="A38" s="217">
        <v>36</v>
      </c>
      <c r="B38" s="218"/>
      <c r="C38" s="41">
        <v>603959</v>
      </c>
      <c r="D38" s="42" t="s">
        <v>12266</v>
      </c>
      <c r="E38" s="87" t="s">
        <v>12239</v>
      </c>
      <c r="F38" s="42" t="s">
        <v>12267</v>
      </c>
      <c r="G38" s="435" t="s">
        <v>12268</v>
      </c>
      <c r="H38" s="401"/>
      <c r="I38" s="44" t="s">
        <v>12269</v>
      </c>
      <c r="J38" s="69" t="s">
        <v>12155</v>
      </c>
      <c r="K38" t="s">
        <v>12102</v>
      </c>
    </row>
    <row r="39" spans="1:11" ht="26" hidden="1" customHeight="1" x14ac:dyDescent="0.3">
      <c r="A39" s="217">
        <v>37</v>
      </c>
      <c r="B39" s="218"/>
      <c r="C39" s="84">
        <v>603377</v>
      </c>
      <c r="D39" s="81" t="s">
        <v>12270</v>
      </c>
      <c r="E39" s="87" t="s">
        <v>12239</v>
      </c>
      <c r="F39" s="42" t="s">
        <v>12271</v>
      </c>
      <c r="G39" s="416" t="s">
        <v>12272</v>
      </c>
      <c r="H39" s="401"/>
      <c r="I39" s="68" t="s">
        <v>12159</v>
      </c>
      <c r="J39" s="69" t="s">
        <v>12155</v>
      </c>
      <c r="K39" t="s">
        <v>12102</v>
      </c>
    </row>
    <row r="40" spans="1:11" ht="26" hidden="1" customHeight="1" x14ac:dyDescent="0.3">
      <c r="A40" s="231">
        <v>38</v>
      </c>
      <c r="B40" s="232"/>
      <c r="C40" s="98">
        <v>603828</v>
      </c>
      <c r="D40" s="76" t="s">
        <v>12273</v>
      </c>
      <c r="E40" s="112" t="s">
        <v>12239</v>
      </c>
      <c r="F40" s="127" t="s">
        <v>12274</v>
      </c>
      <c r="G40" s="405" t="s">
        <v>12190</v>
      </c>
      <c r="H40" s="401"/>
      <c r="I40" s="128" t="s">
        <v>12143</v>
      </c>
      <c r="J40" s="75" t="s">
        <v>12155</v>
      </c>
      <c r="K40" t="s">
        <v>12102</v>
      </c>
    </row>
    <row r="41" spans="1:11" ht="26" hidden="1" customHeight="1" x14ac:dyDescent="0.3">
      <c r="A41" s="233">
        <v>39</v>
      </c>
      <c r="B41" s="234"/>
      <c r="C41" s="129">
        <v>2280</v>
      </c>
      <c r="D41" s="115" t="s">
        <v>12275</v>
      </c>
      <c r="E41" s="130" t="s">
        <v>12276</v>
      </c>
      <c r="F41" s="131" t="s">
        <v>12277</v>
      </c>
      <c r="G41" s="428" t="s">
        <v>12278</v>
      </c>
      <c r="H41" s="401"/>
      <c r="I41" s="132" t="s">
        <v>12279</v>
      </c>
      <c r="J41" s="133" t="s">
        <v>12248</v>
      </c>
      <c r="K41" t="s">
        <v>12137</v>
      </c>
    </row>
    <row r="42" spans="1:11" ht="26" hidden="1" customHeight="1" x14ac:dyDescent="0.3">
      <c r="A42" s="235">
        <v>40</v>
      </c>
      <c r="B42" s="236"/>
      <c r="C42" s="134">
        <v>600565</v>
      </c>
      <c r="D42" s="135" t="s">
        <v>12280</v>
      </c>
      <c r="E42" s="136" t="s">
        <v>12239</v>
      </c>
      <c r="F42" s="137" t="s">
        <v>12281</v>
      </c>
      <c r="G42" s="423" t="s">
        <v>12282</v>
      </c>
      <c r="H42" s="401"/>
      <c r="I42" s="138"/>
      <c r="J42" s="139" t="s">
        <v>12248</v>
      </c>
      <c r="K42" t="s">
        <v>12137</v>
      </c>
    </row>
    <row r="43" spans="1:11" ht="26" hidden="1" customHeight="1" x14ac:dyDescent="0.3">
      <c r="A43" s="237">
        <v>41</v>
      </c>
      <c r="B43" s="238"/>
      <c r="C43" s="140">
        <v>600360</v>
      </c>
      <c r="D43" s="74" t="s">
        <v>12283</v>
      </c>
      <c r="E43" s="113" t="s">
        <v>12239</v>
      </c>
      <c r="F43" s="81" t="s">
        <v>12284</v>
      </c>
      <c r="G43" s="406" t="s">
        <v>12285</v>
      </c>
      <c r="H43" s="401"/>
      <c r="I43" s="99" t="s">
        <v>12286</v>
      </c>
      <c r="J43" s="78" t="s">
        <v>12155</v>
      </c>
      <c r="K43" t="s">
        <v>12102</v>
      </c>
    </row>
    <row r="44" spans="1:11" ht="52" hidden="1" customHeight="1" x14ac:dyDescent="0.3">
      <c r="A44" s="217">
        <v>42</v>
      </c>
      <c r="B44" s="218"/>
      <c r="C44" s="102">
        <v>603003</v>
      </c>
      <c r="D44" s="103" t="s">
        <v>12287</v>
      </c>
      <c r="E44" s="44" t="s">
        <v>12239</v>
      </c>
      <c r="F44" s="141" t="s">
        <v>12288</v>
      </c>
      <c r="G44" s="408" t="s">
        <v>12289</v>
      </c>
      <c r="H44" s="401"/>
      <c r="I44" s="68" t="s">
        <v>12290</v>
      </c>
      <c r="J44" s="266" t="s">
        <v>12291</v>
      </c>
      <c r="K44" t="s">
        <v>12137</v>
      </c>
    </row>
    <row r="45" spans="1:11" ht="26" hidden="1" customHeight="1" x14ac:dyDescent="0.3">
      <c r="A45" s="239">
        <v>43</v>
      </c>
      <c r="B45" s="240"/>
      <c r="C45" s="142">
        <v>600277</v>
      </c>
      <c r="D45" s="115" t="s">
        <v>12292</v>
      </c>
      <c r="E45" s="143" t="s">
        <v>12239</v>
      </c>
      <c r="F45" s="144" t="s">
        <v>12293</v>
      </c>
      <c r="G45" s="414" t="s">
        <v>12294</v>
      </c>
      <c r="H45" s="401"/>
      <c r="I45" s="145" t="s">
        <v>12295</v>
      </c>
      <c r="J45" s="146" t="s">
        <v>12296</v>
      </c>
      <c r="K45" t="s">
        <v>12137</v>
      </c>
    </row>
    <row r="46" spans="1:11" ht="26" customHeight="1" x14ac:dyDescent="0.3">
      <c r="A46" s="231">
        <v>44</v>
      </c>
      <c r="B46" s="232"/>
      <c r="C46" s="94">
        <v>300020</v>
      </c>
      <c r="D46" s="147" t="s">
        <v>12297</v>
      </c>
      <c r="E46" s="148" t="s">
        <v>12239</v>
      </c>
      <c r="F46" s="149" t="s">
        <v>12298</v>
      </c>
      <c r="G46" s="404" t="s">
        <v>12299</v>
      </c>
      <c r="H46" s="401"/>
      <c r="I46" s="150" t="s">
        <v>12210</v>
      </c>
      <c r="J46" s="151" t="s">
        <v>12300</v>
      </c>
      <c r="K46" t="s">
        <v>248</v>
      </c>
    </row>
    <row r="47" spans="1:11" ht="39" customHeight="1" x14ac:dyDescent="0.3">
      <c r="A47" s="217">
        <v>45</v>
      </c>
      <c r="B47" s="218"/>
      <c r="C47" s="41">
        <v>603608</v>
      </c>
      <c r="D47" s="42" t="s">
        <v>12301</v>
      </c>
      <c r="E47" s="43" t="s">
        <v>12239</v>
      </c>
      <c r="F47" s="39" t="s">
        <v>12302</v>
      </c>
      <c r="G47" s="402" t="s">
        <v>12303</v>
      </c>
      <c r="H47" s="401"/>
      <c r="I47" s="68" t="s">
        <v>12304</v>
      </c>
      <c r="J47" s="45" t="s">
        <v>12305</v>
      </c>
      <c r="K47" t="s">
        <v>248</v>
      </c>
    </row>
    <row r="48" spans="1:11" ht="26" hidden="1" customHeight="1" x14ac:dyDescent="0.3">
      <c r="A48" s="225">
        <v>46</v>
      </c>
      <c r="B48" s="226"/>
      <c r="C48" s="98">
        <v>600083</v>
      </c>
      <c r="D48" s="76" t="s">
        <v>12306</v>
      </c>
      <c r="E48" s="112" t="s">
        <v>12239</v>
      </c>
      <c r="F48" s="152" t="s">
        <v>12307</v>
      </c>
      <c r="G48" s="425" t="s">
        <v>12308</v>
      </c>
      <c r="H48" s="401"/>
      <c r="I48" s="77" t="s">
        <v>12143</v>
      </c>
      <c r="J48" s="100" t="s">
        <v>12309</v>
      </c>
      <c r="K48" t="s">
        <v>12137</v>
      </c>
    </row>
    <row r="49" spans="1:11" ht="39" customHeight="1" x14ac:dyDescent="0.3">
      <c r="A49" s="217">
        <v>47</v>
      </c>
      <c r="B49" s="218"/>
      <c r="C49" s="41">
        <v>300338</v>
      </c>
      <c r="D49" s="42" t="s">
        <v>12310</v>
      </c>
      <c r="E49" s="87" t="s">
        <v>12239</v>
      </c>
      <c r="F49" s="42" t="s">
        <v>12311</v>
      </c>
      <c r="G49" s="402" t="s">
        <v>12312</v>
      </c>
      <c r="H49" s="401"/>
      <c r="I49" s="68" t="s">
        <v>12154</v>
      </c>
      <c r="J49" s="45" t="s">
        <v>12313</v>
      </c>
      <c r="K49" t="s">
        <v>248</v>
      </c>
    </row>
    <row r="50" spans="1:11" ht="26" hidden="1" customHeight="1" x14ac:dyDescent="0.3">
      <c r="A50" s="225">
        <v>48</v>
      </c>
      <c r="B50" s="226"/>
      <c r="C50" s="94">
        <v>300163</v>
      </c>
      <c r="D50" s="149" t="s">
        <v>12314</v>
      </c>
      <c r="E50" s="112" t="s">
        <v>12239</v>
      </c>
      <c r="F50" s="153" t="s">
        <v>12315</v>
      </c>
      <c r="G50" s="444" t="s">
        <v>12316</v>
      </c>
      <c r="H50" s="401"/>
      <c r="I50" s="77" t="s">
        <v>12210</v>
      </c>
      <c r="J50" s="75" t="s">
        <v>12125</v>
      </c>
      <c r="K50" t="s">
        <v>12102</v>
      </c>
    </row>
    <row r="51" spans="1:11" ht="26" hidden="1" customHeight="1" x14ac:dyDescent="0.3">
      <c r="A51" s="241">
        <v>49</v>
      </c>
      <c r="B51" s="242"/>
      <c r="C51" s="154">
        <v>2610</v>
      </c>
      <c r="D51" s="155" t="s">
        <v>12317</v>
      </c>
      <c r="E51" s="145" t="s">
        <v>12239</v>
      </c>
      <c r="F51" s="144" t="s">
        <v>12318</v>
      </c>
      <c r="G51" s="418">
        <v>1</v>
      </c>
      <c r="H51" s="401"/>
      <c r="I51" s="156" t="s">
        <v>12210</v>
      </c>
      <c r="J51" s="146" t="s">
        <v>12319</v>
      </c>
      <c r="K51" t="s">
        <v>12137</v>
      </c>
    </row>
    <row r="52" spans="1:11" ht="26" hidden="1" customHeight="1" x14ac:dyDescent="0.3">
      <c r="A52" s="231">
        <v>50</v>
      </c>
      <c r="B52" s="232"/>
      <c r="C52" s="157">
        <v>2197</v>
      </c>
      <c r="D52" s="158" t="s">
        <v>12320</v>
      </c>
      <c r="E52" s="148" t="s">
        <v>12239</v>
      </c>
      <c r="F52" s="127" t="s">
        <v>12321</v>
      </c>
      <c r="G52" s="407" t="s">
        <v>12322</v>
      </c>
      <c r="H52" s="401"/>
      <c r="I52" s="150" t="s">
        <v>12304</v>
      </c>
      <c r="J52" s="151" t="s">
        <v>12155</v>
      </c>
      <c r="K52" t="s">
        <v>12102</v>
      </c>
    </row>
    <row r="53" spans="1:11" ht="26" hidden="1" customHeight="1" x14ac:dyDescent="0.3">
      <c r="A53" s="217">
        <v>51</v>
      </c>
      <c r="B53" s="218"/>
      <c r="C53" s="41">
        <v>688282</v>
      </c>
      <c r="D53" s="42" t="s">
        <v>12323</v>
      </c>
      <c r="E53" s="43" t="s">
        <v>12239</v>
      </c>
      <c r="F53" s="42" t="s">
        <v>12324</v>
      </c>
      <c r="G53" s="410" t="s">
        <v>12325</v>
      </c>
      <c r="H53" s="401"/>
      <c r="I53" s="68" t="s">
        <v>12159</v>
      </c>
      <c r="J53" s="69" t="s">
        <v>12176</v>
      </c>
      <c r="K53" t="s">
        <v>248</v>
      </c>
    </row>
    <row r="54" spans="1:11" ht="39" customHeight="1" x14ac:dyDescent="0.3">
      <c r="A54" s="217">
        <v>52</v>
      </c>
      <c r="B54" s="218"/>
      <c r="C54" s="84">
        <v>603363</v>
      </c>
      <c r="D54" s="81" t="s">
        <v>12326</v>
      </c>
      <c r="E54" s="44" t="s">
        <v>12239</v>
      </c>
      <c r="F54" s="42" t="s">
        <v>12327</v>
      </c>
      <c r="G54" s="402" t="s">
        <v>12328</v>
      </c>
      <c r="H54" s="401"/>
      <c r="I54" s="68" t="s">
        <v>12329</v>
      </c>
      <c r="J54" s="45" t="s">
        <v>12120</v>
      </c>
      <c r="K54" t="s">
        <v>248</v>
      </c>
    </row>
    <row r="55" spans="1:11" ht="26" hidden="1" customHeight="1" x14ac:dyDescent="0.3">
      <c r="A55" s="225">
        <v>53</v>
      </c>
      <c r="B55" s="226"/>
      <c r="C55" s="159">
        <v>2750</v>
      </c>
      <c r="D55" s="76" t="s">
        <v>12330</v>
      </c>
      <c r="E55" s="112" t="s">
        <v>12239</v>
      </c>
      <c r="F55" s="42" t="s">
        <v>12331</v>
      </c>
      <c r="G55" s="402" t="s">
        <v>2170</v>
      </c>
      <c r="H55" s="401"/>
      <c r="I55" s="99" t="s">
        <v>12165</v>
      </c>
      <c r="J55" s="78" t="s">
        <v>12332</v>
      </c>
      <c r="K55" t="s">
        <v>12137</v>
      </c>
    </row>
    <row r="56" spans="1:11" ht="26" hidden="1" customHeight="1" x14ac:dyDescent="0.3">
      <c r="A56" s="225">
        <v>54</v>
      </c>
      <c r="B56" s="226"/>
      <c r="C56" s="160">
        <v>2124</v>
      </c>
      <c r="D56" s="149" t="s">
        <v>12333</v>
      </c>
      <c r="E56" s="112" t="s">
        <v>12239</v>
      </c>
      <c r="F56" s="153" t="s">
        <v>12334</v>
      </c>
      <c r="G56" s="420" t="s">
        <v>12335</v>
      </c>
      <c r="H56" s="401"/>
      <c r="I56" s="77" t="s">
        <v>12210</v>
      </c>
      <c r="J56" s="161" t="s">
        <v>12125</v>
      </c>
      <c r="K56" t="s">
        <v>248</v>
      </c>
    </row>
    <row r="57" spans="1:11" ht="26" hidden="1" customHeight="1" x14ac:dyDescent="0.3">
      <c r="A57" s="233">
        <v>55</v>
      </c>
      <c r="B57" s="234"/>
      <c r="C57" s="162">
        <v>600836</v>
      </c>
      <c r="D57" s="163" t="s">
        <v>12336</v>
      </c>
      <c r="E57" s="145" t="s">
        <v>12239</v>
      </c>
      <c r="F57" s="144" t="s">
        <v>12337</v>
      </c>
      <c r="G57" s="453">
        <v>1</v>
      </c>
      <c r="H57" s="454"/>
      <c r="I57" s="164" t="s">
        <v>12290</v>
      </c>
      <c r="J57" s="146" t="s">
        <v>12248</v>
      </c>
      <c r="K57" t="s">
        <v>12137</v>
      </c>
    </row>
    <row r="58" spans="1:11" ht="39" customHeight="1" x14ac:dyDescent="0.3">
      <c r="A58" s="243">
        <v>56</v>
      </c>
      <c r="B58" s="244"/>
      <c r="C58" s="48">
        <v>2217</v>
      </c>
      <c r="D58" s="37" t="s">
        <v>12338</v>
      </c>
      <c r="E58" s="44" t="s">
        <v>12239</v>
      </c>
      <c r="F58" s="37" t="s">
        <v>12339</v>
      </c>
      <c r="G58" s="402" t="s">
        <v>12340</v>
      </c>
      <c r="H58" s="401"/>
      <c r="I58" s="165" t="s">
        <v>12329</v>
      </c>
      <c r="J58" s="86" t="s">
        <v>12120</v>
      </c>
      <c r="K58" t="s">
        <v>248</v>
      </c>
    </row>
    <row r="59" spans="1:11" ht="52" customHeight="1" x14ac:dyDescent="0.3">
      <c r="A59" s="245">
        <v>57</v>
      </c>
      <c r="B59" s="246"/>
      <c r="C59" s="166">
        <v>908</v>
      </c>
      <c r="D59" s="25" t="s">
        <v>12341</v>
      </c>
      <c r="E59" s="52" t="s">
        <v>12239</v>
      </c>
      <c r="F59" s="25" t="s">
        <v>12342</v>
      </c>
      <c r="G59" s="449" t="s">
        <v>12343</v>
      </c>
      <c r="H59" s="401"/>
      <c r="I59" s="67" t="s">
        <v>12154</v>
      </c>
      <c r="J59" s="45" t="s">
        <v>12344</v>
      </c>
      <c r="K59" t="s">
        <v>248</v>
      </c>
    </row>
    <row r="60" spans="1:11" ht="26" hidden="1" customHeight="1" x14ac:dyDescent="0.3">
      <c r="A60" s="221">
        <v>58</v>
      </c>
      <c r="B60" s="222"/>
      <c r="C60" s="167">
        <v>2621</v>
      </c>
      <c r="D60" s="163" t="s">
        <v>12345</v>
      </c>
      <c r="E60" s="116" t="s">
        <v>12244</v>
      </c>
      <c r="F60" s="168" t="s">
        <v>12346</v>
      </c>
      <c r="G60" s="442" t="s">
        <v>12312</v>
      </c>
      <c r="H60" s="401"/>
      <c r="I60" s="118" t="s">
        <v>12175</v>
      </c>
      <c r="J60" s="169" t="s">
        <v>12248</v>
      </c>
      <c r="K60" t="s">
        <v>12137</v>
      </c>
    </row>
    <row r="61" spans="1:11" ht="26" hidden="1" customHeight="1" x14ac:dyDescent="0.3">
      <c r="A61" s="247">
        <v>59</v>
      </c>
      <c r="B61" s="248"/>
      <c r="C61" s="170">
        <v>2325</v>
      </c>
      <c r="D61" s="263" t="s">
        <v>12347</v>
      </c>
      <c r="E61" s="171" t="s">
        <v>12239</v>
      </c>
      <c r="F61" s="172" t="s">
        <v>12348</v>
      </c>
      <c r="G61" s="445" t="s">
        <v>12349</v>
      </c>
      <c r="H61" s="401"/>
      <c r="I61" s="93" t="s">
        <v>12304</v>
      </c>
      <c r="J61" s="173" t="s">
        <v>12248</v>
      </c>
      <c r="K61" t="s">
        <v>12137</v>
      </c>
    </row>
    <row r="62" spans="1:11" ht="26" hidden="1" customHeight="1" x14ac:dyDescent="0.3">
      <c r="A62" s="223">
        <v>60</v>
      </c>
      <c r="B62" s="224"/>
      <c r="C62" s="157">
        <v>2424</v>
      </c>
      <c r="D62" s="76" t="s">
        <v>12350</v>
      </c>
      <c r="E62" s="174" t="s">
        <v>12239</v>
      </c>
      <c r="F62" s="74" t="s">
        <v>12351</v>
      </c>
      <c r="G62" s="436" t="s">
        <v>12352</v>
      </c>
      <c r="H62" s="401"/>
      <c r="I62" s="96" t="s">
        <v>12353</v>
      </c>
      <c r="J62" s="97" t="s">
        <v>12155</v>
      </c>
      <c r="K62" t="s">
        <v>12102</v>
      </c>
    </row>
    <row r="63" spans="1:11" ht="26" hidden="1" customHeight="1" x14ac:dyDescent="0.3">
      <c r="A63" s="249">
        <v>61</v>
      </c>
      <c r="B63" s="250"/>
      <c r="C63" s="175">
        <v>2288</v>
      </c>
      <c r="D63" s="176" t="s">
        <v>12354</v>
      </c>
      <c r="E63" s="177" t="s">
        <v>12239</v>
      </c>
      <c r="F63" s="178" t="s">
        <v>12355</v>
      </c>
      <c r="G63" s="419" t="s">
        <v>12356</v>
      </c>
      <c r="H63" s="401"/>
      <c r="I63" s="179" t="s">
        <v>12304</v>
      </c>
      <c r="J63" s="180" t="s">
        <v>12248</v>
      </c>
      <c r="K63" t="s">
        <v>12137</v>
      </c>
    </row>
    <row r="64" spans="1:11" ht="26" hidden="1" customHeight="1" x14ac:dyDescent="0.3">
      <c r="A64" s="225">
        <v>62</v>
      </c>
      <c r="B64" s="226"/>
      <c r="C64" s="159">
        <v>2528</v>
      </c>
      <c r="D64" s="73" t="s">
        <v>12357</v>
      </c>
      <c r="E64" s="181" t="s">
        <v>12239</v>
      </c>
      <c r="F64" s="152" t="s">
        <v>12358</v>
      </c>
      <c r="G64" s="415" t="s">
        <v>12359</v>
      </c>
      <c r="H64" s="401"/>
      <c r="I64" s="112" t="s">
        <v>12191</v>
      </c>
      <c r="J64" s="38" t="s">
        <v>12155</v>
      </c>
      <c r="K64" t="s">
        <v>12102</v>
      </c>
    </row>
    <row r="65" spans="1:11" ht="52" hidden="1" customHeight="1" x14ac:dyDescent="0.3">
      <c r="A65" s="217">
        <v>63</v>
      </c>
      <c r="B65" s="218"/>
      <c r="C65" s="48">
        <v>622</v>
      </c>
      <c r="D65" s="55" t="s">
        <v>12360</v>
      </c>
      <c r="E65" s="44" t="s">
        <v>12239</v>
      </c>
      <c r="F65" s="78" t="s">
        <v>12361</v>
      </c>
      <c r="G65" s="431" t="s">
        <v>12362</v>
      </c>
      <c r="H65" s="401"/>
      <c r="I65" s="68" t="s">
        <v>12154</v>
      </c>
      <c r="J65" s="161" t="s">
        <v>12363</v>
      </c>
      <c r="K65" t="s">
        <v>12137</v>
      </c>
    </row>
    <row r="66" spans="1:11" ht="26" hidden="1" customHeight="1" x14ac:dyDescent="0.3">
      <c r="A66" s="249">
        <v>64</v>
      </c>
      <c r="B66" s="250"/>
      <c r="C66" s="134">
        <v>300262</v>
      </c>
      <c r="D66" s="182" t="s">
        <v>12364</v>
      </c>
      <c r="E66" s="183" t="s">
        <v>12239</v>
      </c>
      <c r="F66" s="144" t="s">
        <v>1302</v>
      </c>
      <c r="G66" s="455" t="s">
        <v>12365</v>
      </c>
      <c r="H66" s="401"/>
      <c r="I66" s="184" t="s">
        <v>12290</v>
      </c>
      <c r="J66" s="146" t="s">
        <v>12366</v>
      </c>
      <c r="K66" t="s">
        <v>12137</v>
      </c>
    </row>
    <row r="67" spans="1:11" ht="26" hidden="1" customHeight="1" x14ac:dyDescent="0.3">
      <c r="A67" s="249">
        <v>65</v>
      </c>
      <c r="B67" s="250"/>
      <c r="C67" s="175">
        <v>2435</v>
      </c>
      <c r="D67" s="115" t="s">
        <v>12367</v>
      </c>
      <c r="E67" s="185" t="s">
        <v>12368</v>
      </c>
      <c r="F67" s="186" t="s">
        <v>12369</v>
      </c>
      <c r="G67" s="438" t="s">
        <v>12370</v>
      </c>
      <c r="H67" s="401"/>
      <c r="I67" s="187" t="s">
        <v>12143</v>
      </c>
      <c r="J67" s="188" t="s">
        <v>12248</v>
      </c>
      <c r="K67" t="s">
        <v>12137</v>
      </c>
    </row>
    <row r="68" spans="1:11" ht="26" hidden="1" customHeight="1" x14ac:dyDescent="0.3">
      <c r="A68" s="251">
        <v>66</v>
      </c>
      <c r="B68" s="252"/>
      <c r="C68" s="170">
        <v>2341</v>
      </c>
      <c r="D68" s="189" t="s">
        <v>12371</v>
      </c>
      <c r="E68" s="171" t="s">
        <v>12239</v>
      </c>
      <c r="F68" s="190" t="s">
        <v>12372</v>
      </c>
      <c r="G68" s="419" t="s">
        <v>12373</v>
      </c>
      <c r="H68" s="401"/>
      <c r="I68" s="177" t="s">
        <v>12191</v>
      </c>
      <c r="J68" s="191" t="s">
        <v>12374</v>
      </c>
      <c r="K68" t="s">
        <v>12137</v>
      </c>
    </row>
    <row r="69" spans="1:11" ht="52" customHeight="1" x14ac:dyDescent="0.3">
      <c r="A69" s="245">
        <v>67</v>
      </c>
      <c r="B69" s="246"/>
      <c r="C69" s="64">
        <v>506</v>
      </c>
      <c r="D69" s="25" t="s">
        <v>12375</v>
      </c>
      <c r="E69" s="52" t="s">
        <v>12239</v>
      </c>
      <c r="F69" s="192" t="s">
        <v>12376</v>
      </c>
      <c r="G69" s="446" t="s">
        <v>12377</v>
      </c>
      <c r="H69" s="401"/>
      <c r="I69" s="67" t="s">
        <v>12213</v>
      </c>
      <c r="J69" s="86" t="s">
        <v>12378</v>
      </c>
      <c r="K69" t="s">
        <v>248</v>
      </c>
    </row>
    <row r="70" spans="1:11" ht="52" hidden="1" customHeight="1" x14ac:dyDescent="0.3">
      <c r="A70" s="217">
        <v>68</v>
      </c>
      <c r="B70" s="218"/>
      <c r="C70" s="48">
        <v>851</v>
      </c>
      <c r="D70" s="37" t="s">
        <v>449</v>
      </c>
      <c r="E70" s="44" t="s">
        <v>12379</v>
      </c>
      <c r="F70" s="112" t="s">
        <v>12380</v>
      </c>
      <c r="G70" s="417" t="s">
        <v>12381</v>
      </c>
      <c r="H70" s="401"/>
      <c r="I70" s="68" t="s">
        <v>12353</v>
      </c>
      <c r="J70" s="86" t="s">
        <v>12382</v>
      </c>
      <c r="K70" t="s">
        <v>12102</v>
      </c>
    </row>
    <row r="71" spans="1:11" ht="26" hidden="1" customHeight="1" x14ac:dyDescent="0.3">
      <c r="A71" s="253">
        <v>69</v>
      </c>
      <c r="B71" s="254"/>
      <c r="C71" s="193">
        <v>836</v>
      </c>
      <c r="D71" s="264" t="s">
        <v>12383</v>
      </c>
      <c r="E71" s="183" t="s">
        <v>12239</v>
      </c>
      <c r="F71" s="194" t="s">
        <v>12384</v>
      </c>
      <c r="G71" s="451" t="s">
        <v>12385</v>
      </c>
      <c r="H71" s="401"/>
      <c r="I71" s="195" t="s">
        <v>12386</v>
      </c>
      <c r="J71" s="265" t="s">
        <v>12387</v>
      </c>
      <c r="K71" t="s">
        <v>12137</v>
      </c>
    </row>
    <row r="72" spans="1:11" ht="39.5" hidden="1" customHeight="1" x14ac:dyDescent="0.3">
      <c r="A72" s="217">
        <v>70</v>
      </c>
      <c r="B72" s="218"/>
      <c r="C72" s="102">
        <v>300368</v>
      </c>
      <c r="D72" s="42" t="s">
        <v>12388</v>
      </c>
      <c r="E72" s="196" t="s">
        <v>12389</v>
      </c>
      <c r="F72" s="42" t="s">
        <v>12390</v>
      </c>
      <c r="G72" s="416" t="s">
        <v>12391</v>
      </c>
      <c r="H72" s="401"/>
      <c r="I72" s="38" t="s">
        <v>12392</v>
      </c>
      <c r="J72" s="197" t="s">
        <v>12393</v>
      </c>
      <c r="K72" t="s">
        <v>12102</v>
      </c>
    </row>
    <row r="73" spans="1:11" ht="52" hidden="1" customHeight="1" x14ac:dyDescent="0.3">
      <c r="A73" s="217">
        <v>71</v>
      </c>
      <c r="B73" s="218"/>
      <c r="C73" s="48">
        <v>70</v>
      </c>
      <c r="D73" s="42" t="s">
        <v>12394</v>
      </c>
      <c r="E73" s="38" t="s">
        <v>12389</v>
      </c>
      <c r="F73" s="42" t="s">
        <v>12395</v>
      </c>
      <c r="G73" s="417" t="s">
        <v>12396</v>
      </c>
      <c r="H73" s="401"/>
      <c r="I73" s="68" t="s">
        <v>12397</v>
      </c>
      <c r="J73" s="101" t="s">
        <v>12398</v>
      </c>
      <c r="K73" t="s">
        <v>12102</v>
      </c>
    </row>
    <row r="74" spans="1:11" ht="39" hidden="1" customHeight="1" x14ac:dyDescent="0.3">
      <c r="A74" s="217">
        <v>72</v>
      </c>
      <c r="B74" s="218"/>
      <c r="C74" s="41">
        <v>300300</v>
      </c>
      <c r="D74" s="42" t="s">
        <v>12399</v>
      </c>
      <c r="E74" s="69" t="s">
        <v>12389</v>
      </c>
      <c r="F74" s="198" t="s">
        <v>12400</v>
      </c>
      <c r="G74" s="411" t="s">
        <v>12401</v>
      </c>
      <c r="H74" s="401"/>
      <c r="I74" s="68" t="s">
        <v>12329</v>
      </c>
      <c r="J74" s="101" t="s">
        <v>12402</v>
      </c>
      <c r="K74" t="s">
        <v>12102</v>
      </c>
    </row>
    <row r="75" spans="1:11" ht="52" hidden="1" customHeight="1" x14ac:dyDescent="0.3">
      <c r="A75" s="217">
        <v>73</v>
      </c>
      <c r="B75" s="218"/>
      <c r="C75" s="48">
        <v>2748</v>
      </c>
      <c r="D75" s="81" t="s">
        <v>12403</v>
      </c>
      <c r="E75" s="38" t="s">
        <v>12404</v>
      </c>
      <c r="F75" s="37" t="s">
        <v>12405</v>
      </c>
      <c r="G75" s="402" t="s">
        <v>12406</v>
      </c>
      <c r="H75" s="401"/>
      <c r="I75" s="68" t="s">
        <v>12407</v>
      </c>
      <c r="J75" s="101" t="s">
        <v>12398</v>
      </c>
      <c r="K75" t="s">
        <v>248</v>
      </c>
    </row>
    <row r="76" spans="1:11" ht="39.5" hidden="1" customHeight="1" x14ac:dyDescent="0.3">
      <c r="A76" s="217">
        <v>74</v>
      </c>
      <c r="B76" s="218"/>
      <c r="C76" s="83">
        <v>2092</v>
      </c>
      <c r="D76" s="42" t="s">
        <v>12408</v>
      </c>
      <c r="E76" s="69" t="s">
        <v>12409</v>
      </c>
      <c r="F76" s="42" t="s">
        <v>12410</v>
      </c>
      <c r="G76" s="402" t="s">
        <v>12406</v>
      </c>
      <c r="H76" s="401"/>
      <c r="I76" s="42" t="s">
        <v>12411</v>
      </c>
      <c r="J76" s="199" t="s">
        <v>12412</v>
      </c>
      <c r="K76" t="s">
        <v>248</v>
      </c>
    </row>
    <row r="77" spans="1:11" ht="52" hidden="1" customHeight="1" x14ac:dyDescent="0.3">
      <c r="A77" s="217">
        <v>75</v>
      </c>
      <c r="B77" s="218"/>
      <c r="C77" s="84">
        <v>300600</v>
      </c>
      <c r="D77" s="42" t="s">
        <v>12413</v>
      </c>
      <c r="E77" s="38" t="s">
        <v>12409</v>
      </c>
      <c r="F77" s="42" t="s">
        <v>12414</v>
      </c>
      <c r="G77" s="402" t="s">
        <v>12415</v>
      </c>
      <c r="H77" s="401"/>
      <c r="I77" s="68" t="s">
        <v>12143</v>
      </c>
      <c r="J77" s="199" t="s">
        <v>12416</v>
      </c>
      <c r="K77" t="s">
        <v>12102</v>
      </c>
    </row>
    <row r="78" spans="1:11" ht="39" hidden="1" customHeight="1" x14ac:dyDescent="0.3">
      <c r="A78" s="217">
        <v>76</v>
      </c>
      <c r="B78" s="218"/>
      <c r="C78" s="41">
        <v>600190</v>
      </c>
      <c r="D78" s="42" t="s">
        <v>469</v>
      </c>
      <c r="E78" s="43" t="s">
        <v>12417</v>
      </c>
      <c r="F78" s="42" t="s">
        <v>1302</v>
      </c>
      <c r="G78" s="417" t="s">
        <v>12418</v>
      </c>
      <c r="H78" s="401"/>
      <c r="I78" s="68" t="s">
        <v>12175</v>
      </c>
      <c r="J78" s="101" t="s">
        <v>12402</v>
      </c>
      <c r="K78" t="s">
        <v>12102</v>
      </c>
    </row>
    <row r="79" spans="1:11" ht="52" hidden="1" customHeight="1" x14ac:dyDescent="0.3">
      <c r="A79" s="255">
        <v>77</v>
      </c>
      <c r="B79" s="256"/>
      <c r="C79" s="84">
        <v>300376</v>
      </c>
      <c r="D79" s="37" t="s">
        <v>12419</v>
      </c>
      <c r="E79" s="44" t="s">
        <v>12420</v>
      </c>
      <c r="F79" s="42" t="s">
        <v>1302</v>
      </c>
      <c r="G79" s="416" t="s">
        <v>12421</v>
      </c>
      <c r="H79" s="401"/>
      <c r="I79" s="68" t="s">
        <v>12304</v>
      </c>
      <c r="J79" s="101" t="s">
        <v>12398</v>
      </c>
      <c r="K79" t="s">
        <v>12102</v>
      </c>
    </row>
    <row r="80" spans="1:11" ht="39.5" hidden="1" customHeight="1" x14ac:dyDescent="0.3">
      <c r="A80" s="217">
        <v>78</v>
      </c>
      <c r="B80" s="218"/>
      <c r="C80" s="41">
        <v>600287</v>
      </c>
      <c r="D80" s="42" t="s">
        <v>12422</v>
      </c>
      <c r="E80" s="43" t="s">
        <v>12420</v>
      </c>
      <c r="F80" s="42" t="s">
        <v>12423</v>
      </c>
      <c r="G80" s="402" t="s">
        <v>12424</v>
      </c>
      <c r="H80" s="401"/>
      <c r="I80" s="68" t="s">
        <v>12143</v>
      </c>
      <c r="J80" s="199" t="s">
        <v>12412</v>
      </c>
      <c r="K80" t="s">
        <v>12102</v>
      </c>
    </row>
    <row r="81" spans="1:11" ht="52" hidden="1" customHeight="1" x14ac:dyDescent="0.3">
      <c r="A81" s="225">
        <v>79</v>
      </c>
      <c r="B81" s="226"/>
      <c r="C81" s="98">
        <v>600831</v>
      </c>
      <c r="D81" s="37" t="s">
        <v>12425</v>
      </c>
      <c r="E81" s="111" t="s">
        <v>12420</v>
      </c>
      <c r="F81" s="37" t="s">
        <v>12426</v>
      </c>
      <c r="G81" s="450" t="s">
        <v>12427</v>
      </c>
      <c r="H81" s="401"/>
      <c r="I81" s="77" t="s">
        <v>12236</v>
      </c>
      <c r="J81" s="95" t="s">
        <v>12428</v>
      </c>
      <c r="K81" t="s">
        <v>12102</v>
      </c>
    </row>
    <row r="82" spans="1:11" ht="26" hidden="1" customHeight="1" x14ac:dyDescent="0.3">
      <c r="A82" s="257">
        <v>80</v>
      </c>
      <c r="B82" s="258"/>
      <c r="C82" s="200">
        <v>2308</v>
      </c>
      <c r="D82" s="201" t="s">
        <v>12429</v>
      </c>
      <c r="E82" s="136" t="s">
        <v>12430</v>
      </c>
      <c r="F82" s="202" t="s">
        <v>12431</v>
      </c>
      <c r="G82" s="409" t="s">
        <v>12432</v>
      </c>
      <c r="H82" s="401"/>
      <c r="I82" s="187" t="s">
        <v>12304</v>
      </c>
      <c r="J82" s="259" t="s">
        <v>12433</v>
      </c>
      <c r="K82" t="s">
        <v>12137</v>
      </c>
    </row>
    <row r="83" spans="1:11" ht="26" hidden="1" customHeight="1" x14ac:dyDescent="0.3">
      <c r="A83" s="247">
        <v>81</v>
      </c>
      <c r="B83" s="248"/>
      <c r="C83" s="170">
        <v>413</v>
      </c>
      <c r="D83" s="135" t="s">
        <v>12434</v>
      </c>
      <c r="E83" s="171" t="s">
        <v>12420</v>
      </c>
      <c r="F83" s="203" t="s">
        <v>12435</v>
      </c>
      <c r="G83" s="412" t="s">
        <v>12436</v>
      </c>
      <c r="H83" s="401"/>
      <c r="I83" s="61" t="s">
        <v>12437</v>
      </c>
      <c r="J83" s="204" t="s">
        <v>12248</v>
      </c>
      <c r="K83" t="s">
        <v>12137</v>
      </c>
    </row>
    <row r="84" spans="1:11" ht="52" hidden="1" customHeight="1" x14ac:dyDescent="0.3">
      <c r="A84" s="225">
        <v>82</v>
      </c>
      <c r="B84" s="226"/>
      <c r="C84" s="205">
        <v>40</v>
      </c>
      <c r="D84" s="74" t="s">
        <v>1839</v>
      </c>
      <c r="E84" s="113" t="s">
        <v>12420</v>
      </c>
      <c r="F84" s="81" t="s">
        <v>12438</v>
      </c>
      <c r="G84" s="457" t="s">
        <v>12439</v>
      </c>
      <c r="H84" s="401"/>
      <c r="I84" s="206" t="s">
        <v>12304</v>
      </c>
      <c r="J84" s="78" t="s">
        <v>12440</v>
      </c>
      <c r="K84" t="s">
        <v>12137</v>
      </c>
    </row>
    <row r="85" spans="1:11" ht="39.5" hidden="1" customHeight="1" x14ac:dyDescent="0.3">
      <c r="A85" s="217">
        <v>83</v>
      </c>
      <c r="B85" s="218"/>
      <c r="C85" s="80">
        <v>600711</v>
      </c>
      <c r="D85" s="42" t="s">
        <v>12441</v>
      </c>
      <c r="E85" s="43" t="s">
        <v>12442</v>
      </c>
      <c r="F85" s="42" t="s">
        <v>12443</v>
      </c>
      <c r="G85" s="456" t="s">
        <v>12444</v>
      </c>
      <c r="H85" s="401"/>
      <c r="I85" s="68" t="s">
        <v>12329</v>
      </c>
      <c r="J85" s="199" t="s">
        <v>12445</v>
      </c>
      <c r="K85" t="s">
        <v>12102</v>
      </c>
    </row>
    <row r="86" spans="1:11" ht="52" hidden="1" customHeight="1" x14ac:dyDescent="0.3">
      <c r="A86" s="217">
        <v>84</v>
      </c>
      <c r="B86" s="218"/>
      <c r="C86" s="48">
        <v>2316</v>
      </c>
      <c r="D86" s="42" t="s">
        <v>12446</v>
      </c>
      <c r="E86" s="44" t="s">
        <v>12447</v>
      </c>
      <c r="F86" s="39" t="s">
        <v>12448</v>
      </c>
      <c r="G86" s="431" t="s">
        <v>12449</v>
      </c>
      <c r="H86" s="401"/>
      <c r="I86" s="68" t="s">
        <v>12286</v>
      </c>
      <c r="J86" s="199" t="s">
        <v>12416</v>
      </c>
      <c r="K86" t="s">
        <v>12102</v>
      </c>
    </row>
    <row r="87" spans="1:11" ht="39" hidden="1" customHeight="1" x14ac:dyDescent="0.3">
      <c r="A87" s="217">
        <v>85</v>
      </c>
      <c r="B87" s="218"/>
      <c r="C87" s="41">
        <v>600603</v>
      </c>
      <c r="D87" s="42" t="s">
        <v>12450</v>
      </c>
      <c r="E87" s="43" t="s">
        <v>12451</v>
      </c>
      <c r="F87" s="207" t="s">
        <v>12452</v>
      </c>
      <c r="G87" s="431" t="s">
        <v>1559</v>
      </c>
      <c r="H87" s="401"/>
      <c r="I87" s="68" t="s">
        <v>12453</v>
      </c>
      <c r="J87" s="101" t="s">
        <v>12402</v>
      </c>
      <c r="K87" t="s">
        <v>12102</v>
      </c>
    </row>
    <row r="88" spans="1:11" ht="52" hidden="1" customHeight="1" x14ac:dyDescent="0.3">
      <c r="A88" s="217">
        <v>86</v>
      </c>
      <c r="B88" s="218"/>
      <c r="C88" s="48">
        <v>2168</v>
      </c>
      <c r="D88" s="42" t="s">
        <v>12454</v>
      </c>
      <c r="E88" s="38" t="s">
        <v>12455</v>
      </c>
      <c r="F88" s="49" t="s">
        <v>12456</v>
      </c>
      <c r="G88" s="402" t="s">
        <v>12457</v>
      </c>
      <c r="H88" s="401"/>
      <c r="I88" s="68" t="s">
        <v>12148</v>
      </c>
      <c r="J88" s="101" t="s">
        <v>12398</v>
      </c>
      <c r="K88" t="s">
        <v>12102</v>
      </c>
    </row>
    <row r="89" spans="1:11" ht="39.5" hidden="1" customHeight="1" x14ac:dyDescent="0.3">
      <c r="A89" s="217">
        <v>87</v>
      </c>
      <c r="B89" s="218"/>
      <c r="C89" s="83">
        <v>2425</v>
      </c>
      <c r="D89" s="42" t="s">
        <v>12458</v>
      </c>
      <c r="E89" s="69" t="s">
        <v>12455</v>
      </c>
      <c r="F89" s="38" t="s">
        <v>12459</v>
      </c>
      <c r="G89" s="402" t="s">
        <v>2176</v>
      </c>
      <c r="H89" s="401"/>
      <c r="I89" s="68" t="s">
        <v>12304</v>
      </c>
      <c r="J89" s="199" t="s">
        <v>12412</v>
      </c>
      <c r="K89" t="s">
        <v>12102</v>
      </c>
    </row>
    <row r="90" spans="1:11" ht="52" hidden="1" customHeight="1" x14ac:dyDescent="0.3">
      <c r="A90" s="217">
        <v>88</v>
      </c>
      <c r="B90" s="218"/>
      <c r="C90" s="84">
        <v>300419</v>
      </c>
      <c r="D90" s="37" t="s">
        <v>12460</v>
      </c>
      <c r="E90" s="38" t="s">
        <v>12461</v>
      </c>
      <c r="F90" s="42" t="s">
        <v>12462</v>
      </c>
      <c r="G90" s="417" t="s">
        <v>12463</v>
      </c>
      <c r="H90" s="401"/>
      <c r="I90" s="68" t="s">
        <v>12159</v>
      </c>
      <c r="J90" s="199" t="s">
        <v>12416</v>
      </c>
      <c r="K90" t="s">
        <v>12102</v>
      </c>
    </row>
    <row r="91" spans="1:11" ht="26" hidden="1" customHeight="1" x14ac:dyDescent="0.3">
      <c r="A91" s="225">
        <v>89</v>
      </c>
      <c r="B91" s="226"/>
      <c r="C91" s="98">
        <v>600225</v>
      </c>
      <c r="D91" s="76" t="s">
        <v>12464</v>
      </c>
      <c r="E91" s="75" t="s">
        <v>12465</v>
      </c>
      <c r="F91" s="37" t="s">
        <v>12466</v>
      </c>
      <c r="G91" s="402" t="s">
        <v>12467</v>
      </c>
      <c r="H91" s="401"/>
      <c r="I91" s="77" t="s">
        <v>12386</v>
      </c>
      <c r="J91" s="161" t="s">
        <v>12468</v>
      </c>
      <c r="K91" t="s">
        <v>12137</v>
      </c>
    </row>
    <row r="92" spans="1:11" ht="26" hidden="1" customHeight="1" x14ac:dyDescent="0.3">
      <c r="A92" s="217">
        <v>90</v>
      </c>
      <c r="B92" s="218"/>
      <c r="C92" s="84">
        <v>688287</v>
      </c>
      <c r="D92" s="42" t="s">
        <v>12469</v>
      </c>
      <c r="E92" s="40" t="s">
        <v>12470</v>
      </c>
      <c r="F92" s="42" t="s">
        <v>12471</v>
      </c>
      <c r="G92" s="413" t="s">
        <v>12472</v>
      </c>
      <c r="H92" s="401"/>
      <c r="I92" s="68" t="s">
        <v>12159</v>
      </c>
      <c r="J92" s="69" t="s">
        <v>12101</v>
      </c>
      <c r="K92" t="s">
        <v>12102</v>
      </c>
    </row>
    <row r="93" spans="1:11" ht="52" hidden="1" customHeight="1" x14ac:dyDescent="0.3">
      <c r="A93" s="217">
        <v>91</v>
      </c>
      <c r="B93" s="218"/>
      <c r="C93" s="83">
        <v>2602</v>
      </c>
      <c r="D93" s="42" t="s">
        <v>12473</v>
      </c>
      <c r="E93" s="69" t="s">
        <v>12474</v>
      </c>
      <c r="F93" s="42" t="s">
        <v>12475</v>
      </c>
      <c r="G93" s="408" t="s">
        <v>12476</v>
      </c>
      <c r="H93" s="401"/>
      <c r="I93" s="208" t="s">
        <v>12477</v>
      </c>
      <c r="J93" s="199" t="s">
        <v>12478</v>
      </c>
      <c r="K93" t="s">
        <v>12102</v>
      </c>
    </row>
    <row r="94" spans="1:11" ht="52" hidden="1" customHeight="1" x14ac:dyDescent="0.3">
      <c r="A94" s="217">
        <v>92</v>
      </c>
      <c r="B94" s="218"/>
      <c r="C94" s="84">
        <v>300137</v>
      </c>
      <c r="D94" s="42" t="s">
        <v>12479</v>
      </c>
      <c r="E94" s="38" t="s">
        <v>12480</v>
      </c>
      <c r="F94" s="42" t="s">
        <v>12481</v>
      </c>
      <c r="G94" s="416" t="s">
        <v>12482</v>
      </c>
      <c r="H94" s="401"/>
      <c r="I94" s="68" t="s">
        <v>12437</v>
      </c>
      <c r="J94" s="199" t="s">
        <v>12483</v>
      </c>
      <c r="K94" t="s">
        <v>12102</v>
      </c>
    </row>
    <row r="95" spans="1:11" ht="52" hidden="1" customHeight="1" x14ac:dyDescent="0.3">
      <c r="A95" s="217">
        <v>93</v>
      </c>
      <c r="B95" s="218"/>
      <c r="C95" s="83">
        <v>2388</v>
      </c>
      <c r="D95" s="42" t="s">
        <v>12484</v>
      </c>
      <c r="E95" s="196" t="s">
        <v>12485</v>
      </c>
      <c r="F95" s="42" t="s">
        <v>12486</v>
      </c>
      <c r="G95" s="416" t="s">
        <v>12487</v>
      </c>
      <c r="H95" s="401"/>
      <c r="I95" s="68" t="s">
        <v>12210</v>
      </c>
      <c r="J95" s="101" t="s">
        <v>12398</v>
      </c>
      <c r="K95" t="s">
        <v>12102</v>
      </c>
    </row>
    <row r="96" spans="1:11" ht="39" hidden="1" customHeight="1" x14ac:dyDescent="0.3">
      <c r="A96" s="217">
        <v>94</v>
      </c>
      <c r="B96" s="218"/>
      <c r="C96" s="84">
        <v>300165</v>
      </c>
      <c r="D96" s="42" t="s">
        <v>12488</v>
      </c>
      <c r="E96" s="38" t="s">
        <v>12489</v>
      </c>
      <c r="F96" s="42" t="s">
        <v>12490</v>
      </c>
      <c r="G96" s="402" t="s">
        <v>12491</v>
      </c>
      <c r="H96" s="401"/>
      <c r="I96" s="87" t="s">
        <v>12492</v>
      </c>
      <c r="J96" s="199" t="s">
        <v>12493</v>
      </c>
      <c r="K96" t="s">
        <v>12102</v>
      </c>
    </row>
    <row r="97" spans="1:11" ht="52" hidden="1" customHeight="1" x14ac:dyDescent="0.3">
      <c r="A97" s="217">
        <v>95</v>
      </c>
      <c r="B97" s="218"/>
      <c r="C97" s="41">
        <v>300097</v>
      </c>
      <c r="D97" s="42" t="s">
        <v>12494</v>
      </c>
      <c r="E97" s="196" t="s">
        <v>12495</v>
      </c>
      <c r="F97" s="42" t="s">
        <v>1302</v>
      </c>
      <c r="G97" s="416" t="s">
        <v>12496</v>
      </c>
      <c r="H97" s="401"/>
      <c r="I97" s="43" t="s">
        <v>12497</v>
      </c>
      <c r="J97" s="197" t="s">
        <v>12498</v>
      </c>
      <c r="K97" t="s">
        <v>12102</v>
      </c>
    </row>
  </sheetData>
  <autoFilter ref="A2:K97" xr:uid="{00000000-0009-0000-0000-000019000000}">
    <filterColumn colId="6" showButton="0"/>
    <filterColumn colId="9">
      <customFilters>
        <customFilter val="*退市风险*"/>
      </customFilters>
    </filterColumn>
    <filterColumn colId="10">
      <filters>
        <filter val="摘帽"/>
      </filters>
    </filterColumn>
  </autoFilter>
  <mergeCells count="96">
    <mergeCell ref="G97:H97"/>
    <mergeCell ref="G57:H57"/>
    <mergeCell ref="G66:H66"/>
    <mergeCell ref="G91:H91"/>
    <mergeCell ref="G85:H85"/>
    <mergeCell ref="G94:H94"/>
    <mergeCell ref="G84:H84"/>
    <mergeCell ref="G75:H75"/>
    <mergeCell ref="G88:H88"/>
    <mergeCell ref="G90:H90"/>
    <mergeCell ref="G87:H87"/>
    <mergeCell ref="G95:H95"/>
    <mergeCell ref="G50:H50"/>
    <mergeCell ref="G14:H14"/>
    <mergeCell ref="G12:H12"/>
    <mergeCell ref="G77:H77"/>
    <mergeCell ref="G86:H86"/>
    <mergeCell ref="G67:H67"/>
    <mergeCell ref="G61:H61"/>
    <mergeCell ref="G70:H70"/>
    <mergeCell ref="G48:H48"/>
    <mergeCell ref="G65:H65"/>
    <mergeCell ref="G76:H76"/>
    <mergeCell ref="G69:H69"/>
    <mergeCell ref="G78:H78"/>
    <mergeCell ref="G80:H80"/>
    <mergeCell ref="G18:H18"/>
    <mergeCell ref="G34:H34"/>
    <mergeCell ref="G49:H49"/>
    <mergeCell ref="G24:H24"/>
    <mergeCell ref="G33:H33"/>
    <mergeCell ref="G26:H26"/>
    <mergeCell ref="G35:H35"/>
    <mergeCell ref="G25:H25"/>
    <mergeCell ref="G44:H44"/>
    <mergeCell ref="G2:H2"/>
    <mergeCell ref="G42:H42"/>
    <mergeCell ref="G11:H11"/>
    <mergeCell ref="G39:H39"/>
    <mergeCell ref="G37:H37"/>
    <mergeCell ref="G13:H13"/>
    <mergeCell ref="G15:H15"/>
    <mergeCell ref="G32:H32"/>
    <mergeCell ref="G41:H41"/>
    <mergeCell ref="G8:H8"/>
    <mergeCell ref="G17:H17"/>
    <mergeCell ref="G10:H10"/>
    <mergeCell ref="G19:H19"/>
    <mergeCell ref="G6:H6"/>
    <mergeCell ref="G3:H3"/>
    <mergeCell ref="G5:H5"/>
    <mergeCell ref="G89:H89"/>
    <mergeCell ref="G64:H64"/>
    <mergeCell ref="G79:H79"/>
    <mergeCell ref="G73:H73"/>
    <mergeCell ref="G51:H51"/>
    <mergeCell ref="G54:H54"/>
    <mergeCell ref="G63:H63"/>
    <mergeCell ref="G56:H56"/>
    <mergeCell ref="G72:H72"/>
    <mergeCell ref="G62:H62"/>
    <mergeCell ref="G60:H60"/>
    <mergeCell ref="G68:H68"/>
    <mergeCell ref="G58:H58"/>
    <mergeCell ref="G59:H59"/>
    <mergeCell ref="G81:H81"/>
    <mergeCell ref="G71:H71"/>
    <mergeCell ref="G96:H96"/>
    <mergeCell ref="G43:H43"/>
    <mergeCell ref="G52:H52"/>
    <mergeCell ref="G27:H27"/>
    <mergeCell ref="G36:H36"/>
    <mergeCell ref="G82:H82"/>
    <mergeCell ref="G53:H53"/>
    <mergeCell ref="G28:H28"/>
    <mergeCell ref="G93:H93"/>
    <mergeCell ref="G74:H74"/>
    <mergeCell ref="G83:H83"/>
    <mergeCell ref="G92:H92"/>
    <mergeCell ref="G30:H30"/>
    <mergeCell ref="G45:H45"/>
    <mergeCell ref="G55:H55"/>
    <mergeCell ref="G29:H29"/>
    <mergeCell ref="G4:H4"/>
    <mergeCell ref="G47:H47"/>
    <mergeCell ref="G31:H31"/>
    <mergeCell ref="G46:H46"/>
    <mergeCell ref="G40:H40"/>
    <mergeCell ref="G7:H7"/>
    <mergeCell ref="G38:H38"/>
    <mergeCell ref="G16:H16"/>
    <mergeCell ref="G9:H9"/>
    <mergeCell ref="G20:H20"/>
    <mergeCell ref="G22:H22"/>
    <mergeCell ref="G21:H21"/>
    <mergeCell ref="G23:H23"/>
  </mergeCells>
  <phoneticPr fontId="16"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6"/>
  <dimension ref="B3:O23"/>
  <sheetViews>
    <sheetView workbookViewId="0">
      <selection activeCell="L40" sqref="L40"/>
    </sheetView>
  </sheetViews>
  <sheetFormatPr defaultColWidth="8.58203125" defaultRowHeight="14" x14ac:dyDescent="0.3"/>
  <cols>
    <col min="1" max="4" width="8.58203125" style="8" customWidth="1"/>
    <col min="5" max="5" width="11.75" style="8" bestFit="1" customWidth="1"/>
    <col min="6" max="6" width="11.75" style="8" customWidth="1"/>
    <col min="7" max="141" width="8.58203125" style="8" customWidth="1"/>
    <col min="142" max="16384" width="8.58203125" style="8"/>
  </cols>
  <sheetData>
    <row r="3" spans="2:15" ht="28" customHeight="1" x14ac:dyDescent="0.3">
      <c r="C3" s="8" t="s">
        <v>12499</v>
      </c>
      <c r="D3" s="8" t="s">
        <v>12500</v>
      </c>
      <c r="E3" s="8" t="s">
        <v>428</v>
      </c>
      <c r="F3" s="8" t="s">
        <v>12501</v>
      </c>
      <c r="G3" s="8" t="s">
        <v>1255</v>
      </c>
      <c r="H3" s="8" t="s">
        <v>12500</v>
      </c>
      <c r="I3" s="8" t="s">
        <v>428</v>
      </c>
      <c r="J3" s="8" t="s">
        <v>12502</v>
      </c>
      <c r="K3" s="8" t="s">
        <v>12500</v>
      </c>
      <c r="L3" s="8" t="s">
        <v>428</v>
      </c>
      <c r="M3" s="8" t="s">
        <v>12503</v>
      </c>
      <c r="N3" s="8" t="s">
        <v>12500</v>
      </c>
      <c r="O3" s="8" t="s">
        <v>428</v>
      </c>
    </row>
    <row r="4" spans="2:15" x14ac:dyDescent="0.3">
      <c r="B4" s="8">
        <v>2024</v>
      </c>
      <c r="C4" s="8">
        <v>97</v>
      </c>
      <c r="D4" s="8">
        <v>30</v>
      </c>
      <c r="E4" s="8">
        <f>D4/C4</f>
        <v>0.30927835051546393</v>
      </c>
      <c r="F4" s="8">
        <v>19</v>
      </c>
      <c r="G4" s="8">
        <v>13</v>
      </c>
      <c r="H4" s="8">
        <v>5</v>
      </c>
      <c r="I4" s="8">
        <f>H4/G4</f>
        <v>0.38461538461538464</v>
      </c>
      <c r="J4" s="8">
        <v>12</v>
      </c>
      <c r="K4" s="8">
        <v>3</v>
      </c>
      <c r="L4" s="8">
        <f>K4/J4</f>
        <v>0.25</v>
      </c>
      <c r="M4" s="8">
        <v>27</v>
      </c>
      <c r="N4" s="8">
        <v>9</v>
      </c>
      <c r="O4" s="8">
        <f>N4/M4</f>
        <v>0.33333333333333331</v>
      </c>
    </row>
    <row r="5" spans="2:15" x14ac:dyDescent="0.3">
      <c r="B5" s="8">
        <v>2025</v>
      </c>
      <c r="C5" s="8">
        <v>101</v>
      </c>
    </row>
    <row r="22" spans="4:6" ht="28" customHeight="1" x14ac:dyDescent="0.3">
      <c r="D22" s="8" t="s">
        <v>12504</v>
      </c>
      <c r="E22" s="8">
        <v>98</v>
      </c>
      <c r="F22" s="8">
        <v>102</v>
      </c>
    </row>
    <row r="23" spans="4:6" x14ac:dyDescent="0.3">
      <c r="E23" s="8">
        <v>102</v>
      </c>
    </row>
  </sheetData>
  <phoneticPr fontId="16"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4:AI31"/>
  <sheetViews>
    <sheetView workbookViewId="0">
      <selection activeCell="I34" sqref="I34"/>
    </sheetView>
  </sheetViews>
  <sheetFormatPr defaultRowHeight="14" x14ac:dyDescent="0.3"/>
  <cols>
    <col min="1" max="1" width="10.58203125" style="350" bestFit="1" customWidth="1"/>
    <col min="10" max="10" width="10.58203125" style="350" bestFit="1" customWidth="1"/>
    <col min="13" max="14" width="12.33203125" style="350" bestFit="1" customWidth="1"/>
    <col min="15" max="15" width="10.33203125" style="350" bestFit="1" customWidth="1"/>
    <col min="16" max="17" width="12.33203125" style="350" bestFit="1" customWidth="1"/>
  </cols>
  <sheetData>
    <row r="4" spans="1:35" x14ac:dyDescent="0.3">
      <c r="A4" s="299">
        <v>45944</v>
      </c>
      <c r="B4">
        <v>1.8706</v>
      </c>
      <c r="C4">
        <v>1.8706</v>
      </c>
      <c r="D4" s="9">
        <v>-8.2000000000000007E-3</v>
      </c>
      <c r="E4" t="s">
        <v>12505</v>
      </c>
      <c r="F4" t="s">
        <v>12506</v>
      </c>
      <c r="J4" s="299">
        <v>45944</v>
      </c>
      <c r="K4">
        <v>1.6746000000000001</v>
      </c>
      <c r="L4">
        <v>1.6746000000000001</v>
      </c>
      <c r="M4" s="9">
        <v>-7.6E-3</v>
      </c>
      <c r="N4" t="s">
        <v>12507</v>
      </c>
      <c r="O4" t="s">
        <v>12508</v>
      </c>
      <c r="Q4" s="9">
        <f t="shared" ref="Q4:Q23" si="0">M4-D4</f>
        <v>6.0000000000000071E-4</v>
      </c>
    </row>
    <row r="5" spans="1:35" x14ac:dyDescent="0.3">
      <c r="A5" s="299">
        <v>45943</v>
      </c>
      <c r="B5">
        <v>1.8859999999999999</v>
      </c>
      <c r="C5">
        <v>1.8859999999999999</v>
      </c>
      <c r="D5" s="9">
        <v>4.1999999999999997E-3</v>
      </c>
      <c r="E5" t="s">
        <v>12505</v>
      </c>
      <c r="F5" t="s">
        <v>12506</v>
      </c>
      <c r="J5" s="299">
        <v>45943</v>
      </c>
      <c r="K5">
        <v>1.6874</v>
      </c>
      <c r="L5">
        <v>1.6874</v>
      </c>
      <c r="M5" s="9">
        <v>4.1000000000000003E-3</v>
      </c>
      <c r="N5" t="s">
        <v>12507</v>
      </c>
      <c r="O5" t="s">
        <v>12508</v>
      </c>
      <c r="Q5" s="9">
        <f t="shared" si="0"/>
        <v>-9.9999999999999395E-5</v>
      </c>
    </row>
    <row r="6" spans="1:35" x14ac:dyDescent="0.3">
      <c r="A6" s="299">
        <v>45940</v>
      </c>
      <c r="B6">
        <v>1.8782000000000001</v>
      </c>
      <c r="C6">
        <v>1.8782000000000001</v>
      </c>
      <c r="D6" s="9">
        <v>-3.3999999999999998E-3</v>
      </c>
      <c r="E6" t="s">
        <v>12505</v>
      </c>
      <c r="F6" t="s">
        <v>12506</v>
      </c>
      <c r="J6" s="299">
        <v>45940</v>
      </c>
      <c r="K6">
        <v>1.6805000000000001</v>
      </c>
      <c r="L6">
        <v>1.6805000000000001</v>
      </c>
      <c r="M6" s="9">
        <v>-3.0999999999999999E-3</v>
      </c>
      <c r="N6" t="s">
        <v>12507</v>
      </c>
      <c r="O6" t="s">
        <v>12508</v>
      </c>
      <c r="Q6" s="9">
        <f t="shared" si="0"/>
        <v>2.9999999999999992E-4</v>
      </c>
      <c r="T6" t="s">
        <v>12509</v>
      </c>
      <c r="U6" t="s">
        <v>2032</v>
      </c>
      <c r="V6" t="s">
        <v>12510</v>
      </c>
      <c r="W6" t="s">
        <v>12511</v>
      </c>
      <c r="X6" t="s">
        <v>12512</v>
      </c>
      <c r="Y6" t="s">
        <v>2031</v>
      </c>
      <c r="Z6" t="s">
        <v>12513</v>
      </c>
      <c r="AA6" t="s">
        <v>12514</v>
      </c>
      <c r="AB6" t="s">
        <v>12515</v>
      </c>
      <c r="AC6" t="s">
        <v>12516</v>
      </c>
      <c r="AD6" t="s">
        <v>12517</v>
      </c>
      <c r="AE6" t="s">
        <v>12518</v>
      </c>
      <c r="AF6" t="s">
        <v>12519</v>
      </c>
      <c r="AG6" t="s">
        <v>12520</v>
      </c>
      <c r="AH6" t="s">
        <v>12521</v>
      </c>
      <c r="AI6" t="s">
        <v>12522</v>
      </c>
    </row>
    <row r="7" spans="1:35" x14ac:dyDescent="0.3">
      <c r="A7" s="299">
        <v>45939</v>
      </c>
      <c r="B7">
        <v>1.8846000000000001</v>
      </c>
      <c r="C7">
        <v>1.8846000000000001</v>
      </c>
      <c r="D7" s="9">
        <v>5.0000000000000001E-4</v>
      </c>
      <c r="E7" t="s">
        <v>12505</v>
      </c>
      <c r="F7" t="s">
        <v>12506</v>
      </c>
      <c r="J7" s="299">
        <v>45939</v>
      </c>
      <c r="K7">
        <v>1.6857</v>
      </c>
      <c r="L7">
        <v>1.6857</v>
      </c>
      <c r="M7" s="9">
        <v>5.0000000000000001E-4</v>
      </c>
      <c r="N7" t="s">
        <v>12507</v>
      </c>
      <c r="O7" t="s">
        <v>12508</v>
      </c>
      <c r="Q7" s="9">
        <f t="shared" si="0"/>
        <v>0</v>
      </c>
      <c r="T7">
        <v>1</v>
      </c>
      <c r="U7">
        <v>2656</v>
      </c>
      <c r="V7">
        <v>16000</v>
      </c>
      <c r="W7">
        <v>0</v>
      </c>
      <c r="X7">
        <v>2.343</v>
      </c>
      <c r="Y7">
        <v>2.2999999999999998</v>
      </c>
      <c r="Z7">
        <v>-683.37</v>
      </c>
      <c r="AA7">
        <v>-1.823</v>
      </c>
      <c r="AB7">
        <v>480</v>
      </c>
      <c r="AC7">
        <v>1.32</v>
      </c>
      <c r="AD7">
        <v>36800</v>
      </c>
      <c r="AE7">
        <v>1.19</v>
      </c>
      <c r="AF7">
        <v>0</v>
      </c>
      <c r="AG7">
        <v>0</v>
      </c>
      <c r="AH7" t="s">
        <v>12523</v>
      </c>
    </row>
    <row r="8" spans="1:35" x14ac:dyDescent="0.3">
      <c r="A8" s="299">
        <v>45930</v>
      </c>
      <c r="B8">
        <v>1.8836999999999999</v>
      </c>
      <c r="C8">
        <v>1.8836999999999999</v>
      </c>
      <c r="D8" s="9">
        <v>-1.2999999999999999E-3</v>
      </c>
      <c r="E8" t="s">
        <v>12505</v>
      </c>
      <c r="F8" t="s">
        <v>12506</v>
      </c>
      <c r="J8" s="299">
        <v>45930</v>
      </c>
      <c r="K8">
        <v>1.6848000000000001</v>
      </c>
      <c r="L8">
        <v>1.6848000000000001</v>
      </c>
      <c r="M8" s="9">
        <v>-1.1999999999999999E-3</v>
      </c>
      <c r="N8" t="s">
        <v>12507</v>
      </c>
      <c r="O8" t="s">
        <v>12508</v>
      </c>
      <c r="Q8" s="9">
        <f t="shared" si="0"/>
        <v>1.0000000000000005E-4</v>
      </c>
      <c r="T8">
        <v>2</v>
      </c>
      <c r="U8">
        <v>2529</v>
      </c>
      <c r="V8">
        <v>5000</v>
      </c>
      <c r="W8">
        <v>0</v>
      </c>
      <c r="X8">
        <v>6.5739999999999998</v>
      </c>
      <c r="Y8">
        <v>7.51</v>
      </c>
      <c r="Z8">
        <v>4679.3</v>
      </c>
      <c r="AA8">
        <v>14.234999999999999</v>
      </c>
      <c r="AB8">
        <v>400</v>
      </c>
      <c r="AC8">
        <v>1.08</v>
      </c>
      <c r="AD8">
        <v>37550</v>
      </c>
      <c r="AE8">
        <v>1.21</v>
      </c>
      <c r="AF8">
        <v>0</v>
      </c>
      <c r="AG8">
        <v>0</v>
      </c>
      <c r="AH8" t="s">
        <v>12523</v>
      </c>
    </row>
    <row r="9" spans="1:35" x14ac:dyDescent="0.3">
      <c r="A9" s="299">
        <v>45929</v>
      </c>
      <c r="B9">
        <v>1.8862000000000001</v>
      </c>
      <c r="C9">
        <v>1.8862000000000001</v>
      </c>
      <c r="D9" s="9">
        <v>-4.1000000000000003E-3</v>
      </c>
      <c r="E9" t="s">
        <v>12505</v>
      </c>
      <c r="F9" t="s">
        <v>12506</v>
      </c>
      <c r="J9" s="299">
        <v>45929</v>
      </c>
      <c r="K9">
        <v>1.6869000000000001</v>
      </c>
      <c r="L9">
        <v>1.6869000000000001</v>
      </c>
      <c r="M9" s="9">
        <v>-3.7000000000000002E-3</v>
      </c>
      <c r="N9" t="s">
        <v>12507</v>
      </c>
      <c r="O9" t="s">
        <v>12508</v>
      </c>
      <c r="Q9" s="9">
        <f t="shared" si="0"/>
        <v>4.0000000000000018E-4</v>
      </c>
      <c r="T9">
        <v>3</v>
      </c>
      <c r="U9">
        <v>300268</v>
      </c>
      <c r="V9">
        <v>4800</v>
      </c>
      <c r="W9">
        <v>400</v>
      </c>
      <c r="X9">
        <v>10.164999999999999</v>
      </c>
      <c r="Y9">
        <v>9.99</v>
      </c>
      <c r="Z9">
        <v>-840.4</v>
      </c>
      <c r="AA9">
        <v>-1.722</v>
      </c>
      <c r="AB9">
        <v>336</v>
      </c>
      <c r="AC9">
        <v>0.71</v>
      </c>
      <c r="AD9">
        <v>47952</v>
      </c>
      <c r="AE9">
        <v>1.55</v>
      </c>
      <c r="AF9">
        <v>400</v>
      </c>
      <c r="AG9">
        <v>0</v>
      </c>
      <c r="AH9" t="s">
        <v>12523</v>
      </c>
    </row>
    <row r="10" spans="1:35" x14ac:dyDescent="0.3">
      <c r="A10" s="299">
        <v>45926</v>
      </c>
      <c r="B10">
        <v>1.8938999999999999</v>
      </c>
      <c r="C10">
        <v>1.8938999999999999</v>
      </c>
      <c r="D10" s="9">
        <v>-4.0000000000000001E-3</v>
      </c>
      <c r="E10" t="s">
        <v>12505</v>
      </c>
      <c r="F10" t="s">
        <v>12506</v>
      </c>
      <c r="J10" s="299">
        <v>45926</v>
      </c>
      <c r="K10">
        <v>1.6932</v>
      </c>
      <c r="L10">
        <v>1.6932</v>
      </c>
      <c r="M10" s="9">
        <v>-3.5999999999999999E-3</v>
      </c>
      <c r="N10" t="s">
        <v>12507</v>
      </c>
      <c r="O10" t="s">
        <v>12508</v>
      </c>
      <c r="Q10" s="9">
        <f t="shared" si="0"/>
        <v>4.0000000000000018E-4</v>
      </c>
      <c r="T10">
        <v>4</v>
      </c>
      <c r="U10">
        <v>603580</v>
      </c>
      <c r="V10">
        <v>3400</v>
      </c>
      <c r="W10">
        <v>0</v>
      </c>
      <c r="X10">
        <v>14.574</v>
      </c>
      <c r="Y10">
        <v>14.5</v>
      </c>
      <c r="Z10">
        <v>-252.94</v>
      </c>
      <c r="AA10">
        <v>-0.51</v>
      </c>
      <c r="AB10">
        <v>170</v>
      </c>
      <c r="AC10">
        <v>0.35</v>
      </c>
      <c r="AD10">
        <v>49300</v>
      </c>
      <c r="AE10">
        <v>1.59</v>
      </c>
      <c r="AF10">
        <v>0</v>
      </c>
      <c r="AG10">
        <v>0</v>
      </c>
      <c r="AH10" t="s">
        <v>12524</v>
      </c>
    </row>
    <row r="11" spans="1:35" x14ac:dyDescent="0.3">
      <c r="A11" s="299">
        <v>45925</v>
      </c>
      <c r="B11">
        <v>1.9015</v>
      </c>
      <c r="C11">
        <v>1.9015</v>
      </c>
      <c r="D11" s="9">
        <v>1.3299999999999999E-2</v>
      </c>
      <c r="E11" t="s">
        <v>12505</v>
      </c>
      <c r="F11" t="s">
        <v>12506</v>
      </c>
      <c r="J11" s="299">
        <v>45925</v>
      </c>
      <c r="K11">
        <v>1.6994</v>
      </c>
      <c r="L11">
        <v>1.6994</v>
      </c>
      <c r="M11" s="9">
        <v>1.2800000000000001E-2</v>
      </c>
      <c r="N11" t="s">
        <v>12507</v>
      </c>
      <c r="O11" t="s">
        <v>12508</v>
      </c>
      <c r="Q11" s="9">
        <f t="shared" si="0"/>
        <v>-4.9999999999999871E-4</v>
      </c>
      <c r="T11">
        <v>5</v>
      </c>
      <c r="U11">
        <v>603838</v>
      </c>
      <c r="V11">
        <v>3100</v>
      </c>
      <c r="W11">
        <v>0</v>
      </c>
      <c r="X11">
        <v>5.9870000000000001</v>
      </c>
      <c r="Y11">
        <v>7.84</v>
      </c>
      <c r="Z11">
        <v>5743.74</v>
      </c>
      <c r="AA11">
        <v>30.946000000000002</v>
      </c>
      <c r="AB11">
        <v>124</v>
      </c>
      <c r="AC11">
        <v>0.51</v>
      </c>
      <c r="AD11">
        <v>24304</v>
      </c>
      <c r="AE11">
        <v>0.79</v>
      </c>
      <c r="AF11">
        <v>0</v>
      </c>
      <c r="AG11">
        <v>0</v>
      </c>
      <c r="AH11" t="s">
        <v>12524</v>
      </c>
    </row>
    <row r="12" spans="1:35" x14ac:dyDescent="0.3">
      <c r="A12" s="299">
        <v>45924</v>
      </c>
      <c r="B12">
        <v>1.8765000000000001</v>
      </c>
      <c r="C12">
        <v>1.8765000000000001</v>
      </c>
      <c r="D12" s="9">
        <v>-1.0800000000000001E-2</v>
      </c>
      <c r="E12" t="s">
        <v>12505</v>
      </c>
      <c r="F12" t="s">
        <v>12506</v>
      </c>
      <c r="J12" s="299">
        <v>45924</v>
      </c>
      <c r="K12">
        <v>1.6779999999999999</v>
      </c>
      <c r="L12">
        <v>1.6779999999999999</v>
      </c>
      <c r="M12" s="9">
        <v>-0.01</v>
      </c>
      <c r="N12" t="s">
        <v>12507</v>
      </c>
      <c r="O12" t="s">
        <v>12508</v>
      </c>
      <c r="Q12" s="9">
        <f t="shared" si="0"/>
        <v>8.0000000000000036E-4</v>
      </c>
      <c r="T12">
        <v>6</v>
      </c>
      <c r="U12">
        <v>300899</v>
      </c>
      <c r="V12">
        <v>2400</v>
      </c>
      <c r="W12">
        <v>0</v>
      </c>
      <c r="X12">
        <v>24.512</v>
      </c>
      <c r="Y12">
        <v>27.25</v>
      </c>
      <c r="Z12">
        <v>6570.71</v>
      </c>
      <c r="AA12">
        <v>11.169</v>
      </c>
      <c r="AB12">
        <v>768</v>
      </c>
      <c r="AC12">
        <v>1.19</v>
      </c>
      <c r="AD12">
        <v>65400</v>
      </c>
      <c r="AE12">
        <v>2.12</v>
      </c>
      <c r="AF12">
        <v>0</v>
      </c>
      <c r="AG12">
        <v>0</v>
      </c>
      <c r="AH12" t="s">
        <v>12523</v>
      </c>
    </row>
    <row r="13" spans="1:35" x14ac:dyDescent="0.3">
      <c r="A13" s="299">
        <v>45923</v>
      </c>
      <c r="B13">
        <v>1.897</v>
      </c>
      <c r="C13">
        <v>1.897</v>
      </c>
      <c r="D13" s="9">
        <v>-2.5000000000000001E-2</v>
      </c>
      <c r="E13" t="s">
        <v>12505</v>
      </c>
      <c r="F13" t="s">
        <v>12506</v>
      </c>
      <c r="J13" s="299">
        <v>45923</v>
      </c>
      <c r="K13">
        <v>1.6950000000000001</v>
      </c>
      <c r="L13">
        <v>1.6950000000000001</v>
      </c>
      <c r="M13" s="9">
        <v>-2.3699999999999999E-2</v>
      </c>
      <c r="N13" t="s">
        <v>12507</v>
      </c>
      <c r="O13" t="s">
        <v>12508</v>
      </c>
      <c r="Q13" s="9">
        <f t="shared" si="0"/>
        <v>1.3000000000000025E-3</v>
      </c>
      <c r="T13">
        <v>7</v>
      </c>
      <c r="U13">
        <v>2569</v>
      </c>
      <c r="V13">
        <v>2200</v>
      </c>
      <c r="W13">
        <v>0</v>
      </c>
      <c r="X13">
        <v>9.9030000000000005</v>
      </c>
      <c r="Y13">
        <v>9.25</v>
      </c>
      <c r="Z13">
        <v>-1435.96</v>
      </c>
      <c r="AA13">
        <v>-6.5910000000000002</v>
      </c>
      <c r="AB13">
        <v>198</v>
      </c>
      <c r="AC13">
        <v>0.98</v>
      </c>
      <c r="AD13">
        <v>20350</v>
      </c>
      <c r="AE13">
        <v>0.66</v>
      </c>
      <c r="AF13">
        <v>0</v>
      </c>
      <c r="AG13">
        <v>0</v>
      </c>
      <c r="AH13" t="s">
        <v>12523</v>
      </c>
      <c r="AI13">
        <v>20</v>
      </c>
    </row>
    <row r="14" spans="1:35" x14ac:dyDescent="0.3">
      <c r="A14" s="299">
        <v>45922</v>
      </c>
      <c r="B14">
        <v>1.9457</v>
      </c>
      <c r="C14">
        <v>1.9457</v>
      </c>
      <c r="D14" s="9">
        <v>8.6999999999999994E-3</v>
      </c>
      <c r="E14" t="s">
        <v>12505</v>
      </c>
      <c r="F14" t="s">
        <v>12506</v>
      </c>
      <c r="J14" s="299">
        <v>45922</v>
      </c>
      <c r="K14">
        <v>1.7362</v>
      </c>
      <c r="L14">
        <v>1.7362</v>
      </c>
      <c r="M14" s="9">
        <v>8.3999999999999995E-3</v>
      </c>
      <c r="N14" t="s">
        <v>12507</v>
      </c>
      <c r="O14" t="s">
        <v>12508</v>
      </c>
      <c r="Q14" s="9">
        <f t="shared" si="0"/>
        <v>-2.9999999999999992E-4</v>
      </c>
      <c r="T14">
        <v>8</v>
      </c>
      <c r="U14">
        <v>301288</v>
      </c>
      <c r="V14">
        <v>1900</v>
      </c>
      <c r="W14">
        <v>0</v>
      </c>
      <c r="X14">
        <v>14.919</v>
      </c>
      <c r="Y14">
        <v>17.22</v>
      </c>
      <c r="Z14">
        <v>4372.45</v>
      </c>
      <c r="AA14">
        <v>15.426</v>
      </c>
      <c r="AB14">
        <v>171</v>
      </c>
      <c r="AC14">
        <v>0.53</v>
      </c>
      <c r="AD14">
        <v>32718</v>
      </c>
      <c r="AE14">
        <v>1.06</v>
      </c>
      <c r="AF14">
        <v>0</v>
      </c>
      <c r="AG14">
        <v>0</v>
      </c>
      <c r="AH14" t="s">
        <v>12523</v>
      </c>
    </row>
    <row r="15" spans="1:35" x14ac:dyDescent="0.3">
      <c r="A15" s="299">
        <v>45919</v>
      </c>
      <c r="B15">
        <v>1.9289000000000001</v>
      </c>
      <c r="C15">
        <v>1.9289000000000001</v>
      </c>
      <c r="D15" s="9">
        <v>1E-3</v>
      </c>
      <c r="E15" t="s">
        <v>12505</v>
      </c>
      <c r="F15" t="s">
        <v>12506</v>
      </c>
      <c r="J15" s="299">
        <v>45919</v>
      </c>
      <c r="K15">
        <v>1.7217</v>
      </c>
      <c r="L15">
        <v>1.7217</v>
      </c>
      <c r="M15" s="9">
        <v>1.1999999999999999E-3</v>
      </c>
      <c r="N15" t="s">
        <v>12507</v>
      </c>
      <c r="O15" t="s">
        <v>12508</v>
      </c>
      <c r="Q15" s="9">
        <f t="shared" si="0"/>
        <v>1.9999999999999987E-4</v>
      </c>
      <c r="T15">
        <v>9</v>
      </c>
      <c r="U15">
        <v>600753</v>
      </c>
      <c r="V15">
        <v>1700</v>
      </c>
      <c r="W15">
        <v>0</v>
      </c>
      <c r="X15">
        <v>6.0590000000000002</v>
      </c>
      <c r="Y15">
        <v>7.01</v>
      </c>
      <c r="Z15">
        <v>1617.43</v>
      </c>
      <c r="AA15">
        <v>15.704000000000001</v>
      </c>
      <c r="AB15">
        <v>0</v>
      </c>
      <c r="AC15">
        <v>0</v>
      </c>
      <c r="AD15">
        <v>11917</v>
      </c>
      <c r="AE15">
        <v>0.39</v>
      </c>
      <c r="AF15">
        <v>0</v>
      </c>
      <c r="AG15">
        <v>0</v>
      </c>
      <c r="AH15" t="s">
        <v>12524</v>
      </c>
    </row>
    <row r="16" spans="1:35" x14ac:dyDescent="0.3">
      <c r="A16" s="299">
        <v>45918</v>
      </c>
      <c r="B16">
        <v>1.927</v>
      </c>
      <c r="C16">
        <v>1.927</v>
      </c>
      <c r="D16" s="9">
        <v>-5.8999999999999999E-3</v>
      </c>
      <c r="E16" t="s">
        <v>12505</v>
      </c>
      <c r="F16" t="s">
        <v>12506</v>
      </c>
      <c r="J16" s="299">
        <v>45918</v>
      </c>
      <c r="K16">
        <v>1.7196</v>
      </c>
      <c r="L16">
        <v>1.7196</v>
      </c>
      <c r="M16" s="9">
        <v>-5.5999999999999999E-3</v>
      </c>
      <c r="N16" t="s">
        <v>12507</v>
      </c>
      <c r="O16" t="s">
        <v>12508</v>
      </c>
      <c r="Q16" s="9">
        <f t="shared" si="0"/>
        <v>2.9999999999999992E-4</v>
      </c>
      <c r="T16">
        <v>10</v>
      </c>
      <c r="U16">
        <v>3004</v>
      </c>
      <c r="V16">
        <v>1600</v>
      </c>
      <c r="W16">
        <v>0</v>
      </c>
      <c r="X16">
        <v>20.6</v>
      </c>
      <c r="Y16">
        <v>19</v>
      </c>
      <c r="Z16">
        <v>-2559.96</v>
      </c>
      <c r="AA16">
        <v>-7.7670000000000003</v>
      </c>
      <c r="AB16">
        <v>160</v>
      </c>
      <c r="AC16">
        <v>0.53</v>
      </c>
      <c r="AD16">
        <v>30400</v>
      </c>
      <c r="AE16">
        <v>0.98</v>
      </c>
      <c r="AF16">
        <v>0</v>
      </c>
      <c r="AG16">
        <v>0</v>
      </c>
      <c r="AH16" t="s">
        <v>12523</v>
      </c>
    </row>
    <row r="17" spans="1:18" x14ac:dyDescent="0.3">
      <c r="A17" s="299">
        <v>45917</v>
      </c>
      <c r="B17">
        <v>1.9384999999999999</v>
      </c>
      <c r="C17">
        <v>1.9384999999999999</v>
      </c>
      <c r="D17" s="9">
        <v>-8.8000000000000005E-3</v>
      </c>
      <c r="E17" t="s">
        <v>12505</v>
      </c>
      <c r="F17" t="s">
        <v>12506</v>
      </c>
      <c r="J17" s="299">
        <v>45917</v>
      </c>
      <c r="K17">
        <v>1.7292000000000001</v>
      </c>
      <c r="L17">
        <v>1.7292000000000001</v>
      </c>
      <c r="M17" s="9">
        <v>-8.3999999999999995E-3</v>
      </c>
      <c r="N17" t="s">
        <v>12507</v>
      </c>
      <c r="O17" t="s">
        <v>12508</v>
      </c>
      <c r="Q17" s="9">
        <f t="shared" si="0"/>
        <v>4.0000000000000105E-4</v>
      </c>
    </row>
    <row r="18" spans="1:18" x14ac:dyDescent="0.3">
      <c r="A18" s="299">
        <v>45916</v>
      </c>
      <c r="B18">
        <v>1.9558</v>
      </c>
      <c r="C18">
        <v>1.9558</v>
      </c>
      <c r="D18" s="9">
        <v>-1.6000000000000001E-3</v>
      </c>
      <c r="E18" t="s">
        <v>12505</v>
      </c>
      <c r="F18" t="s">
        <v>12506</v>
      </c>
      <c r="J18" s="299">
        <v>45916</v>
      </c>
      <c r="K18">
        <v>1.7438</v>
      </c>
      <c r="L18">
        <v>1.7438</v>
      </c>
      <c r="M18" s="9">
        <v>-1.5E-3</v>
      </c>
      <c r="N18" t="s">
        <v>12507</v>
      </c>
      <c r="O18" t="s">
        <v>12508</v>
      </c>
      <c r="Q18" s="9">
        <f t="shared" si="0"/>
        <v>1.0000000000000005E-4</v>
      </c>
    </row>
    <row r="19" spans="1:18" x14ac:dyDescent="0.3">
      <c r="A19" s="299">
        <v>45915</v>
      </c>
      <c r="B19">
        <v>1.9590000000000001</v>
      </c>
      <c r="C19">
        <v>1.9590000000000001</v>
      </c>
      <c r="D19" s="9">
        <v>-1.1599999999999999E-2</v>
      </c>
      <c r="E19" t="s">
        <v>12505</v>
      </c>
      <c r="F19" t="s">
        <v>12506</v>
      </c>
      <c r="J19" s="299">
        <v>45915</v>
      </c>
      <c r="K19">
        <v>1.7464</v>
      </c>
      <c r="L19">
        <v>1.7464</v>
      </c>
      <c r="M19" s="9">
        <v>-1.0999999999999999E-2</v>
      </c>
      <c r="N19" t="s">
        <v>12507</v>
      </c>
      <c r="O19" t="s">
        <v>12508</v>
      </c>
      <c r="Q19" s="9">
        <f t="shared" si="0"/>
        <v>5.9999999999999984E-4</v>
      </c>
    </row>
    <row r="20" spans="1:18" x14ac:dyDescent="0.3">
      <c r="A20" s="299">
        <v>45912</v>
      </c>
      <c r="B20">
        <v>1.982</v>
      </c>
      <c r="C20">
        <v>1.982</v>
      </c>
      <c r="D20" s="9">
        <v>3.8999999999999998E-3</v>
      </c>
      <c r="E20" t="s">
        <v>12505</v>
      </c>
      <c r="F20" t="s">
        <v>12506</v>
      </c>
      <c r="J20" s="299">
        <v>45912</v>
      </c>
      <c r="K20">
        <v>1.7659</v>
      </c>
      <c r="L20">
        <v>1.7659</v>
      </c>
      <c r="M20" s="9">
        <v>3.8E-3</v>
      </c>
      <c r="N20" t="s">
        <v>12507</v>
      </c>
      <c r="O20" t="s">
        <v>12508</v>
      </c>
      <c r="Q20" s="9">
        <f t="shared" si="0"/>
        <v>-9.9999999999999829E-5</v>
      </c>
    </row>
    <row r="21" spans="1:18" x14ac:dyDescent="0.3">
      <c r="A21" s="299">
        <v>45911</v>
      </c>
      <c r="B21">
        <v>1.9742999999999999</v>
      </c>
      <c r="C21">
        <v>1.9742999999999999</v>
      </c>
      <c r="D21" s="9">
        <v>3.5999999999999999E-3</v>
      </c>
      <c r="E21" t="s">
        <v>12505</v>
      </c>
      <c r="F21" t="s">
        <v>12506</v>
      </c>
      <c r="J21" s="299">
        <v>45911</v>
      </c>
      <c r="K21">
        <v>1.7593000000000001</v>
      </c>
      <c r="L21">
        <v>1.7593000000000001</v>
      </c>
      <c r="M21" s="9">
        <v>3.5000000000000001E-3</v>
      </c>
      <c r="N21" t="s">
        <v>12507</v>
      </c>
      <c r="O21" t="s">
        <v>12508</v>
      </c>
      <c r="Q21" s="9">
        <f t="shared" si="0"/>
        <v>-9.9999999999999829E-5</v>
      </c>
    </row>
    <row r="22" spans="1:18" x14ac:dyDescent="0.3">
      <c r="A22" s="299">
        <v>45910</v>
      </c>
      <c r="B22">
        <v>1.9672000000000001</v>
      </c>
      <c r="C22">
        <v>1.9672000000000001</v>
      </c>
      <c r="D22" s="9">
        <v>-3.8999999999999998E-3</v>
      </c>
      <c r="E22" t="s">
        <v>12505</v>
      </c>
      <c r="F22" t="s">
        <v>12506</v>
      </c>
      <c r="J22" s="299">
        <v>45910</v>
      </c>
      <c r="K22">
        <v>1.7532000000000001</v>
      </c>
      <c r="L22">
        <v>1.7532000000000001</v>
      </c>
      <c r="M22" s="9">
        <v>-3.5999999999999999E-3</v>
      </c>
      <c r="N22" t="s">
        <v>12507</v>
      </c>
      <c r="O22" t="s">
        <v>12508</v>
      </c>
      <c r="Q22" s="9">
        <f t="shared" si="0"/>
        <v>2.9999999999999992E-4</v>
      </c>
    </row>
    <row r="23" spans="1:18" x14ac:dyDescent="0.3">
      <c r="A23" s="299">
        <v>45909</v>
      </c>
      <c r="B23">
        <v>1.9749000000000001</v>
      </c>
      <c r="C23">
        <v>1.9749000000000001</v>
      </c>
      <c r="D23" s="9">
        <v>-1E-3</v>
      </c>
      <c r="E23" t="s">
        <v>12505</v>
      </c>
      <c r="F23" t="s">
        <v>12506</v>
      </c>
      <c r="J23" s="299">
        <v>45909</v>
      </c>
      <c r="K23">
        <v>1.7596000000000001</v>
      </c>
      <c r="L23">
        <v>1.7596000000000001</v>
      </c>
      <c r="M23" s="9">
        <v>-8.9999999999999998E-4</v>
      </c>
      <c r="N23" t="s">
        <v>12507</v>
      </c>
      <c r="O23" t="s">
        <v>12508</v>
      </c>
      <c r="Q23" s="9">
        <f t="shared" si="0"/>
        <v>1.0000000000000005E-4</v>
      </c>
    </row>
    <row r="27" spans="1:18" x14ac:dyDescent="0.3">
      <c r="B27" t="s">
        <v>12525</v>
      </c>
      <c r="C27" t="s">
        <v>12526</v>
      </c>
      <c r="D27" t="s">
        <v>12527</v>
      </c>
      <c r="E27" t="s">
        <v>12528</v>
      </c>
      <c r="G27" t="s">
        <v>12529</v>
      </c>
      <c r="H27" t="s">
        <v>12530</v>
      </c>
      <c r="I27" t="s">
        <v>12531</v>
      </c>
      <c r="J27" t="s">
        <v>12532</v>
      </c>
      <c r="K27" t="s">
        <v>12533</v>
      </c>
      <c r="L27" t="s">
        <v>12534</v>
      </c>
      <c r="M27" t="s">
        <v>12535</v>
      </c>
      <c r="N27" t="s">
        <v>12536</v>
      </c>
      <c r="O27" t="s">
        <v>12537</v>
      </c>
      <c r="P27" t="s">
        <v>12538</v>
      </c>
      <c r="Q27" t="s">
        <v>12539</v>
      </c>
      <c r="R27" t="s">
        <v>2131</v>
      </c>
    </row>
    <row r="28" spans="1:18" x14ac:dyDescent="0.3">
      <c r="B28">
        <v>100</v>
      </c>
      <c r="C28">
        <v>99</v>
      </c>
      <c r="D28">
        <v>100</v>
      </c>
      <c r="E28">
        <v>1000</v>
      </c>
      <c r="G28">
        <v>1</v>
      </c>
      <c r="H28">
        <f>E28/G28</f>
        <v>1000</v>
      </c>
      <c r="I28">
        <f>E28+D28</f>
        <v>1100</v>
      </c>
      <c r="J28">
        <v>110</v>
      </c>
      <c r="K28">
        <v>109</v>
      </c>
      <c r="L28">
        <f>J28*10</f>
        <v>1100</v>
      </c>
      <c r="M28" s="272">
        <f>G28*K28/C28*0.998</f>
        <v>1.0988080808080809</v>
      </c>
      <c r="N28">
        <f>H28*M28</f>
        <v>1098.8080808080808</v>
      </c>
      <c r="O28">
        <f>N28-E28</f>
        <v>98.808080808080831</v>
      </c>
      <c r="P28">
        <f>E28-L28</f>
        <v>-100</v>
      </c>
      <c r="Q28">
        <f>O28+P28</f>
        <v>-1.191919191919169</v>
      </c>
      <c r="R28" s="279">
        <f>Q28/I28</f>
        <v>-1.083562901744699E-3</v>
      </c>
    </row>
    <row r="29" spans="1:18" x14ac:dyDescent="0.3">
      <c r="B29">
        <v>100</v>
      </c>
      <c r="C29">
        <v>99</v>
      </c>
      <c r="D29">
        <v>100</v>
      </c>
      <c r="E29">
        <v>1000</v>
      </c>
      <c r="G29">
        <v>1</v>
      </c>
      <c r="H29">
        <f>E29/G29</f>
        <v>1000</v>
      </c>
      <c r="I29">
        <f>E29+D29</f>
        <v>1100</v>
      </c>
      <c r="J29">
        <v>90</v>
      </c>
      <c r="K29">
        <v>90</v>
      </c>
      <c r="L29">
        <f>J29*10</f>
        <v>900</v>
      </c>
      <c r="M29" s="272">
        <f>G29*K29/C29*1.01</f>
        <v>0.91818181818181821</v>
      </c>
      <c r="N29">
        <f>H29*M29</f>
        <v>918.18181818181824</v>
      </c>
      <c r="O29">
        <f>N29-E29</f>
        <v>-81.818181818181756</v>
      </c>
      <c r="P29">
        <f>E29-L29</f>
        <v>100</v>
      </c>
      <c r="Q29">
        <f>O29+P29</f>
        <v>18.181818181818244</v>
      </c>
      <c r="R29" s="279">
        <f>Q29/I29</f>
        <v>1.6528925619834767E-2</v>
      </c>
    </row>
    <row r="31" spans="1:18" x14ac:dyDescent="0.3">
      <c r="N31" s="279"/>
    </row>
  </sheetData>
  <phoneticPr fontId="16" type="noConversion"/>
  <pageMargins left="0.7" right="0.7" top="0.75" bottom="0.75"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
  <dimension ref="D2:M25"/>
  <sheetViews>
    <sheetView topLeftCell="A5" workbookViewId="0">
      <selection activeCell="M25" sqref="M25"/>
    </sheetView>
  </sheetViews>
  <sheetFormatPr defaultColWidth="9" defaultRowHeight="17.5" x14ac:dyDescent="0.3"/>
  <cols>
    <col min="1" max="1" width="9" style="3" customWidth="1"/>
    <col min="2" max="2" width="5.83203125" style="3" customWidth="1"/>
    <col min="3" max="3" width="13.75" style="3" customWidth="1"/>
    <col min="4" max="4" width="28.83203125" style="3" bestFit="1" customWidth="1"/>
    <col min="5" max="5" width="12.83203125" style="3" bestFit="1" customWidth="1"/>
    <col min="6" max="6" width="18.25" style="3" bestFit="1" customWidth="1"/>
    <col min="7" max="7" width="15.08203125" style="3" customWidth="1"/>
    <col min="8" max="8" width="13.33203125" style="3" customWidth="1"/>
    <col min="9" max="9" width="14.5" style="3" customWidth="1"/>
    <col min="10" max="10" width="10.33203125" style="3" customWidth="1"/>
    <col min="11" max="12" width="9" style="3" customWidth="1"/>
    <col min="13" max="13" width="10.33203125" style="3" bestFit="1" customWidth="1"/>
    <col min="14" max="148" width="9" style="3" customWidth="1"/>
    <col min="149" max="16384" width="9" style="3"/>
  </cols>
  <sheetData>
    <row r="2" spans="4:13" ht="19" customHeight="1" x14ac:dyDescent="0.3">
      <c r="E2" s="2" t="s">
        <v>12540</v>
      </c>
      <c r="F2" s="2"/>
      <c r="G2" s="2"/>
      <c r="H2" s="2"/>
      <c r="I2" s="2"/>
      <c r="J2" s="2"/>
    </row>
    <row r="3" spans="4:13" ht="19" customHeight="1" x14ac:dyDescent="0.3">
      <c r="D3" s="2" t="s">
        <v>12541</v>
      </c>
      <c r="E3" s="2" t="s">
        <v>12542</v>
      </c>
      <c r="F3" s="2"/>
      <c r="G3" s="2"/>
      <c r="H3" s="2"/>
      <c r="I3" s="2"/>
      <c r="J3" s="2"/>
    </row>
    <row r="4" spans="4:13" ht="19" customHeight="1" x14ac:dyDescent="0.3">
      <c r="D4" s="2" t="s">
        <v>12541</v>
      </c>
      <c r="E4" s="2" t="s">
        <v>12543</v>
      </c>
      <c r="F4" s="2"/>
      <c r="G4" s="2"/>
      <c r="H4" s="2"/>
      <c r="I4" s="2"/>
      <c r="J4" s="2"/>
    </row>
    <row r="5" spans="4:13" ht="19" customHeight="1" x14ac:dyDescent="0.3">
      <c r="D5" s="2" t="s">
        <v>12541</v>
      </c>
      <c r="E5" s="2" t="s">
        <v>12544</v>
      </c>
      <c r="F5" s="2"/>
      <c r="G5" s="2"/>
      <c r="H5" s="2"/>
      <c r="I5" s="2"/>
      <c r="J5" s="2"/>
    </row>
    <row r="6" spans="4:13" ht="19" customHeight="1" x14ac:dyDescent="0.3">
      <c r="D6" s="2" t="s">
        <v>12545</v>
      </c>
      <c r="E6" s="2" t="s">
        <v>12546</v>
      </c>
      <c r="F6" s="2"/>
      <c r="G6" s="2"/>
      <c r="H6" s="2"/>
      <c r="I6" s="2"/>
      <c r="J6" s="2"/>
      <c r="K6" s="2"/>
      <c r="L6" s="2"/>
      <c r="M6" s="2"/>
    </row>
    <row r="7" spans="4:13" ht="19" customHeight="1" x14ac:dyDescent="0.3">
      <c r="D7" s="2" t="s">
        <v>12547</v>
      </c>
      <c r="E7" s="2" t="s">
        <v>12548</v>
      </c>
      <c r="F7" s="2"/>
      <c r="G7" s="2"/>
      <c r="H7" s="2"/>
      <c r="I7" s="2"/>
      <c r="J7" s="2"/>
      <c r="K7" s="2"/>
      <c r="L7" s="2"/>
      <c r="M7" s="2"/>
    </row>
    <row r="8" spans="4:13" ht="19" customHeight="1" x14ac:dyDescent="0.3">
      <c r="D8" s="2"/>
      <c r="E8" s="2"/>
      <c r="F8" s="2"/>
      <c r="G8" s="2"/>
      <c r="H8" s="2"/>
      <c r="I8" s="2"/>
      <c r="J8" s="2"/>
      <c r="K8" s="2"/>
      <c r="L8" s="2"/>
      <c r="M8" s="2"/>
    </row>
    <row r="9" spans="4:13" ht="19" customHeight="1" x14ac:dyDescent="0.3">
      <c r="D9" s="2"/>
      <c r="E9" s="2" t="s">
        <v>12549</v>
      </c>
      <c r="F9" s="2" t="s">
        <v>12550</v>
      </c>
      <c r="G9" s="2" t="s">
        <v>12551</v>
      </c>
      <c r="H9" s="2" t="s">
        <v>12552</v>
      </c>
      <c r="I9" s="2" t="s">
        <v>12553</v>
      </c>
      <c r="J9" s="2" t="s">
        <v>12554</v>
      </c>
      <c r="K9" s="2"/>
      <c r="L9" s="2"/>
      <c r="M9" s="2"/>
    </row>
    <row r="10" spans="4:13" ht="19" customHeight="1" x14ac:dyDescent="0.3">
      <c r="D10" s="2"/>
      <c r="E10" s="2">
        <v>1.5</v>
      </c>
      <c r="F10" s="2">
        <f>G10*H10</f>
        <v>19.299180939999999</v>
      </c>
      <c r="G10" s="2">
        <v>73.209999999999994</v>
      </c>
      <c r="H10" s="284">
        <v>0.26361400000000001</v>
      </c>
      <c r="I10" s="2">
        <v>13.16</v>
      </c>
      <c r="J10" s="2" t="s">
        <v>12555</v>
      </c>
      <c r="K10" s="2"/>
      <c r="L10" s="2"/>
      <c r="M10" s="2"/>
    </row>
    <row r="11" spans="4:13" ht="19" customHeight="1" x14ac:dyDescent="0.3">
      <c r="D11" s="2"/>
      <c r="E11" s="2"/>
      <c r="F11" s="2"/>
      <c r="G11" s="2"/>
      <c r="H11" s="2"/>
      <c r="I11" s="2"/>
      <c r="J11" s="2"/>
      <c r="K11" s="2"/>
      <c r="L11" s="2"/>
      <c r="M11" s="2"/>
    </row>
    <row r="12" spans="4:13" ht="19" customHeight="1" x14ac:dyDescent="0.3">
      <c r="D12" s="2"/>
      <c r="E12" s="2"/>
      <c r="F12" s="2"/>
      <c r="G12" s="2"/>
      <c r="H12" s="2"/>
      <c r="I12" s="2"/>
      <c r="J12" s="2"/>
      <c r="K12" s="2"/>
      <c r="L12" s="2"/>
      <c r="M12" s="2"/>
    </row>
    <row r="13" spans="4:13" ht="19" customHeight="1" x14ac:dyDescent="0.3">
      <c r="D13" s="2"/>
      <c r="E13" s="2"/>
      <c r="F13" s="2"/>
      <c r="G13" s="2"/>
      <c r="H13" s="2"/>
      <c r="I13" s="2"/>
      <c r="J13" s="2"/>
      <c r="K13" s="2"/>
      <c r="L13" s="2"/>
      <c r="M13" s="2"/>
    </row>
    <row r="14" spans="4:13" ht="19" customHeight="1" x14ac:dyDescent="0.3">
      <c r="D14" s="2"/>
      <c r="E14" s="2" t="s">
        <v>12556</v>
      </c>
      <c r="F14" s="2"/>
      <c r="G14" s="2"/>
      <c r="H14" s="2"/>
      <c r="I14" s="2"/>
      <c r="J14" s="2"/>
      <c r="K14" s="2"/>
      <c r="L14" s="2"/>
      <c r="M14" s="2"/>
    </row>
    <row r="15" spans="4:13" ht="19" customHeight="1" x14ac:dyDescent="0.3">
      <c r="D15" s="2" t="s">
        <v>12557</v>
      </c>
      <c r="E15" s="2">
        <v>-10</v>
      </c>
      <c r="F15" s="2">
        <v>-20</v>
      </c>
      <c r="G15" s="2">
        <v>-30</v>
      </c>
      <c r="H15" s="2">
        <v>-40</v>
      </c>
      <c r="I15" s="2">
        <v>-50</v>
      </c>
      <c r="J15" s="2">
        <v>-60</v>
      </c>
      <c r="K15" s="2"/>
      <c r="L15" s="2"/>
      <c r="M15" s="2">
        <f>M16/G10*100-100</f>
        <v>-45.904440025422133</v>
      </c>
    </row>
    <row r="16" spans="4:13" ht="19" customHeight="1" x14ac:dyDescent="0.3">
      <c r="D16" s="2" t="s">
        <v>12558</v>
      </c>
      <c r="E16" s="2">
        <f t="shared" ref="E16:J16" si="0">$G$10*(100+E15)*0.01</f>
        <v>65.888999999999996</v>
      </c>
      <c r="F16" s="2">
        <f t="shared" si="0"/>
        <v>58.567999999999991</v>
      </c>
      <c r="G16" s="2">
        <f t="shared" si="0"/>
        <v>51.247</v>
      </c>
      <c r="H16" s="2">
        <f t="shared" si="0"/>
        <v>43.925999999999995</v>
      </c>
      <c r="I16" s="2">
        <f t="shared" si="0"/>
        <v>36.604999999999997</v>
      </c>
      <c r="J16" s="2">
        <f t="shared" si="0"/>
        <v>29.283999999999995</v>
      </c>
      <c r="K16" s="2"/>
      <c r="L16" s="2"/>
      <c r="M16" s="2">
        <f>M17/H10</f>
        <v>39.60335945738845</v>
      </c>
    </row>
    <row r="17" spans="4:13" ht="19" customHeight="1" x14ac:dyDescent="0.3">
      <c r="D17" s="2" t="s">
        <v>12559</v>
      </c>
      <c r="E17" s="2">
        <f t="shared" ref="E17:J17" si="1">E16*$H$10</f>
        <v>17.369262846000002</v>
      </c>
      <c r="F17" s="2">
        <f t="shared" si="1"/>
        <v>15.439344751999998</v>
      </c>
      <c r="G17" s="2">
        <f t="shared" si="1"/>
        <v>13.509426658000001</v>
      </c>
      <c r="H17" s="2">
        <f t="shared" si="1"/>
        <v>11.579508563999999</v>
      </c>
      <c r="I17" s="2">
        <f t="shared" si="1"/>
        <v>9.6495904699999997</v>
      </c>
      <c r="J17" s="2">
        <f t="shared" si="1"/>
        <v>7.7196723759999992</v>
      </c>
      <c r="K17" s="2"/>
      <c r="L17" s="2"/>
      <c r="M17" s="2">
        <f>M18-E10</f>
        <v>10.44</v>
      </c>
    </row>
    <row r="18" spans="4:13" ht="19" customHeight="1" x14ac:dyDescent="0.3">
      <c r="D18" s="2" t="s">
        <v>12560</v>
      </c>
      <c r="E18" s="2">
        <f t="shared" ref="E18:J18" si="2">E17+1.5</f>
        <v>18.869262846000002</v>
      </c>
      <c r="F18" s="2">
        <f t="shared" si="2"/>
        <v>16.939344751999997</v>
      </c>
      <c r="G18" s="2">
        <f t="shared" si="2"/>
        <v>15.009426658000001</v>
      </c>
      <c r="H18" s="2">
        <f t="shared" si="2"/>
        <v>13.079508563999999</v>
      </c>
      <c r="I18" s="2">
        <f t="shared" si="2"/>
        <v>11.14959047</v>
      </c>
      <c r="J18" s="2">
        <f t="shared" si="2"/>
        <v>9.2196723759999983</v>
      </c>
      <c r="K18" s="2"/>
      <c r="L18" s="2"/>
      <c r="M18" s="2">
        <v>11.94</v>
      </c>
    </row>
    <row r="19" spans="4:13" ht="19" customHeight="1" x14ac:dyDescent="0.3">
      <c r="D19" s="2" t="s">
        <v>12561</v>
      </c>
      <c r="E19" s="2">
        <f t="shared" ref="E19:J19" si="3">E16*5.72</f>
        <v>376.88507999999996</v>
      </c>
      <c r="F19" s="2">
        <f t="shared" si="3"/>
        <v>335.00895999999995</v>
      </c>
      <c r="G19" s="2">
        <f t="shared" si="3"/>
        <v>293.13283999999999</v>
      </c>
      <c r="H19" s="2">
        <f t="shared" si="3"/>
        <v>251.25671999999997</v>
      </c>
      <c r="I19" s="2">
        <f t="shared" si="3"/>
        <v>209.38059999999999</v>
      </c>
      <c r="J19" s="2">
        <f t="shared" si="3"/>
        <v>167.50447999999997</v>
      </c>
      <c r="K19" s="2"/>
      <c r="L19" s="2"/>
      <c r="M19" s="2">
        <f>M16*5.72</f>
        <v>226.53121609626191</v>
      </c>
    </row>
    <row r="20" spans="4:13" ht="19" customHeight="1" x14ac:dyDescent="0.3">
      <c r="D20" s="2"/>
      <c r="E20" s="2"/>
      <c r="F20" s="2"/>
      <c r="G20" s="2"/>
      <c r="H20" s="2"/>
      <c r="I20" s="2"/>
      <c r="J20" s="2"/>
      <c r="K20" s="2"/>
      <c r="L20" s="2"/>
      <c r="M20" s="2"/>
    </row>
    <row r="21" spans="4:13" ht="19" customHeight="1" x14ac:dyDescent="0.3">
      <c r="D21" s="2"/>
      <c r="E21" s="2"/>
      <c r="F21" s="2"/>
      <c r="G21" s="2"/>
      <c r="H21" s="2"/>
      <c r="I21" s="2"/>
      <c r="J21" s="2"/>
      <c r="K21" s="2"/>
      <c r="L21" s="2"/>
      <c r="M21" s="2"/>
    </row>
    <row r="22" spans="4:13" ht="19" customHeight="1" x14ac:dyDescent="0.3">
      <c r="D22" s="2"/>
      <c r="E22" s="2"/>
      <c r="F22" s="2"/>
      <c r="G22" s="2"/>
      <c r="H22" s="2"/>
      <c r="I22" s="2"/>
      <c r="J22" s="2"/>
      <c r="K22" s="2"/>
      <c r="L22" s="2"/>
      <c r="M22" s="2"/>
    </row>
    <row r="23" spans="4:13" ht="19" customHeight="1" x14ac:dyDescent="0.3">
      <c r="D23" s="2"/>
      <c r="E23" s="2"/>
      <c r="F23" s="2"/>
      <c r="G23" s="2"/>
      <c r="H23" s="2"/>
      <c r="I23" s="2"/>
      <c r="J23" s="2"/>
      <c r="K23" s="2"/>
      <c r="L23" s="2"/>
      <c r="M23" s="2"/>
    </row>
    <row r="25" spans="4:13" x14ac:dyDescent="0.3">
      <c r="M25" s="3">
        <f>63*58+200*59.3</f>
        <v>15514</v>
      </c>
    </row>
  </sheetData>
  <phoneticPr fontId="1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
  <dimension ref="D2:J72"/>
  <sheetViews>
    <sheetView topLeftCell="D25" workbookViewId="0">
      <selection activeCell="G28" sqref="G28"/>
    </sheetView>
  </sheetViews>
  <sheetFormatPr defaultRowHeight="14" x14ac:dyDescent="0.3"/>
  <cols>
    <col min="5" max="5" width="10.08203125" style="350" customWidth="1"/>
  </cols>
  <sheetData>
    <row r="2" spans="4:8" x14ac:dyDescent="0.3">
      <c r="D2" s="1"/>
      <c r="E2" s="1"/>
      <c r="F2" s="1" t="s">
        <v>12562</v>
      </c>
      <c r="G2" s="1" t="s">
        <v>12563</v>
      </c>
      <c r="H2" s="1" t="s">
        <v>12564</v>
      </c>
    </row>
    <row r="3" spans="4:8" x14ac:dyDescent="0.3">
      <c r="D3" s="458" t="s">
        <v>12565</v>
      </c>
      <c r="E3" s="1" t="s">
        <v>12566</v>
      </c>
      <c r="F3" s="1">
        <v>4300</v>
      </c>
      <c r="G3" s="1">
        <v>4600</v>
      </c>
      <c r="H3" s="1">
        <f>G3-F3</f>
        <v>300</v>
      </c>
    </row>
    <row r="4" spans="4:8" x14ac:dyDescent="0.3">
      <c r="D4" s="460"/>
      <c r="E4" s="1" t="s">
        <v>12567</v>
      </c>
      <c r="F4" s="1">
        <v>0</v>
      </c>
      <c r="G4" s="1">
        <v>4700</v>
      </c>
      <c r="H4" s="1">
        <f>G4-F4</f>
        <v>4700</v>
      </c>
    </row>
    <row r="5" spans="4:8" x14ac:dyDescent="0.3">
      <c r="D5" s="458" t="s">
        <v>12568</v>
      </c>
      <c r="E5" s="1" t="s">
        <v>12569</v>
      </c>
      <c r="F5" s="1">
        <v>3000</v>
      </c>
      <c r="G5" s="1">
        <v>3000</v>
      </c>
      <c r="H5" s="1">
        <f>G5-F5</f>
        <v>0</v>
      </c>
    </row>
    <row r="6" spans="4:8" x14ac:dyDescent="0.3">
      <c r="D6" s="459"/>
      <c r="E6" s="1" t="s">
        <v>12570</v>
      </c>
      <c r="F6" s="1">
        <v>3000</v>
      </c>
      <c r="G6" s="1">
        <v>3000</v>
      </c>
      <c r="H6" s="1">
        <f>G6-F6</f>
        <v>0</v>
      </c>
    </row>
    <row r="7" spans="4:8" x14ac:dyDescent="0.3">
      <c r="D7" s="459"/>
      <c r="E7" s="1" t="s">
        <v>12571</v>
      </c>
      <c r="F7" s="1">
        <v>10000</v>
      </c>
      <c r="G7" s="1">
        <v>10000</v>
      </c>
      <c r="H7" s="1">
        <f>G7-F7</f>
        <v>0</v>
      </c>
    </row>
    <row r="8" spans="4:8" x14ac:dyDescent="0.3">
      <c r="D8" s="459"/>
      <c r="E8" s="1" t="s">
        <v>12572</v>
      </c>
      <c r="F8" s="1">
        <v>4000</v>
      </c>
      <c r="G8" s="1"/>
      <c r="H8" s="1"/>
    </row>
    <row r="9" spans="4:8" x14ac:dyDescent="0.3">
      <c r="D9" s="459"/>
      <c r="E9" s="1" t="s">
        <v>12573</v>
      </c>
      <c r="F9" s="1">
        <v>0</v>
      </c>
      <c r="G9" s="1">
        <f>27*140</f>
        <v>3780</v>
      </c>
      <c r="H9" s="1">
        <f t="shared" ref="H9:H29" si="0">G9-F9</f>
        <v>3780</v>
      </c>
    </row>
    <row r="10" spans="4:8" x14ac:dyDescent="0.3">
      <c r="D10" s="459"/>
      <c r="E10" s="1" t="s">
        <v>12574</v>
      </c>
      <c r="F10" s="1">
        <v>0</v>
      </c>
      <c r="G10" s="1">
        <v>2800</v>
      </c>
      <c r="H10" s="1">
        <f t="shared" si="0"/>
        <v>2800</v>
      </c>
    </row>
    <row r="11" spans="4:8" x14ac:dyDescent="0.3">
      <c r="D11" s="460"/>
      <c r="E11" s="1" t="s">
        <v>12575</v>
      </c>
      <c r="F11" s="1">
        <v>60000</v>
      </c>
      <c r="G11" s="1">
        <f>40000+57280-G7-G9-G6-G5-G23-G24-G20</f>
        <v>56000</v>
      </c>
      <c r="H11" s="1">
        <f t="shared" si="0"/>
        <v>-4000</v>
      </c>
    </row>
    <row r="12" spans="4:8" x14ac:dyDescent="0.3">
      <c r="D12" s="458" t="s">
        <v>12576</v>
      </c>
      <c r="E12" s="1" t="s">
        <v>12577</v>
      </c>
      <c r="F12" s="1">
        <v>2000</v>
      </c>
      <c r="G12" s="1">
        <v>2050</v>
      </c>
      <c r="H12" s="1">
        <f t="shared" si="0"/>
        <v>50</v>
      </c>
    </row>
    <row r="13" spans="4:8" x14ac:dyDescent="0.3">
      <c r="D13" s="459"/>
      <c r="E13" s="1" t="s">
        <v>12578</v>
      </c>
      <c r="F13" s="1">
        <v>0</v>
      </c>
      <c r="G13" s="1">
        <v>0</v>
      </c>
      <c r="H13" s="1">
        <f t="shared" si="0"/>
        <v>0</v>
      </c>
    </row>
    <row r="14" spans="4:8" x14ac:dyDescent="0.3">
      <c r="D14" s="459"/>
      <c r="E14" s="1" t="s">
        <v>12579</v>
      </c>
      <c r="F14" s="1">
        <v>2000</v>
      </c>
      <c r="G14" s="1">
        <v>1415</v>
      </c>
      <c r="H14" s="1">
        <f t="shared" si="0"/>
        <v>-585</v>
      </c>
    </row>
    <row r="15" spans="4:8" x14ac:dyDescent="0.3">
      <c r="D15" s="459"/>
      <c r="E15" s="1" t="s">
        <v>12580</v>
      </c>
      <c r="F15" s="1">
        <v>0</v>
      </c>
      <c r="G15" s="1">
        <v>489</v>
      </c>
      <c r="H15" s="1">
        <f t="shared" si="0"/>
        <v>489</v>
      </c>
    </row>
    <row r="16" spans="4:8" x14ac:dyDescent="0.3">
      <c r="D16" s="460"/>
      <c r="E16" s="1" t="s">
        <v>12581</v>
      </c>
      <c r="F16" s="1">
        <v>800</v>
      </c>
      <c r="G16" s="1">
        <v>1050</v>
      </c>
      <c r="H16" s="1">
        <f t="shared" si="0"/>
        <v>250</v>
      </c>
    </row>
    <row r="17" spans="4:8" x14ac:dyDescent="0.3">
      <c r="D17" s="458" t="s">
        <v>12582</v>
      </c>
      <c r="E17" s="1" t="s">
        <v>12583</v>
      </c>
      <c r="F17" s="1">
        <v>10000</v>
      </c>
      <c r="G17" s="1">
        <v>8300</v>
      </c>
      <c r="H17" s="1">
        <f t="shared" si="0"/>
        <v>-1700</v>
      </c>
    </row>
    <row r="18" spans="4:8" x14ac:dyDescent="0.3">
      <c r="D18" s="459"/>
      <c r="E18" s="1" t="s">
        <v>12584</v>
      </c>
      <c r="F18" s="1">
        <v>1500</v>
      </c>
      <c r="G18" s="1">
        <v>1200</v>
      </c>
      <c r="H18" s="1">
        <f t="shared" si="0"/>
        <v>-300</v>
      </c>
    </row>
    <row r="19" spans="4:8" x14ac:dyDescent="0.3">
      <c r="D19" s="459"/>
      <c r="E19" s="1" t="s">
        <v>12585</v>
      </c>
      <c r="F19" s="1">
        <v>1000</v>
      </c>
      <c r="G19" s="1">
        <v>700</v>
      </c>
      <c r="H19" s="1">
        <f t="shared" si="0"/>
        <v>-300</v>
      </c>
    </row>
    <row r="20" spans="4:8" x14ac:dyDescent="0.3">
      <c r="D20" s="459"/>
      <c r="E20" s="1" t="s">
        <v>12586</v>
      </c>
      <c r="F20" s="1">
        <v>9000</v>
      </c>
      <c r="G20" s="1">
        <v>9000</v>
      </c>
      <c r="H20" s="1">
        <f t="shared" si="0"/>
        <v>0</v>
      </c>
    </row>
    <row r="21" spans="4:8" x14ac:dyDescent="0.3">
      <c r="D21" s="459"/>
      <c r="E21" s="1" t="s">
        <v>12587</v>
      </c>
      <c r="F21" s="1">
        <v>5000</v>
      </c>
      <c r="G21" s="1">
        <v>5000</v>
      </c>
      <c r="H21" s="1">
        <f t="shared" si="0"/>
        <v>0</v>
      </c>
    </row>
    <row r="22" spans="4:8" x14ac:dyDescent="0.3">
      <c r="D22" s="460"/>
      <c r="E22" s="1" t="s">
        <v>12588</v>
      </c>
      <c r="F22" s="1">
        <v>10000</v>
      </c>
      <c r="G22" s="1">
        <v>11000</v>
      </c>
      <c r="H22" s="1">
        <f t="shared" si="0"/>
        <v>1000</v>
      </c>
    </row>
    <row r="23" spans="4:8" x14ac:dyDescent="0.3">
      <c r="D23" s="458" t="s">
        <v>12589</v>
      </c>
      <c r="E23" s="1" t="s">
        <v>12590</v>
      </c>
      <c r="F23" s="1">
        <v>8000</v>
      </c>
      <c r="G23" s="1">
        <v>6000</v>
      </c>
      <c r="H23" s="1">
        <f t="shared" si="0"/>
        <v>-2000</v>
      </c>
    </row>
    <row r="24" spans="4:8" x14ac:dyDescent="0.3">
      <c r="D24" s="459"/>
      <c r="E24" s="1" t="s">
        <v>12591</v>
      </c>
      <c r="F24" s="1">
        <v>5000</v>
      </c>
      <c r="G24" s="1">
        <v>6500</v>
      </c>
      <c r="H24" s="1">
        <f t="shared" si="0"/>
        <v>1500</v>
      </c>
    </row>
    <row r="25" spans="4:8" x14ac:dyDescent="0.3">
      <c r="D25" s="459"/>
      <c r="E25" s="1" t="s">
        <v>12592</v>
      </c>
      <c r="F25" s="1">
        <v>0</v>
      </c>
      <c r="G25" s="1">
        <v>250</v>
      </c>
      <c r="H25" s="1">
        <f t="shared" si="0"/>
        <v>250</v>
      </c>
    </row>
    <row r="26" spans="4:8" x14ac:dyDescent="0.3">
      <c r="D26" s="460"/>
      <c r="E26" s="1" t="s">
        <v>12593</v>
      </c>
      <c r="F26" s="1">
        <v>3600</v>
      </c>
      <c r="G26" s="1">
        <v>4000</v>
      </c>
      <c r="H26" s="1">
        <f t="shared" si="0"/>
        <v>400</v>
      </c>
    </row>
    <row r="27" spans="4:8" x14ac:dyDescent="0.3">
      <c r="D27" s="458" t="s">
        <v>12594</v>
      </c>
      <c r="E27" s="1" t="s">
        <v>12595</v>
      </c>
      <c r="F27" s="1">
        <f>4300000*0.01</f>
        <v>43000</v>
      </c>
      <c r="G27" s="1">
        <v>39569</v>
      </c>
      <c r="H27" s="1">
        <f t="shared" si="0"/>
        <v>-3431</v>
      </c>
    </row>
    <row r="28" spans="4:8" x14ac:dyDescent="0.3">
      <c r="D28" s="459"/>
      <c r="E28" s="1" t="s">
        <v>12596</v>
      </c>
      <c r="F28" s="1">
        <f>65*139</f>
        <v>9035</v>
      </c>
      <c r="G28" s="1">
        <f>65*139</f>
        <v>9035</v>
      </c>
      <c r="H28" s="1">
        <f t="shared" si="0"/>
        <v>0</v>
      </c>
    </row>
    <row r="29" spans="4:8" x14ac:dyDescent="0.3">
      <c r="D29" s="460"/>
      <c r="E29" s="1" t="s">
        <v>12597</v>
      </c>
      <c r="F29" s="1">
        <f>139*3.25*12</f>
        <v>5421</v>
      </c>
      <c r="G29" s="1">
        <f>139*3.25*12</f>
        <v>5421</v>
      </c>
      <c r="H29" s="1">
        <f t="shared" si="0"/>
        <v>0</v>
      </c>
    </row>
    <row r="33" spans="6:8" x14ac:dyDescent="0.3">
      <c r="F33">
        <f>SUM(F3:F31)</f>
        <v>199656</v>
      </c>
      <c r="G33">
        <f>SUM(G3:G31)</f>
        <v>198859</v>
      </c>
      <c r="H33">
        <f>SUM(H3:H31)</f>
        <v>3203</v>
      </c>
    </row>
    <row r="72" spans="10:10" x14ac:dyDescent="0.3">
      <c r="J72" t="s">
        <v>12598</v>
      </c>
    </row>
  </sheetData>
  <mergeCells count="6">
    <mergeCell ref="D3:D4"/>
    <mergeCell ref="D27:D29"/>
    <mergeCell ref="D23:D26"/>
    <mergeCell ref="D5:D11"/>
    <mergeCell ref="D17:D22"/>
    <mergeCell ref="D12:D16"/>
  </mergeCells>
  <phoneticPr fontId="16" type="noConversion"/>
  <pageMargins left="0.7" right="0.7" top="0.75" bottom="0.75" header="0.3" footer="0.3"/>
  <pageSetup paperSize="9"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filterMode="1">
    <tabColor theme="7" tint="0.59999389629810485"/>
  </sheetPr>
  <dimension ref="A2:E407"/>
  <sheetViews>
    <sheetView workbookViewId="0">
      <selection activeCell="M63" sqref="M63"/>
    </sheetView>
  </sheetViews>
  <sheetFormatPr defaultRowHeight="14" x14ac:dyDescent="0.3"/>
  <sheetData>
    <row r="2" spans="1:5" x14ac:dyDescent="0.3">
      <c r="A2">
        <v>600096</v>
      </c>
      <c r="B2" t="s">
        <v>2019</v>
      </c>
      <c r="C2">
        <v>15211.71</v>
      </c>
      <c r="D2">
        <v>101</v>
      </c>
      <c r="E2" t="s">
        <v>12599</v>
      </c>
    </row>
    <row r="3" spans="1:5" hidden="1" x14ac:dyDescent="0.3">
      <c r="A3">
        <v>128128</v>
      </c>
      <c r="B3" t="s">
        <v>12600</v>
      </c>
      <c r="C3">
        <v>13196.83</v>
      </c>
      <c r="D3">
        <v>28</v>
      </c>
      <c r="E3" t="s">
        <v>12599</v>
      </c>
    </row>
    <row r="4" spans="1:5" x14ac:dyDescent="0.3">
      <c r="A4">
        <v>2466</v>
      </c>
      <c r="B4" t="s">
        <v>2020</v>
      </c>
      <c r="C4">
        <v>12320.64</v>
      </c>
      <c r="D4">
        <v>9</v>
      </c>
      <c r="E4" t="s">
        <v>12599</v>
      </c>
    </row>
    <row r="5" spans="1:5" x14ac:dyDescent="0.3">
      <c r="A5">
        <v>600370</v>
      </c>
      <c r="B5" t="s">
        <v>12601</v>
      </c>
      <c r="C5">
        <v>11415.27</v>
      </c>
      <c r="D5">
        <v>33</v>
      </c>
      <c r="E5" t="s">
        <v>12599</v>
      </c>
    </row>
    <row r="6" spans="1:5" x14ac:dyDescent="0.3">
      <c r="A6">
        <v>601898</v>
      </c>
      <c r="B6" t="s">
        <v>12602</v>
      </c>
      <c r="C6">
        <v>10315.65</v>
      </c>
      <c r="D6">
        <v>24</v>
      </c>
      <c r="E6" t="s">
        <v>12599</v>
      </c>
    </row>
    <row r="7" spans="1:5" hidden="1" x14ac:dyDescent="0.3">
      <c r="A7">
        <v>127061</v>
      </c>
      <c r="B7" t="s">
        <v>1992</v>
      </c>
      <c r="C7">
        <v>9436.7099999999991</v>
      </c>
      <c r="D7">
        <v>78</v>
      </c>
      <c r="E7" t="s">
        <v>12599</v>
      </c>
    </row>
    <row r="8" spans="1:5" hidden="1" x14ac:dyDescent="0.3">
      <c r="A8">
        <v>118034</v>
      </c>
      <c r="B8" t="s">
        <v>2053</v>
      </c>
      <c r="C8">
        <v>8908.82</v>
      </c>
      <c r="D8">
        <v>85</v>
      </c>
      <c r="E8" t="s">
        <v>12599</v>
      </c>
    </row>
    <row r="9" spans="1:5" x14ac:dyDescent="0.3">
      <c r="A9">
        <v>600989</v>
      </c>
      <c r="B9" t="s">
        <v>12603</v>
      </c>
      <c r="C9">
        <v>8529.23</v>
      </c>
      <c r="D9">
        <v>53</v>
      </c>
      <c r="E9" t="s">
        <v>12599</v>
      </c>
    </row>
    <row r="10" spans="1:5" hidden="1" x14ac:dyDescent="0.3">
      <c r="A10">
        <v>127022</v>
      </c>
      <c r="B10" t="s">
        <v>1990</v>
      </c>
      <c r="C10">
        <v>7960.88</v>
      </c>
      <c r="D10">
        <v>25</v>
      </c>
      <c r="E10" t="s">
        <v>12599</v>
      </c>
    </row>
    <row r="11" spans="1:5" hidden="1" x14ac:dyDescent="0.3">
      <c r="A11">
        <v>128121</v>
      </c>
      <c r="B11" t="s">
        <v>12604</v>
      </c>
      <c r="C11">
        <v>7343.39</v>
      </c>
      <c r="D11">
        <v>34</v>
      </c>
      <c r="E11" t="s">
        <v>12599</v>
      </c>
    </row>
    <row r="12" spans="1:5" hidden="1" x14ac:dyDescent="0.3">
      <c r="A12">
        <v>110095</v>
      </c>
      <c r="B12" t="s">
        <v>2085</v>
      </c>
      <c r="C12">
        <v>7123.34</v>
      </c>
      <c r="D12">
        <v>20</v>
      </c>
      <c r="E12" t="s">
        <v>12599</v>
      </c>
    </row>
    <row r="13" spans="1:5" x14ac:dyDescent="0.3">
      <c r="A13">
        <v>688790</v>
      </c>
      <c r="B13" t="s">
        <v>12605</v>
      </c>
      <c r="C13">
        <v>6516.03</v>
      </c>
      <c r="D13">
        <v>55</v>
      </c>
      <c r="E13" t="s">
        <v>12599</v>
      </c>
    </row>
    <row r="14" spans="1:5" x14ac:dyDescent="0.3">
      <c r="A14">
        <v>300558</v>
      </c>
      <c r="B14" t="s">
        <v>12606</v>
      </c>
      <c r="C14">
        <v>5649.87</v>
      </c>
      <c r="D14">
        <v>66</v>
      </c>
      <c r="E14" t="s">
        <v>12599</v>
      </c>
    </row>
    <row r="15" spans="1:5" x14ac:dyDescent="0.3">
      <c r="A15">
        <v>601225</v>
      </c>
      <c r="B15" t="s">
        <v>11954</v>
      </c>
      <c r="C15">
        <v>4878.1099999999997</v>
      </c>
      <c r="D15">
        <v>37</v>
      </c>
      <c r="E15" t="s">
        <v>12599</v>
      </c>
    </row>
    <row r="16" spans="1:5" hidden="1" x14ac:dyDescent="0.3">
      <c r="A16">
        <v>127047</v>
      </c>
      <c r="B16" t="s">
        <v>12607</v>
      </c>
      <c r="C16">
        <v>4773.45</v>
      </c>
      <c r="D16">
        <v>25</v>
      </c>
      <c r="E16" t="s">
        <v>12599</v>
      </c>
    </row>
    <row r="17" spans="1:5" x14ac:dyDescent="0.3">
      <c r="A17">
        <v>688805</v>
      </c>
      <c r="B17" t="s">
        <v>12608</v>
      </c>
      <c r="C17">
        <v>4708.76</v>
      </c>
      <c r="D17">
        <v>25</v>
      </c>
      <c r="E17" t="s">
        <v>12599</v>
      </c>
    </row>
    <row r="18" spans="1:5" hidden="1" x14ac:dyDescent="0.3">
      <c r="A18">
        <v>123128</v>
      </c>
      <c r="B18" t="s">
        <v>12609</v>
      </c>
      <c r="C18">
        <v>4575.04</v>
      </c>
      <c r="D18">
        <v>8</v>
      </c>
      <c r="E18" t="s">
        <v>12599</v>
      </c>
    </row>
    <row r="19" spans="1:5" x14ac:dyDescent="0.3">
      <c r="A19">
        <v>688223</v>
      </c>
      <c r="B19" t="s">
        <v>12610</v>
      </c>
      <c r="C19">
        <v>4401.03</v>
      </c>
      <c r="D19">
        <v>13</v>
      </c>
      <c r="E19" t="s">
        <v>12599</v>
      </c>
    </row>
    <row r="20" spans="1:5" hidden="1" x14ac:dyDescent="0.3">
      <c r="A20">
        <v>118008</v>
      </c>
      <c r="B20" t="s">
        <v>12611</v>
      </c>
      <c r="C20">
        <v>4146.12</v>
      </c>
      <c r="D20">
        <v>6</v>
      </c>
      <c r="E20" t="s">
        <v>12599</v>
      </c>
    </row>
    <row r="21" spans="1:5" x14ac:dyDescent="0.3">
      <c r="A21">
        <v>600844</v>
      </c>
      <c r="B21" t="s">
        <v>2004</v>
      </c>
      <c r="C21">
        <v>3765.54</v>
      </c>
      <c r="D21">
        <v>29</v>
      </c>
      <c r="E21" t="s">
        <v>12599</v>
      </c>
    </row>
    <row r="22" spans="1:5" x14ac:dyDescent="0.3">
      <c r="A22">
        <v>600512</v>
      </c>
      <c r="B22" t="s">
        <v>12612</v>
      </c>
      <c r="C22">
        <v>2974.73</v>
      </c>
      <c r="D22">
        <v>1</v>
      </c>
      <c r="E22" t="s">
        <v>12599</v>
      </c>
    </row>
    <row r="23" spans="1:5" x14ac:dyDescent="0.3">
      <c r="A23">
        <v>301331</v>
      </c>
      <c r="B23" t="s">
        <v>12613</v>
      </c>
      <c r="C23">
        <v>2932.21</v>
      </c>
      <c r="D23">
        <v>38</v>
      </c>
      <c r="E23" t="s">
        <v>12599</v>
      </c>
    </row>
    <row r="24" spans="1:5" hidden="1" x14ac:dyDescent="0.3">
      <c r="A24">
        <v>113655</v>
      </c>
      <c r="B24" t="s">
        <v>12614</v>
      </c>
      <c r="C24">
        <v>2919.98</v>
      </c>
      <c r="D24">
        <v>10</v>
      </c>
      <c r="E24" t="s">
        <v>12599</v>
      </c>
    </row>
    <row r="25" spans="1:5" x14ac:dyDescent="0.3">
      <c r="A25">
        <v>603515</v>
      </c>
      <c r="B25" t="s">
        <v>12615</v>
      </c>
      <c r="C25">
        <v>2833.07</v>
      </c>
      <c r="D25">
        <v>45</v>
      </c>
      <c r="E25" t="s">
        <v>12599</v>
      </c>
    </row>
    <row r="26" spans="1:5" hidden="1" x14ac:dyDescent="0.3">
      <c r="A26">
        <v>110084</v>
      </c>
      <c r="B26" t="s">
        <v>2078</v>
      </c>
      <c r="C26">
        <v>2751.54</v>
      </c>
      <c r="D26">
        <v>46</v>
      </c>
      <c r="E26" t="s">
        <v>12599</v>
      </c>
    </row>
    <row r="27" spans="1:5" hidden="1" x14ac:dyDescent="0.3">
      <c r="A27">
        <v>128141</v>
      </c>
      <c r="B27" t="s">
        <v>12616</v>
      </c>
      <c r="C27">
        <v>2696.71</v>
      </c>
      <c r="D27">
        <v>58</v>
      </c>
      <c r="E27" t="s">
        <v>12599</v>
      </c>
    </row>
    <row r="28" spans="1:5" x14ac:dyDescent="0.3">
      <c r="A28">
        <v>2262</v>
      </c>
      <c r="B28" t="s">
        <v>12617</v>
      </c>
      <c r="C28">
        <v>2689.02</v>
      </c>
      <c r="D28">
        <v>32</v>
      </c>
      <c r="E28" t="s">
        <v>12599</v>
      </c>
    </row>
    <row r="29" spans="1:5" hidden="1" x14ac:dyDescent="0.3">
      <c r="A29">
        <v>123092</v>
      </c>
      <c r="B29" t="s">
        <v>12618</v>
      </c>
      <c r="C29">
        <v>2434.08</v>
      </c>
      <c r="D29">
        <v>15</v>
      </c>
      <c r="E29" t="s">
        <v>12599</v>
      </c>
    </row>
    <row r="30" spans="1:5" x14ac:dyDescent="0.3">
      <c r="A30">
        <v>1338</v>
      </c>
      <c r="B30" t="s">
        <v>12619</v>
      </c>
      <c r="C30">
        <v>2273.23</v>
      </c>
      <c r="D30">
        <v>31</v>
      </c>
      <c r="E30" t="s">
        <v>12599</v>
      </c>
    </row>
    <row r="31" spans="1:5" hidden="1" x14ac:dyDescent="0.3">
      <c r="A31">
        <v>123172</v>
      </c>
      <c r="B31" t="s">
        <v>2080</v>
      </c>
      <c r="C31">
        <v>2226.86</v>
      </c>
      <c r="D31">
        <v>8</v>
      </c>
      <c r="E31" t="s">
        <v>12599</v>
      </c>
    </row>
    <row r="32" spans="1:5" x14ac:dyDescent="0.3">
      <c r="A32">
        <v>2641</v>
      </c>
      <c r="B32" t="s">
        <v>12620</v>
      </c>
      <c r="C32">
        <v>2217.6</v>
      </c>
      <c r="D32">
        <v>1</v>
      </c>
      <c r="E32" t="s">
        <v>12599</v>
      </c>
    </row>
    <row r="33" spans="1:5" x14ac:dyDescent="0.3">
      <c r="A33">
        <v>688148</v>
      </c>
      <c r="B33" t="s">
        <v>12621</v>
      </c>
      <c r="C33">
        <v>2199.6999999999998</v>
      </c>
      <c r="D33">
        <v>8</v>
      </c>
      <c r="E33" t="s">
        <v>12599</v>
      </c>
    </row>
    <row r="34" spans="1:5" x14ac:dyDescent="0.3">
      <c r="A34">
        <v>301001</v>
      </c>
      <c r="B34" t="s">
        <v>12622</v>
      </c>
      <c r="C34">
        <v>2144.62</v>
      </c>
      <c r="D34">
        <v>26</v>
      </c>
      <c r="E34" t="s">
        <v>12599</v>
      </c>
    </row>
    <row r="35" spans="1:5" x14ac:dyDescent="0.3">
      <c r="A35">
        <v>723</v>
      </c>
      <c r="B35" t="s">
        <v>12623</v>
      </c>
      <c r="C35">
        <v>2117.81</v>
      </c>
      <c r="D35">
        <v>51</v>
      </c>
      <c r="E35" t="s">
        <v>12599</v>
      </c>
    </row>
    <row r="36" spans="1:5" x14ac:dyDescent="0.3">
      <c r="A36">
        <v>2459</v>
      </c>
      <c r="B36" t="s">
        <v>12624</v>
      </c>
      <c r="C36">
        <v>2038.77</v>
      </c>
      <c r="D36">
        <v>4</v>
      </c>
      <c r="E36" t="s">
        <v>12599</v>
      </c>
    </row>
    <row r="37" spans="1:5" x14ac:dyDescent="0.3">
      <c r="A37">
        <v>301296</v>
      </c>
      <c r="B37" t="s">
        <v>12625</v>
      </c>
      <c r="C37">
        <v>2034.93</v>
      </c>
      <c r="D37">
        <v>1</v>
      </c>
      <c r="E37" t="s">
        <v>12599</v>
      </c>
    </row>
    <row r="38" spans="1:5" x14ac:dyDescent="0.3">
      <c r="A38">
        <v>688114</v>
      </c>
      <c r="B38" t="s">
        <v>12626</v>
      </c>
      <c r="C38">
        <v>1988.61</v>
      </c>
      <c r="D38">
        <v>8</v>
      </c>
      <c r="E38" t="s">
        <v>12599</v>
      </c>
    </row>
    <row r="39" spans="1:5" hidden="1" x14ac:dyDescent="0.3">
      <c r="A39">
        <v>118018</v>
      </c>
      <c r="B39" t="s">
        <v>2089</v>
      </c>
      <c r="C39">
        <v>1925.51</v>
      </c>
      <c r="D39">
        <v>3</v>
      </c>
      <c r="E39" t="s">
        <v>12599</v>
      </c>
    </row>
    <row r="40" spans="1:5" hidden="1" x14ac:dyDescent="0.3">
      <c r="A40">
        <v>123064</v>
      </c>
      <c r="B40" t="s">
        <v>1988</v>
      </c>
      <c r="C40">
        <v>1905.6</v>
      </c>
      <c r="D40">
        <v>60</v>
      </c>
      <c r="E40" t="s">
        <v>12599</v>
      </c>
    </row>
    <row r="41" spans="1:5" hidden="1" x14ac:dyDescent="0.3">
      <c r="A41">
        <v>118031</v>
      </c>
      <c r="B41" t="s">
        <v>2052</v>
      </c>
      <c r="C41">
        <v>1884.06</v>
      </c>
      <c r="D41">
        <v>71</v>
      </c>
      <c r="E41" t="s">
        <v>12599</v>
      </c>
    </row>
    <row r="42" spans="1:5" x14ac:dyDescent="0.3">
      <c r="A42">
        <v>600499</v>
      </c>
      <c r="B42" t="s">
        <v>12627</v>
      </c>
      <c r="C42">
        <v>1797.54</v>
      </c>
      <c r="D42">
        <v>5</v>
      </c>
      <c r="E42" t="s">
        <v>12599</v>
      </c>
    </row>
    <row r="43" spans="1:5" x14ac:dyDescent="0.3">
      <c r="A43">
        <v>301266</v>
      </c>
      <c r="B43" t="s">
        <v>1189</v>
      </c>
      <c r="C43">
        <v>1748.41</v>
      </c>
      <c r="D43">
        <v>6</v>
      </c>
      <c r="E43" t="s">
        <v>12599</v>
      </c>
    </row>
    <row r="44" spans="1:5" hidden="1" x14ac:dyDescent="0.3">
      <c r="A44">
        <v>113659</v>
      </c>
      <c r="B44" t="s">
        <v>12628</v>
      </c>
      <c r="C44">
        <v>1708.49</v>
      </c>
      <c r="D44">
        <v>13</v>
      </c>
      <c r="E44" t="s">
        <v>12599</v>
      </c>
    </row>
    <row r="45" spans="1:5" x14ac:dyDescent="0.3">
      <c r="A45">
        <v>688599</v>
      </c>
      <c r="B45" t="s">
        <v>12629</v>
      </c>
      <c r="C45">
        <v>1699.48</v>
      </c>
      <c r="D45">
        <v>3</v>
      </c>
      <c r="E45" t="s">
        <v>12599</v>
      </c>
    </row>
    <row r="46" spans="1:5" hidden="1" x14ac:dyDescent="0.3">
      <c r="A46">
        <v>113046</v>
      </c>
      <c r="B46" t="s">
        <v>2095</v>
      </c>
      <c r="C46">
        <v>1698.31</v>
      </c>
      <c r="D46">
        <v>37</v>
      </c>
      <c r="E46" t="s">
        <v>12599</v>
      </c>
    </row>
    <row r="47" spans="1:5" hidden="1" x14ac:dyDescent="0.3">
      <c r="A47">
        <v>123194</v>
      </c>
      <c r="B47" t="s">
        <v>2087</v>
      </c>
      <c r="C47">
        <v>1674.46</v>
      </c>
      <c r="D47">
        <v>13</v>
      </c>
      <c r="E47" t="s">
        <v>12599</v>
      </c>
    </row>
    <row r="48" spans="1:5" x14ac:dyDescent="0.3">
      <c r="A48">
        <v>300613</v>
      </c>
      <c r="B48" t="s">
        <v>12630</v>
      </c>
      <c r="C48">
        <v>1449.77</v>
      </c>
      <c r="D48">
        <v>37</v>
      </c>
      <c r="E48" t="s">
        <v>12599</v>
      </c>
    </row>
    <row r="49" spans="1:5" x14ac:dyDescent="0.3">
      <c r="A49">
        <v>300298</v>
      </c>
      <c r="B49" t="s">
        <v>12631</v>
      </c>
      <c r="C49">
        <v>1427.94</v>
      </c>
      <c r="D49">
        <v>6</v>
      </c>
      <c r="E49" t="s">
        <v>12599</v>
      </c>
    </row>
    <row r="50" spans="1:5" x14ac:dyDescent="0.3">
      <c r="A50">
        <v>301336</v>
      </c>
      <c r="B50" t="s">
        <v>12632</v>
      </c>
      <c r="C50">
        <v>1424.01</v>
      </c>
      <c r="D50">
        <v>28</v>
      </c>
      <c r="E50" t="s">
        <v>12599</v>
      </c>
    </row>
    <row r="51" spans="1:5" hidden="1" x14ac:dyDescent="0.3">
      <c r="A51">
        <v>127089</v>
      </c>
      <c r="B51" t="s">
        <v>2076</v>
      </c>
      <c r="C51">
        <v>1410.87</v>
      </c>
      <c r="D51">
        <v>11</v>
      </c>
      <c r="E51" t="s">
        <v>12599</v>
      </c>
    </row>
    <row r="52" spans="1:5" hidden="1" x14ac:dyDescent="0.3">
      <c r="A52">
        <v>118011</v>
      </c>
      <c r="B52" t="s">
        <v>12633</v>
      </c>
      <c r="C52">
        <v>1402.74</v>
      </c>
      <c r="D52">
        <v>6</v>
      </c>
      <c r="E52" t="s">
        <v>12599</v>
      </c>
    </row>
    <row r="53" spans="1:5" x14ac:dyDescent="0.3">
      <c r="A53">
        <v>301010</v>
      </c>
      <c r="B53" t="s">
        <v>12634</v>
      </c>
      <c r="C53">
        <v>1369.29</v>
      </c>
      <c r="D53">
        <v>29</v>
      </c>
      <c r="E53" t="s">
        <v>12599</v>
      </c>
    </row>
    <row r="54" spans="1:5" x14ac:dyDescent="0.3">
      <c r="A54">
        <v>300707</v>
      </c>
      <c r="B54" t="s">
        <v>12635</v>
      </c>
      <c r="C54">
        <v>1357.77</v>
      </c>
      <c r="D54">
        <v>19</v>
      </c>
      <c r="E54" t="s">
        <v>12599</v>
      </c>
    </row>
    <row r="55" spans="1:5" x14ac:dyDescent="0.3">
      <c r="A55">
        <v>2930</v>
      </c>
      <c r="B55" t="s">
        <v>12636</v>
      </c>
      <c r="C55">
        <v>1309.1099999999999</v>
      </c>
      <c r="D55">
        <v>11</v>
      </c>
      <c r="E55" t="s">
        <v>12599</v>
      </c>
    </row>
    <row r="56" spans="1:5" x14ac:dyDescent="0.3">
      <c r="A56">
        <v>300253</v>
      </c>
      <c r="B56" t="s">
        <v>12637</v>
      </c>
      <c r="C56">
        <v>1303.48</v>
      </c>
      <c r="D56">
        <v>55</v>
      </c>
      <c r="E56" t="s">
        <v>12599</v>
      </c>
    </row>
    <row r="57" spans="1:5" x14ac:dyDescent="0.3">
      <c r="A57">
        <v>2743</v>
      </c>
      <c r="B57" t="s">
        <v>12638</v>
      </c>
      <c r="C57">
        <v>1293.3699999999999</v>
      </c>
      <c r="D57">
        <v>22</v>
      </c>
      <c r="E57" t="s">
        <v>12599</v>
      </c>
    </row>
    <row r="58" spans="1:5" hidden="1" x14ac:dyDescent="0.3">
      <c r="A58">
        <v>127075</v>
      </c>
      <c r="B58" t="s">
        <v>12639</v>
      </c>
      <c r="C58">
        <v>1282.21</v>
      </c>
      <c r="D58">
        <v>2</v>
      </c>
      <c r="E58" t="s">
        <v>12599</v>
      </c>
    </row>
    <row r="59" spans="1:5" x14ac:dyDescent="0.3">
      <c r="A59">
        <v>300239</v>
      </c>
      <c r="B59" t="s">
        <v>12640</v>
      </c>
      <c r="C59">
        <v>1223.1300000000001</v>
      </c>
      <c r="D59">
        <v>18</v>
      </c>
      <c r="E59" t="s">
        <v>12599</v>
      </c>
    </row>
    <row r="60" spans="1:5" hidden="1" x14ac:dyDescent="0.3">
      <c r="A60">
        <v>118000</v>
      </c>
      <c r="B60" t="s">
        <v>12641</v>
      </c>
      <c r="C60">
        <v>1186.0999999999999</v>
      </c>
      <c r="D60">
        <v>3</v>
      </c>
      <c r="E60" t="s">
        <v>12599</v>
      </c>
    </row>
    <row r="61" spans="1:5" x14ac:dyDescent="0.3">
      <c r="A61">
        <v>2034</v>
      </c>
      <c r="B61" t="s">
        <v>12642</v>
      </c>
      <c r="C61">
        <v>1157.18</v>
      </c>
      <c r="D61">
        <v>12</v>
      </c>
      <c r="E61" t="s">
        <v>12599</v>
      </c>
    </row>
    <row r="62" spans="1:5" x14ac:dyDescent="0.3">
      <c r="A62">
        <v>300886</v>
      </c>
      <c r="B62" t="s">
        <v>12643</v>
      </c>
      <c r="C62">
        <v>1130.0899999999999</v>
      </c>
      <c r="D62">
        <v>17</v>
      </c>
      <c r="E62" t="s">
        <v>12599</v>
      </c>
    </row>
    <row r="63" spans="1:5" x14ac:dyDescent="0.3">
      <c r="A63">
        <v>301156</v>
      </c>
      <c r="B63" t="s">
        <v>12644</v>
      </c>
      <c r="C63">
        <v>1124.5</v>
      </c>
      <c r="D63">
        <v>13</v>
      </c>
      <c r="E63" t="s">
        <v>12599</v>
      </c>
    </row>
    <row r="64" spans="1:5" x14ac:dyDescent="0.3">
      <c r="A64">
        <v>300474</v>
      </c>
      <c r="B64" t="s">
        <v>12645</v>
      </c>
      <c r="C64">
        <v>1075.93</v>
      </c>
      <c r="D64">
        <v>57</v>
      </c>
      <c r="E64" t="s">
        <v>12599</v>
      </c>
    </row>
    <row r="65" spans="1:5" x14ac:dyDescent="0.3">
      <c r="A65">
        <v>301601</v>
      </c>
      <c r="B65" t="s">
        <v>12646</v>
      </c>
      <c r="C65">
        <v>1057.3499999999999</v>
      </c>
      <c r="D65">
        <v>51</v>
      </c>
      <c r="E65" t="s">
        <v>12599</v>
      </c>
    </row>
    <row r="66" spans="1:5" hidden="1" x14ac:dyDescent="0.3">
      <c r="A66">
        <v>123197</v>
      </c>
      <c r="B66" t="s">
        <v>12647</v>
      </c>
      <c r="C66">
        <v>1035.93</v>
      </c>
      <c r="D66">
        <v>1</v>
      </c>
      <c r="E66" t="s">
        <v>12599</v>
      </c>
    </row>
    <row r="67" spans="1:5" hidden="1" x14ac:dyDescent="0.3">
      <c r="A67">
        <v>127046</v>
      </c>
      <c r="B67" t="s">
        <v>2083</v>
      </c>
      <c r="C67">
        <v>1028.45</v>
      </c>
      <c r="D67">
        <v>16</v>
      </c>
      <c r="E67" t="s">
        <v>12599</v>
      </c>
    </row>
    <row r="68" spans="1:5" x14ac:dyDescent="0.3">
      <c r="A68">
        <v>512480</v>
      </c>
      <c r="B68" t="s">
        <v>219</v>
      </c>
      <c r="C68">
        <v>996.9</v>
      </c>
      <c r="D68">
        <v>19</v>
      </c>
      <c r="E68" t="s">
        <v>12599</v>
      </c>
    </row>
    <row r="69" spans="1:5" hidden="1" x14ac:dyDescent="0.3">
      <c r="A69">
        <v>123189</v>
      </c>
      <c r="B69" t="s">
        <v>2065</v>
      </c>
      <c r="C69">
        <v>966.93</v>
      </c>
      <c r="D69">
        <v>14</v>
      </c>
      <c r="E69" t="s">
        <v>12599</v>
      </c>
    </row>
    <row r="70" spans="1:5" x14ac:dyDescent="0.3">
      <c r="A70">
        <v>301348</v>
      </c>
      <c r="B70" t="s">
        <v>12648</v>
      </c>
      <c r="C70">
        <v>960.17</v>
      </c>
      <c r="D70">
        <v>16</v>
      </c>
      <c r="E70" t="s">
        <v>12599</v>
      </c>
    </row>
    <row r="71" spans="1:5" x14ac:dyDescent="0.3">
      <c r="A71">
        <v>688389</v>
      </c>
      <c r="B71" t="s">
        <v>12649</v>
      </c>
      <c r="C71">
        <v>949.65</v>
      </c>
      <c r="D71">
        <v>23</v>
      </c>
      <c r="E71" t="s">
        <v>12599</v>
      </c>
    </row>
    <row r="72" spans="1:5" x14ac:dyDescent="0.3">
      <c r="A72">
        <v>2775</v>
      </c>
      <c r="B72" t="s">
        <v>12650</v>
      </c>
      <c r="C72">
        <v>903.55</v>
      </c>
      <c r="D72">
        <v>39</v>
      </c>
      <c r="E72" t="s">
        <v>12599</v>
      </c>
    </row>
    <row r="73" spans="1:5" x14ac:dyDescent="0.3">
      <c r="A73">
        <v>920663</v>
      </c>
      <c r="B73" t="s">
        <v>12651</v>
      </c>
      <c r="C73">
        <v>884.04</v>
      </c>
      <c r="D73">
        <v>15</v>
      </c>
      <c r="E73" t="s">
        <v>12599</v>
      </c>
    </row>
    <row r="74" spans="1:5" x14ac:dyDescent="0.3">
      <c r="A74">
        <v>2408</v>
      </c>
      <c r="B74" t="s">
        <v>12652</v>
      </c>
      <c r="C74">
        <v>876.33</v>
      </c>
      <c r="D74">
        <v>4</v>
      </c>
      <c r="E74" t="s">
        <v>12599</v>
      </c>
    </row>
    <row r="75" spans="1:5" hidden="1" x14ac:dyDescent="0.3">
      <c r="A75">
        <v>111010</v>
      </c>
      <c r="B75" t="s">
        <v>2088</v>
      </c>
      <c r="C75">
        <v>874.7</v>
      </c>
      <c r="D75">
        <v>7</v>
      </c>
      <c r="E75" t="s">
        <v>12599</v>
      </c>
    </row>
    <row r="76" spans="1:5" x14ac:dyDescent="0.3">
      <c r="A76">
        <v>761</v>
      </c>
      <c r="B76" t="s">
        <v>340</v>
      </c>
      <c r="C76">
        <v>847.54</v>
      </c>
      <c r="D76">
        <v>1</v>
      </c>
      <c r="E76" t="s">
        <v>12599</v>
      </c>
    </row>
    <row r="77" spans="1:5" x14ac:dyDescent="0.3">
      <c r="A77">
        <v>688126</v>
      </c>
      <c r="B77" t="s">
        <v>12653</v>
      </c>
      <c r="C77">
        <v>833.97</v>
      </c>
      <c r="D77">
        <v>40</v>
      </c>
      <c r="E77" t="s">
        <v>12599</v>
      </c>
    </row>
    <row r="78" spans="1:5" x14ac:dyDescent="0.3">
      <c r="A78">
        <v>300069</v>
      </c>
      <c r="B78" t="s">
        <v>12654</v>
      </c>
      <c r="C78">
        <v>820.81</v>
      </c>
      <c r="D78">
        <v>24</v>
      </c>
      <c r="E78" t="s">
        <v>12599</v>
      </c>
    </row>
    <row r="79" spans="1:5" x14ac:dyDescent="0.3">
      <c r="A79">
        <v>1395</v>
      </c>
      <c r="B79" t="s">
        <v>12655</v>
      </c>
      <c r="C79">
        <v>816.36</v>
      </c>
      <c r="D79">
        <v>17</v>
      </c>
      <c r="E79" t="s">
        <v>12599</v>
      </c>
    </row>
    <row r="80" spans="1:5" x14ac:dyDescent="0.3">
      <c r="A80">
        <v>858</v>
      </c>
      <c r="B80" t="s">
        <v>12656</v>
      </c>
      <c r="C80">
        <v>804.07</v>
      </c>
      <c r="D80">
        <v>15</v>
      </c>
      <c r="E80" t="s">
        <v>12599</v>
      </c>
    </row>
    <row r="81" spans="1:5" x14ac:dyDescent="0.3">
      <c r="A81">
        <v>600903</v>
      </c>
      <c r="B81" t="s">
        <v>12657</v>
      </c>
      <c r="C81">
        <v>778.93</v>
      </c>
      <c r="D81">
        <v>35</v>
      </c>
      <c r="E81" t="s">
        <v>12599</v>
      </c>
    </row>
    <row r="82" spans="1:5" x14ac:dyDescent="0.3">
      <c r="A82">
        <v>2798</v>
      </c>
      <c r="B82" t="s">
        <v>12658</v>
      </c>
      <c r="C82">
        <v>746.8</v>
      </c>
      <c r="D82">
        <v>26</v>
      </c>
      <c r="E82" t="s">
        <v>12599</v>
      </c>
    </row>
    <row r="83" spans="1:5" x14ac:dyDescent="0.3">
      <c r="A83">
        <v>949</v>
      </c>
      <c r="B83" t="s">
        <v>12659</v>
      </c>
      <c r="C83">
        <v>745.92</v>
      </c>
      <c r="D83">
        <v>2</v>
      </c>
      <c r="E83" t="s">
        <v>12599</v>
      </c>
    </row>
    <row r="84" spans="1:5" x14ac:dyDescent="0.3">
      <c r="A84">
        <v>300787</v>
      </c>
      <c r="B84" t="s">
        <v>12660</v>
      </c>
      <c r="C84">
        <v>722.53</v>
      </c>
      <c r="D84">
        <v>9</v>
      </c>
      <c r="E84" t="s">
        <v>12599</v>
      </c>
    </row>
    <row r="85" spans="1:5" x14ac:dyDescent="0.3">
      <c r="A85">
        <v>2211</v>
      </c>
      <c r="B85" t="s">
        <v>12661</v>
      </c>
      <c r="C85">
        <v>692.08</v>
      </c>
      <c r="D85">
        <v>9</v>
      </c>
      <c r="E85" t="s">
        <v>12599</v>
      </c>
    </row>
    <row r="86" spans="1:5" x14ac:dyDescent="0.3">
      <c r="A86">
        <v>2242</v>
      </c>
      <c r="B86" t="s">
        <v>12662</v>
      </c>
      <c r="C86">
        <v>689.91</v>
      </c>
      <c r="D86">
        <v>2</v>
      </c>
      <c r="E86" t="s">
        <v>12599</v>
      </c>
    </row>
    <row r="87" spans="1:5" hidden="1" x14ac:dyDescent="0.3">
      <c r="A87">
        <v>127016</v>
      </c>
      <c r="B87" t="s">
        <v>1994</v>
      </c>
      <c r="C87">
        <v>677.58</v>
      </c>
      <c r="D87">
        <v>11</v>
      </c>
      <c r="E87" t="s">
        <v>12599</v>
      </c>
    </row>
    <row r="88" spans="1:5" x14ac:dyDescent="0.3">
      <c r="A88">
        <v>603538</v>
      </c>
      <c r="B88" t="s">
        <v>12663</v>
      </c>
      <c r="C88">
        <v>670.57</v>
      </c>
      <c r="D88">
        <v>4</v>
      </c>
      <c r="E88" t="s">
        <v>12599</v>
      </c>
    </row>
    <row r="89" spans="1:5" hidden="1" x14ac:dyDescent="0.3">
      <c r="A89">
        <v>127066</v>
      </c>
      <c r="B89" t="s">
        <v>2117</v>
      </c>
      <c r="C89">
        <v>655.12</v>
      </c>
      <c r="D89">
        <v>4</v>
      </c>
      <c r="E89" t="s">
        <v>12599</v>
      </c>
    </row>
    <row r="90" spans="1:5" x14ac:dyDescent="0.3">
      <c r="A90">
        <v>688728</v>
      </c>
      <c r="B90" t="s">
        <v>12664</v>
      </c>
      <c r="C90">
        <v>650.08000000000004</v>
      </c>
      <c r="D90">
        <v>66</v>
      </c>
      <c r="E90" t="s">
        <v>12599</v>
      </c>
    </row>
    <row r="91" spans="1:5" hidden="1" x14ac:dyDescent="0.3">
      <c r="A91">
        <v>113618</v>
      </c>
      <c r="B91" t="s">
        <v>12665</v>
      </c>
      <c r="C91">
        <v>644.54999999999995</v>
      </c>
      <c r="D91">
        <v>1</v>
      </c>
      <c r="E91" t="s">
        <v>12599</v>
      </c>
    </row>
    <row r="92" spans="1:5" hidden="1" x14ac:dyDescent="0.3">
      <c r="A92">
        <v>113702</v>
      </c>
      <c r="B92" t="s">
        <v>12666</v>
      </c>
      <c r="C92">
        <v>624.41999999999996</v>
      </c>
      <c r="D92">
        <v>22</v>
      </c>
      <c r="E92" t="s">
        <v>12599</v>
      </c>
    </row>
    <row r="93" spans="1:5" hidden="1" x14ac:dyDescent="0.3">
      <c r="A93">
        <v>123112</v>
      </c>
      <c r="B93" t="s">
        <v>2064</v>
      </c>
      <c r="C93">
        <v>623.98</v>
      </c>
      <c r="D93">
        <v>38</v>
      </c>
      <c r="E93" t="s">
        <v>12599</v>
      </c>
    </row>
    <row r="94" spans="1:5" hidden="1" x14ac:dyDescent="0.3">
      <c r="A94">
        <v>118020</v>
      </c>
      <c r="B94" t="s">
        <v>2060</v>
      </c>
      <c r="C94">
        <v>618.25</v>
      </c>
      <c r="D94">
        <v>26</v>
      </c>
      <c r="E94" t="s">
        <v>12599</v>
      </c>
    </row>
    <row r="95" spans="1:5" hidden="1" x14ac:dyDescent="0.3">
      <c r="A95">
        <v>127067</v>
      </c>
      <c r="B95" t="s">
        <v>12667</v>
      </c>
      <c r="C95">
        <v>615.37</v>
      </c>
      <c r="D95">
        <v>8</v>
      </c>
      <c r="E95" t="s">
        <v>12599</v>
      </c>
    </row>
    <row r="96" spans="1:5" x14ac:dyDescent="0.3">
      <c r="A96">
        <v>603225</v>
      </c>
      <c r="B96" t="s">
        <v>12668</v>
      </c>
      <c r="C96">
        <v>610.16999999999996</v>
      </c>
      <c r="D96">
        <v>7</v>
      </c>
      <c r="E96" t="s">
        <v>12599</v>
      </c>
    </row>
    <row r="97" spans="1:5" x14ac:dyDescent="0.3">
      <c r="A97">
        <v>301628</v>
      </c>
      <c r="B97" t="s">
        <v>12669</v>
      </c>
      <c r="C97">
        <v>597.07000000000005</v>
      </c>
      <c r="D97">
        <v>2</v>
      </c>
      <c r="E97" t="s">
        <v>12599</v>
      </c>
    </row>
    <row r="98" spans="1:5" x14ac:dyDescent="0.3">
      <c r="A98">
        <v>300649</v>
      </c>
      <c r="B98" t="s">
        <v>12670</v>
      </c>
      <c r="C98">
        <v>585.63</v>
      </c>
      <c r="D98">
        <v>12</v>
      </c>
      <c r="E98" t="s">
        <v>12599</v>
      </c>
    </row>
    <row r="99" spans="1:5" x14ac:dyDescent="0.3">
      <c r="A99">
        <v>159985</v>
      </c>
      <c r="B99" t="s">
        <v>2015</v>
      </c>
      <c r="C99">
        <v>584.95000000000005</v>
      </c>
      <c r="D99">
        <v>14</v>
      </c>
      <c r="E99" t="s">
        <v>12599</v>
      </c>
    </row>
    <row r="100" spans="1:5" hidden="1" x14ac:dyDescent="0.3">
      <c r="A100">
        <v>113053</v>
      </c>
      <c r="B100" t="s">
        <v>12671</v>
      </c>
      <c r="C100">
        <v>572.78</v>
      </c>
      <c r="D100">
        <v>12</v>
      </c>
      <c r="E100" t="s">
        <v>12599</v>
      </c>
    </row>
    <row r="101" spans="1:5" x14ac:dyDescent="0.3">
      <c r="A101">
        <v>600559</v>
      </c>
      <c r="B101" t="s">
        <v>12672</v>
      </c>
      <c r="C101">
        <v>565.62</v>
      </c>
      <c r="D101">
        <v>10</v>
      </c>
      <c r="E101" t="s">
        <v>12599</v>
      </c>
    </row>
    <row r="102" spans="1:5" x14ac:dyDescent="0.3">
      <c r="A102">
        <v>603309</v>
      </c>
      <c r="B102" t="s">
        <v>12673</v>
      </c>
      <c r="C102">
        <v>547.13</v>
      </c>
      <c r="D102">
        <v>12</v>
      </c>
      <c r="E102" t="s">
        <v>12599</v>
      </c>
    </row>
    <row r="103" spans="1:5" x14ac:dyDescent="0.3">
      <c r="A103">
        <v>2828</v>
      </c>
      <c r="B103" t="s">
        <v>745</v>
      </c>
      <c r="C103">
        <v>531.89</v>
      </c>
      <c r="D103">
        <v>2</v>
      </c>
      <c r="E103" t="s">
        <v>12599</v>
      </c>
    </row>
    <row r="104" spans="1:5" x14ac:dyDescent="0.3">
      <c r="A104">
        <v>2719</v>
      </c>
      <c r="B104" t="s">
        <v>12674</v>
      </c>
      <c r="C104">
        <v>529.32000000000005</v>
      </c>
      <c r="D104">
        <v>12</v>
      </c>
      <c r="E104" t="s">
        <v>12599</v>
      </c>
    </row>
    <row r="105" spans="1:5" x14ac:dyDescent="0.3">
      <c r="A105">
        <v>601988</v>
      </c>
      <c r="B105" t="s">
        <v>12675</v>
      </c>
      <c r="C105">
        <v>524.47</v>
      </c>
      <c r="D105">
        <v>36</v>
      </c>
      <c r="E105" t="s">
        <v>12599</v>
      </c>
    </row>
    <row r="106" spans="1:5" x14ac:dyDescent="0.3">
      <c r="A106">
        <v>601298</v>
      </c>
      <c r="B106" t="s">
        <v>2012</v>
      </c>
      <c r="C106">
        <v>506.63</v>
      </c>
      <c r="D106">
        <v>24</v>
      </c>
      <c r="E106" t="s">
        <v>12599</v>
      </c>
    </row>
    <row r="107" spans="1:5" x14ac:dyDescent="0.3">
      <c r="A107">
        <v>605178</v>
      </c>
      <c r="B107" t="s">
        <v>879</v>
      </c>
      <c r="C107">
        <v>498.87</v>
      </c>
      <c r="D107">
        <v>3</v>
      </c>
      <c r="E107" t="s">
        <v>12599</v>
      </c>
    </row>
    <row r="108" spans="1:5" x14ac:dyDescent="0.3">
      <c r="A108">
        <v>600543</v>
      </c>
      <c r="B108" t="s">
        <v>12676</v>
      </c>
      <c r="C108">
        <v>482.32</v>
      </c>
      <c r="D108">
        <v>12</v>
      </c>
      <c r="E108" t="s">
        <v>12599</v>
      </c>
    </row>
    <row r="109" spans="1:5" x14ac:dyDescent="0.3">
      <c r="A109">
        <v>688153</v>
      </c>
      <c r="B109" t="s">
        <v>12677</v>
      </c>
      <c r="C109">
        <v>474.27</v>
      </c>
      <c r="D109">
        <v>7</v>
      </c>
      <c r="E109" t="s">
        <v>12599</v>
      </c>
    </row>
    <row r="110" spans="1:5" hidden="1" x14ac:dyDescent="0.3">
      <c r="A110">
        <v>113656</v>
      </c>
      <c r="B110" t="s">
        <v>12678</v>
      </c>
      <c r="C110">
        <v>472.01</v>
      </c>
      <c r="D110">
        <v>12</v>
      </c>
      <c r="E110" t="s">
        <v>12599</v>
      </c>
    </row>
    <row r="111" spans="1:5" hidden="1" x14ac:dyDescent="0.3">
      <c r="A111">
        <v>113584</v>
      </c>
      <c r="B111" t="s">
        <v>12679</v>
      </c>
      <c r="C111">
        <v>470.7</v>
      </c>
      <c r="D111">
        <v>17</v>
      </c>
      <c r="E111" t="s">
        <v>12599</v>
      </c>
    </row>
    <row r="112" spans="1:5" x14ac:dyDescent="0.3">
      <c r="A112">
        <v>159869</v>
      </c>
      <c r="B112" t="s">
        <v>12680</v>
      </c>
      <c r="C112">
        <v>450.08</v>
      </c>
      <c r="D112">
        <v>2</v>
      </c>
      <c r="E112" t="s">
        <v>12599</v>
      </c>
    </row>
    <row r="113" spans="1:5" x14ac:dyDescent="0.3">
      <c r="A113">
        <v>161226</v>
      </c>
      <c r="B113" t="s">
        <v>12681</v>
      </c>
      <c r="C113">
        <v>448.6</v>
      </c>
      <c r="D113">
        <v>38</v>
      </c>
      <c r="E113" t="s">
        <v>12599</v>
      </c>
    </row>
    <row r="114" spans="1:5" x14ac:dyDescent="0.3">
      <c r="A114">
        <v>301502</v>
      </c>
      <c r="B114" t="s">
        <v>12682</v>
      </c>
      <c r="C114">
        <v>446.84</v>
      </c>
      <c r="D114">
        <v>18</v>
      </c>
      <c r="E114" t="s">
        <v>12599</v>
      </c>
    </row>
    <row r="115" spans="1:5" x14ac:dyDescent="0.3">
      <c r="A115">
        <v>301269</v>
      </c>
      <c r="B115" t="s">
        <v>12683</v>
      </c>
      <c r="C115">
        <v>446.3</v>
      </c>
      <c r="D115">
        <v>61</v>
      </c>
      <c r="E115" t="s">
        <v>12599</v>
      </c>
    </row>
    <row r="116" spans="1:5" x14ac:dyDescent="0.3">
      <c r="A116">
        <v>301609</v>
      </c>
      <c r="B116" t="s">
        <v>12684</v>
      </c>
      <c r="C116">
        <v>438.97</v>
      </c>
      <c r="D116">
        <v>1</v>
      </c>
      <c r="E116" t="s">
        <v>12599</v>
      </c>
    </row>
    <row r="117" spans="1:5" x14ac:dyDescent="0.3">
      <c r="A117">
        <v>300585</v>
      </c>
      <c r="B117" t="s">
        <v>1077</v>
      </c>
      <c r="C117">
        <v>413.37</v>
      </c>
      <c r="D117">
        <v>2</v>
      </c>
      <c r="E117" t="s">
        <v>12599</v>
      </c>
    </row>
    <row r="118" spans="1:5" hidden="1" x14ac:dyDescent="0.3">
      <c r="A118">
        <v>123129</v>
      </c>
      <c r="B118" t="s">
        <v>12685</v>
      </c>
      <c r="C118">
        <v>406.39</v>
      </c>
      <c r="D118">
        <v>8</v>
      </c>
      <c r="E118" t="s">
        <v>12599</v>
      </c>
    </row>
    <row r="119" spans="1:5" x14ac:dyDescent="0.3">
      <c r="A119">
        <v>600171</v>
      </c>
      <c r="B119" t="s">
        <v>12686</v>
      </c>
      <c r="C119">
        <v>404.27</v>
      </c>
      <c r="D119">
        <v>18</v>
      </c>
      <c r="E119" t="s">
        <v>12599</v>
      </c>
    </row>
    <row r="120" spans="1:5" hidden="1" x14ac:dyDescent="0.3">
      <c r="A120">
        <v>113681</v>
      </c>
      <c r="B120" t="s">
        <v>2050</v>
      </c>
      <c r="C120">
        <v>401.06</v>
      </c>
      <c r="D120">
        <v>5</v>
      </c>
      <c r="E120" t="s">
        <v>12599</v>
      </c>
    </row>
    <row r="121" spans="1:5" hidden="1" x14ac:dyDescent="0.3">
      <c r="A121">
        <v>127045</v>
      </c>
      <c r="B121" t="s">
        <v>12687</v>
      </c>
      <c r="C121">
        <v>400.4</v>
      </c>
      <c r="D121">
        <v>18</v>
      </c>
      <c r="E121" t="s">
        <v>12599</v>
      </c>
    </row>
    <row r="122" spans="1:5" hidden="1" x14ac:dyDescent="0.3">
      <c r="A122">
        <v>110087</v>
      </c>
      <c r="B122" t="s">
        <v>2051</v>
      </c>
      <c r="C122">
        <v>373.15</v>
      </c>
      <c r="D122">
        <v>37</v>
      </c>
      <c r="E122" t="s">
        <v>12599</v>
      </c>
    </row>
    <row r="123" spans="1:5" hidden="1" x14ac:dyDescent="0.3">
      <c r="A123">
        <v>123117</v>
      </c>
      <c r="B123" t="s">
        <v>2092</v>
      </c>
      <c r="C123">
        <v>372.65</v>
      </c>
      <c r="D123">
        <v>28</v>
      </c>
      <c r="E123" t="s">
        <v>12599</v>
      </c>
    </row>
    <row r="124" spans="1:5" x14ac:dyDescent="0.3">
      <c r="A124">
        <v>688484</v>
      </c>
      <c r="B124" t="s">
        <v>12688</v>
      </c>
      <c r="C124">
        <v>366.18</v>
      </c>
      <c r="D124">
        <v>2</v>
      </c>
      <c r="E124" t="s">
        <v>12599</v>
      </c>
    </row>
    <row r="125" spans="1:5" x14ac:dyDescent="0.3">
      <c r="A125">
        <v>601567</v>
      </c>
      <c r="B125" t="s">
        <v>12689</v>
      </c>
      <c r="C125">
        <v>364.5</v>
      </c>
      <c r="D125">
        <v>1</v>
      </c>
      <c r="E125" t="s">
        <v>12599</v>
      </c>
    </row>
    <row r="126" spans="1:5" hidden="1" x14ac:dyDescent="0.3">
      <c r="A126">
        <v>123155</v>
      </c>
      <c r="B126" t="s">
        <v>12690</v>
      </c>
      <c r="C126">
        <v>362.36</v>
      </c>
      <c r="D126">
        <v>6</v>
      </c>
      <c r="E126" t="s">
        <v>12599</v>
      </c>
    </row>
    <row r="127" spans="1:5" hidden="1" x14ac:dyDescent="0.3">
      <c r="A127">
        <v>127026</v>
      </c>
      <c r="B127" t="s">
        <v>12691</v>
      </c>
      <c r="C127">
        <v>354.52</v>
      </c>
      <c r="D127">
        <v>2</v>
      </c>
      <c r="E127" t="s">
        <v>12599</v>
      </c>
    </row>
    <row r="128" spans="1:5" hidden="1" x14ac:dyDescent="0.3">
      <c r="A128">
        <v>123171</v>
      </c>
      <c r="B128" t="s">
        <v>2062</v>
      </c>
      <c r="C128">
        <v>350.86</v>
      </c>
      <c r="D128">
        <v>1</v>
      </c>
      <c r="E128" t="s">
        <v>12599</v>
      </c>
    </row>
    <row r="129" spans="1:5" x14ac:dyDescent="0.3">
      <c r="A129">
        <v>600481</v>
      </c>
      <c r="B129" t="s">
        <v>12692</v>
      </c>
      <c r="C129">
        <v>350.11</v>
      </c>
      <c r="D129">
        <v>24</v>
      </c>
      <c r="E129" t="s">
        <v>12599</v>
      </c>
    </row>
    <row r="130" spans="1:5" x14ac:dyDescent="0.3">
      <c r="A130">
        <v>610</v>
      </c>
      <c r="B130" t="s">
        <v>12693</v>
      </c>
      <c r="C130">
        <v>349.97</v>
      </c>
      <c r="D130">
        <v>12</v>
      </c>
      <c r="E130" t="s">
        <v>12599</v>
      </c>
    </row>
    <row r="131" spans="1:5" x14ac:dyDescent="0.3">
      <c r="A131">
        <v>600127</v>
      </c>
      <c r="B131" t="s">
        <v>12694</v>
      </c>
      <c r="C131">
        <v>344.3</v>
      </c>
      <c r="D131">
        <v>4</v>
      </c>
      <c r="E131" t="s">
        <v>12599</v>
      </c>
    </row>
    <row r="132" spans="1:5" x14ac:dyDescent="0.3">
      <c r="A132">
        <v>2614</v>
      </c>
      <c r="B132" t="s">
        <v>12695</v>
      </c>
      <c r="C132">
        <v>337.76</v>
      </c>
      <c r="D132">
        <v>2</v>
      </c>
      <c r="E132" t="s">
        <v>12599</v>
      </c>
    </row>
    <row r="133" spans="1:5" x14ac:dyDescent="0.3">
      <c r="A133">
        <v>920819</v>
      </c>
      <c r="B133" t="s">
        <v>12696</v>
      </c>
      <c r="C133">
        <v>337.35</v>
      </c>
      <c r="D133">
        <v>5</v>
      </c>
      <c r="E133" t="s">
        <v>12599</v>
      </c>
    </row>
    <row r="134" spans="1:5" hidden="1" x14ac:dyDescent="0.3">
      <c r="A134">
        <v>123178</v>
      </c>
      <c r="B134" t="s">
        <v>2058</v>
      </c>
      <c r="C134">
        <v>331.86</v>
      </c>
      <c r="D134">
        <v>23</v>
      </c>
      <c r="E134" t="s">
        <v>12599</v>
      </c>
    </row>
    <row r="135" spans="1:5" hidden="1" x14ac:dyDescent="0.3">
      <c r="A135">
        <v>111004</v>
      </c>
      <c r="B135" t="s">
        <v>12697</v>
      </c>
      <c r="C135">
        <v>300.45</v>
      </c>
      <c r="D135">
        <v>4</v>
      </c>
      <c r="E135" t="s">
        <v>12599</v>
      </c>
    </row>
    <row r="136" spans="1:5" hidden="1" x14ac:dyDescent="0.3">
      <c r="A136">
        <v>118027</v>
      </c>
      <c r="B136" t="s">
        <v>12698</v>
      </c>
      <c r="C136">
        <v>291.79000000000002</v>
      </c>
      <c r="D136">
        <v>0</v>
      </c>
      <c r="E136" t="s">
        <v>12599</v>
      </c>
    </row>
    <row r="137" spans="1:5" x14ac:dyDescent="0.3">
      <c r="A137">
        <v>420</v>
      </c>
      <c r="B137" t="s">
        <v>12699</v>
      </c>
      <c r="C137">
        <v>283.79000000000002</v>
      </c>
      <c r="D137">
        <v>3</v>
      </c>
      <c r="E137" t="s">
        <v>12599</v>
      </c>
    </row>
    <row r="138" spans="1:5" x14ac:dyDescent="0.3">
      <c r="A138">
        <v>2227</v>
      </c>
      <c r="B138" t="s">
        <v>12700</v>
      </c>
      <c r="C138">
        <v>281.27999999999997</v>
      </c>
      <c r="D138">
        <v>12</v>
      </c>
      <c r="E138" t="s">
        <v>12599</v>
      </c>
    </row>
    <row r="139" spans="1:5" x14ac:dyDescent="0.3">
      <c r="A139">
        <v>300902</v>
      </c>
      <c r="B139" t="s">
        <v>12701</v>
      </c>
      <c r="C139">
        <v>281.22000000000003</v>
      </c>
      <c r="D139">
        <v>4</v>
      </c>
      <c r="E139" t="s">
        <v>12599</v>
      </c>
    </row>
    <row r="140" spans="1:5" x14ac:dyDescent="0.3">
      <c r="A140">
        <v>2755</v>
      </c>
      <c r="B140" t="s">
        <v>12702</v>
      </c>
      <c r="C140">
        <v>280.22000000000003</v>
      </c>
      <c r="D140">
        <v>5</v>
      </c>
      <c r="E140" t="s">
        <v>12599</v>
      </c>
    </row>
    <row r="141" spans="1:5" x14ac:dyDescent="0.3">
      <c r="A141">
        <v>3003</v>
      </c>
      <c r="B141" t="s">
        <v>12703</v>
      </c>
      <c r="C141">
        <v>279.18</v>
      </c>
      <c r="D141">
        <v>33</v>
      </c>
      <c r="E141" t="s">
        <v>12599</v>
      </c>
    </row>
    <row r="142" spans="1:5" hidden="1" x14ac:dyDescent="0.3">
      <c r="A142">
        <v>123149</v>
      </c>
      <c r="B142" t="s">
        <v>2055</v>
      </c>
      <c r="C142">
        <v>268.20999999999998</v>
      </c>
      <c r="D142">
        <v>2</v>
      </c>
      <c r="E142" t="s">
        <v>12599</v>
      </c>
    </row>
    <row r="143" spans="1:5" x14ac:dyDescent="0.3">
      <c r="A143">
        <v>300357</v>
      </c>
      <c r="B143" t="s">
        <v>12704</v>
      </c>
      <c r="C143">
        <v>267.67</v>
      </c>
      <c r="D143">
        <v>1</v>
      </c>
      <c r="E143" t="s">
        <v>12599</v>
      </c>
    </row>
    <row r="144" spans="1:5" x14ac:dyDescent="0.3">
      <c r="A144">
        <v>300112</v>
      </c>
      <c r="B144" t="s">
        <v>12705</v>
      </c>
      <c r="C144">
        <v>262.14</v>
      </c>
      <c r="D144">
        <v>4</v>
      </c>
      <c r="E144" t="s">
        <v>12599</v>
      </c>
    </row>
    <row r="145" spans="1:5" x14ac:dyDescent="0.3">
      <c r="A145">
        <v>300992</v>
      </c>
      <c r="B145" t="s">
        <v>12706</v>
      </c>
      <c r="C145">
        <v>256.10000000000002</v>
      </c>
      <c r="D145">
        <v>8</v>
      </c>
      <c r="E145" t="s">
        <v>12599</v>
      </c>
    </row>
    <row r="146" spans="1:5" x14ac:dyDescent="0.3">
      <c r="A146">
        <v>600810</v>
      </c>
      <c r="B146" t="s">
        <v>12707</v>
      </c>
      <c r="C146">
        <v>255.59</v>
      </c>
      <c r="D146">
        <v>10</v>
      </c>
      <c r="E146" t="s">
        <v>12599</v>
      </c>
    </row>
    <row r="147" spans="1:5" x14ac:dyDescent="0.3">
      <c r="A147">
        <v>300059</v>
      </c>
      <c r="B147" t="s">
        <v>12708</v>
      </c>
      <c r="C147">
        <v>250.94</v>
      </c>
      <c r="D147">
        <v>2</v>
      </c>
      <c r="E147" t="s">
        <v>12599</v>
      </c>
    </row>
    <row r="148" spans="1:5" hidden="1" x14ac:dyDescent="0.3">
      <c r="A148">
        <v>123124</v>
      </c>
      <c r="B148" t="s">
        <v>12709</v>
      </c>
      <c r="C148">
        <v>236.33</v>
      </c>
      <c r="D148">
        <v>4</v>
      </c>
      <c r="E148" t="s">
        <v>12599</v>
      </c>
    </row>
    <row r="149" spans="1:5" x14ac:dyDescent="0.3">
      <c r="A149">
        <v>301667</v>
      </c>
      <c r="B149" t="s">
        <v>12710</v>
      </c>
      <c r="C149">
        <v>230.34</v>
      </c>
      <c r="D149">
        <v>6</v>
      </c>
      <c r="E149" t="s">
        <v>12599</v>
      </c>
    </row>
    <row r="150" spans="1:5" hidden="1" x14ac:dyDescent="0.3">
      <c r="A150">
        <v>111009</v>
      </c>
      <c r="B150" t="s">
        <v>12711</v>
      </c>
      <c r="C150">
        <v>229.85</v>
      </c>
      <c r="D150">
        <v>4</v>
      </c>
      <c r="E150" t="s">
        <v>12599</v>
      </c>
    </row>
    <row r="151" spans="1:5" x14ac:dyDescent="0.3">
      <c r="A151">
        <v>688180</v>
      </c>
      <c r="B151" t="s">
        <v>12712</v>
      </c>
      <c r="C151">
        <v>225.3</v>
      </c>
      <c r="D151">
        <v>5</v>
      </c>
      <c r="E151" t="s">
        <v>12599</v>
      </c>
    </row>
    <row r="152" spans="1:5" hidden="1" x14ac:dyDescent="0.3">
      <c r="A152">
        <v>127069</v>
      </c>
      <c r="B152" t="s">
        <v>2075</v>
      </c>
      <c r="C152">
        <v>224.7</v>
      </c>
      <c r="D152">
        <v>29</v>
      </c>
      <c r="E152" t="s">
        <v>12599</v>
      </c>
    </row>
    <row r="153" spans="1:5" x14ac:dyDescent="0.3">
      <c r="A153">
        <v>603689</v>
      </c>
      <c r="B153" t="s">
        <v>12713</v>
      </c>
      <c r="C153">
        <v>203.64</v>
      </c>
      <c r="D153">
        <v>16</v>
      </c>
      <c r="E153" t="s">
        <v>12599</v>
      </c>
    </row>
    <row r="154" spans="1:5" x14ac:dyDescent="0.3">
      <c r="A154">
        <v>603833</v>
      </c>
      <c r="B154" t="s">
        <v>12714</v>
      </c>
      <c r="C154">
        <v>203.31</v>
      </c>
      <c r="D154">
        <v>1</v>
      </c>
      <c r="E154" t="s">
        <v>12599</v>
      </c>
    </row>
    <row r="155" spans="1:5" hidden="1" x14ac:dyDescent="0.3">
      <c r="A155">
        <v>113652</v>
      </c>
      <c r="B155" t="s">
        <v>2068</v>
      </c>
      <c r="C155">
        <v>190.55</v>
      </c>
      <c r="D155">
        <v>1</v>
      </c>
      <c r="E155" t="s">
        <v>12599</v>
      </c>
    </row>
    <row r="156" spans="1:5" x14ac:dyDescent="0.3">
      <c r="A156">
        <v>603072</v>
      </c>
      <c r="B156" t="s">
        <v>12715</v>
      </c>
      <c r="C156">
        <v>187.56</v>
      </c>
      <c r="D156">
        <v>1</v>
      </c>
      <c r="E156" t="s">
        <v>12599</v>
      </c>
    </row>
    <row r="157" spans="1:5" x14ac:dyDescent="0.3">
      <c r="A157">
        <v>600684</v>
      </c>
      <c r="B157" t="s">
        <v>521</v>
      </c>
      <c r="C157">
        <v>184.62</v>
      </c>
      <c r="D157">
        <v>9</v>
      </c>
      <c r="E157" t="s">
        <v>12599</v>
      </c>
    </row>
    <row r="158" spans="1:5" x14ac:dyDescent="0.3">
      <c r="A158">
        <v>301656</v>
      </c>
      <c r="B158" t="s">
        <v>12716</v>
      </c>
      <c r="C158">
        <v>181.35</v>
      </c>
      <c r="D158">
        <v>4</v>
      </c>
      <c r="E158" t="s">
        <v>12599</v>
      </c>
    </row>
    <row r="159" spans="1:5" hidden="1" x14ac:dyDescent="0.3">
      <c r="A159">
        <v>113616</v>
      </c>
      <c r="B159" t="s">
        <v>12717</v>
      </c>
      <c r="C159">
        <v>170.75</v>
      </c>
      <c r="D159">
        <v>3</v>
      </c>
      <c r="E159" t="s">
        <v>12599</v>
      </c>
    </row>
    <row r="160" spans="1:5" hidden="1" x14ac:dyDescent="0.3">
      <c r="A160">
        <v>113665</v>
      </c>
      <c r="B160" t="s">
        <v>2059</v>
      </c>
      <c r="C160">
        <v>167.07</v>
      </c>
      <c r="D160">
        <v>2</v>
      </c>
      <c r="E160" t="s">
        <v>12599</v>
      </c>
    </row>
    <row r="161" spans="1:5" hidden="1" x14ac:dyDescent="0.3">
      <c r="A161">
        <v>111015</v>
      </c>
      <c r="B161" t="s">
        <v>2069</v>
      </c>
      <c r="C161">
        <v>164.85</v>
      </c>
      <c r="D161">
        <v>22</v>
      </c>
      <c r="E161" t="s">
        <v>12599</v>
      </c>
    </row>
    <row r="162" spans="1:5" x14ac:dyDescent="0.3">
      <c r="A162">
        <v>423</v>
      </c>
      <c r="B162" t="s">
        <v>12718</v>
      </c>
      <c r="C162">
        <v>164.16</v>
      </c>
      <c r="D162">
        <v>6</v>
      </c>
      <c r="E162" t="s">
        <v>12599</v>
      </c>
    </row>
    <row r="163" spans="1:5" x14ac:dyDescent="0.3">
      <c r="A163">
        <v>603699</v>
      </c>
      <c r="B163" t="s">
        <v>12719</v>
      </c>
      <c r="C163">
        <v>161.34</v>
      </c>
      <c r="D163">
        <v>14</v>
      </c>
      <c r="E163" t="s">
        <v>12599</v>
      </c>
    </row>
    <row r="164" spans="1:5" x14ac:dyDescent="0.3">
      <c r="A164">
        <v>2732</v>
      </c>
      <c r="B164" t="s">
        <v>12720</v>
      </c>
      <c r="C164">
        <v>159.49</v>
      </c>
      <c r="D164">
        <v>13</v>
      </c>
      <c r="E164" t="s">
        <v>12599</v>
      </c>
    </row>
    <row r="165" spans="1:5" x14ac:dyDescent="0.3">
      <c r="A165">
        <v>600023</v>
      </c>
      <c r="B165" t="s">
        <v>2016</v>
      </c>
      <c r="C165">
        <v>153.96</v>
      </c>
      <c r="D165">
        <v>11</v>
      </c>
      <c r="E165" t="s">
        <v>12599</v>
      </c>
    </row>
    <row r="166" spans="1:5" x14ac:dyDescent="0.3">
      <c r="A166">
        <v>301090</v>
      </c>
      <c r="B166" t="s">
        <v>12721</v>
      </c>
      <c r="C166">
        <v>151.09</v>
      </c>
      <c r="D166">
        <v>4</v>
      </c>
      <c r="E166" t="s">
        <v>12599</v>
      </c>
    </row>
    <row r="167" spans="1:5" x14ac:dyDescent="0.3">
      <c r="A167">
        <v>1325</v>
      </c>
      <c r="B167" t="s">
        <v>12722</v>
      </c>
      <c r="C167">
        <v>147.26</v>
      </c>
      <c r="D167">
        <v>7</v>
      </c>
      <c r="E167" t="s">
        <v>12599</v>
      </c>
    </row>
    <row r="168" spans="1:5" x14ac:dyDescent="0.3">
      <c r="A168">
        <v>603501</v>
      </c>
      <c r="B168" t="s">
        <v>12723</v>
      </c>
      <c r="C168">
        <v>146.99</v>
      </c>
      <c r="D168">
        <v>46</v>
      </c>
      <c r="E168" t="s">
        <v>12599</v>
      </c>
    </row>
    <row r="169" spans="1:5" x14ac:dyDescent="0.3">
      <c r="A169">
        <v>301581</v>
      </c>
      <c r="B169" t="s">
        <v>12724</v>
      </c>
      <c r="C169">
        <v>144.82</v>
      </c>
      <c r="D169">
        <v>2</v>
      </c>
      <c r="E169" t="s">
        <v>12599</v>
      </c>
    </row>
    <row r="170" spans="1:5" x14ac:dyDescent="0.3">
      <c r="A170">
        <v>300691</v>
      </c>
      <c r="B170" t="s">
        <v>12725</v>
      </c>
      <c r="C170">
        <v>137.97999999999999</v>
      </c>
      <c r="D170">
        <v>2</v>
      </c>
      <c r="E170" t="s">
        <v>12599</v>
      </c>
    </row>
    <row r="171" spans="1:5" x14ac:dyDescent="0.3">
      <c r="A171">
        <v>920171</v>
      </c>
      <c r="B171" t="s">
        <v>12726</v>
      </c>
      <c r="C171">
        <v>137.08000000000001</v>
      </c>
      <c r="D171">
        <v>1</v>
      </c>
      <c r="E171" t="s">
        <v>12599</v>
      </c>
    </row>
    <row r="172" spans="1:5" x14ac:dyDescent="0.3">
      <c r="A172">
        <v>752</v>
      </c>
      <c r="B172" t="s">
        <v>12727</v>
      </c>
      <c r="C172">
        <v>137.07</v>
      </c>
      <c r="D172">
        <v>5</v>
      </c>
      <c r="E172" t="s">
        <v>12599</v>
      </c>
    </row>
    <row r="173" spans="1:5" hidden="1" x14ac:dyDescent="0.3">
      <c r="A173">
        <v>127098</v>
      </c>
      <c r="B173" t="s">
        <v>2103</v>
      </c>
      <c r="C173">
        <v>131.51</v>
      </c>
      <c r="D173">
        <v>20</v>
      </c>
      <c r="E173" t="s">
        <v>12599</v>
      </c>
    </row>
    <row r="174" spans="1:5" x14ac:dyDescent="0.3">
      <c r="A174">
        <v>778</v>
      </c>
      <c r="B174" t="s">
        <v>12728</v>
      </c>
      <c r="C174">
        <v>128.30000000000001</v>
      </c>
      <c r="D174">
        <v>3</v>
      </c>
      <c r="E174" t="s">
        <v>12599</v>
      </c>
    </row>
    <row r="175" spans="1:5" x14ac:dyDescent="0.3">
      <c r="A175">
        <v>300489</v>
      </c>
      <c r="B175" t="s">
        <v>530</v>
      </c>
      <c r="C175">
        <v>120.23</v>
      </c>
      <c r="D175">
        <v>8</v>
      </c>
      <c r="E175" t="s">
        <v>12599</v>
      </c>
    </row>
    <row r="176" spans="1:5" hidden="1" x14ac:dyDescent="0.3">
      <c r="A176">
        <v>123085</v>
      </c>
      <c r="B176" t="s">
        <v>12729</v>
      </c>
      <c r="C176">
        <v>119.44</v>
      </c>
      <c r="D176">
        <v>0</v>
      </c>
      <c r="E176" t="s">
        <v>12599</v>
      </c>
    </row>
    <row r="177" spans="1:5" x14ac:dyDescent="0.3">
      <c r="A177">
        <v>159766</v>
      </c>
      <c r="B177" t="s">
        <v>12730</v>
      </c>
      <c r="C177">
        <v>116.88</v>
      </c>
      <c r="D177">
        <v>1</v>
      </c>
      <c r="E177" t="s">
        <v>12599</v>
      </c>
    </row>
    <row r="178" spans="1:5" hidden="1" x14ac:dyDescent="0.3">
      <c r="A178">
        <v>123142</v>
      </c>
      <c r="B178" t="s">
        <v>2067</v>
      </c>
      <c r="C178">
        <v>116.27</v>
      </c>
      <c r="D178">
        <v>1</v>
      </c>
      <c r="E178" t="s">
        <v>12599</v>
      </c>
    </row>
    <row r="179" spans="1:5" x14ac:dyDescent="0.3">
      <c r="A179">
        <v>600771</v>
      </c>
      <c r="B179" t="s">
        <v>12731</v>
      </c>
      <c r="C179">
        <v>112.33</v>
      </c>
      <c r="D179">
        <v>5</v>
      </c>
      <c r="E179" t="s">
        <v>12599</v>
      </c>
    </row>
    <row r="180" spans="1:5" x14ac:dyDescent="0.3">
      <c r="A180">
        <v>3015</v>
      </c>
      <c r="B180" t="s">
        <v>12732</v>
      </c>
      <c r="C180">
        <v>111.21</v>
      </c>
      <c r="D180">
        <v>2</v>
      </c>
      <c r="E180" t="s">
        <v>12599</v>
      </c>
    </row>
    <row r="181" spans="1:5" x14ac:dyDescent="0.3">
      <c r="A181">
        <v>2526</v>
      </c>
      <c r="B181" t="s">
        <v>12733</v>
      </c>
      <c r="C181">
        <v>111.13</v>
      </c>
      <c r="D181">
        <v>1</v>
      </c>
      <c r="E181" t="s">
        <v>12599</v>
      </c>
    </row>
    <row r="182" spans="1:5" x14ac:dyDescent="0.3">
      <c r="A182">
        <v>300645</v>
      </c>
      <c r="B182" t="s">
        <v>12734</v>
      </c>
      <c r="C182">
        <v>111</v>
      </c>
      <c r="D182">
        <v>6</v>
      </c>
      <c r="E182" t="s">
        <v>12599</v>
      </c>
    </row>
    <row r="183" spans="1:5" x14ac:dyDescent="0.3">
      <c r="A183">
        <v>517</v>
      </c>
      <c r="B183" t="s">
        <v>12735</v>
      </c>
      <c r="C183">
        <v>101.2</v>
      </c>
      <c r="D183">
        <v>13</v>
      </c>
      <c r="E183" t="s">
        <v>12599</v>
      </c>
    </row>
    <row r="184" spans="1:5" hidden="1" x14ac:dyDescent="0.3">
      <c r="A184">
        <v>113048</v>
      </c>
      <c r="B184" t="s">
        <v>12736</v>
      </c>
      <c r="C184">
        <v>98.75</v>
      </c>
      <c r="D184">
        <v>4</v>
      </c>
      <c r="E184" t="s">
        <v>12599</v>
      </c>
    </row>
    <row r="185" spans="1:5" x14ac:dyDescent="0.3">
      <c r="A185">
        <v>603406</v>
      </c>
      <c r="B185" t="s">
        <v>12737</v>
      </c>
      <c r="C185">
        <v>97.96</v>
      </c>
      <c r="D185">
        <v>11</v>
      </c>
      <c r="E185" t="s">
        <v>12599</v>
      </c>
    </row>
    <row r="186" spans="1:5" x14ac:dyDescent="0.3">
      <c r="A186">
        <v>2862</v>
      </c>
      <c r="B186" t="s">
        <v>12738</v>
      </c>
      <c r="C186">
        <v>96.64</v>
      </c>
      <c r="D186">
        <v>4</v>
      </c>
      <c r="E186" t="s">
        <v>12599</v>
      </c>
    </row>
    <row r="187" spans="1:5" hidden="1" x14ac:dyDescent="0.3">
      <c r="A187">
        <v>123104</v>
      </c>
      <c r="B187" t="s">
        <v>2120</v>
      </c>
      <c r="C187">
        <v>94.38</v>
      </c>
      <c r="D187">
        <v>1</v>
      </c>
      <c r="E187" t="s">
        <v>12599</v>
      </c>
    </row>
    <row r="188" spans="1:5" x14ac:dyDescent="0.3">
      <c r="A188">
        <v>301449</v>
      </c>
      <c r="B188" t="s">
        <v>12739</v>
      </c>
      <c r="C188">
        <v>92.14</v>
      </c>
      <c r="D188">
        <v>12</v>
      </c>
      <c r="E188" t="s">
        <v>12599</v>
      </c>
    </row>
    <row r="189" spans="1:5" x14ac:dyDescent="0.3">
      <c r="A189">
        <v>512100</v>
      </c>
      <c r="B189" t="s">
        <v>12740</v>
      </c>
      <c r="C189">
        <v>83.86</v>
      </c>
      <c r="D189">
        <v>57</v>
      </c>
      <c r="E189" t="s">
        <v>12599</v>
      </c>
    </row>
    <row r="190" spans="1:5" x14ac:dyDescent="0.3">
      <c r="A190">
        <v>168204</v>
      </c>
      <c r="B190" t="s">
        <v>12741</v>
      </c>
      <c r="C190">
        <v>82.38</v>
      </c>
      <c r="D190">
        <v>22</v>
      </c>
      <c r="E190" t="s">
        <v>12599</v>
      </c>
    </row>
    <row r="191" spans="1:5" x14ac:dyDescent="0.3">
      <c r="A191">
        <v>600521</v>
      </c>
      <c r="B191" t="s">
        <v>12742</v>
      </c>
      <c r="C191">
        <v>76.98</v>
      </c>
      <c r="D191">
        <v>1</v>
      </c>
      <c r="E191" t="s">
        <v>12599</v>
      </c>
    </row>
    <row r="192" spans="1:5" hidden="1" x14ac:dyDescent="0.3">
      <c r="A192">
        <v>118036</v>
      </c>
      <c r="B192" t="s">
        <v>2074</v>
      </c>
      <c r="C192">
        <v>73.53</v>
      </c>
      <c r="D192">
        <v>7</v>
      </c>
      <c r="E192" t="s">
        <v>12599</v>
      </c>
    </row>
    <row r="193" spans="1:5" x14ac:dyDescent="0.3">
      <c r="A193">
        <v>2493</v>
      </c>
      <c r="B193" t="s">
        <v>12743</v>
      </c>
      <c r="C193">
        <v>72.69</v>
      </c>
      <c r="D193">
        <v>5</v>
      </c>
      <c r="E193" t="s">
        <v>12599</v>
      </c>
    </row>
    <row r="194" spans="1:5" hidden="1" x14ac:dyDescent="0.3">
      <c r="A194">
        <v>123150</v>
      </c>
      <c r="B194" t="s">
        <v>12744</v>
      </c>
      <c r="C194">
        <v>72.349999999999994</v>
      </c>
      <c r="D194">
        <v>3</v>
      </c>
      <c r="E194" t="s">
        <v>12599</v>
      </c>
    </row>
    <row r="195" spans="1:5" hidden="1" x14ac:dyDescent="0.3">
      <c r="A195">
        <v>123215</v>
      </c>
      <c r="B195" t="s">
        <v>12745</v>
      </c>
      <c r="C195">
        <v>70.77</v>
      </c>
      <c r="D195">
        <v>1</v>
      </c>
      <c r="E195" t="s">
        <v>12599</v>
      </c>
    </row>
    <row r="196" spans="1:5" x14ac:dyDescent="0.3">
      <c r="A196">
        <v>301000</v>
      </c>
      <c r="B196" t="s">
        <v>12746</v>
      </c>
      <c r="C196">
        <v>63.33</v>
      </c>
      <c r="D196">
        <v>1</v>
      </c>
      <c r="E196" t="s">
        <v>12599</v>
      </c>
    </row>
    <row r="197" spans="1:5" hidden="1" x14ac:dyDescent="0.3">
      <c r="A197">
        <v>123216</v>
      </c>
      <c r="B197" t="s">
        <v>2073</v>
      </c>
      <c r="C197">
        <v>62.96</v>
      </c>
      <c r="D197">
        <v>2</v>
      </c>
      <c r="E197" t="s">
        <v>12599</v>
      </c>
    </row>
    <row r="198" spans="1:5" x14ac:dyDescent="0.3">
      <c r="A198">
        <v>600927</v>
      </c>
      <c r="B198" t="s">
        <v>12747</v>
      </c>
      <c r="C198">
        <v>62.34</v>
      </c>
      <c r="D198">
        <v>4</v>
      </c>
      <c r="E198" t="s">
        <v>12599</v>
      </c>
    </row>
    <row r="199" spans="1:5" x14ac:dyDescent="0.3">
      <c r="A199">
        <v>688639</v>
      </c>
      <c r="B199" t="s">
        <v>12748</v>
      </c>
      <c r="C199">
        <v>57.96</v>
      </c>
      <c r="D199">
        <v>38</v>
      </c>
      <c r="E199" t="s">
        <v>12599</v>
      </c>
    </row>
    <row r="200" spans="1:5" x14ac:dyDescent="0.3">
      <c r="A200">
        <v>515790</v>
      </c>
      <c r="B200" t="s">
        <v>12749</v>
      </c>
      <c r="C200">
        <v>55.34</v>
      </c>
      <c r="D200">
        <v>3</v>
      </c>
      <c r="E200" t="s">
        <v>12599</v>
      </c>
    </row>
    <row r="201" spans="1:5" x14ac:dyDescent="0.3">
      <c r="A201">
        <v>725</v>
      </c>
      <c r="B201" t="s">
        <v>12750</v>
      </c>
      <c r="C201">
        <v>51.61</v>
      </c>
      <c r="D201">
        <v>15</v>
      </c>
      <c r="E201" t="s">
        <v>12599</v>
      </c>
    </row>
    <row r="202" spans="1:5" x14ac:dyDescent="0.3">
      <c r="A202">
        <v>605138</v>
      </c>
      <c r="B202" t="s">
        <v>12751</v>
      </c>
      <c r="C202">
        <v>45.46</v>
      </c>
      <c r="D202">
        <v>1</v>
      </c>
      <c r="E202" t="s">
        <v>12599</v>
      </c>
    </row>
    <row r="203" spans="1:5" x14ac:dyDescent="0.3">
      <c r="A203">
        <v>300908</v>
      </c>
      <c r="B203" t="s">
        <v>12752</v>
      </c>
      <c r="C203">
        <v>43.75</v>
      </c>
      <c r="D203">
        <v>63</v>
      </c>
      <c r="E203" t="s">
        <v>12599</v>
      </c>
    </row>
    <row r="204" spans="1:5" hidden="1" x14ac:dyDescent="0.3">
      <c r="A204">
        <v>127044</v>
      </c>
      <c r="B204" t="s">
        <v>12753</v>
      </c>
      <c r="C204">
        <v>41.66</v>
      </c>
      <c r="D204">
        <v>1</v>
      </c>
      <c r="E204" t="s">
        <v>12599</v>
      </c>
    </row>
    <row r="205" spans="1:5" x14ac:dyDescent="0.3">
      <c r="A205">
        <v>603109</v>
      </c>
      <c r="B205" t="s">
        <v>12754</v>
      </c>
      <c r="C205">
        <v>36.200000000000003</v>
      </c>
      <c r="D205">
        <v>2</v>
      </c>
      <c r="E205" t="s">
        <v>12599</v>
      </c>
    </row>
    <row r="206" spans="1:5" x14ac:dyDescent="0.3">
      <c r="A206">
        <v>1390</v>
      </c>
      <c r="B206" t="s">
        <v>12755</v>
      </c>
      <c r="C206">
        <v>36.17</v>
      </c>
      <c r="D206">
        <v>5</v>
      </c>
      <c r="E206" t="s">
        <v>12599</v>
      </c>
    </row>
    <row r="207" spans="1:5" x14ac:dyDescent="0.3">
      <c r="A207">
        <v>601098</v>
      </c>
      <c r="B207" t="s">
        <v>12756</v>
      </c>
      <c r="C207">
        <v>28.63</v>
      </c>
      <c r="D207">
        <v>3</v>
      </c>
      <c r="E207" t="s">
        <v>12599</v>
      </c>
    </row>
    <row r="208" spans="1:5" x14ac:dyDescent="0.3">
      <c r="A208">
        <v>1356</v>
      </c>
      <c r="B208" t="s">
        <v>12757</v>
      </c>
      <c r="C208">
        <v>26.5</v>
      </c>
      <c r="D208">
        <v>1</v>
      </c>
      <c r="E208" t="s">
        <v>12599</v>
      </c>
    </row>
    <row r="209" spans="1:5" x14ac:dyDescent="0.3">
      <c r="A209">
        <v>601166</v>
      </c>
      <c r="B209" t="s">
        <v>12758</v>
      </c>
      <c r="C209">
        <v>24.46</v>
      </c>
      <c r="D209">
        <v>6</v>
      </c>
      <c r="E209" t="s">
        <v>12599</v>
      </c>
    </row>
    <row r="210" spans="1:5" x14ac:dyDescent="0.3">
      <c r="A210">
        <v>600735</v>
      </c>
      <c r="B210" t="s">
        <v>12759</v>
      </c>
      <c r="C210">
        <v>16.34</v>
      </c>
      <c r="D210">
        <v>6</v>
      </c>
      <c r="E210" t="s">
        <v>12599</v>
      </c>
    </row>
    <row r="211" spans="1:5" x14ac:dyDescent="0.3">
      <c r="A211">
        <v>2542</v>
      </c>
      <c r="B211" t="s">
        <v>12760</v>
      </c>
      <c r="C211">
        <v>16.07</v>
      </c>
      <c r="D211">
        <v>7</v>
      </c>
      <c r="E211" t="s">
        <v>12599</v>
      </c>
    </row>
    <row r="212" spans="1:5" x14ac:dyDescent="0.3">
      <c r="A212">
        <v>300087</v>
      </c>
      <c r="B212" t="s">
        <v>12761</v>
      </c>
      <c r="C212">
        <v>13.57</v>
      </c>
      <c r="D212">
        <v>4</v>
      </c>
      <c r="E212" t="s">
        <v>12599</v>
      </c>
    </row>
    <row r="213" spans="1:5" x14ac:dyDescent="0.3">
      <c r="A213">
        <v>603208</v>
      </c>
      <c r="B213" t="s">
        <v>12762</v>
      </c>
      <c r="C213">
        <v>6.83</v>
      </c>
      <c r="D213">
        <v>3</v>
      </c>
      <c r="E213" t="s">
        <v>12599</v>
      </c>
    </row>
    <row r="214" spans="1:5" x14ac:dyDescent="0.3">
      <c r="A214">
        <v>16</v>
      </c>
      <c r="B214" t="s">
        <v>12763</v>
      </c>
      <c r="C214">
        <v>6.25</v>
      </c>
      <c r="D214">
        <v>7</v>
      </c>
      <c r="E214" t="s">
        <v>12599</v>
      </c>
    </row>
    <row r="215" spans="1:5" x14ac:dyDescent="0.3">
      <c r="A215">
        <v>603878</v>
      </c>
      <c r="B215" t="s">
        <v>12764</v>
      </c>
      <c r="C215">
        <v>3.7</v>
      </c>
      <c r="D215">
        <v>1</v>
      </c>
      <c r="E215" t="s">
        <v>12599</v>
      </c>
    </row>
    <row r="216" spans="1:5" x14ac:dyDescent="0.3">
      <c r="A216">
        <v>2461</v>
      </c>
      <c r="B216" t="s">
        <v>12765</v>
      </c>
      <c r="C216">
        <v>0.7</v>
      </c>
      <c r="D216">
        <v>3</v>
      </c>
      <c r="E216" t="s">
        <v>12599</v>
      </c>
    </row>
    <row r="217" spans="1:5" x14ac:dyDescent="0.3">
      <c r="A217">
        <v>753</v>
      </c>
      <c r="B217" t="s">
        <v>1996</v>
      </c>
      <c r="C217">
        <v>0</v>
      </c>
      <c r="D217">
        <v>0</v>
      </c>
      <c r="E217" t="s">
        <v>12599</v>
      </c>
    </row>
    <row r="218" spans="1:5" hidden="1" x14ac:dyDescent="0.3">
      <c r="A218">
        <v>127033</v>
      </c>
      <c r="B218" t="s">
        <v>12766</v>
      </c>
      <c r="C218">
        <v>0</v>
      </c>
      <c r="D218">
        <v>40</v>
      </c>
      <c r="E218" t="s">
        <v>12599</v>
      </c>
    </row>
    <row r="219" spans="1:5" x14ac:dyDescent="0.3">
      <c r="A219">
        <v>301</v>
      </c>
      <c r="B219" t="s">
        <v>12767</v>
      </c>
      <c r="C219">
        <v>-2.4700000000000002</v>
      </c>
      <c r="D219">
        <v>3</v>
      </c>
      <c r="E219" t="s">
        <v>12599</v>
      </c>
    </row>
    <row r="220" spans="1:5" x14ac:dyDescent="0.3">
      <c r="A220">
        <v>300837</v>
      </c>
      <c r="B220" t="s">
        <v>12768</v>
      </c>
      <c r="C220">
        <v>-6.81</v>
      </c>
      <c r="D220">
        <v>5</v>
      </c>
      <c r="E220" t="s">
        <v>12599</v>
      </c>
    </row>
    <row r="221" spans="1:5" x14ac:dyDescent="0.3">
      <c r="A221">
        <v>2476</v>
      </c>
      <c r="B221" t="s">
        <v>650</v>
      </c>
      <c r="C221">
        <v>-9.0299999999999994</v>
      </c>
      <c r="D221">
        <v>11</v>
      </c>
      <c r="E221" t="s">
        <v>12599</v>
      </c>
    </row>
    <row r="222" spans="1:5" x14ac:dyDescent="0.3">
      <c r="A222">
        <v>560080</v>
      </c>
      <c r="B222" t="s">
        <v>12769</v>
      </c>
      <c r="C222">
        <v>-9.61</v>
      </c>
      <c r="D222">
        <v>1</v>
      </c>
      <c r="E222" t="s">
        <v>12599</v>
      </c>
    </row>
    <row r="223" spans="1:5" x14ac:dyDescent="0.3">
      <c r="A223">
        <v>2820</v>
      </c>
      <c r="B223" t="s">
        <v>12770</v>
      </c>
      <c r="C223">
        <v>-13.68</v>
      </c>
      <c r="D223">
        <v>33</v>
      </c>
      <c r="E223" t="s">
        <v>12599</v>
      </c>
    </row>
    <row r="224" spans="1:5" x14ac:dyDescent="0.3">
      <c r="A224">
        <v>862</v>
      </c>
      <c r="B224" t="s">
        <v>12771</v>
      </c>
      <c r="C224">
        <v>-17.100000000000001</v>
      </c>
      <c r="D224">
        <v>1</v>
      </c>
      <c r="E224" t="s">
        <v>12599</v>
      </c>
    </row>
    <row r="225" spans="1:5" x14ac:dyDescent="0.3">
      <c r="A225">
        <v>603258</v>
      </c>
      <c r="B225" t="s">
        <v>12772</v>
      </c>
      <c r="C225">
        <v>-17.91</v>
      </c>
      <c r="D225">
        <v>1</v>
      </c>
      <c r="E225" t="s">
        <v>12599</v>
      </c>
    </row>
    <row r="226" spans="1:5" x14ac:dyDescent="0.3">
      <c r="A226">
        <v>832063</v>
      </c>
      <c r="B226" t="s">
        <v>12773</v>
      </c>
      <c r="C226">
        <v>-19.87</v>
      </c>
      <c r="D226">
        <v>12</v>
      </c>
      <c r="E226" t="s">
        <v>12599</v>
      </c>
    </row>
    <row r="227" spans="1:5" x14ac:dyDescent="0.3">
      <c r="A227">
        <v>2120</v>
      </c>
      <c r="B227" t="s">
        <v>12774</v>
      </c>
      <c r="C227">
        <v>-20.100000000000001</v>
      </c>
      <c r="D227">
        <v>7</v>
      </c>
      <c r="E227" t="s">
        <v>12599</v>
      </c>
    </row>
    <row r="228" spans="1:5" x14ac:dyDescent="0.3">
      <c r="A228">
        <v>600265</v>
      </c>
      <c r="B228" t="s">
        <v>12775</v>
      </c>
      <c r="C228">
        <v>-21.66</v>
      </c>
      <c r="D228">
        <v>6</v>
      </c>
      <c r="E228" t="s">
        <v>12599</v>
      </c>
    </row>
    <row r="229" spans="1:5" x14ac:dyDescent="0.3">
      <c r="A229">
        <v>603866</v>
      </c>
      <c r="B229" t="s">
        <v>12776</v>
      </c>
      <c r="C229">
        <v>-23.98</v>
      </c>
      <c r="D229">
        <v>11</v>
      </c>
      <c r="E229" t="s">
        <v>12599</v>
      </c>
    </row>
    <row r="230" spans="1:5" x14ac:dyDescent="0.3">
      <c r="A230">
        <v>300942</v>
      </c>
      <c r="B230" t="s">
        <v>12777</v>
      </c>
      <c r="C230">
        <v>-25.44</v>
      </c>
      <c r="D230">
        <v>41</v>
      </c>
      <c r="E230" t="s">
        <v>12599</v>
      </c>
    </row>
    <row r="231" spans="1:5" x14ac:dyDescent="0.3">
      <c r="A231">
        <v>159770</v>
      </c>
      <c r="B231" t="s">
        <v>12778</v>
      </c>
      <c r="C231">
        <v>-27.34</v>
      </c>
      <c r="D231">
        <v>5</v>
      </c>
      <c r="E231" t="s">
        <v>12599</v>
      </c>
    </row>
    <row r="232" spans="1:5" hidden="1" x14ac:dyDescent="0.3">
      <c r="A232">
        <v>113640</v>
      </c>
      <c r="B232" t="s">
        <v>2057</v>
      </c>
      <c r="C232">
        <v>-35.840000000000003</v>
      </c>
      <c r="D232">
        <v>6</v>
      </c>
      <c r="E232" t="s">
        <v>12599</v>
      </c>
    </row>
    <row r="233" spans="1:5" x14ac:dyDescent="0.3">
      <c r="A233">
        <v>600581</v>
      </c>
      <c r="B233" t="s">
        <v>12779</v>
      </c>
      <c r="C233">
        <v>-42.92</v>
      </c>
      <c r="D233">
        <v>12</v>
      </c>
      <c r="E233" t="s">
        <v>12599</v>
      </c>
    </row>
    <row r="234" spans="1:5" x14ac:dyDescent="0.3">
      <c r="A234">
        <v>2226</v>
      </c>
      <c r="B234" t="s">
        <v>12780</v>
      </c>
      <c r="C234">
        <v>-47.88</v>
      </c>
      <c r="D234">
        <v>3</v>
      </c>
      <c r="E234" t="s">
        <v>12599</v>
      </c>
    </row>
    <row r="235" spans="1:5" x14ac:dyDescent="0.3">
      <c r="A235">
        <v>2327</v>
      </c>
      <c r="B235" t="s">
        <v>12781</v>
      </c>
      <c r="C235">
        <v>-50.47</v>
      </c>
      <c r="D235">
        <v>10</v>
      </c>
      <c r="E235" t="s">
        <v>12599</v>
      </c>
    </row>
    <row r="236" spans="1:5" x14ac:dyDescent="0.3">
      <c r="A236">
        <v>603076</v>
      </c>
      <c r="B236" t="s">
        <v>12782</v>
      </c>
      <c r="C236">
        <v>-60.23</v>
      </c>
      <c r="D236">
        <v>1</v>
      </c>
      <c r="E236" t="s">
        <v>12599</v>
      </c>
    </row>
    <row r="237" spans="1:5" x14ac:dyDescent="0.3">
      <c r="A237">
        <v>1382</v>
      </c>
      <c r="B237" t="s">
        <v>12783</v>
      </c>
      <c r="C237">
        <v>-68.56</v>
      </c>
      <c r="D237">
        <v>44</v>
      </c>
      <c r="E237" t="s">
        <v>12599</v>
      </c>
    </row>
    <row r="238" spans="1:5" x14ac:dyDescent="0.3">
      <c r="A238">
        <v>301176</v>
      </c>
      <c r="B238" t="s">
        <v>12784</v>
      </c>
      <c r="C238">
        <v>-68.67</v>
      </c>
      <c r="D238">
        <v>3</v>
      </c>
      <c r="E238" t="s">
        <v>12599</v>
      </c>
    </row>
    <row r="239" spans="1:5" x14ac:dyDescent="0.3">
      <c r="A239">
        <v>2997</v>
      </c>
      <c r="B239" t="s">
        <v>12785</v>
      </c>
      <c r="C239">
        <v>-70.58</v>
      </c>
      <c r="D239">
        <v>11</v>
      </c>
      <c r="E239" t="s">
        <v>12599</v>
      </c>
    </row>
    <row r="240" spans="1:5" hidden="1" x14ac:dyDescent="0.3">
      <c r="A240">
        <v>127062</v>
      </c>
      <c r="B240" t="s">
        <v>2061</v>
      </c>
      <c r="C240">
        <v>-70.709999999999994</v>
      </c>
      <c r="D240">
        <v>23</v>
      </c>
      <c r="E240" t="s">
        <v>12599</v>
      </c>
    </row>
    <row r="241" spans="1:5" hidden="1" x14ac:dyDescent="0.3">
      <c r="A241">
        <v>118037</v>
      </c>
      <c r="B241" t="s">
        <v>2063</v>
      </c>
      <c r="C241">
        <v>-71.88</v>
      </c>
      <c r="D241">
        <v>12</v>
      </c>
      <c r="E241" t="s">
        <v>12599</v>
      </c>
    </row>
    <row r="242" spans="1:5" x14ac:dyDescent="0.3">
      <c r="A242">
        <v>300360</v>
      </c>
      <c r="B242" t="s">
        <v>12786</v>
      </c>
      <c r="C242">
        <v>-77.930000000000007</v>
      </c>
      <c r="D242">
        <v>6</v>
      </c>
      <c r="E242" t="s">
        <v>12599</v>
      </c>
    </row>
    <row r="243" spans="1:5" hidden="1" x14ac:dyDescent="0.3">
      <c r="A243">
        <v>123091</v>
      </c>
      <c r="B243" t="s">
        <v>12787</v>
      </c>
      <c r="C243">
        <v>-84.63</v>
      </c>
      <c r="D243">
        <v>1</v>
      </c>
      <c r="E243" t="s">
        <v>12599</v>
      </c>
    </row>
    <row r="244" spans="1:5" x14ac:dyDescent="0.3">
      <c r="A244">
        <v>2282</v>
      </c>
      <c r="B244" t="s">
        <v>965</v>
      </c>
      <c r="C244">
        <v>-86.04</v>
      </c>
      <c r="D244">
        <v>6</v>
      </c>
      <c r="E244" t="s">
        <v>12599</v>
      </c>
    </row>
    <row r="245" spans="1:5" hidden="1" x14ac:dyDescent="0.3">
      <c r="A245">
        <v>113563</v>
      </c>
      <c r="B245" t="s">
        <v>1982</v>
      </c>
      <c r="C245">
        <v>-88.53</v>
      </c>
      <c r="D245">
        <v>4</v>
      </c>
      <c r="E245" t="s">
        <v>12599</v>
      </c>
    </row>
    <row r="246" spans="1:5" x14ac:dyDescent="0.3">
      <c r="A246">
        <v>2398</v>
      </c>
      <c r="B246" t="s">
        <v>12788</v>
      </c>
      <c r="C246">
        <v>-88.98</v>
      </c>
      <c r="D246">
        <v>6</v>
      </c>
      <c r="E246" t="s">
        <v>12599</v>
      </c>
    </row>
    <row r="247" spans="1:5" x14ac:dyDescent="0.3">
      <c r="A247">
        <v>603223</v>
      </c>
      <c r="B247" t="s">
        <v>558</v>
      </c>
      <c r="C247">
        <v>-95.06</v>
      </c>
      <c r="D247">
        <v>1</v>
      </c>
      <c r="E247" t="s">
        <v>12599</v>
      </c>
    </row>
    <row r="248" spans="1:5" x14ac:dyDescent="0.3">
      <c r="A248">
        <v>603248</v>
      </c>
      <c r="B248" t="s">
        <v>12789</v>
      </c>
      <c r="C248">
        <v>-108.68</v>
      </c>
      <c r="D248">
        <v>9</v>
      </c>
      <c r="E248" t="s">
        <v>12599</v>
      </c>
    </row>
    <row r="249" spans="1:5" x14ac:dyDescent="0.3">
      <c r="A249">
        <v>2507</v>
      </c>
      <c r="B249" t="s">
        <v>12790</v>
      </c>
      <c r="C249">
        <v>-109.09</v>
      </c>
      <c r="D249">
        <v>2</v>
      </c>
      <c r="E249" t="s">
        <v>12599</v>
      </c>
    </row>
    <row r="250" spans="1:5" x14ac:dyDescent="0.3">
      <c r="A250">
        <v>873649</v>
      </c>
      <c r="B250" t="s">
        <v>12791</v>
      </c>
      <c r="C250">
        <v>-114.52</v>
      </c>
      <c r="D250">
        <v>5</v>
      </c>
      <c r="E250" t="s">
        <v>12599</v>
      </c>
    </row>
    <row r="251" spans="1:5" x14ac:dyDescent="0.3">
      <c r="A251">
        <v>603370</v>
      </c>
      <c r="B251" t="s">
        <v>12792</v>
      </c>
      <c r="C251">
        <v>-114.83</v>
      </c>
      <c r="D251">
        <v>79</v>
      </c>
      <c r="E251" t="s">
        <v>12599</v>
      </c>
    </row>
    <row r="252" spans="1:5" x14ac:dyDescent="0.3">
      <c r="A252">
        <v>1205</v>
      </c>
      <c r="B252" t="s">
        <v>12793</v>
      </c>
      <c r="C252">
        <v>-131.72</v>
      </c>
      <c r="D252">
        <v>19</v>
      </c>
      <c r="E252" t="s">
        <v>12599</v>
      </c>
    </row>
    <row r="253" spans="1:5" x14ac:dyDescent="0.3">
      <c r="A253">
        <v>603912</v>
      </c>
      <c r="B253" t="s">
        <v>12794</v>
      </c>
      <c r="C253">
        <v>-144.13999999999999</v>
      </c>
      <c r="D253">
        <v>8</v>
      </c>
      <c r="E253" t="s">
        <v>12599</v>
      </c>
    </row>
    <row r="254" spans="1:5" x14ac:dyDescent="0.3">
      <c r="A254">
        <v>301508</v>
      </c>
      <c r="B254" t="s">
        <v>12795</v>
      </c>
      <c r="C254">
        <v>-145.05000000000001</v>
      </c>
      <c r="D254">
        <v>6</v>
      </c>
      <c r="E254" t="s">
        <v>12599</v>
      </c>
    </row>
    <row r="255" spans="1:5" x14ac:dyDescent="0.3">
      <c r="A255">
        <v>159996</v>
      </c>
      <c r="B255" t="s">
        <v>12796</v>
      </c>
      <c r="C255">
        <v>-154.32</v>
      </c>
      <c r="D255">
        <v>4</v>
      </c>
      <c r="E255" t="s">
        <v>12599</v>
      </c>
    </row>
    <row r="256" spans="1:5" x14ac:dyDescent="0.3">
      <c r="A256">
        <v>159566</v>
      </c>
      <c r="B256" t="s">
        <v>2167</v>
      </c>
      <c r="C256">
        <v>-164.86</v>
      </c>
      <c r="D256">
        <v>4</v>
      </c>
      <c r="E256" t="s">
        <v>12599</v>
      </c>
    </row>
    <row r="257" spans="1:5" x14ac:dyDescent="0.3">
      <c r="A257">
        <v>705</v>
      </c>
      <c r="B257" t="s">
        <v>12797</v>
      </c>
      <c r="C257">
        <v>-209.78</v>
      </c>
      <c r="D257">
        <v>7</v>
      </c>
      <c r="E257" t="s">
        <v>12599</v>
      </c>
    </row>
    <row r="258" spans="1:5" x14ac:dyDescent="0.3">
      <c r="A258">
        <v>601718</v>
      </c>
      <c r="B258" t="s">
        <v>12798</v>
      </c>
      <c r="C258">
        <v>-213.99</v>
      </c>
      <c r="D258">
        <v>3</v>
      </c>
      <c r="E258" t="s">
        <v>12599</v>
      </c>
    </row>
    <row r="259" spans="1:5" x14ac:dyDescent="0.3">
      <c r="A259">
        <v>2633</v>
      </c>
      <c r="B259" t="s">
        <v>320</v>
      </c>
      <c r="C259">
        <v>-216.66</v>
      </c>
      <c r="D259">
        <v>7</v>
      </c>
      <c r="E259" t="s">
        <v>12599</v>
      </c>
    </row>
    <row r="260" spans="1:5" x14ac:dyDescent="0.3">
      <c r="A260">
        <v>603213</v>
      </c>
      <c r="B260" t="s">
        <v>460</v>
      </c>
      <c r="C260">
        <v>-224.31</v>
      </c>
      <c r="D260">
        <v>26</v>
      </c>
      <c r="E260" t="s">
        <v>12599</v>
      </c>
    </row>
    <row r="261" spans="1:5" x14ac:dyDescent="0.3">
      <c r="A261">
        <v>600535</v>
      </c>
      <c r="B261" t="s">
        <v>12799</v>
      </c>
      <c r="C261">
        <v>-226.45</v>
      </c>
      <c r="D261">
        <v>7</v>
      </c>
      <c r="E261" t="s">
        <v>12599</v>
      </c>
    </row>
    <row r="262" spans="1:5" x14ac:dyDescent="0.3">
      <c r="A262">
        <v>300869</v>
      </c>
      <c r="B262" t="s">
        <v>12800</v>
      </c>
      <c r="C262">
        <v>-231.2</v>
      </c>
      <c r="D262">
        <v>23</v>
      </c>
      <c r="E262" t="s">
        <v>12599</v>
      </c>
    </row>
    <row r="263" spans="1:5" x14ac:dyDescent="0.3">
      <c r="A263">
        <v>300172</v>
      </c>
      <c r="B263" t="s">
        <v>12801</v>
      </c>
      <c r="C263">
        <v>-232.03</v>
      </c>
      <c r="D263">
        <v>6</v>
      </c>
      <c r="E263" t="s">
        <v>12599</v>
      </c>
    </row>
    <row r="264" spans="1:5" x14ac:dyDescent="0.3">
      <c r="A264">
        <v>920418</v>
      </c>
      <c r="B264" t="s">
        <v>12802</v>
      </c>
      <c r="C264">
        <v>-235.79</v>
      </c>
      <c r="D264">
        <v>30</v>
      </c>
      <c r="E264" t="s">
        <v>12599</v>
      </c>
    </row>
    <row r="265" spans="1:5" x14ac:dyDescent="0.3">
      <c r="A265">
        <v>603202</v>
      </c>
      <c r="B265" t="s">
        <v>12803</v>
      </c>
      <c r="C265">
        <v>-239.2</v>
      </c>
      <c r="D265">
        <v>7</v>
      </c>
      <c r="E265" t="s">
        <v>12599</v>
      </c>
    </row>
    <row r="266" spans="1:5" x14ac:dyDescent="0.3">
      <c r="A266">
        <v>812</v>
      </c>
      <c r="B266" t="s">
        <v>12804</v>
      </c>
      <c r="C266">
        <v>-240.53</v>
      </c>
      <c r="D266">
        <v>5</v>
      </c>
      <c r="E266" t="s">
        <v>12599</v>
      </c>
    </row>
    <row r="267" spans="1:5" hidden="1" x14ac:dyDescent="0.3">
      <c r="A267">
        <v>113624</v>
      </c>
      <c r="B267" t="s">
        <v>2072</v>
      </c>
      <c r="C267">
        <v>-244.66</v>
      </c>
      <c r="D267">
        <v>12</v>
      </c>
      <c r="E267" t="s">
        <v>12599</v>
      </c>
    </row>
    <row r="268" spans="1:5" x14ac:dyDescent="0.3">
      <c r="A268">
        <v>301565</v>
      </c>
      <c r="B268" t="s">
        <v>12805</v>
      </c>
      <c r="C268">
        <v>-254.25</v>
      </c>
      <c r="D268">
        <v>7</v>
      </c>
      <c r="E268" t="s">
        <v>12599</v>
      </c>
    </row>
    <row r="269" spans="1:5" x14ac:dyDescent="0.3">
      <c r="A269">
        <v>2982</v>
      </c>
      <c r="B269" t="s">
        <v>12806</v>
      </c>
      <c r="C269">
        <v>-260.81</v>
      </c>
      <c r="D269">
        <v>11</v>
      </c>
      <c r="E269" t="s">
        <v>12599</v>
      </c>
    </row>
    <row r="270" spans="1:5" x14ac:dyDescent="0.3">
      <c r="A270">
        <v>688003</v>
      </c>
      <c r="B270" t="s">
        <v>12807</v>
      </c>
      <c r="C270">
        <v>-262.38</v>
      </c>
      <c r="D270">
        <v>3</v>
      </c>
      <c r="E270" t="s">
        <v>12599</v>
      </c>
    </row>
    <row r="271" spans="1:5" hidden="1" x14ac:dyDescent="0.3">
      <c r="A271">
        <v>118024</v>
      </c>
      <c r="B271" t="s">
        <v>12808</v>
      </c>
      <c r="C271">
        <v>-279.69</v>
      </c>
      <c r="D271">
        <v>1</v>
      </c>
      <c r="E271" t="s">
        <v>12599</v>
      </c>
    </row>
    <row r="272" spans="1:5" x14ac:dyDescent="0.3">
      <c r="A272">
        <v>603530</v>
      </c>
      <c r="B272" t="s">
        <v>2017</v>
      </c>
      <c r="C272">
        <v>-281.22000000000003</v>
      </c>
      <c r="D272">
        <v>5</v>
      </c>
      <c r="E272" t="s">
        <v>12599</v>
      </c>
    </row>
    <row r="273" spans="1:5" x14ac:dyDescent="0.3">
      <c r="A273">
        <v>1369</v>
      </c>
      <c r="B273" t="s">
        <v>12809</v>
      </c>
      <c r="C273">
        <v>-295.25</v>
      </c>
      <c r="D273">
        <v>6</v>
      </c>
      <c r="E273" t="s">
        <v>12599</v>
      </c>
    </row>
    <row r="274" spans="1:5" x14ac:dyDescent="0.3">
      <c r="A274">
        <v>603257</v>
      </c>
      <c r="B274" t="s">
        <v>12810</v>
      </c>
      <c r="C274">
        <v>-305.94</v>
      </c>
      <c r="D274">
        <v>13</v>
      </c>
      <c r="E274" t="s">
        <v>12599</v>
      </c>
    </row>
    <row r="275" spans="1:5" x14ac:dyDescent="0.3">
      <c r="A275">
        <v>300866</v>
      </c>
      <c r="B275" t="s">
        <v>12811</v>
      </c>
      <c r="C275">
        <v>-321.83</v>
      </c>
      <c r="D275">
        <v>4</v>
      </c>
      <c r="E275" t="s">
        <v>12599</v>
      </c>
    </row>
    <row r="276" spans="1:5" x14ac:dyDescent="0.3">
      <c r="A276">
        <v>688680</v>
      </c>
      <c r="B276" t="s">
        <v>12812</v>
      </c>
      <c r="C276">
        <v>-333.56</v>
      </c>
      <c r="D276">
        <v>6</v>
      </c>
      <c r="E276" t="s">
        <v>12599</v>
      </c>
    </row>
    <row r="277" spans="1:5" x14ac:dyDescent="0.3">
      <c r="A277">
        <v>300338</v>
      </c>
      <c r="B277" t="s">
        <v>12310</v>
      </c>
      <c r="C277">
        <v>-335.13</v>
      </c>
      <c r="D277">
        <v>12</v>
      </c>
      <c r="E277" t="s">
        <v>12599</v>
      </c>
    </row>
    <row r="278" spans="1:5" x14ac:dyDescent="0.3">
      <c r="A278">
        <v>1388</v>
      </c>
      <c r="B278" t="s">
        <v>12813</v>
      </c>
      <c r="C278">
        <v>-335.37</v>
      </c>
      <c r="D278">
        <v>42</v>
      </c>
      <c r="E278" t="s">
        <v>12599</v>
      </c>
    </row>
    <row r="279" spans="1:5" x14ac:dyDescent="0.3">
      <c r="A279">
        <v>600119</v>
      </c>
      <c r="B279" t="s">
        <v>12814</v>
      </c>
      <c r="C279">
        <v>-342.11</v>
      </c>
      <c r="D279">
        <v>9</v>
      </c>
      <c r="E279" t="s">
        <v>12599</v>
      </c>
    </row>
    <row r="280" spans="1:5" hidden="1" x14ac:dyDescent="0.3">
      <c r="A280">
        <v>113638</v>
      </c>
      <c r="B280" t="s">
        <v>2118</v>
      </c>
      <c r="C280">
        <v>-351.71</v>
      </c>
      <c r="D280">
        <v>6</v>
      </c>
      <c r="E280" t="s">
        <v>12599</v>
      </c>
    </row>
    <row r="281" spans="1:5" x14ac:dyDescent="0.3">
      <c r="A281">
        <v>601059</v>
      </c>
      <c r="B281" t="s">
        <v>12815</v>
      </c>
      <c r="C281">
        <v>-356.12</v>
      </c>
      <c r="D281">
        <v>39</v>
      </c>
      <c r="E281" t="s">
        <v>12599</v>
      </c>
    </row>
    <row r="282" spans="1:5" x14ac:dyDescent="0.3">
      <c r="A282">
        <v>300332</v>
      </c>
      <c r="B282" t="s">
        <v>12816</v>
      </c>
      <c r="C282">
        <v>-358.66</v>
      </c>
      <c r="D282">
        <v>40</v>
      </c>
      <c r="E282" t="s">
        <v>12599</v>
      </c>
    </row>
    <row r="283" spans="1:5" x14ac:dyDescent="0.3">
      <c r="A283">
        <v>688750</v>
      </c>
      <c r="B283" t="s">
        <v>12817</v>
      </c>
      <c r="C283">
        <v>-376.05</v>
      </c>
      <c r="D283">
        <v>23</v>
      </c>
      <c r="E283" t="s">
        <v>12599</v>
      </c>
    </row>
    <row r="284" spans="1:5" x14ac:dyDescent="0.3">
      <c r="A284">
        <v>300604</v>
      </c>
      <c r="B284" t="s">
        <v>12818</v>
      </c>
      <c r="C284">
        <v>-379.66</v>
      </c>
      <c r="D284">
        <v>1</v>
      </c>
      <c r="E284" t="s">
        <v>12599</v>
      </c>
    </row>
    <row r="285" spans="1:5" x14ac:dyDescent="0.3">
      <c r="A285">
        <v>600993</v>
      </c>
      <c r="B285" t="s">
        <v>12819</v>
      </c>
      <c r="C285">
        <v>-383.8</v>
      </c>
      <c r="D285">
        <v>7</v>
      </c>
      <c r="E285" t="s">
        <v>12599</v>
      </c>
    </row>
    <row r="286" spans="1:5" x14ac:dyDescent="0.3">
      <c r="A286">
        <v>2656</v>
      </c>
      <c r="B286" t="s">
        <v>12820</v>
      </c>
      <c r="C286">
        <v>-388.76</v>
      </c>
      <c r="D286">
        <v>7</v>
      </c>
      <c r="E286" t="s">
        <v>12599</v>
      </c>
    </row>
    <row r="287" spans="1:5" x14ac:dyDescent="0.3">
      <c r="A287">
        <v>301556</v>
      </c>
      <c r="B287" t="s">
        <v>12821</v>
      </c>
      <c r="C287">
        <v>-395.77</v>
      </c>
      <c r="D287">
        <v>6</v>
      </c>
      <c r="E287" t="s">
        <v>12599</v>
      </c>
    </row>
    <row r="288" spans="1:5" x14ac:dyDescent="0.3">
      <c r="A288">
        <v>301592</v>
      </c>
      <c r="B288" t="s">
        <v>12822</v>
      </c>
      <c r="C288">
        <v>-415.99</v>
      </c>
      <c r="D288">
        <v>3</v>
      </c>
      <c r="E288" t="s">
        <v>12599</v>
      </c>
    </row>
    <row r="289" spans="1:5" x14ac:dyDescent="0.3">
      <c r="A289">
        <v>301015</v>
      </c>
      <c r="B289" t="s">
        <v>12823</v>
      </c>
      <c r="C289">
        <v>-424.22</v>
      </c>
      <c r="D289">
        <v>18</v>
      </c>
      <c r="E289" t="s">
        <v>12599</v>
      </c>
    </row>
    <row r="290" spans="1:5" x14ac:dyDescent="0.3">
      <c r="A290">
        <v>301036</v>
      </c>
      <c r="B290" t="s">
        <v>12824</v>
      </c>
      <c r="C290">
        <v>-430.02</v>
      </c>
      <c r="D290">
        <v>4</v>
      </c>
      <c r="E290" t="s">
        <v>12599</v>
      </c>
    </row>
    <row r="291" spans="1:5" x14ac:dyDescent="0.3">
      <c r="A291">
        <v>159326</v>
      </c>
      <c r="B291" t="s">
        <v>2166</v>
      </c>
      <c r="C291">
        <v>-430.8</v>
      </c>
      <c r="D291">
        <v>1</v>
      </c>
      <c r="E291" t="s">
        <v>12599</v>
      </c>
    </row>
    <row r="292" spans="1:5" hidden="1" x14ac:dyDescent="0.3">
      <c r="A292">
        <v>113660</v>
      </c>
      <c r="B292" t="s">
        <v>12825</v>
      </c>
      <c r="C292">
        <v>-436.38</v>
      </c>
      <c r="D292">
        <v>2</v>
      </c>
      <c r="E292" t="s">
        <v>12599</v>
      </c>
    </row>
    <row r="293" spans="1:5" x14ac:dyDescent="0.3">
      <c r="A293">
        <v>159992</v>
      </c>
      <c r="B293" t="s">
        <v>157</v>
      </c>
      <c r="C293">
        <v>-454.39</v>
      </c>
      <c r="D293">
        <v>38</v>
      </c>
      <c r="E293" t="s">
        <v>12599</v>
      </c>
    </row>
    <row r="294" spans="1:5" x14ac:dyDescent="0.3">
      <c r="A294">
        <v>603376</v>
      </c>
      <c r="B294" t="s">
        <v>12826</v>
      </c>
      <c r="C294">
        <v>-454.72</v>
      </c>
      <c r="D294">
        <v>8</v>
      </c>
      <c r="E294" t="s">
        <v>12599</v>
      </c>
    </row>
    <row r="295" spans="1:5" x14ac:dyDescent="0.3">
      <c r="A295">
        <v>603395</v>
      </c>
      <c r="B295" t="s">
        <v>12827</v>
      </c>
      <c r="C295">
        <v>-473.89</v>
      </c>
      <c r="D295">
        <v>7</v>
      </c>
      <c r="E295" t="s">
        <v>12599</v>
      </c>
    </row>
    <row r="296" spans="1:5" x14ac:dyDescent="0.3">
      <c r="A296">
        <v>300563</v>
      </c>
      <c r="B296" t="s">
        <v>12828</v>
      </c>
      <c r="C296">
        <v>-474.87</v>
      </c>
      <c r="D296">
        <v>4</v>
      </c>
      <c r="E296" t="s">
        <v>12599</v>
      </c>
    </row>
    <row r="297" spans="1:5" x14ac:dyDescent="0.3">
      <c r="A297">
        <v>603382</v>
      </c>
      <c r="B297" t="s">
        <v>12829</v>
      </c>
      <c r="C297">
        <v>-481.29</v>
      </c>
      <c r="D297">
        <v>26</v>
      </c>
      <c r="E297" t="s">
        <v>12599</v>
      </c>
    </row>
    <row r="298" spans="1:5" hidden="1" x14ac:dyDescent="0.3">
      <c r="A298">
        <v>123196</v>
      </c>
      <c r="B298" t="s">
        <v>2102</v>
      </c>
      <c r="C298">
        <v>-483.89</v>
      </c>
      <c r="D298">
        <v>3</v>
      </c>
      <c r="E298" t="s">
        <v>12599</v>
      </c>
    </row>
    <row r="299" spans="1:5" x14ac:dyDescent="0.3">
      <c r="A299">
        <v>301479</v>
      </c>
      <c r="B299" t="s">
        <v>12830</v>
      </c>
      <c r="C299">
        <v>-485.07</v>
      </c>
      <c r="D299">
        <v>4</v>
      </c>
      <c r="E299" t="s">
        <v>12599</v>
      </c>
    </row>
    <row r="300" spans="1:5" x14ac:dyDescent="0.3">
      <c r="A300">
        <v>603855</v>
      </c>
      <c r="B300" t="s">
        <v>12831</v>
      </c>
      <c r="C300">
        <v>-488.04</v>
      </c>
      <c r="D300">
        <v>8</v>
      </c>
      <c r="E300" t="s">
        <v>12599</v>
      </c>
    </row>
    <row r="301" spans="1:5" hidden="1" x14ac:dyDescent="0.3">
      <c r="A301">
        <v>113653</v>
      </c>
      <c r="B301" t="s">
        <v>12832</v>
      </c>
      <c r="C301">
        <v>-501.98</v>
      </c>
      <c r="D301">
        <v>1</v>
      </c>
      <c r="E301" t="s">
        <v>12599</v>
      </c>
    </row>
    <row r="302" spans="1:5" x14ac:dyDescent="0.3">
      <c r="A302">
        <v>300640</v>
      </c>
      <c r="B302" t="s">
        <v>12833</v>
      </c>
      <c r="C302">
        <v>-521.87</v>
      </c>
      <c r="D302">
        <v>27</v>
      </c>
      <c r="E302" t="s">
        <v>12599</v>
      </c>
    </row>
    <row r="303" spans="1:5" x14ac:dyDescent="0.3">
      <c r="A303">
        <v>600161</v>
      </c>
      <c r="B303" t="s">
        <v>12834</v>
      </c>
      <c r="C303">
        <v>-536.71</v>
      </c>
      <c r="D303">
        <v>31</v>
      </c>
      <c r="E303" t="s">
        <v>12599</v>
      </c>
    </row>
    <row r="304" spans="1:5" x14ac:dyDescent="0.3">
      <c r="A304">
        <v>688772</v>
      </c>
      <c r="B304" t="s">
        <v>12835</v>
      </c>
      <c r="C304">
        <v>-544.22</v>
      </c>
      <c r="D304">
        <v>3</v>
      </c>
      <c r="E304" t="s">
        <v>12599</v>
      </c>
    </row>
    <row r="305" spans="1:5" x14ac:dyDescent="0.3">
      <c r="A305">
        <v>688567</v>
      </c>
      <c r="B305" t="s">
        <v>12836</v>
      </c>
      <c r="C305">
        <v>-544.96</v>
      </c>
      <c r="D305">
        <v>1</v>
      </c>
      <c r="E305" t="s">
        <v>12599</v>
      </c>
    </row>
    <row r="306" spans="1:5" x14ac:dyDescent="0.3">
      <c r="A306">
        <v>2807</v>
      </c>
      <c r="B306" t="s">
        <v>2014</v>
      </c>
      <c r="C306">
        <v>-552.29999999999995</v>
      </c>
      <c r="D306">
        <v>36</v>
      </c>
      <c r="E306" t="s">
        <v>12599</v>
      </c>
    </row>
    <row r="307" spans="1:5" x14ac:dyDescent="0.3">
      <c r="A307">
        <v>600028</v>
      </c>
      <c r="B307" t="s">
        <v>12837</v>
      </c>
      <c r="C307">
        <v>-554.70000000000005</v>
      </c>
      <c r="D307">
        <v>3</v>
      </c>
      <c r="E307" t="s">
        <v>12599</v>
      </c>
    </row>
    <row r="308" spans="1:5" x14ac:dyDescent="0.3">
      <c r="A308">
        <v>600775</v>
      </c>
      <c r="B308" t="s">
        <v>12838</v>
      </c>
      <c r="C308">
        <v>-559.55999999999995</v>
      </c>
      <c r="D308">
        <v>2</v>
      </c>
      <c r="E308" t="s">
        <v>12599</v>
      </c>
    </row>
    <row r="309" spans="1:5" x14ac:dyDescent="0.3">
      <c r="A309">
        <v>603529</v>
      </c>
      <c r="B309" t="s">
        <v>12839</v>
      </c>
      <c r="C309">
        <v>-568.91</v>
      </c>
      <c r="D309">
        <v>7</v>
      </c>
      <c r="E309" t="s">
        <v>12599</v>
      </c>
    </row>
    <row r="310" spans="1:5" hidden="1" x14ac:dyDescent="0.3">
      <c r="A310">
        <v>128142</v>
      </c>
      <c r="B310" t="s">
        <v>2119</v>
      </c>
      <c r="C310">
        <v>-572.23</v>
      </c>
      <c r="D310">
        <v>21</v>
      </c>
      <c r="E310" t="s">
        <v>12599</v>
      </c>
    </row>
    <row r="311" spans="1:5" x14ac:dyDescent="0.3">
      <c r="A311">
        <v>301215</v>
      </c>
      <c r="B311" t="s">
        <v>12840</v>
      </c>
      <c r="C311">
        <v>-580.54</v>
      </c>
      <c r="D311">
        <v>8</v>
      </c>
      <c r="E311" t="s">
        <v>12599</v>
      </c>
    </row>
    <row r="312" spans="1:5" x14ac:dyDescent="0.3">
      <c r="A312">
        <v>601778</v>
      </c>
      <c r="B312" t="s">
        <v>12841</v>
      </c>
      <c r="C312">
        <v>-586.49</v>
      </c>
      <c r="D312">
        <v>1</v>
      </c>
      <c r="E312" t="s">
        <v>12599</v>
      </c>
    </row>
    <row r="313" spans="1:5" hidden="1" x14ac:dyDescent="0.3">
      <c r="A313">
        <v>123065</v>
      </c>
      <c r="B313" t="s">
        <v>2071</v>
      </c>
      <c r="C313">
        <v>-592.51</v>
      </c>
      <c r="D313">
        <v>14</v>
      </c>
      <c r="E313" t="s">
        <v>12599</v>
      </c>
    </row>
    <row r="314" spans="1:5" hidden="1" x14ac:dyDescent="0.3">
      <c r="A314">
        <v>123214</v>
      </c>
      <c r="B314" t="s">
        <v>2086</v>
      </c>
      <c r="C314">
        <v>-615.01</v>
      </c>
      <c r="D314">
        <v>0</v>
      </c>
      <c r="E314" t="s">
        <v>12599</v>
      </c>
    </row>
    <row r="315" spans="1:5" x14ac:dyDescent="0.3">
      <c r="A315">
        <v>300697</v>
      </c>
      <c r="B315" t="s">
        <v>12842</v>
      </c>
      <c r="C315">
        <v>-621.94000000000005</v>
      </c>
      <c r="D315">
        <v>2</v>
      </c>
      <c r="E315" t="s">
        <v>12599</v>
      </c>
    </row>
    <row r="316" spans="1:5" x14ac:dyDescent="0.3">
      <c r="A316">
        <v>688166</v>
      </c>
      <c r="B316" t="s">
        <v>12843</v>
      </c>
      <c r="C316">
        <v>-622.64</v>
      </c>
      <c r="D316">
        <v>47</v>
      </c>
      <c r="E316" t="s">
        <v>12599</v>
      </c>
    </row>
    <row r="317" spans="1:5" x14ac:dyDescent="0.3">
      <c r="A317">
        <v>301575</v>
      </c>
      <c r="B317" t="s">
        <v>12844</v>
      </c>
      <c r="C317">
        <v>-626.96</v>
      </c>
      <c r="D317">
        <v>6</v>
      </c>
      <c r="E317" t="s">
        <v>12599</v>
      </c>
    </row>
    <row r="318" spans="1:5" x14ac:dyDescent="0.3">
      <c r="A318">
        <v>688755</v>
      </c>
      <c r="B318" t="s">
        <v>12845</v>
      </c>
      <c r="C318">
        <v>-649.09</v>
      </c>
      <c r="D318">
        <v>63</v>
      </c>
      <c r="E318" t="s">
        <v>12599</v>
      </c>
    </row>
    <row r="319" spans="1:5" x14ac:dyDescent="0.3">
      <c r="A319">
        <v>603998</v>
      </c>
      <c r="B319" t="s">
        <v>12846</v>
      </c>
      <c r="C319">
        <v>-649.19000000000005</v>
      </c>
      <c r="D319">
        <v>28</v>
      </c>
      <c r="E319" t="s">
        <v>12599</v>
      </c>
    </row>
    <row r="320" spans="1:5" x14ac:dyDescent="0.3">
      <c r="A320">
        <v>159928</v>
      </c>
      <c r="B320" t="s">
        <v>12847</v>
      </c>
      <c r="C320">
        <v>-681.96</v>
      </c>
      <c r="D320">
        <v>5</v>
      </c>
      <c r="E320" t="s">
        <v>12599</v>
      </c>
    </row>
    <row r="321" spans="1:5" x14ac:dyDescent="0.3">
      <c r="A321">
        <v>300290</v>
      </c>
      <c r="B321" t="s">
        <v>903</v>
      </c>
      <c r="C321">
        <v>-709.55</v>
      </c>
      <c r="D321">
        <v>1</v>
      </c>
      <c r="E321" t="s">
        <v>12599</v>
      </c>
    </row>
    <row r="322" spans="1:5" x14ac:dyDescent="0.3">
      <c r="A322">
        <v>560280</v>
      </c>
      <c r="B322" t="s">
        <v>2154</v>
      </c>
      <c r="C322">
        <v>-731.72</v>
      </c>
      <c r="D322">
        <v>6</v>
      </c>
      <c r="E322" t="s">
        <v>12599</v>
      </c>
    </row>
    <row r="323" spans="1:5" x14ac:dyDescent="0.3">
      <c r="A323">
        <v>605108</v>
      </c>
      <c r="B323" t="s">
        <v>12848</v>
      </c>
      <c r="C323">
        <v>-762.93</v>
      </c>
      <c r="D323">
        <v>14</v>
      </c>
      <c r="E323" t="s">
        <v>12599</v>
      </c>
    </row>
    <row r="324" spans="1:5" x14ac:dyDescent="0.3">
      <c r="A324">
        <v>300973</v>
      </c>
      <c r="B324" t="s">
        <v>12849</v>
      </c>
      <c r="C324">
        <v>-783.09</v>
      </c>
      <c r="D324">
        <v>22</v>
      </c>
      <c r="E324" t="s">
        <v>12599</v>
      </c>
    </row>
    <row r="325" spans="1:5" x14ac:dyDescent="0.3">
      <c r="A325">
        <v>688689</v>
      </c>
      <c r="B325" t="s">
        <v>12850</v>
      </c>
      <c r="C325">
        <v>-790.26</v>
      </c>
      <c r="D325">
        <v>6</v>
      </c>
      <c r="E325" t="s">
        <v>12599</v>
      </c>
    </row>
    <row r="326" spans="1:5" x14ac:dyDescent="0.3">
      <c r="A326">
        <v>300014</v>
      </c>
      <c r="B326" t="s">
        <v>12851</v>
      </c>
      <c r="C326">
        <v>-805.86</v>
      </c>
      <c r="D326">
        <v>1</v>
      </c>
      <c r="E326" t="s">
        <v>12599</v>
      </c>
    </row>
    <row r="327" spans="1:5" x14ac:dyDescent="0.3">
      <c r="A327">
        <v>600058</v>
      </c>
      <c r="B327" t="s">
        <v>12852</v>
      </c>
      <c r="C327">
        <v>-807.89</v>
      </c>
      <c r="D327">
        <v>5</v>
      </c>
      <c r="E327" t="s">
        <v>12599</v>
      </c>
    </row>
    <row r="328" spans="1:5" x14ac:dyDescent="0.3">
      <c r="A328">
        <v>703</v>
      </c>
      <c r="B328" t="s">
        <v>2006</v>
      </c>
      <c r="C328">
        <v>-813.69</v>
      </c>
      <c r="D328">
        <v>13</v>
      </c>
      <c r="E328" t="s">
        <v>12599</v>
      </c>
    </row>
    <row r="329" spans="1:5" x14ac:dyDescent="0.3">
      <c r="A329">
        <v>1386</v>
      </c>
      <c r="B329" t="s">
        <v>11934</v>
      </c>
      <c r="C329">
        <v>-816.32</v>
      </c>
      <c r="D329">
        <v>12</v>
      </c>
      <c r="E329" t="s">
        <v>12599</v>
      </c>
    </row>
    <row r="330" spans="1:5" x14ac:dyDescent="0.3">
      <c r="A330">
        <v>600997</v>
      </c>
      <c r="B330" t="s">
        <v>12853</v>
      </c>
      <c r="C330">
        <v>-853.71</v>
      </c>
      <c r="D330">
        <v>1</v>
      </c>
      <c r="E330" t="s">
        <v>12599</v>
      </c>
    </row>
    <row r="331" spans="1:5" x14ac:dyDescent="0.3">
      <c r="A331">
        <v>603367</v>
      </c>
      <c r="B331" t="s">
        <v>12854</v>
      </c>
      <c r="C331">
        <v>-913.28</v>
      </c>
      <c r="D331">
        <v>57</v>
      </c>
      <c r="E331" t="s">
        <v>12599</v>
      </c>
    </row>
    <row r="332" spans="1:5" x14ac:dyDescent="0.3">
      <c r="A332">
        <v>300247</v>
      </c>
      <c r="B332" t="s">
        <v>12855</v>
      </c>
      <c r="C332">
        <v>-1000.4</v>
      </c>
      <c r="D332">
        <v>15</v>
      </c>
      <c r="E332" t="s">
        <v>12599</v>
      </c>
    </row>
    <row r="333" spans="1:5" x14ac:dyDescent="0.3">
      <c r="A333">
        <v>603639</v>
      </c>
      <c r="B333" t="s">
        <v>12856</v>
      </c>
      <c r="C333">
        <v>-1035.0899999999999</v>
      </c>
      <c r="D333">
        <v>21</v>
      </c>
      <c r="E333" t="s">
        <v>12599</v>
      </c>
    </row>
    <row r="334" spans="1:5" x14ac:dyDescent="0.3">
      <c r="A334">
        <v>2694</v>
      </c>
      <c r="B334" t="s">
        <v>12857</v>
      </c>
      <c r="C334">
        <v>-1047.94</v>
      </c>
      <c r="D334">
        <v>9</v>
      </c>
      <c r="E334" t="s">
        <v>12599</v>
      </c>
    </row>
    <row r="335" spans="1:5" x14ac:dyDescent="0.3">
      <c r="A335">
        <v>301173</v>
      </c>
      <c r="B335" t="s">
        <v>12858</v>
      </c>
      <c r="C335">
        <v>-1165.81</v>
      </c>
      <c r="D335">
        <v>17</v>
      </c>
      <c r="E335" t="s">
        <v>12599</v>
      </c>
    </row>
    <row r="336" spans="1:5" hidden="1" x14ac:dyDescent="0.3">
      <c r="A336">
        <v>113623</v>
      </c>
      <c r="B336" t="s">
        <v>12859</v>
      </c>
      <c r="C336">
        <v>-1183.3900000000001</v>
      </c>
      <c r="D336">
        <v>19</v>
      </c>
      <c r="E336" t="s">
        <v>12599</v>
      </c>
    </row>
    <row r="337" spans="1:5" x14ac:dyDescent="0.3">
      <c r="A337">
        <v>300813</v>
      </c>
      <c r="B337" t="s">
        <v>12860</v>
      </c>
      <c r="C337">
        <v>-1184.47</v>
      </c>
      <c r="D337">
        <v>22</v>
      </c>
      <c r="E337" t="s">
        <v>12599</v>
      </c>
    </row>
    <row r="338" spans="1:5" x14ac:dyDescent="0.3">
      <c r="A338">
        <v>600435</v>
      </c>
      <c r="B338" t="s">
        <v>12861</v>
      </c>
      <c r="C338">
        <v>-1194.3499999999999</v>
      </c>
      <c r="D338">
        <v>9</v>
      </c>
      <c r="E338" t="s">
        <v>12599</v>
      </c>
    </row>
    <row r="339" spans="1:5" x14ac:dyDescent="0.3">
      <c r="A339">
        <v>920047</v>
      </c>
      <c r="B339" t="s">
        <v>12862</v>
      </c>
      <c r="C339">
        <v>-1212.77</v>
      </c>
      <c r="D339">
        <v>15</v>
      </c>
      <c r="E339" t="s">
        <v>12599</v>
      </c>
    </row>
    <row r="340" spans="1:5" x14ac:dyDescent="0.3">
      <c r="A340">
        <v>512010</v>
      </c>
      <c r="B340" t="s">
        <v>12863</v>
      </c>
      <c r="C340">
        <v>-1277.6099999999999</v>
      </c>
      <c r="D340">
        <v>53</v>
      </c>
      <c r="E340" t="s">
        <v>12599</v>
      </c>
    </row>
    <row r="341" spans="1:5" x14ac:dyDescent="0.3">
      <c r="A341">
        <v>2634</v>
      </c>
      <c r="B341" t="s">
        <v>12864</v>
      </c>
      <c r="C341">
        <v>-1304.3800000000001</v>
      </c>
      <c r="D341">
        <v>9</v>
      </c>
      <c r="E341" t="s">
        <v>12599</v>
      </c>
    </row>
    <row r="342" spans="1:5" x14ac:dyDescent="0.3">
      <c r="A342">
        <v>2667</v>
      </c>
      <c r="B342" t="s">
        <v>12865</v>
      </c>
      <c r="C342">
        <v>-1304.8499999999999</v>
      </c>
      <c r="D342">
        <v>8</v>
      </c>
      <c r="E342" t="s">
        <v>12599</v>
      </c>
    </row>
    <row r="343" spans="1:5" hidden="1" x14ac:dyDescent="0.3">
      <c r="A343">
        <v>123122</v>
      </c>
      <c r="B343" t="s">
        <v>2070</v>
      </c>
      <c r="C343">
        <v>-1342.36</v>
      </c>
      <c r="D343">
        <v>20</v>
      </c>
      <c r="E343" t="s">
        <v>12599</v>
      </c>
    </row>
    <row r="344" spans="1:5" hidden="1" x14ac:dyDescent="0.3">
      <c r="A344">
        <v>123107</v>
      </c>
      <c r="B344" t="s">
        <v>2094</v>
      </c>
      <c r="C344">
        <v>-1427.58</v>
      </c>
      <c r="D344">
        <v>30</v>
      </c>
      <c r="E344" t="s">
        <v>12599</v>
      </c>
    </row>
    <row r="345" spans="1:5" x14ac:dyDescent="0.3">
      <c r="A345">
        <v>300406</v>
      </c>
      <c r="B345" t="s">
        <v>12866</v>
      </c>
      <c r="C345">
        <v>-1439.53</v>
      </c>
      <c r="D345">
        <v>88</v>
      </c>
      <c r="E345" t="s">
        <v>12599</v>
      </c>
    </row>
    <row r="346" spans="1:5" x14ac:dyDescent="0.3">
      <c r="A346">
        <v>300500</v>
      </c>
      <c r="B346" t="s">
        <v>12867</v>
      </c>
      <c r="C346">
        <v>-1453.86</v>
      </c>
      <c r="D346">
        <v>4</v>
      </c>
      <c r="E346" t="s">
        <v>12599</v>
      </c>
    </row>
    <row r="347" spans="1:5" x14ac:dyDescent="0.3">
      <c r="A347">
        <v>688366</v>
      </c>
      <c r="B347" t="s">
        <v>12868</v>
      </c>
      <c r="C347">
        <v>-1455.49</v>
      </c>
      <c r="D347">
        <v>58</v>
      </c>
      <c r="E347" t="s">
        <v>12599</v>
      </c>
    </row>
    <row r="348" spans="1:5" x14ac:dyDescent="0.3">
      <c r="A348">
        <v>600789</v>
      </c>
      <c r="B348" t="s">
        <v>12869</v>
      </c>
      <c r="C348">
        <v>-1465.69</v>
      </c>
      <c r="D348">
        <v>82</v>
      </c>
      <c r="E348" t="s">
        <v>12599</v>
      </c>
    </row>
    <row r="349" spans="1:5" x14ac:dyDescent="0.3">
      <c r="A349">
        <v>512660</v>
      </c>
      <c r="B349" t="s">
        <v>12870</v>
      </c>
      <c r="C349">
        <v>-1488.96</v>
      </c>
      <c r="D349">
        <v>8</v>
      </c>
      <c r="E349" t="s">
        <v>12599</v>
      </c>
    </row>
    <row r="350" spans="1:5" x14ac:dyDescent="0.3">
      <c r="A350">
        <v>600589</v>
      </c>
      <c r="B350" t="s">
        <v>1864</v>
      </c>
      <c r="C350">
        <v>-1529.51</v>
      </c>
      <c r="D350">
        <v>1</v>
      </c>
      <c r="E350" t="s">
        <v>12599</v>
      </c>
    </row>
    <row r="351" spans="1:5" x14ac:dyDescent="0.3">
      <c r="A351">
        <v>603055</v>
      </c>
      <c r="B351" t="s">
        <v>12871</v>
      </c>
      <c r="C351">
        <v>-1575.44</v>
      </c>
      <c r="D351">
        <v>37</v>
      </c>
      <c r="E351" t="s">
        <v>12599</v>
      </c>
    </row>
    <row r="352" spans="1:5" x14ac:dyDescent="0.3">
      <c r="A352">
        <v>688271</v>
      </c>
      <c r="B352" t="s">
        <v>12872</v>
      </c>
      <c r="C352">
        <v>-1637.1</v>
      </c>
      <c r="D352">
        <v>67</v>
      </c>
      <c r="E352" t="s">
        <v>12599</v>
      </c>
    </row>
    <row r="353" spans="1:5" x14ac:dyDescent="0.3">
      <c r="A353">
        <v>568</v>
      </c>
      <c r="B353" t="s">
        <v>12873</v>
      </c>
      <c r="C353">
        <v>-1676.94</v>
      </c>
      <c r="D353">
        <v>48</v>
      </c>
      <c r="E353" t="s">
        <v>12599</v>
      </c>
    </row>
    <row r="354" spans="1:5" x14ac:dyDescent="0.3">
      <c r="A354">
        <v>603628</v>
      </c>
      <c r="B354" t="s">
        <v>12874</v>
      </c>
      <c r="C354">
        <v>-1680.49</v>
      </c>
      <c r="D354">
        <v>40</v>
      </c>
      <c r="E354" t="s">
        <v>12599</v>
      </c>
    </row>
    <row r="355" spans="1:5" x14ac:dyDescent="0.3">
      <c r="A355">
        <v>56</v>
      </c>
      <c r="B355" t="s">
        <v>12875</v>
      </c>
      <c r="C355">
        <v>-1738.76</v>
      </c>
      <c r="D355">
        <v>9</v>
      </c>
      <c r="E355" t="s">
        <v>12599</v>
      </c>
    </row>
    <row r="356" spans="1:5" x14ac:dyDescent="0.3">
      <c r="A356">
        <v>603313</v>
      </c>
      <c r="B356" t="s">
        <v>12876</v>
      </c>
      <c r="C356">
        <v>-1742.19</v>
      </c>
      <c r="D356">
        <v>20</v>
      </c>
      <c r="E356" t="s">
        <v>12599</v>
      </c>
    </row>
    <row r="357" spans="1:5" x14ac:dyDescent="0.3">
      <c r="A357">
        <v>2129</v>
      </c>
      <c r="B357" t="s">
        <v>12877</v>
      </c>
      <c r="C357">
        <v>-1753.72</v>
      </c>
      <c r="D357">
        <v>6</v>
      </c>
      <c r="E357" t="s">
        <v>12599</v>
      </c>
    </row>
    <row r="358" spans="1:5" x14ac:dyDescent="0.3">
      <c r="A358">
        <v>301211</v>
      </c>
      <c r="B358" t="s">
        <v>12878</v>
      </c>
      <c r="C358">
        <v>-1769.27</v>
      </c>
      <c r="D358">
        <v>25</v>
      </c>
      <c r="E358" t="s">
        <v>12599</v>
      </c>
    </row>
    <row r="359" spans="1:5" x14ac:dyDescent="0.3">
      <c r="A359">
        <v>600309</v>
      </c>
      <c r="B359" t="s">
        <v>12879</v>
      </c>
      <c r="C359">
        <v>-1769.71</v>
      </c>
      <c r="D359">
        <v>28</v>
      </c>
      <c r="E359" t="s">
        <v>12599</v>
      </c>
    </row>
    <row r="360" spans="1:5" hidden="1" x14ac:dyDescent="0.3">
      <c r="A360">
        <v>110076</v>
      </c>
      <c r="B360" t="s">
        <v>12880</v>
      </c>
      <c r="C360">
        <v>-1797.12</v>
      </c>
      <c r="D360">
        <v>5</v>
      </c>
      <c r="E360" t="s">
        <v>12599</v>
      </c>
    </row>
    <row r="361" spans="1:5" x14ac:dyDescent="0.3">
      <c r="A361">
        <v>562700</v>
      </c>
      <c r="B361" t="s">
        <v>12881</v>
      </c>
      <c r="C361">
        <v>-1801.15</v>
      </c>
      <c r="D361">
        <v>18</v>
      </c>
      <c r="E361" t="s">
        <v>12599</v>
      </c>
    </row>
    <row r="362" spans="1:5" x14ac:dyDescent="0.3">
      <c r="A362">
        <v>601111</v>
      </c>
      <c r="B362" t="s">
        <v>1996</v>
      </c>
      <c r="C362">
        <v>-1814.97</v>
      </c>
      <c r="D362">
        <v>8</v>
      </c>
      <c r="E362" t="s">
        <v>12599</v>
      </c>
    </row>
    <row r="363" spans="1:5" x14ac:dyDescent="0.3">
      <c r="A363">
        <v>2568</v>
      </c>
      <c r="B363" t="s">
        <v>12882</v>
      </c>
      <c r="C363">
        <v>-1862.57</v>
      </c>
      <c r="D363">
        <v>52</v>
      </c>
      <c r="E363" t="s">
        <v>12599</v>
      </c>
    </row>
    <row r="364" spans="1:5" x14ac:dyDescent="0.3">
      <c r="A364">
        <v>600938</v>
      </c>
      <c r="B364" t="s">
        <v>2002</v>
      </c>
      <c r="C364">
        <v>-1895.52</v>
      </c>
      <c r="D364">
        <v>44</v>
      </c>
      <c r="E364" t="s">
        <v>12599</v>
      </c>
    </row>
    <row r="365" spans="1:5" hidden="1" x14ac:dyDescent="0.3">
      <c r="A365">
        <v>110093</v>
      </c>
      <c r="B365" t="s">
        <v>2084</v>
      </c>
      <c r="C365">
        <v>-1896.42</v>
      </c>
      <c r="D365">
        <v>28</v>
      </c>
      <c r="E365" t="s">
        <v>12599</v>
      </c>
    </row>
    <row r="366" spans="1:5" x14ac:dyDescent="0.3">
      <c r="A366">
        <v>159852</v>
      </c>
      <c r="B366" t="s">
        <v>12883</v>
      </c>
      <c r="C366">
        <v>-1970.47</v>
      </c>
      <c r="D366">
        <v>50</v>
      </c>
      <c r="E366" t="s">
        <v>12599</v>
      </c>
    </row>
    <row r="367" spans="1:5" x14ac:dyDescent="0.3">
      <c r="A367">
        <v>600346</v>
      </c>
      <c r="B367" t="s">
        <v>12884</v>
      </c>
      <c r="C367">
        <v>-1982.03</v>
      </c>
      <c r="D367">
        <v>38</v>
      </c>
      <c r="E367" t="s">
        <v>12599</v>
      </c>
    </row>
    <row r="368" spans="1:5" x14ac:dyDescent="0.3">
      <c r="A368">
        <v>603108</v>
      </c>
      <c r="B368" t="s">
        <v>12885</v>
      </c>
      <c r="C368">
        <v>-2010.09</v>
      </c>
      <c r="D368">
        <v>97</v>
      </c>
      <c r="E368" t="s">
        <v>12599</v>
      </c>
    </row>
    <row r="369" spans="1:5" x14ac:dyDescent="0.3">
      <c r="A369">
        <v>688687</v>
      </c>
      <c r="B369" t="s">
        <v>12886</v>
      </c>
      <c r="C369">
        <v>-2080.23</v>
      </c>
      <c r="D369">
        <v>73</v>
      </c>
      <c r="E369" t="s">
        <v>12599</v>
      </c>
    </row>
    <row r="370" spans="1:5" x14ac:dyDescent="0.3">
      <c r="A370">
        <v>300429</v>
      </c>
      <c r="B370" t="s">
        <v>12887</v>
      </c>
      <c r="C370">
        <v>-2366.08</v>
      </c>
      <c r="D370">
        <v>18</v>
      </c>
      <c r="E370" t="s">
        <v>12599</v>
      </c>
    </row>
    <row r="371" spans="1:5" x14ac:dyDescent="0.3">
      <c r="A371">
        <v>2726</v>
      </c>
      <c r="B371" t="s">
        <v>12888</v>
      </c>
      <c r="C371">
        <v>-2456.54</v>
      </c>
      <c r="D371">
        <v>36</v>
      </c>
      <c r="E371" t="s">
        <v>12599</v>
      </c>
    </row>
    <row r="372" spans="1:5" x14ac:dyDescent="0.3">
      <c r="A372">
        <v>2984</v>
      </c>
      <c r="B372" t="s">
        <v>12889</v>
      </c>
      <c r="C372">
        <v>-2471.5300000000002</v>
      </c>
      <c r="D372">
        <v>14</v>
      </c>
      <c r="E372" t="s">
        <v>12599</v>
      </c>
    </row>
    <row r="373" spans="1:5" x14ac:dyDescent="0.3">
      <c r="A373">
        <v>603160</v>
      </c>
      <c r="B373" t="s">
        <v>12890</v>
      </c>
      <c r="C373">
        <v>-2474.84</v>
      </c>
      <c r="D373">
        <v>82</v>
      </c>
      <c r="E373" t="s">
        <v>12599</v>
      </c>
    </row>
    <row r="374" spans="1:5" x14ac:dyDescent="0.3">
      <c r="A374">
        <v>600019</v>
      </c>
      <c r="B374" t="s">
        <v>12891</v>
      </c>
      <c r="C374">
        <v>-2641.46</v>
      </c>
      <c r="D374">
        <v>8</v>
      </c>
      <c r="E374" t="s">
        <v>12599</v>
      </c>
    </row>
    <row r="375" spans="1:5" hidden="1" x14ac:dyDescent="0.3">
      <c r="A375">
        <v>110092</v>
      </c>
      <c r="B375" t="s">
        <v>2048</v>
      </c>
      <c r="C375">
        <v>-2664.06</v>
      </c>
      <c r="D375">
        <v>70</v>
      </c>
      <c r="E375" t="s">
        <v>12599</v>
      </c>
    </row>
    <row r="376" spans="1:5" x14ac:dyDescent="0.3">
      <c r="A376">
        <v>603896</v>
      </c>
      <c r="B376" t="s">
        <v>12892</v>
      </c>
      <c r="C376">
        <v>-2667.48</v>
      </c>
      <c r="D376">
        <v>57</v>
      </c>
      <c r="E376" t="s">
        <v>12599</v>
      </c>
    </row>
    <row r="377" spans="1:5" x14ac:dyDescent="0.3">
      <c r="A377">
        <v>688396</v>
      </c>
      <c r="B377" t="s">
        <v>12893</v>
      </c>
      <c r="C377">
        <v>-2914.44</v>
      </c>
      <c r="D377">
        <v>17</v>
      </c>
      <c r="E377" t="s">
        <v>12599</v>
      </c>
    </row>
    <row r="378" spans="1:5" x14ac:dyDescent="0.3">
      <c r="A378">
        <v>596</v>
      </c>
      <c r="B378" t="s">
        <v>12894</v>
      </c>
      <c r="C378">
        <v>-2917.53</v>
      </c>
      <c r="D378">
        <v>45</v>
      </c>
      <c r="E378" t="s">
        <v>12599</v>
      </c>
    </row>
    <row r="379" spans="1:5" x14ac:dyDescent="0.3">
      <c r="A379">
        <v>600588</v>
      </c>
      <c r="B379" t="s">
        <v>12895</v>
      </c>
      <c r="C379">
        <v>-2923.49</v>
      </c>
      <c r="D379">
        <v>7</v>
      </c>
      <c r="E379" t="s">
        <v>12599</v>
      </c>
    </row>
    <row r="380" spans="1:5" x14ac:dyDescent="0.3">
      <c r="A380">
        <v>2299</v>
      </c>
      <c r="B380" t="s">
        <v>12896</v>
      </c>
      <c r="C380">
        <v>-3006.16</v>
      </c>
      <c r="D380">
        <v>14</v>
      </c>
      <c r="E380" t="s">
        <v>12599</v>
      </c>
    </row>
    <row r="381" spans="1:5" x14ac:dyDescent="0.3">
      <c r="A381">
        <v>688408</v>
      </c>
      <c r="B381" t="s">
        <v>12897</v>
      </c>
      <c r="C381">
        <v>-3250.35</v>
      </c>
      <c r="D381">
        <v>28</v>
      </c>
      <c r="E381" t="s">
        <v>12599</v>
      </c>
    </row>
    <row r="382" spans="1:5" x14ac:dyDescent="0.3">
      <c r="A382">
        <v>300498</v>
      </c>
      <c r="B382" t="s">
        <v>12036</v>
      </c>
      <c r="C382">
        <v>-3554.84</v>
      </c>
      <c r="D382">
        <v>74</v>
      </c>
      <c r="E382" t="s">
        <v>12599</v>
      </c>
    </row>
    <row r="383" spans="1:5" x14ac:dyDescent="0.3">
      <c r="A383">
        <v>301017</v>
      </c>
      <c r="B383" t="s">
        <v>12898</v>
      </c>
      <c r="C383">
        <v>-3626.57</v>
      </c>
      <c r="D383">
        <v>25</v>
      </c>
      <c r="E383" t="s">
        <v>12599</v>
      </c>
    </row>
    <row r="384" spans="1:5" x14ac:dyDescent="0.3">
      <c r="A384">
        <v>603708</v>
      </c>
      <c r="B384" t="s">
        <v>12899</v>
      </c>
      <c r="C384">
        <v>-3647.63</v>
      </c>
      <c r="D384">
        <v>41</v>
      </c>
      <c r="E384" t="s">
        <v>12599</v>
      </c>
    </row>
    <row r="385" spans="1:5" x14ac:dyDescent="0.3">
      <c r="A385">
        <v>300967</v>
      </c>
      <c r="B385" t="s">
        <v>12900</v>
      </c>
      <c r="C385">
        <v>-3653.25</v>
      </c>
      <c r="D385">
        <v>18</v>
      </c>
      <c r="E385" t="s">
        <v>12599</v>
      </c>
    </row>
    <row r="386" spans="1:5" x14ac:dyDescent="0.3">
      <c r="A386">
        <v>300459</v>
      </c>
      <c r="B386" t="s">
        <v>12901</v>
      </c>
      <c r="C386">
        <v>-3673.13</v>
      </c>
      <c r="D386">
        <v>25</v>
      </c>
      <c r="E386" t="s">
        <v>12599</v>
      </c>
    </row>
    <row r="387" spans="1:5" x14ac:dyDescent="0.3">
      <c r="A387">
        <v>603589</v>
      </c>
      <c r="B387" t="s">
        <v>12902</v>
      </c>
      <c r="C387">
        <v>-3722.15</v>
      </c>
      <c r="D387">
        <v>36</v>
      </c>
      <c r="E387" t="s">
        <v>12599</v>
      </c>
    </row>
    <row r="388" spans="1:5" hidden="1" x14ac:dyDescent="0.3">
      <c r="A388">
        <v>128127</v>
      </c>
      <c r="B388" t="s">
        <v>12903</v>
      </c>
      <c r="C388">
        <v>-3811.08</v>
      </c>
      <c r="D388">
        <v>49</v>
      </c>
      <c r="E388" t="s">
        <v>12599</v>
      </c>
    </row>
    <row r="389" spans="1:5" x14ac:dyDescent="0.3">
      <c r="A389">
        <v>512170</v>
      </c>
      <c r="B389" t="s">
        <v>12904</v>
      </c>
      <c r="C389">
        <v>-3944.89</v>
      </c>
      <c r="D389">
        <v>57</v>
      </c>
      <c r="E389" t="s">
        <v>12599</v>
      </c>
    </row>
    <row r="390" spans="1:5" x14ac:dyDescent="0.3">
      <c r="A390">
        <v>920725</v>
      </c>
      <c r="B390" t="s">
        <v>12905</v>
      </c>
      <c r="C390">
        <v>-4000.25</v>
      </c>
      <c r="D390">
        <v>34</v>
      </c>
      <c r="E390" t="s">
        <v>12599</v>
      </c>
    </row>
    <row r="391" spans="1:5" hidden="1" x14ac:dyDescent="0.3">
      <c r="A391">
        <v>128119</v>
      </c>
      <c r="B391" t="s">
        <v>12906</v>
      </c>
      <c r="C391">
        <v>-4041.05</v>
      </c>
      <c r="D391">
        <v>28</v>
      </c>
      <c r="E391" t="s">
        <v>12599</v>
      </c>
    </row>
    <row r="392" spans="1:5" x14ac:dyDescent="0.3">
      <c r="A392">
        <v>300401</v>
      </c>
      <c r="B392" t="s">
        <v>12907</v>
      </c>
      <c r="C392">
        <v>-4453.78</v>
      </c>
      <c r="D392">
        <v>77</v>
      </c>
      <c r="E392" t="s">
        <v>12599</v>
      </c>
    </row>
    <row r="393" spans="1:5" x14ac:dyDescent="0.3">
      <c r="A393">
        <v>159859</v>
      </c>
      <c r="B393" t="s">
        <v>12908</v>
      </c>
      <c r="C393">
        <v>-4455.76</v>
      </c>
      <c r="D393">
        <v>56</v>
      </c>
      <c r="E393" t="s">
        <v>12599</v>
      </c>
    </row>
    <row r="394" spans="1:5" x14ac:dyDescent="0.3">
      <c r="A394">
        <v>601995</v>
      </c>
      <c r="B394" t="s">
        <v>12909</v>
      </c>
      <c r="C394">
        <v>-4936.17</v>
      </c>
      <c r="D394">
        <v>92</v>
      </c>
      <c r="E394" t="s">
        <v>12599</v>
      </c>
    </row>
    <row r="395" spans="1:5" hidden="1" x14ac:dyDescent="0.3">
      <c r="A395">
        <v>110081</v>
      </c>
      <c r="B395" t="s">
        <v>2049</v>
      </c>
      <c r="C395">
        <v>-5080.0600000000004</v>
      </c>
      <c r="D395">
        <v>46</v>
      </c>
      <c r="E395" t="s">
        <v>12599</v>
      </c>
    </row>
    <row r="396" spans="1:5" x14ac:dyDescent="0.3">
      <c r="A396">
        <v>600029</v>
      </c>
      <c r="B396" t="s">
        <v>12910</v>
      </c>
      <c r="C396">
        <v>-5827.93</v>
      </c>
      <c r="D396">
        <v>88</v>
      </c>
      <c r="E396" t="s">
        <v>12599</v>
      </c>
    </row>
    <row r="397" spans="1:5" x14ac:dyDescent="0.3">
      <c r="A397">
        <v>603638</v>
      </c>
      <c r="B397" t="s">
        <v>12911</v>
      </c>
      <c r="C397">
        <v>-6328.33</v>
      </c>
      <c r="D397">
        <v>27</v>
      </c>
      <c r="E397" t="s">
        <v>12599</v>
      </c>
    </row>
    <row r="398" spans="1:5" x14ac:dyDescent="0.3">
      <c r="A398">
        <v>2064</v>
      </c>
      <c r="B398" t="s">
        <v>12912</v>
      </c>
      <c r="C398">
        <v>-6665.4</v>
      </c>
      <c r="D398">
        <v>14</v>
      </c>
      <c r="E398" t="s">
        <v>12599</v>
      </c>
    </row>
    <row r="399" spans="1:5" x14ac:dyDescent="0.3">
      <c r="A399">
        <v>300791</v>
      </c>
      <c r="B399" t="s">
        <v>12913</v>
      </c>
      <c r="C399">
        <v>-6800.58</v>
      </c>
      <c r="D399">
        <v>101</v>
      </c>
      <c r="E399" t="s">
        <v>12599</v>
      </c>
    </row>
    <row r="400" spans="1:5" x14ac:dyDescent="0.3">
      <c r="A400">
        <v>600809</v>
      </c>
      <c r="B400" t="s">
        <v>12914</v>
      </c>
      <c r="C400">
        <v>-6868.61</v>
      </c>
      <c r="D400">
        <v>59</v>
      </c>
      <c r="E400" t="s">
        <v>12599</v>
      </c>
    </row>
    <row r="401" spans="1:5" hidden="1" x14ac:dyDescent="0.3">
      <c r="A401">
        <v>110075</v>
      </c>
      <c r="B401" t="s">
        <v>1998</v>
      </c>
      <c r="C401">
        <v>-6878.86</v>
      </c>
      <c r="D401">
        <v>40</v>
      </c>
      <c r="E401" t="s">
        <v>12599</v>
      </c>
    </row>
    <row r="402" spans="1:5" x14ac:dyDescent="0.3">
      <c r="A402">
        <v>300482</v>
      </c>
      <c r="B402" t="s">
        <v>12915</v>
      </c>
      <c r="C402">
        <v>-7115.6</v>
      </c>
      <c r="D402">
        <v>115</v>
      </c>
      <c r="E402" t="s">
        <v>12599</v>
      </c>
    </row>
    <row r="403" spans="1:5" x14ac:dyDescent="0.3">
      <c r="A403">
        <v>2078</v>
      </c>
      <c r="B403" t="s">
        <v>2000</v>
      </c>
      <c r="C403">
        <v>-8013.33</v>
      </c>
      <c r="D403">
        <v>139</v>
      </c>
      <c r="E403" t="s">
        <v>12599</v>
      </c>
    </row>
    <row r="404" spans="1:5" x14ac:dyDescent="0.3">
      <c r="A404">
        <v>601717</v>
      </c>
      <c r="B404" t="s">
        <v>12916</v>
      </c>
      <c r="C404">
        <v>-11655.63</v>
      </c>
      <c r="D404">
        <v>21</v>
      </c>
      <c r="E404" t="s">
        <v>12599</v>
      </c>
    </row>
    <row r="405" spans="1:5" x14ac:dyDescent="0.3">
      <c r="A405">
        <v>2714</v>
      </c>
      <c r="B405" t="s">
        <v>12033</v>
      </c>
      <c r="C405">
        <v>-13506.23</v>
      </c>
      <c r="D405">
        <v>81</v>
      </c>
      <c r="E405" t="s">
        <v>12599</v>
      </c>
    </row>
    <row r="406" spans="1:5" x14ac:dyDescent="0.3">
      <c r="A406">
        <v>300294</v>
      </c>
      <c r="B406" t="s">
        <v>12917</v>
      </c>
      <c r="C406">
        <v>-16444.52</v>
      </c>
      <c r="D406">
        <v>110</v>
      </c>
      <c r="E406" t="s">
        <v>12599</v>
      </c>
    </row>
    <row r="407" spans="1:5" x14ac:dyDescent="0.3">
      <c r="A407" t="s">
        <v>12918</v>
      </c>
    </row>
  </sheetData>
  <autoFilter ref="A1:E407" xr:uid="{00000000-0009-0000-0000-00001E000000}">
    <filterColumn colId="1">
      <customFilters>
        <customFilter operator="notEqual" val="*转*"/>
      </customFilters>
    </filterColumn>
  </autoFilter>
  <phoneticPr fontId="16"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filterMode="1"/>
  <dimension ref="A1:D172"/>
  <sheetViews>
    <sheetView topLeftCell="A148" workbookViewId="0">
      <selection activeCell="L211" sqref="L211"/>
    </sheetView>
  </sheetViews>
  <sheetFormatPr defaultRowHeight="14" x14ac:dyDescent="0.3"/>
  <cols>
    <col min="1" max="1" width="11.08203125" style="350" bestFit="1" customWidth="1"/>
    <col min="2" max="2" width="20.58203125" style="350" bestFit="1" customWidth="1"/>
    <col min="3" max="3" width="11.08203125" style="350" bestFit="1" customWidth="1"/>
  </cols>
  <sheetData>
    <row r="1" spans="1:4" x14ac:dyDescent="0.3">
      <c r="A1" t="s">
        <v>12919</v>
      </c>
      <c r="B1" t="s">
        <v>12920</v>
      </c>
      <c r="C1" t="s">
        <v>12921</v>
      </c>
      <c r="D1" t="s">
        <v>12922</v>
      </c>
    </row>
    <row r="2" spans="1:4" x14ac:dyDescent="0.3">
      <c r="A2">
        <v>301234</v>
      </c>
      <c r="B2" t="s">
        <v>12923</v>
      </c>
      <c r="C2">
        <v>10822.91</v>
      </c>
      <c r="D2">
        <v>24</v>
      </c>
    </row>
    <row r="3" spans="1:4" hidden="1" x14ac:dyDescent="0.3">
      <c r="A3">
        <v>110081</v>
      </c>
      <c r="B3" t="s">
        <v>2049</v>
      </c>
      <c r="C3">
        <v>5483.44</v>
      </c>
      <c r="D3">
        <v>9</v>
      </c>
    </row>
    <row r="4" spans="1:4" x14ac:dyDescent="0.3">
      <c r="A4">
        <v>603896</v>
      </c>
      <c r="B4" t="s">
        <v>12892</v>
      </c>
      <c r="C4">
        <v>4247.25</v>
      </c>
      <c r="D4">
        <v>31</v>
      </c>
    </row>
    <row r="5" spans="1:4" x14ac:dyDescent="0.3">
      <c r="A5">
        <v>300498</v>
      </c>
      <c r="B5" t="s">
        <v>12036</v>
      </c>
      <c r="C5">
        <v>3494.42</v>
      </c>
      <c r="D5">
        <v>31</v>
      </c>
    </row>
    <row r="6" spans="1:4" x14ac:dyDescent="0.3">
      <c r="A6">
        <v>603108</v>
      </c>
      <c r="B6" t="s">
        <v>12885</v>
      </c>
      <c r="C6">
        <v>3481.23</v>
      </c>
      <c r="D6">
        <v>31</v>
      </c>
    </row>
    <row r="7" spans="1:4" x14ac:dyDescent="0.3">
      <c r="A7">
        <v>603367</v>
      </c>
      <c r="B7" t="s">
        <v>12854</v>
      </c>
      <c r="C7">
        <v>3167.28</v>
      </c>
      <c r="D7">
        <v>31</v>
      </c>
    </row>
    <row r="8" spans="1:4" x14ac:dyDescent="0.3">
      <c r="A8">
        <v>300112</v>
      </c>
      <c r="B8" t="s">
        <v>12705</v>
      </c>
      <c r="C8">
        <v>2971.57</v>
      </c>
      <c r="D8">
        <v>26</v>
      </c>
    </row>
    <row r="9" spans="1:4" hidden="1" x14ac:dyDescent="0.3">
      <c r="A9">
        <v>300338</v>
      </c>
      <c r="B9" t="s">
        <v>12310</v>
      </c>
      <c r="C9">
        <v>2402.35</v>
      </c>
      <c r="D9">
        <v>30</v>
      </c>
    </row>
    <row r="10" spans="1:4" x14ac:dyDescent="0.3">
      <c r="A10">
        <v>300973</v>
      </c>
      <c r="B10" t="s">
        <v>12849</v>
      </c>
      <c r="C10">
        <v>2079.5300000000002</v>
      </c>
      <c r="D10">
        <v>16</v>
      </c>
    </row>
    <row r="11" spans="1:4" x14ac:dyDescent="0.3">
      <c r="A11">
        <v>300942</v>
      </c>
      <c r="B11" t="s">
        <v>12777</v>
      </c>
      <c r="C11">
        <v>2052.92</v>
      </c>
      <c r="D11">
        <v>31</v>
      </c>
    </row>
    <row r="12" spans="1:4" x14ac:dyDescent="0.3">
      <c r="A12">
        <v>688366</v>
      </c>
      <c r="B12" t="s">
        <v>12924</v>
      </c>
      <c r="C12">
        <v>2004.67</v>
      </c>
      <c r="D12">
        <v>31</v>
      </c>
    </row>
    <row r="13" spans="1:4" x14ac:dyDescent="0.3">
      <c r="A13">
        <v>300886</v>
      </c>
      <c r="B13" t="s">
        <v>12643</v>
      </c>
      <c r="C13">
        <v>1967.48</v>
      </c>
      <c r="D13">
        <v>31</v>
      </c>
    </row>
    <row r="14" spans="1:4" x14ac:dyDescent="0.3">
      <c r="A14">
        <v>603395</v>
      </c>
      <c r="B14" t="s">
        <v>12925</v>
      </c>
      <c r="C14">
        <v>1860</v>
      </c>
      <c r="D14">
        <v>31</v>
      </c>
    </row>
    <row r="15" spans="1:4" x14ac:dyDescent="0.3">
      <c r="A15">
        <v>603055</v>
      </c>
      <c r="B15" t="s">
        <v>12871</v>
      </c>
      <c r="C15">
        <v>1849.6</v>
      </c>
      <c r="D15">
        <v>9</v>
      </c>
    </row>
    <row r="16" spans="1:4" x14ac:dyDescent="0.3">
      <c r="A16">
        <v>300294</v>
      </c>
      <c r="B16" t="s">
        <v>12917</v>
      </c>
      <c r="C16">
        <v>1794</v>
      </c>
      <c r="D16">
        <v>31</v>
      </c>
    </row>
    <row r="17" spans="1:4" hidden="1" x14ac:dyDescent="0.3">
      <c r="A17">
        <v>16</v>
      </c>
      <c r="B17" t="s">
        <v>12763</v>
      </c>
      <c r="C17">
        <v>1740.66</v>
      </c>
      <c r="D17">
        <v>31</v>
      </c>
    </row>
    <row r="18" spans="1:4" hidden="1" x14ac:dyDescent="0.3">
      <c r="A18">
        <v>2719</v>
      </c>
      <c r="B18" t="s">
        <v>12674</v>
      </c>
      <c r="C18">
        <v>1694.87</v>
      </c>
      <c r="D18">
        <v>31</v>
      </c>
    </row>
    <row r="19" spans="1:4" x14ac:dyDescent="0.3">
      <c r="A19">
        <v>300775</v>
      </c>
      <c r="B19" t="s">
        <v>12926</v>
      </c>
      <c r="C19">
        <v>1560.67</v>
      </c>
      <c r="D19">
        <v>24</v>
      </c>
    </row>
    <row r="20" spans="1:4" x14ac:dyDescent="0.3">
      <c r="A20">
        <v>603639</v>
      </c>
      <c r="B20" t="s">
        <v>12856</v>
      </c>
      <c r="C20">
        <v>1553.38</v>
      </c>
      <c r="D20">
        <v>31</v>
      </c>
    </row>
    <row r="21" spans="1:4" x14ac:dyDescent="0.3">
      <c r="A21">
        <v>600789</v>
      </c>
      <c r="B21" t="s">
        <v>12869</v>
      </c>
      <c r="C21">
        <v>1499.93</v>
      </c>
      <c r="D21">
        <v>16</v>
      </c>
    </row>
    <row r="22" spans="1:4" x14ac:dyDescent="0.3">
      <c r="A22">
        <v>300332</v>
      </c>
      <c r="B22" t="s">
        <v>12816</v>
      </c>
      <c r="C22">
        <v>1471</v>
      </c>
      <c r="D22">
        <v>10</v>
      </c>
    </row>
    <row r="23" spans="1:4" x14ac:dyDescent="0.3">
      <c r="A23">
        <v>300640</v>
      </c>
      <c r="B23" t="s">
        <v>12833</v>
      </c>
      <c r="C23">
        <v>1439.21</v>
      </c>
      <c r="D23">
        <v>14</v>
      </c>
    </row>
    <row r="24" spans="1:4" x14ac:dyDescent="0.3">
      <c r="A24">
        <v>603786</v>
      </c>
      <c r="B24" t="s">
        <v>12927</v>
      </c>
      <c r="C24">
        <v>1427.74</v>
      </c>
      <c r="D24">
        <v>28</v>
      </c>
    </row>
    <row r="25" spans="1:4" x14ac:dyDescent="0.3">
      <c r="A25">
        <v>688639</v>
      </c>
      <c r="B25" t="s">
        <v>12748</v>
      </c>
      <c r="C25">
        <v>1425.52</v>
      </c>
      <c r="D25">
        <v>31</v>
      </c>
    </row>
    <row r="26" spans="1:4" hidden="1" x14ac:dyDescent="0.3">
      <c r="A26">
        <v>118007</v>
      </c>
      <c r="B26" t="s">
        <v>12928</v>
      </c>
      <c r="C26">
        <v>1311.17</v>
      </c>
      <c r="D26">
        <v>23</v>
      </c>
    </row>
    <row r="27" spans="1:4" x14ac:dyDescent="0.3">
      <c r="A27">
        <v>2714</v>
      </c>
      <c r="B27" t="s">
        <v>12033</v>
      </c>
      <c r="C27">
        <v>1281</v>
      </c>
      <c r="D27">
        <v>31</v>
      </c>
    </row>
    <row r="28" spans="1:4" x14ac:dyDescent="0.3">
      <c r="A28">
        <v>300987</v>
      </c>
      <c r="B28" t="s">
        <v>12929</v>
      </c>
      <c r="C28">
        <v>1267.46</v>
      </c>
      <c r="D28">
        <v>30</v>
      </c>
    </row>
    <row r="29" spans="1:4" x14ac:dyDescent="0.3">
      <c r="A29">
        <v>301062</v>
      </c>
      <c r="B29" t="s">
        <v>12930</v>
      </c>
      <c r="C29">
        <v>1262.17</v>
      </c>
      <c r="D29">
        <v>31</v>
      </c>
    </row>
    <row r="30" spans="1:4" x14ac:dyDescent="0.3">
      <c r="A30">
        <v>605108</v>
      </c>
      <c r="B30" t="s">
        <v>12848</v>
      </c>
      <c r="C30">
        <v>1232.56</v>
      </c>
      <c r="D30">
        <v>31</v>
      </c>
    </row>
    <row r="31" spans="1:4" x14ac:dyDescent="0.3">
      <c r="A31">
        <v>301001</v>
      </c>
      <c r="B31" t="s">
        <v>12622</v>
      </c>
      <c r="C31">
        <v>1198.72</v>
      </c>
      <c r="D31">
        <v>31</v>
      </c>
    </row>
    <row r="32" spans="1:4" x14ac:dyDescent="0.3">
      <c r="A32">
        <v>300645</v>
      </c>
      <c r="B32" t="s">
        <v>12734</v>
      </c>
      <c r="C32">
        <v>1190.93</v>
      </c>
      <c r="D32">
        <v>31</v>
      </c>
    </row>
    <row r="33" spans="1:4" x14ac:dyDescent="0.3">
      <c r="A33">
        <v>603382</v>
      </c>
      <c r="B33" t="s">
        <v>12829</v>
      </c>
      <c r="C33">
        <v>1106.6500000000001</v>
      </c>
      <c r="D33">
        <v>31</v>
      </c>
    </row>
    <row r="34" spans="1:4" hidden="1" x14ac:dyDescent="0.3">
      <c r="A34">
        <v>600581</v>
      </c>
      <c r="B34" t="s">
        <v>12779</v>
      </c>
      <c r="C34">
        <v>1094.01</v>
      </c>
      <c r="D34">
        <v>31</v>
      </c>
    </row>
    <row r="35" spans="1:4" hidden="1" x14ac:dyDescent="0.3">
      <c r="A35">
        <v>600119</v>
      </c>
      <c r="B35" t="s">
        <v>12814</v>
      </c>
      <c r="C35">
        <v>1085.3699999999999</v>
      </c>
      <c r="D35">
        <v>31</v>
      </c>
    </row>
    <row r="36" spans="1:4" hidden="1" x14ac:dyDescent="0.3">
      <c r="A36">
        <v>2694</v>
      </c>
      <c r="B36" t="s">
        <v>12857</v>
      </c>
      <c r="C36">
        <v>1075.68</v>
      </c>
      <c r="D36">
        <v>31</v>
      </c>
    </row>
    <row r="37" spans="1:4" x14ac:dyDescent="0.3">
      <c r="A37">
        <v>300908</v>
      </c>
      <c r="B37" t="s">
        <v>12752</v>
      </c>
      <c r="C37">
        <v>995.26</v>
      </c>
      <c r="D37">
        <v>23</v>
      </c>
    </row>
    <row r="38" spans="1:4" x14ac:dyDescent="0.3">
      <c r="A38">
        <v>300406</v>
      </c>
      <c r="B38" t="s">
        <v>12866</v>
      </c>
      <c r="C38">
        <v>984.73</v>
      </c>
      <c r="D38">
        <v>31</v>
      </c>
    </row>
    <row r="39" spans="1:4" x14ac:dyDescent="0.3">
      <c r="A39">
        <v>2732</v>
      </c>
      <c r="B39" t="s">
        <v>12720</v>
      </c>
      <c r="C39">
        <v>945</v>
      </c>
      <c r="D39">
        <v>31</v>
      </c>
    </row>
    <row r="40" spans="1:4" x14ac:dyDescent="0.3">
      <c r="A40">
        <v>301535</v>
      </c>
      <c r="B40" t="s">
        <v>12931</v>
      </c>
      <c r="C40">
        <v>886.41</v>
      </c>
      <c r="D40">
        <v>22</v>
      </c>
    </row>
    <row r="41" spans="1:4" x14ac:dyDescent="0.3">
      <c r="A41">
        <v>300482</v>
      </c>
      <c r="B41" t="s">
        <v>12915</v>
      </c>
      <c r="C41">
        <v>842.24</v>
      </c>
      <c r="D41">
        <v>31</v>
      </c>
    </row>
    <row r="42" spans="1:4" x14ac:dyDescent="0.3">
      <c r="A42">
        <v>605189</v>
      </c>
      <c r="B42" t="s">
        <v>12932</v>
      </c>
      <c r="C42">
        <v>841.06</v>
      </c>
      <c r="D42">
        <v>0</v>
      </c>
    </row>
    <row r="43" spans="1:4" x14ac:dyDescent="0.3">
      <c r="A43">
        <v>603107</v>
      </c>
      <c r="B43" t="s">
        <v>12933</v>
      </c>
      <c r="C43">
        <v>817.12</v>
      </c>
      <c r="D43">
        <v>14</v>
      </c>
    </row>
    <row r="44" spans="1:4" x14ac:dyDescent="0.3">
      <c r="A44">
        <v>2078</v>
      </c>
      <c r="B44" t="s">
        <v>2000</v>
      </c>
      <c r="C44">
        <v>813.07</v>
      </c>
      <c r="D44">
        <v>31</v>
      </c>
    </row>
    <row r="45" spans="1:4" x14ac:dyDescent="0.3">
      <c r="A45">
        <v>300172</v>
      </c>
      <c r="B45" t="s">
        <v>12801</v>
      </c>
      <c r="C45">
        <v>806</v>
      </c>
      <c r="D45">
        <v>31</v>
      </c>
    </row>
    <row r="46" spans="1:4" x14ac:dyDescent="0.3">
      <c r="A46">
        <v>2800</v>
      </c>
      <c r="B46" t="s">
        <v>12934</v>
      </c>
      <c r="C46">
        <v>791.04</v>
      </c>
      <c r="D46">
        <v>31</v>
      </c>
    </row>
    <row r="47" spans="1:4" x14ac:dyDescent="0.3">
      <c r="A47">
        <v>300284</v>
      </c>
      <c r="B47" t="s">
        <v>12935</v>
      </c>
      <c r="C47">
        <v>761.9</v>
      </c>
      <c r="D47">
        <v>10</v>
      </c>
    </row>
    <row r="48" spans="1:4" x14ac:dyDescent="0.3">
      <c r="A48">
        <v>2398</v>
      </c>
      <c r="B48" t="s">
        <v>12788</v>
      </c>
      <c r="C48">
        <v>749.87</v>
      </c>
      <c r="D48">
        <v>31</v>
      </c>
    </row>
    <row r="49" spans="1:4" x14ac:dyDescent="0.3">
      <c r="A49">
        <v>2982</v>
      </c>
      <c r="B49" t="s">
        <v>12806</v>
      </c>
      <c r="C49">
        <v>746.57</v>
      </c>
      <c r="D49">
        <v>0</v>
      </c>
    </row>
    <row r="50" spans="1:4" x14ac:dyDescent="0.3">
      <c r="A50">
        <v>300798</v>
      </c>
      <c r="B50" t="s">
        <v>12936</v>
      </c>
      <c r="C50">
        <v>740.43</v>
      </c>
      <c r="D50">
        <v>31</v>
      </c>
    </row>
    <row r="51" spans="1:4" x14ac:dyDescent="0.3">
      <c r="A51">
        <v>159531</v>
      </c>
      <c r="B51" t="s">
        <v>12937</v>
      </c>
      <c r="C51">
        <v>726.16</v>
      </c>
      <c r="D51">
        <v>2</v>
      </c>
    </row>
    <row r="52" spans="1:4" x14ac:dyDescent="0.3">
      <c r="A52">
        <v>605033</v>
      </c>
      <c r="B52" t="s">
        <v>12938</v>
      </c>
      <c r="C52">
        <v>695.66</v>
      </c>
      <c r="D52">
        <v>2</v>
      </c>
    </row>
    <row r="53" spans="1:4" x14ac:dyDescent="0.3">
      <c r="A53">
        <v>2395</v>
      </c>
      <c r="B53" t="s">
        <v>12939</v>
      </c>
      <c r="C53">
        <v>682.01</v>
      </c>
      <c r="D53">
        <v>6</v>
      </c>
    </row>
    <row r="54" spans="1:4" x14ac:dyDescent="0.3">
      <c r="A54">
        <v>603801</v>
      </c>
      <c r="B54" t="s">
        <v>12940</v>
      </c>
      <c r="C54">
        <v>677.72</v>
      </c>
      <c r="D54">
        <v>28</v>
      </c>
    </row>
    <row r="55" spans="1:4" x14ac:dyDescent="0.3">
      <c r="A55">
        <v>300865</v>
      </c>
      <c r="B55" t="s">
        <v>12941</v>
      </c>
      <c r="C55">
        <v>671.03</v>
      </c>
      <c r="D55">
        <v>19</v>
      </c>
    </row>
    <row r="56" spans="1:4" x14ac:dyDescent="0.3">
      <c r="A56">
        <v>300869</v>
      </c>
      <c r="B56" t="s">
        <v>12800</v>
      </c>
      <c r="C56">
        <v>670</v>
      </c>
      <c r="D56">
        <v>31</v>
      </c>
    </row>
    <row r="57" spans="1:4" x14ac:dyDescent="0.3">
      <c r="A57">
        <v>301556</v>
      </c>
      <c r="B57" t="s">
        <v>12821</v>
      </c>
      <c r="C57">
        <v>667.91</v>
      </c>
      <c r="D57">
        <v>31</v>
      </c>
    </row>
    <row r="58" spans="1:4" x14ac:dyDescent="0.3">
      <c r="A58">
        <v>605333</v>
      </c>
      <c r="B58" t="s">
        <v>12942</v>
      </c>
      <c r="C58">
        <v>659.02</v>
      </c>
      <c r="D58">
        <v>15</v>
      </c>
    </row>
    <row r="59" spans="1:4" x14ac:dyDescent="0.3">
      <c r="A59">
        <v>1338</v>
      </c>
      <c r="B59" t="s">
        <v>12619</v>
      </c>
      <c r="C59">
        <v>608</v>
      </c>
      <c r="D59">
        <v>31</v>
      </c>
    </row>
    <row r="60" spans="1:4" hidden="1" x14ac:dyDescent="0.3">
      <c r="A60">
        <v>113707</v>
      </c>
      <c r="B60" t="s">
        <v>12943</v>
      </c>
      <c r="C60">
        <v>573</v>
      </c>
      <c r="D60">
        <v>26</v>
      </c>
    </row>
    <row r="61" spans="1:4" hidden="1" x14ac:dyDescent="0.3">
      <c r="A61">
        <v>110092</v>
      </c>
      <c r="B61" t="s">
        <v>2048</v>
      </c>
      <c r="C61">
        <v>544.62</v>
      </c>
      <c r="D61">
        <v>25</v>
      </c>
    </row>
    <row r="62" spans="1:4" x14ac:dyDescent="0.3">
      <c r="A62">
        <v>738</v>
      </c>
      <c r="B62" t="s">
        <v>12944</v>
      </c>
      <c r="C62">
        <v>540.57000000000005</v>
      </c>
      <c r="D62">
        <v>19</v>
      </c>
    </row>
    <row r="63" spans="1:4" x14ac:dyDescent="0.3">
      <c r="A63">
        <v>300854</v>
      </c>
      <c r="B63" t="s">
        <v>12945</v>
      </c>
      <c r="C63">
        <v>517.17999999999995</v>
      </c>
      <c r="D63">
        <v>3</v>
      </c>
    </row>
    <row r="64" spans="1:4" hidden="1" x14ac:dyDescent="0.3">
      <c r="A64">
        <v>610</v>
      </c>
      <c r="B64" t="s">
        <v>12693</v>
      </c>
      <c r="C64">
        <v>503.99</v>
      </c>
      <c r="D64">
        <v>31</v>
      </c>
    </row>
    <row r="65" spans="1:4" hidden="1" x14ac:dyDescent="0.3">
      <c r="A65">
        <v>600476</v>
      </c>
      <c r="B65" t="s">
        <v>12946</v>
      </c>
      <c r="C65">
        <v>491.05</v>
      </c>
      <c r="D65">
        <v>31</v>
      </c>
    </row>
    <row r="66" spans="1:4" x14ac:dyDescent="0.3">
      <c r="A66">
        <v>688589</v>
      </c>
      <c r="B66" t="s">
        <v>12947</v>
      </c>
      <c r="C66">
        <v>469.48</v>
      </c>
      <c r="D66">
        <v>3</v>
      </c>
    </row>
    <row r="67" spans="1:4" x14ac:dyDescent="0.3">
      <c r="A67">
        <v>301332</v>
      </c>
      <c r="B67" t="s">
        <v>12948</v>
      </c>
      <c r="C67">
        <v>457.13</v>
      </c>
      <c r="D67">
        <v>2</v>
      </c>
    </row>
    <row r="68" spans="1:4" x14ac:dyDescent="0.3">
      <c r="A68">
        <v>2591</v>
      </c>
      <c r="B68" t="s">
        <v>12949</v>
      </c>
      <c r="C68">
        <v>410.26</v>
      </c>
      <c r="D68">
        <v>22</v>
      </c>
    </row>
    <row r="69" spans="1:4" x14ac:dyDescent="0.3">
      <c r="A69">
        <v>603755</v>
      </c>
      <c r="B69" t="s">
        <v>12950</v>
      </c>
      <c r="C69">
        <v>407.18</v>
      </c>
      <c r="D69">
        <v>4</v>
      </c>
    </row>
    <row r="70" spans="1:4" x14ac:dyDescent="0.3">
      <c r="A70">
        <v>605567</v>
      </c>
      <c r="B70" t="s">
        <v>12951</v>
      </c>
      <c r="C70">
        <v>407.02</v>
      </c>
      <c r="D70">
        <v>22</v>
      </c>
    </row>
    <row r="71" spans="1:4" x14ac:dyDescent="0.3">
      <c r="A71">
        <v>301276</v>
      </c>
      <c r="B71" t="s">
        <v>12952</v>
      </c>
      <c r="C71">
        <v>372.27</v>
      </c>
      <c r="D71">
        <v>6</v>
      </c>
    </row>
    <row r="72" spans="1:4" x14ac:dyDescent="0.3">
      <c r="A72">
        <v>603696</v>
      </c>
      <c r="B72" t="s">
        <v>12953</v>
      </c>
      <c r="C72">
        <v>360.72</v>
      </c>
      <c r="D72">
        <v>7</v>
      </c>
    </row>
    <row r="73" spans="1:4" x14ac:dyDescent="0.3">
      <c r="A73">
        <v>2034</v>
      </c>
      <c r="B73" t="s">
        <v>12642</v>
      </c>
      <c r="C73">
        <v>351.64</v>
      </c>
      <c r="D73">
        <v>11</v>
      </c>
    </row>
    <row r="74" spans="1:4" x14ac:dyDescent="0.3">
      <c r="A74">
        <v>301057</v>
      </c>
      <c r="B74" t="s">
        <v>12954</v>
      </c>
      <c r="C74">
        <v>329.08</v>
      </c>
      <c r="D74">
        <v>3</v>
      </c>
    </row>
    <row r="75" spans="1:4" x14ac:dyDescent="0.3">
      <c r="A75">
        <v>300517</v>
      </c>
      <c r="B75" t="s">
        <v>12955</v>
      </c>
      <c r="C75">
        <v>327.38</v>
      </c>
      <c r="D75">
        <v>4</v>
      </c>
    </row>
    <row r="76" spans="1:4" x14ac:dyDescent="0.3">
      <c r="A76">
        <v>2282</v>
      </c>
      <c r="B76" t="s">
        <v>965</v>
      </c>
      <c r="C76">
        <v>322.8</v>
      </c>
      <c r="D76">
        <v>31</v>
      </c>
    </row>
    <row r="77" spans="1:4" x14ac:dyDescent="0.3">
      <c r="A77">
        <v>563300</v>
      </c>
      <c r="B77" t="s">
        <v>12956</v>
      </c>
      <c r="C77">
        <v>318.07</v>
      </c>
      <c r="D77">
        <v>10</v>
      </c>
    </row>
    <row r="78" spans="1:4" x14ac:dyDescent="0.3">
      <c r="A78">
        <v>301539</v>
      </c>
      <c r="B78" t="s">
        <v>12957</v>
      </c>
      <c r="C78">
        <v>314.24</v>
      </c>
      <c r="D78">
        <v>9</v>
      </c>
    </row>
    <row r="79" spans="1:4" x14ac:dyDescent="0.3">
      <c r="A79">
        <v>300481</v>
      </c>
      <c r="B79" t="s">
        <v>12958</v>
      </c>
      <c r="C79">
        <v>310.52999999999997</v>
      </c>
      <c r="D79">
        <v>2</v>
      </c>
    </row>
    <row r="80" spans="1:4" x14ac:dyDescent="0.3">
      <c r="A80">
        <v>300837</v>
      </c>
      <c r="B80" t="s">
        <v>12768</v>
      </c>
      <c r="C80">
        <v>308.88</v>
      </c>
      <c r="D80">
        <v>3</v>
      </c>
    </row>
    <row r="81" spans="1:4" x14ac:dyDescent="0.3">
      <c r="A81">
        <v>301159</v>
      </c>
      <c r="B81" t="s">
        <v>12959</v>
      </c>
      <c r="C81">
        <v>279.97000000000003</v>
      </c>
      <c r="D81">
        <v>4</v>
      </c>
    </row>
    <row r="82" spans="1:4" x14ac:dyDescent="0.3">
      <c r="A82">
        <v>688721</v>
      </c>
      <c r="B82" t="s">
        <v>12960</v>
      </c>
      <c r="C82">
        <v>274.33</v>
      </c>
      <c r="D82">
        <v>1</v>
      </c>
    </row>
    <row r="83" spans="1:4" x14ac:dyDescent="0.3">
      <c r="A83">
        <v>2690</v>
      </c>
      <c r="B83" t="s">
        <v>12961</v>
      </c>
      <c r="C83">
        <v>253.48</v>
      </c>
      <c r="D83">
        <v>5</v>
      </c>
    </row>
    <row r="84" spans="1:4" x14ac:dyDescent="0.3">
      <c r="A84">
        <v>1211</v>
      </c>
      <c r="B84" t="s">
        <v>12962</v>
      </c>
      <c r="C84">
        <v>242.24</v>
      </c>
      <c r="D84">
        <v>13</v>
      </c>
    </row>
    <row r="85" spans="1:4" x14ac:dyDescent="0.3">
      <c r="A85">
        <v>603136</v>
      </c>
      <c r="B85" t="s">
        <v>623</v>
      </c>
      <c r="C85">
        <v>223.74</v>
      </c>
      <c r="D85">
        <v>6</v>
      </c>
    </row>
    <row r="86" spans="1:4" hidden="1" x14ac:dyDescent="0.3">
      <c r="A86">
        <v>752</v>
      </c>
      <c r="B86" t="s">
        <v>12727</v>
      </c>
      <c r="C86">
        <v>221.69</v>
      </c>
      <c r="D86">
        <v>20</v>
      </c>
    </row>
    <row r="87" spans="1:4" x14ac:dyDescent="0.3">
      <c r="A87">
        <v>300813</v>
      </c>
      <c r="B87" t="s">
        <v>12860</v>
      </c>
      <c r="C87">
        <v>209.33</v>
      </c>
      <c r="D87">
        <v>4</v>
      </c>
    </row>
    <row r="88" spans="1:4" x14ac:dyDescent="0.3">
      <c r="A88">
        <v>300705</v>
      </c>
      <c r="B88" t="s">
        <v>12963</v>
      </c>
      <c r="C88">
        <v>195.48</v>
      </c>
      <c r="D88">
        <v>14</v>
      </c>
    </row>
    <row r="89" spans="1:4" x14ac:dyDescent="0.3">
      <c r="A89">
        <v>300945</v>
      </c>
      <c r="B89" t="s">
        <v>12964</v>
      </c>
      <c r="C89">
        <v>189.73</v>
      </c>
      <c r="D89">
        <v>3</v>
      </c>
    </row>
    <row r="90" spans="1:4" hidden="1" x14ac:dyDescent="0.3">
      <c r="A90">
        <v>113665</v>
      </c>
      <c r="B90" t="s">
        <v>2059</v>
      </c>
      <c r="C90">
        <v>188.79</v>
      </c>
      <c r="D90">
        <v>15</v>
      </c>
    </row>
    <row r="91" spans="1:4" x14ac:dyDescent="0.3">
      <c r="A91">
        <v>301173</v>
      </c>
      <c r="B91" t="s">
        <v>12858</v>
      </c>
      <c r="C91">
        <v>181.23</v>
      </c>
      <c r="D91">
        <v>31</v>
      </c>
    </row>
    <row r="92" spans="1:4" hidden="1" x14ac:dyDescent="0.3">
      <c r="A92">
        <v>113681</v>
      </c>
      <c r="B92" t="s">
        <v>2050</v>
      </c>
      <c r="C92">
        <v>162.82</v>
      </c>
      <c r="D92">
        <v>2</v>
      </c>
    </row>
    <row r="93" spans="1:4" x14ac:dyDescent="0.3">
      <c r="A93">
        <v>301508</v>
      </c>
      <c r="B93" t="s">
        <v>12795</v>
      </c>
      <c r="C93">
        <v>156</v>
      </c>
      <c r="D93">
        <v>31</v>
      </c>
    </row>
    <row r="94" spans="1:4" x14ac:dyDescent="0.3">
      <c r="A94">
        <v>688569</v>
      </c>
      <c r="B94" t="s">
        <v>12965</v>
      </c>
      <c r="C94">
        <v>152.9</v>
      </c>
      <c r="D94">
        <v>3</v>
      </c>
    </row>
    <row r="95" spans="1:4" x14ac:dyDescent="0.3">
      <c r="A95">
        <v>603709</v>
      </c>
      <c r="B95" t="s">
        <v>12966</v>
      </c>
      <c r="C95">
        <v>152</v>
      </c>
      <c r="D95">
        <v>31</v>
      </c>
    </row>
    <row r="96" spans="1:4" x14ac:dyDescent="0.3">
      <c r="A96">
        <v>301010</v>
      </c>
      <c r="B96" t="s">
        <v>12634</v>
      </c>
      <c r="C96">
        <v>150.24</v>
      </c>
      <c r="D96">
        <v>31</v>
      </c>
    </row>
    <row r="97" spans="1:4" x14ac:dyDescent="0.3">
      <c r="A97">
        <v>300917</v>
      </c>
      <c r="B97" t="s">
        <v>12967</v>
      </c>
      <c r="C97">
        <v>143.09</v>
      </c>
      <c r="D97">
        <v>1</v>
      </c>
    </row>
    <row r="98" spans="1:4" x14ac:dyDescent="0.3">
      <c r="A98">
        <v>2077</v>
      </c>
      <c r="B98" t="s">
        <v>12968</v>
      </c>
      <c r="C98">
        <v>134.57</v>
      </c>
      <c r="D98">
        <v>2</v>
      </c>
    </row>
    <row r="99" spans="1:4" x14ac:dyDescent="0.3">
      <c r="A99">
        <v>301331</v>
      </c>
      <c r="B99" t="s">
        <v>12613</v>
      </c>
      <c r="C99">
        <v>131.85</v>
      </c>
      <c r="D99">
        <v>2</v>
      </c>
    </row>
    <row r="100" spans="1:4" hidden="1" x14ac:dyDescent="0.3">
      <c r="A100">
        <v>123199</v>
      </c>
      <c r="B100" t="s">
        <v>12969</v>
      </c>
      <c r="C100">
        <v>111.09</v>
      </c>
      <c r="D100">
        <v>5</v>
      </c>
    </row>
    <row r="101" spans="1:4" x14ac:dyDescent="0.3">
      <c r="A101">
        <v>688727</v>
      </c>
      <c r="B101" t="s">
        <v>12970</v>
      </c>
      <c r="C101">
        <v>108.54</v>
      </c>
      <c r="D101">
        <v>2</v>
      </c>
    </row>
    <row r="102" spans="1:4" x14ac:dyDescent="0.3">
      <c r="A102">
        <v>301418</v>
      </c>
      <c r="B102" t="s">
        <v>12971</v>
      </c>
      <c r="C102">
        <v>102.74</v>
      </c>
      <c r="D102">
        <v>5</v>
      </c>
    </row>
    <row r="103" spans="1:4" x14ac:dyDescent="0.3">
      <c r="A103">
        <v>688750</v>
      </c>
      <c r="B103" t="s">
        <v>12972</v>
      </c>
      <c r="C103">
        <v>91.43</v>
      </c>
      <c r="D103">
        <v>2</v>
      </c>
    </row>
    <row r="104" spans="1:4" x14ac:dyDescent="0.3">
      <c r="A104">
        <v>2949</v>
      </c>
      <c r="B104" t="s">
        <v>12973</v>
      </c>
      <c r="C104">
        <v>90</v>
      </c>
      <c r="D104">
        <v>31</v>
      </c>
    </row>
    <row r="105" spans="1:4" x14ac:dyDescent="0.3">
      <c r="A105">
        <v>513</v>
      </c>
      <c r="B105" t="s">
        <v>12974</v>
      </c>
      <c r="C105">
        <v>81.06</v>
      </c>
      <c r="D105">
        <v>17</v>
      </c>
    </row>
    <row r="106" spans="1:4" x14ac:dyDescent="0.3">
      <c r="A106">
        <v>603001</v>
      </c>
      <c r="B106" t="s">
        <v>12975</v>
      </c>
      <c r="C106">
        <v>78.98</v>
      </c>
      <c r="D106">
        <v>1</v>
      </c>
    </row>
    <row r="107" spans="1:4" x14ac:dyDescent="0.3">
      <c r="A107">
        <v>301586</v>
      </c>
      <c r="B107" t="s">
        <v>12976</v>
      </c>
      <c r="C107">
        <v>71.19</v>
      </c>
      <c r="D107">
        <v>1</v>
      </c>
    </row>
    <row r="108" spans="1:4" x14ac:dyDescent="0.3">
      <c r="A108">
        <v>603213</v>
      </c>
      <c r="B108" t="s">
        <v>460</v>
      </c>
      <c r="C108">
        <v>71.05</v>
      </c>
      <c r="D108">
        <v>12</v>
      </c>
    </row>
    <row r="109" spans="1:4" x14ac:dyDescent="0.3">
      <c r="A109">
        <v>3003</v>
      </c>
      <c r="B109" t="s">
        <v>12703</v>
      </c>
      <c r="C109">
        <v>70</v>
      </c>
      <c r="D109">
        <v>31</v>
      </c>
    </row>
    <row r="110" spans="1:4" x14ac:dyDescent="0.3">
      <c r="A110">
        <v>600863</v>
      </c>
      <c r="B110" t="s">
        <v>12977</v>
      </c>
      <c r="C110">
        <v>63.58</v>
      </c>
      <c r="D110">
        <v>11</v>
      </c>
    </row>
    <row r="111" spans="1:4" x14ac:dyDescent="0.3">
      <c r="A111">
        <v>600609</v>
      </c>
      <c r="B111" t="s">
        <v>12978</v>
      </c>
      <c r="C111">
        <v>60.98</v>
      </c>
      <c r="D111">
        <v>1</v>
      </c>
    </row>
    <row r="112" spans="1:4" x14ac:dyDescent="0.3">
      <c r="A112">
        <v>2991</v>
      </c>
      <c r="B112" t="s">
        <v>12979</v>
      </c>
      <c r="C112">
        <v>54.42</v>
      </c>
      <c r="D112">
        <v>7</v>
      </c>
    </row>
    <row r="113" spans="1:4" hidden="1" x14ac:dyDescent="0.3">
      <c r="A113">
        <v>300123</v>
      </c>
      <c r="B113" t="s">
        <v>12980</v>
      </c>
      <c r="C113">
        <v>48.69</v>
      </c>
      <c r="D113">
        <v>4</v>
      </c>
    </row>
    <row r="114" spans="1:4" hidden="1" x14ac:dyDescent="0.3">
      <c r="A114">
        <v>127067</v>
      </c>
      <c r="B114" t="s">
        <v>12667</v>
      </c>
      <c r="C114">
        <v>40.340000000000003</v>
      </c>
      <c r="D114">
        <v>1</v>
      </c>
    </row>
    <row r="115" spans="1:4" x14ac:dyDescent="0.3">
      <c r="A115">
        <v>605003</v>
      </c>
      <c r="B115" t="s">
        <v>12981</v>
      </c>
      <c r="C115">
        <v>40.21</v>
      </c>
      <c r="D115">
        <v>4</v>
      </c>
    </row>
    <row r="116" spans="1:4" x14ac:dyDescent="0.3">
      <c r="A116">
        <v>301056</v>
      </c>
      <c r="B116" t="s">
        <v>12982</v>
      </c>
      <c r="C116">
        <v>32.06</v>
      </c>
      <c r="D116">
        <v>1</v>
      </c>
    </row>
    <row r="117" spans="1:4" x14ac:dyDescent="0.3">
      <c r="A117">
        <v>655</v>
      </c>
      <c r="B117" t="s">
        <v>12983</v>
      </c>
      <c r="C117">
        <v>27.15</v>
      </c>
      <c r="D117">
        <v>1</v>
      </c>
    </row>
    <row r="118" spans="1:4" x14ac:dyDescent="0.3">
      <c r="A118">
        <v>600305</v>
      </c>
      <c r="B118" t="s">
        <v>12984</v>
      </c>
      <c r="C118">
        <v>22.4</v>
      </c>
      <c r="D118">
        <v>6</v>
      </c>
    </row>
    <row r="119" spans="1:4" x14ac:dyDescent="0.3">
      <c r="A119">
        <v>300429</v>
      </c>
      <c r="B119" t="s">
        <v>12887</v>
      </c>
      <c r="C119">
        <v>17.5</v>
      </c>
      <c r="D119">
        <v>1</v>
      </c>
    </row>
    <row r="120" spans="1:4" x14ac:dyDescent="0.3">
      <c r="A120">
        <v>300796</v>
      </c>
      <c r="B120" t="s">
        <v>12985</v>
      </c>
      <c r="C120">
        <v>15.54</v>
      </c>
      <c r="D120">
        <v>1</v>
      </c>
    </row>
    <row r="121" spans="1:4" x14ac:dyDescent="0.3">
      <c r="A121">
        <v>600029</v>
      </c>
      <c r="B121" t="s">
        <v>12910</v>
      </c>
      <c r="C121">
        <v>7</v>
      </c>
      <c r="D121">
        <v>31</v>
      </c>
    </row>
    <row r="122" spans="1:4" x14ac:dyDescent="0.3">
      <c r="A122">
        <v>603205</v>
      </c>
      <c r="B122" t="s">
        <v>12986</v>
      </c>
      <c r="C122">
        <v>6.97</v>
      </c>
      <c r="D122">
        <v>1</v>
      </c>
    </row>
    <row r="123" spans="1:4" hidden="1" x14ac:dyDescent="0.3">
      <c r="A123">
        <v>123171</v>
      </c>
      <c r="B123" t="s">
        <v>2062</v>
      </c>
      <c r="C123">
        <v>0.18</v>
      </c>
      <c r="D123">
        <v>8</v>
      </c>
    </row>
    <row r="124" spans="1:4" x14ac:dyDescent="0.3">
      <c r="A124">
        <v>110102</v>
      </c>
      <c r="B124" t="s">
        <v>12987</v>
      </c>
      <c r="C124">
        <v>0</v>
      </c>
      <c r="D124">
        <v>17</v>
      </c>
    </row>
    <row r="125" spans="1:4" x14ac:dyDescent="0.3">
      <c r="A125">
        <v>113708</v>
      </c>
      <c r="B125" t="s">
        <v>12987</v>
      </c>
      <c r="C125">
        <v>0</v>
      </c>
      <c r="D125">
        <v>15</v>
      </c>
    </row>
    <row r="126" spans="1:4" x14ac:dyDescent="0.3">
      <c r="A126">
        <v>123278</v>
      </c>
      <c r="B126" t="s">
        <v>12987</v>
      </c>
      <c r="C126">
        <v>0</v>
      </c>
      <c r="D126">
        <v>0</v>
      </c>
    </row>
    <row r="127" spans="1:4" x14ac:dyDescent="0.3">
      <c r="A127">
        <v>600363</v>
      </c>
      <c r="B127" t="s">
        <v>12988</v>
      </c>
      <c r="C127">
        <v>-8.65</v>
      </c>
      <c r="D127">
        <v>10</v>
      </c>
    </row>
    <row r="128" spans="1:4" x14ac:dyDescent="0.3">
      <c r="A128">
        <v>300777</v>
      </c>
      <c r="B128" t="s">
        <v>12989</v>
      </c>
      <c r="C128">
        <v>-18.239999999999998</v>
      </c>
      <c r="D128">
        <v>0</v>
      </c>
    </row>
    <row r="129" spans="1:4" x14ac:dyDescent="0.3">
      <c r="A129">
        <v>605300</v>
      </c>
      <c r="B129" t="s">
        <v>12990</v>
      </c>
      <c r="C129">
        <v>-19.04</v>
      </c>
      <c r="D129">
        <v>31</v>
      </c>
    </row>
    <row r="130" spans="1:4" x14ac:dyDescent="0.3">
      <c r="A130">
        <v>688755</v>
      </c>
      <c r="B130" t="s">
        <v>12845</v>
      </c>
      <c r="C130">
        <v>-52.39</v>
      </c>
      <c r="D130">
        <v>31</v>
      </c>
    </row>
    <row r="131" spans="1:4" x14ac:dyDescent="0.3">
      <c r="A131">
        <v>301081</v>
      </c>
      <c r="B131" t="s">
        <v>12991</v>
      </c>
      <c r="C131">
        <v>-54.82</v>
      </c>
      <c r="D131">
        <v>4</v>
      </c>
    </row>
    <row r="132" spans="1:4" hidden="1" x14ac:dyDescent="0.3">
      <c r="A132">
        <v>600543</v>
      </c>
      <c r="B132" t="s">
        <v>12676</v>
      </c>
      <c r="C132">
        <v>-55.4</v>
      </c>
      <c r="D132">
        <v>31</v>
      </c>
    </row>
    <row r="133" spans="1:4" x14ac:dyDescent="0.3">
      <c r="A133">
        <v>301591</v>
      </c>
      <c r="B133" t="s">
        <v>12992</v>
      </c>
      <c r="C133">
        <v>-68.900000000000006</v>
      </c>
      <c r="D133">
        <v>3</v>
      </c>
    </row>
    <row r="134" spans="1:4" x14ac:dyDescent="0.3">
      <c r="A134">
        <v>300525</v>
      </c>
      <c r="B134" t="s">
        <v>12993</v>
      </c>
      <c r="C134">
        <v>-70.739999999999995</v>
      </c>
      <c r="D134">
        <v>4</v>
      </c>
    </row>
    <row r="135" spans="1:4" x14ac:dyDescent="0.3">
      <c r="A135">
        <v>603515</v>
      </c>
      <c r="B135" t="s">
        <v>12615</v>
      </c>
      <c r="C135">
        <v>-102</v>
      </c>
      <c r="D135">
        <v>0</v>
      </c>
    </row>
    <row r="136" spans="1:4" x14ac:dyDescent="0.3">
      <c r="A136">
        <v>600416</v>
      </c>
      <c r="B136" t="s">
        <v>12994</v>
      </c>
      <c r="C136">
        <v>-102.74</v>
      </c>
      <c r="D136">
        <v>28</v>
      </c>
    </row>
    <row r="137" spans="1:4" x14ac:dyDescent="0.3">
      <c r="A137">
        <v>301311</v>
      </c>
      <c r="B137" t="s">
        <v>12995</v>
      </c>
      <c r="C137">
        <v>-109.41</v>
      </c>
      <c r="D137">
        <v>7</v>
      </c>
    </row>
    <row r="138" spans="1:4" x14ac:dyDescent="0.3">
      <c r="A138">
        <v>603628</v>
      </c>
      <c r="B138" t="s">
        <v>12874</v>
      </c>
      <c r="C138">
        <v>-117.28</v>
      </c>
      <c r="D138">
        <v>31</v>
      </c>
    </row>
    <row r="139" spans="1:4" x14ac:dyDescent="0.3">
      <c r="A139">
        <v>301503</v>
      </c>
      <c r="B139" t="s">
        <v>12996</v>
      </c>
      <c r="C139">
        <v>-121.25</v>
      </c>
      <c r="D139">
        <v>31</v>
      </c>
    </row>
    <row r="140" spans="1:4" x14ac:dyDescent="0.3">
      <c r="A140">
        <v>2946</v>
      </c>
      <c r="B140" t="s">
        <v>12997</v>
      </c>
      <c r="C140">
        <v>-130.61000000000001</v>
      </c>
      <c r="D140">
        <v>3</v>
      </c>
    </row>
    <row r="141" spans="1:4" x14ac:dyDescent="0.3">
      <c r="A141">
        <v>600529</v>
      </c>
      <c r="B141" t="s">
        <v>12998</v>
      </c>
      <c r="C141">
        <v>-133.13</v>
      </c>
      <c r="D141">
        <v>7</v>
      </c>
    </row>
    <row r="142" spans="1:4" x14ac:dyDescent="0.3">
      <c r="A142">
        <v>601898</v>
      </c>
      <c r="B142" t="s">
        <v>12602</v>
      </c>
      <c r="C142">
        <v>-136.81</v>
      </c>
      <c r="D142">
        <v>8</v>
      </c>
    </row>
    <row r="143" spans="1:4" x14ac:dyDescent="0.3">
      <c r="A143">
        <v>1234</v>
      </c>
      <c r="B143" t="s">
        <v>819</v>
      </c>
      <c r="C143">
        <v>-200.91</v>
      </c>
      <c r="D143">
        <v>22</v>
      </c>
    </row>
    <row r="144" spans="1:4" x14ac:dyDescent="0.3">
      <c r="A144">
        <v>1379</v>
      </c>
      <c r="B144" t="s">
        <v>12999</v>
      </c>
      <c r="C144">
        <v>-203.96</v>
      </c>
      <c r="D144">
        <v>17</v>
      </c>
    </row>
    <row r="145" spans="1:4" x14ac:dyDescent="0.3">
      <c r="A145">
        <v>300911</v>
      </c>
      <c r="B145" t="s">
        <v>13000</v>
      </c>
      <c r="C145">
        <v>-210.18</v>
      </c>
      <c r="D145">
        <v>6</v>
      </c>
    </row>
    <row r="146" spans="1:4" x14ac:dyDescent="0.3">
      <c r="A146">
        <v>301601</v>
      </c>
      <c r="B146" t="s">
        <v>12646</v>
      </c>
      <c r="C146">
        <v>-251.9</v>
      </c>
      <c r="D146">
        <v>31</v>
      </c>
    </row>
    <row r="147" spans="1:4" x14ac:dyDescent="0.3">
      <c r="A147">
        <v>1277</v>
      </c>
      <c r="B147" t="s">
        <v>13001</v>
      </c>
      <c r="C147">
        <v>-298.22000000000003</v>
      </c>
      <c r="D147">
        <v>31</v>
      </c>
    </row>
    <row r="148" spans="1:4" x14ac:dyDescent="0.3">
      <c r="A148">
        <v>2540</v>
      </c>
      <c r="B148" t="s">
        <v>13002</v>
      </c>
      <c r="C148">
        <v>-315.01</v>
      </c>
      <c r="D148">
        <v>3</v>
      </c>
    </row>
    <row r="149" spans="1:4" x14ac:dyDescent="0.3">
      <c r="A149">
        <v>300231</v>
      </c>
      <c r="B149" t="s">
        <v>13003</v>
      </c>
      <c r="C149">
        <v>-317.48</v>
      </c>
      <c r="D149">
        <v>6</v>
      </c>
    </row>
    <row r="150" spans="1:4" x14ac:dyDescent="0.3">
      <c r="A150">
        <v>688449</v>
      </c>
      <c r="B150" t="s">
        <v>13004</v>
      </c>
      <c r="C150">
        <v>-322.01</v>
      </c>
      <c r="D150">
        <v>0</v>
      </c>
    </row>
    <row r="151" spans="1:4" x14ac:dyDescent="0.3">
      <c r="A151">
        <v>688793</v>
      </c>
      <c r="B151" t="s">
        <v>13005</v>
      </c>
      <c r="C151">
        <v>-414.45</v>
      </c>
      <c r="D151">
        <v>24</v>
      </c>
    </row>
    <row r="152" spans="1:4" x14ac:dyDescent="0.3">
      <c r="A152">
        <v>2295</v>
      </c>
      <c r="B152" t="s">
        <v>1007</v>
      </c>
      <c r="C152">
        <v>-485.29</v>
      </c>
      <c r="D152">
        <v>31</v>
      </c>
    </row>
    <row r="153" spans="1:4" x14ac:dyDescent="0.3">
      <c r="A153">
        <v>301348</v>
      </c>
      <c r="B153" t="s">
        <v>12648</v>
      </c>
      <c r="C153">
        <v>-514.16</v>
      </c>
      <c r="D153">
        <v>2</v>
      </c>
    </row>
    <row r="154" spans="1:4" x14ac:dyDescent="0.3">
      <c r="A154">
        <v>688687</v>
      </c>
      <c r="B154" t="s">
        <v>13006</v>
      </c>
      <c r="C154">
        <v>-549.5</v>
      </c>
      <c r="D154">
        <v>31</v>
      </c>
    </row>
    <row r="155" spans="1:4" x14ac:dyDescent="0.3">
      <c r="A155">
        <v>603216</v>
      </c>
      <c r="B155" t="s">
        <v>1140</v>
      </c>
      <c r="C155">
        <v>-593.26</v>
      </c>
      <c r="D155">
        <v>26</v>
      </c>
    </row>
    <row r="156" spans="1:4" x14ac:dyDescent="0.3">
      <c r="A156">
        <v>686</v>
      </c>
      <c r="B156" t="s">
        <v>13007</v>
      </c>
      <c r="C156">
        <v>-643.25</v>
      </c>
      <c r="D156">
        <v>16</v>
      </c>
    </row>
    <row r="157" spans="1:4" hidden="1" x14ac:dyDescent="0.3">
      <c r="A157">
        <v>2211</v>
      </c>
      <c r="B157" t="s">
        <v>12661</v>
      </c>
      <c r="C157">
        <v>-680.05</v>
      </c>
      <c r="D157">
        <v>13</v>
      </c>
    </row>
    <row r="158" spans="1:4" x14ac:dyDescent="0.3">
      <c r="A158">
        <v>1279</v>
      </c>
      <c r="B158" t="s">
        <v>13008</v>
      </c>
      <c r="C158">
        <v>-832</v>
      </c>
      <c r="D158">
        <v>31</v>
      </c>
    </row>
    <row r="159" spans="1:4" x14ac:dyDescent="0.3">
      <c r="A159">
        <v>301268</v>
      </c>
      <c r="B159" t="s">
        <v>13009</v>
      </c>
      <c r="C159">
        <v>-956.03</v>
      </c>
      <c r="D159">
        <v>31</v>
      </c>
    </row>
    <row r="160" spans="1:4" x14ac:dyDescent="0.3">
      <c r="A160">
        <v>603878</v>
      </c>
      <c r="B160" t="s">
        <v>12764</v>
      </c>
      <c r="C160">
        <v>-1040</v>
      </c>
      <c r="D160">
        <v>31</v>
      </c>
    </row>
    <row r="161" spans="1:4" x14ac:dyDescent="0.3">
      <c r="A161">
        <v>688223</v>
      </c>
      <c r="B161" t="s">
        <v>12610</v>
      </c>
      <c r="C161">
        <v>-1092.99</v>
      </c>
      <c r="D161">
        <v>31</v>
      </c>
    </row>
    <row r="162" spans="1:4" x14ac:dyDescent="0.3">
      <c r="A162">
        <v>601688</v>
      </c>
      <c r="B162" t="s">
        <v>13010</v>
      </c>
      <c r="C162">
        <v>-1100</v>
      </c>
      <c r="D162">
        <v>31</v>
      </c>
    </row>
    <row r="163" spans="1:4" x14ac:dyDescent="0.3">
      <c r="A163">
        <v>300697</v>
      </c>
      <c r="B163" t="s">
        <v>12842</v>
      </c>
      <c r="C163">
        <v>-1102.04</v>
      </c>
      <c r="D163">
        <v>26</v>
      </c>
    </row>
    <row r="164" spans="1:4" x14ac:dyDescent="0.3">
      <c r="A164">
        <v>301622</v>
      </c>
      <c r="B164" t="s">
        <v>13011</v>
      </c>
      <c r="C164">
        <v>-1147.73</v>
      </c>
      <c r="D164">
        <v>28</v>
      </c>
    </row>
    <row r="165" spans="1:4" x14ac:dyDescent="0.3">
      <c r="A165">
        <v>301036</v>
      </c>
      <c r="B165" t="s">
        <v>12824</v>
      </c>
      <c r="C165">
        <v>-1201.01</v>
      </c>
      <c r="D165">
        <v>29</v>
      </c>
    </row>
    <row r="166" spans="1:4" x14ac:dyDescent="0.3">
      <c r="A166">
        <v>600389</v>
      </c>
      <c r="B166" t="s">
        <v>13012</v>
      </c>
      <c r="C166">
        <v>-1427.38</v>
      </c>
      <c r="D166">
        <v>11</v>
      </c>
    </row>
    <row r="167" spans="1:4" x14ac:dyDescent="0.3">
      <c r="A167">
        <v>300971</v>
      </c>
      <c r="B167" t="s">
        <v>13013</v>
      </c>
      <c r="C167">
        <v>-1552.69</v>
      </c>
      <c r="D167">
        <v>26</v>
      </c>
    </row>
    <row r="168" spans="1:4" hidden="1" x14ac:dyDescent="0.3">
      <c r="A168">
        <v>2227</v>
      </c>
      <c r="B168" t="s">
        <v>12700</v>
      </c>
      <c r="C168">
        <v>-1663.02</v>
      </c>
      <c r="D168">
        <v>31</v>
      </c>
    </row>
    <row r="169" spans="1:4" x14ac:dyDescent="0.3">
      <c r="A169">
        <v>688516</v>
      </c>
      <c r="B169" t="s">
        <v>13014</v>
      </c>
      <c r="C169">
        <v>-2234.31</v>
      </c>
      <c r="D169">
        <v>11</v>
      </c>
    </row>
    <row r="170" spans="1:4" x14ac:dyDescent="0.3">
      <c r="A170">
        <v>300351</v>
      </c>
      <c r="B170" t="s">
        <v>13015</v>
      </c>
      <c r="C170">
        <v>-2319.35</v>
      </c>
      <c r="D170">
        <v>30</v>
      </c>
    </row>
    <row r="171" spans="1:4" hidden="1" x14ac:dyDescent="0.3">
      <c r="A171">
        <v>2691</v>
      </c>
      <c r="B171" t="s">
        <v>13016</v>
      </c>
      <c r="C171">
        <v>-3294.42</v>
      </c>
      <c r="D171">
        <v>31</v>
      </c>
    </row>
    <row r="172" spans="1:4" hidden="1" x14ac:dyDescent="0.3">
      <c r="A172">
        <v>2634</v>
      </c>
      <c r="B172" t="s">
        <v>12864</v>
      </c>
      <c r="C172">
        <v>-3302.53</v>
      </c>
      <c r="D172">
        <v>31</v>
      </c>
    </row>
  </sheetData>
  <autoFilter ref="A1:E172" xr:uid="{00000000-0009-0000-0000-00001F000000}">
    <filterColumn colId="1">
      <customFilters and="1">
        <customFilter operator="notEqual" val="*S*"/>
        <customFilter operator="notEqual" val="*转*"/>
      </customFilters>
    </filterColumn>
    <sortState xmlns:xlrd2="http://schemas.microsoft.com/office/spreadsheetml/2017/richdata2" ref="A2:D170">
      <sortCondition descending="1" ref="C1:C172"/>
    </sortState>
  </autoFilter>
  <phoneticPr fontId="16"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D5"/>
  <sheetViews>
    <sheetView workbookViewId="0">
      <selection activeCell="D2" sqref="D2"/>
    </sheetView>
  </sheetViews>
  <sheetFormatPr defaultRowHeight="14" x14ac:dyDescent="0.3"/>
  <cols>
    <col min="1" max="1" width="9.1640625" style="350" bestFit="1" customWidth="1"/>
  </cols>
  <sheetData>
    <row r="1" spans="1:4" x14ac:dyDescent="0.3">
      <c r="A1" t="s">
        <v>0</v>
      </c>
      <c r="B1" t="s">
        <v>13017</v>
      </c>
      <c r="C1" t="s">
        <v>13018</v>
      </c>
      <c r="D1" t="s">
        <v>305</v>
      </c>
    </row>
    <row r="2" spans="1:4" x14ac:dyDescent="0.3">
      <c r="A2">
        <v>20260323</v>
      </c>
      <c r="B2" t="s">
        <v>270</v>
      </c>
      <c r="C2" t="s">
        <v>270</v>
      </c>
      <c r="D2" t="str">
        <f>IF(B2=C2,"准","不准")</f>
        <v>准</v>
      </c>
    </row>
    <row r="3" spans="1:4" x14ac:dyDescent="0.3">
      <c r="A3">
        <v>20260721</v>
      </c>
      <c r="B3" t="s">
        <v>270</v>
      </c>
      <c r="C3" t="s">
        <v>13019</v>
      </c>
      <c r="D3" t="str">
        <f>IF(B3=C3,"准","不准")</f>
        <v>不准</v>
      </c>
    </row>
    <row r="4" spans="1:4" x14ac:dyDescent="0.3">
      <c r="A4">
        <v>20260819</v>
      </c>
      <c r="B4" t="s">
        <v>13020</v>
      </c>
      <c r="C4" t="s">
        <v>13020</v>
      </c>
      <c r="D4" t="str">
        <f>IF(B4=C4,"准","不准")</f>
        <v>准</v>
      </c>
    </row>
    <row r="5" spans="1:4" x14ac:dyDescent="0.3">
      <c r="A5">
        <v>20260911</v>
      </c>
      <c r="B5" t="s">
        <v>13020</v>
      </c>
      <c r="D5" t="str">
        <f>IF(B5=C5,"准","不准")</f>
        <v>不准</v>
      </c>
    </row>
  </sheetData>
  <phoneticPr fontId="16" type="noConversion"/>
  <dataValidations count="1">
    <dataValidation type="list" allowBlank="1" showInputMessage="1" showErrorMessage="1" sqref="B2:C1048576" xr:uid="{00000000-0002-0000-2000-000000000000}">
      <formula1>"小,中,大,超大"</formula1>
    </dataValidation>
  </dataValidations>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S321"/>
  <sheetViews>
    <sheetView workbookViewId="0"/>
  </sheetViews>
  <sheetFormatPr defaultRowHeight="14" x14ac:dyDescent="0.3"/>
  <sheetData>
    <row r="1" spans="1:19" x14ac:dyDescent="0.3">
      <c r="A1" t="s">
        <v>13021</v>
      </c>
      <c r="B1" t="s">
        <v>13022</v>
      </c>
      <c r="C1" t="s">
        <v>12919</v>
      </c>
      <c r="D1" t="s">
        <v>12920</v>
      </c>
      <c r="E1" t="s">
        <v>2125</v>
      </c>
      <c r="F1" t="s">
        <v>13023</v>
      </c>
      <c r="G1" t="s">
        <v>13024</v>
      </c>
      <c r="H1" t="s">
        <v>13025</v>
      </c>
      <c r="I1" t="s">
        <v>13026</v>
      </c>
      <c r="J1" t="s">
        <v>13027</v>
      </c>
      <c r="K1" t="s">
        <v>2045</v>
      </c>
      <c r="L1" t="s">
        <v>13028</v>
      </c>
      <c r="M1" t="s">
        <v>13029</v>
      </c>
      <c r="N1" t="s">
        <v>13030</v>
      </c>
      <c r="O1" t="s">
        <v>13031</v>
      </c>
      <c r="P1" t="s">
        <v>13032</v>
      </c>
      <c r="Q1" t="s">
        <v>13033</v>
      </c>
      <c r="R1" t="s">
        <v>13034</v>
      </c>
      <c r="S1" t="s">
        <v>13035</v>
      </c>
    </row>
    <row r="2" spans="1:19" x14ac:dyDescent="0.3">
      <c r="A2" t="s">
        <v>13036</v>
      </c>
      <c r="B2" t="s">
        <v>13037</v>
      </c>
      <c r="C2" t="s">
        <v>13038</v>
      </c>
      <c r="D2" t="s">
        <v>13039</v>
      </c>
      <c r="E2">
        <v>9.16</v>
      </c>
      <c r="F2">
        <v>11.907999999999999</v>
      </c>
      <c r="G2">
        <v>110</v>
      </c>
      <c r="H2">
        <v>7.7859999999999996</v>
      </c>
      <c r="J2">
        <v>6</v>
      </c>
      <c r="K2" t="s">
        <v>13040</v>
      </c>
      <c r="L2" t="s">
        <v>13041</v>
      </c>
      <c r="M2" t="s">
        <v>13041</v>
      </c>
      <c r="N2">
        <v>9.6</v>
      </c>
      <c r="O2">
        <v>20320928</v>
      </c>
    </row>
    <row r="3" spans="1:19" x14ac:dyDescent="0.3">
      <c r="A3" t="s">
        <v>13042</v>
      </c>
      <c r="B3" t="s">
        <v>13043</v>
      </c>
      <c r="C3" t="s">
        <v>13044</v>
      </c>
      <c r="D3" t="s">
        <v>13045</v>
      </c>
      <c r="E3">
        <v>44.82</v>
      </c>
      <c r="F3">
        <v>58.265999999999998</v>
      </c>
      <c r="G3">
        <v>110</v>
      </c>
      <c r="H3">
        <v>38.097000000000001</v>
      </c>
      <c r="J3">
        <v>6</v>
      </c>
      <c r="K3" t="s">
        <v>13040</v>
      </c>
      <c r="L3" t="s">
        <v>13041</v>
      </c>
      <c r="M3" t="s">
        <v>13041</v>
      </c>
      <c r="N3">
        <v>5.25</v>
      </c>
      <c r="O3">
        <v>20320928</v>
      </c>
    </row>
    <row r="4" spans="1:19" x14ac:dyDescent="0.3">
      <c r="A4" t="s">
        <v>13046</v>
      </c>
      <c r="B4" t="s">
        <v>13047</v>
      </c>
      <c r="C4" t="s">
        <v>13048</v>
      </c>
      <c r="D4" t="s">
        <v>13049</v>
      </c>
      <c r="E4">
        <v>66.97</v>
      </c>
      <c r="F4">
        <v>87.061000000000007</v>
      </c>
      <c r="G4">
        <v>110</v>
      </c>
      <c r="H4">
        <v>56.923999999999999</v>
      </c>
      <c r="J4">
        <v>5.9969999999999999</v>
      </c>
      <c r="K4" t="s">
        <v>13040</v>
      </c>
      <c r="L4" t="s">
        <v>13041</v>
      </c>
      <c r="M4" t="s">
        <v>13041</v>
      </c>
      <c r="N4">
        <v>7.6</v>
      </c>
      <c r="O4">
        <v>20320927</v>
      </c>
    </row>
    <row r="5" spans="1:19" x14ac:dyDescent="0.3">
      <c r="A5" t="s">
        <v>13050</v>
      </c>
      <c r="B5" t="s">
        <v>13051</v>
      </c>
      <c r="C5" t="s">
        <v>13052</v>
      </c>
      <c r="D5" t="s">
        <v>13053</v>
      </c>
      <c r="E5">
        <v>24.01</v>
      </c>
      <c r="F5">
        <v>31.213000000000001</v>
      </c>
      <c r="G5">
        <v>110</v>
      </c>
      <c r="H5">
        <v>20.408999999999999</v>
      </c>
      <c r="J5">
        <v>5.9969999999999999</v>
      </c>
      <c r="K5" t="s">
        <v>13040</v>
      </c>
      <c r="L5" t="s">
        <v>13041</v>
      </c>
      <c r="M5" t="s">
        <v>13041</v>
      </c>
      <c r="N5">
        <v>8</v>
      </c>
      <c r="O5">
        <v>20320927</v>
      </c>
    </row>
    <row r="6" spans="1:19" x14ac:dyDescent="0.3">
      <c r="A6" t="s">
        <v>13054</v>
      </c>
      <c r="B6" t="s">
        <v>13055</v>
      </c>
      <c r="C6" t="s">
        <v>13056</v>
      </c>
      <c r="D6" t="s">
        <v>13057</v>
      </c>
      <c r="E6">
        <v>83.96</v>
      </c>
      <c r="F6">
        <v>109.148</v>
      </c>
      <c r="G6">
        <v>110</v>
      </c>
      <c r="H6">
        <v>71.366</v>
      </c>
      <c r="J6">
        <v>5.984</v>
      </c>
      <c r="K6" t="s">
        <v>13040</v>
      </c>
      <c r="L6" t="s">
        <v>13041</v>
      </c>
      <c r="M6" t="s">
        <v>13041</v>
      </c>
      <c r="N6">
        <v>10</v>
      </c>
      <c r="O6">
        <v>20320922</v>
      </c>
    </row>
    <row r="7" spans="1:19" x14ac:dyDescent="0.3">
      <c r="A7" t="s">
        <v>13058</v>
      </c>
      <c r="B7" t="s">
        <v>13059</v>
      </c>
      <c r="C7" t="s">
        <v>13060</v>
      </c>
      <c r="D7" t="s">
        <v>13061</v>
      </c>
      <c r="E7">
        <v>74.5</v>
      </c>
      <c r="F7">
        <v>96.85</v>
      </c>
      <c r="G7">
        <v>110</v>
      </c>
      <c r="H7">
        <v>63.325000000000003</v>
      </c>
      <c r="J7">
        <v>5.984</v>
      </c>
      <c r="K7" t="s">
        <v>13040</v>
      </c>
      <c r="L7" t="s">
        <v>13041</v>
      </c>
      <c r="M7" t="s">
        <v>13041</v>
      </c>
      <c r="N7">
        <v>8.49</v>
      </c>
      <c r="O7">
        <v>20320922</v>
      </c>
    </row>
    <row r="8" spans="1:19" x14ac:dyDescent="0.3">
      <c r="A8" t="s">
        <v>13062</v>
      </c>
      <c r="B8" t="s">
        <v>13063</v>
      </c>
      <c r="C8" t="s">
        <v>13064</v>
      </c>
      <c r="D8" t="s">
        <v>12785</v>
      </c>
      <c r="E8">
        <v>29.18</v>
      </c>
      <c r="F8">
        <v>37.933999999999997</v>
      </c>
      <c r="G8">
        <v>108</v>
      </c>
      <c r="H8">
        <v>24.803000000000001</v>
      </c>
      <c r="J8">
        <v>5.9669999999999996</v>
      </c>
      <c r="K8" t="s">
        <v>13040</v>
      </c>
      <c r="L8" t="s">
        <v>13041</v>
      </c>
      <c r="M8" t="s">
        <v>13041</v>
      </c>
      <c r="N8">
        <v>6.86</v>
      </c>
      <c r="O8">
        <v>20320916</v>
      </c>
    </row>
    <row r="9" spans="1:19" x14ac:dyDescent="0.3">
      <c r="A9" t="s">
        <v>13065</v>
      </c>
      <c r="B9" t="s">
        <v>13066</v>
      </c>
      <c r="C9" t="s">
        <v>13067</v>
      </c>
      <c r="D9" t="s">
        <v>13068</v>
      </c>
      <c r="E9">
        <v>31.1</v>
      </c>
      <c r="F9">
        <v>40.43</v>
      </c>
      <c r="G9">
        <v>113</v>
      </c>
      <c r="H9">
        <v>26.434999999999999</v>
      </c>
      <c r="I9">
        <v>65.87</v>
      </c>
      <c r="J9">
        <v>5.9480000000000004</v>
      </c>
      <c r="K9" t="s">
        <v>13040</v>
      </c>
      <c r="L9" t="s">
        <v>13041</v>
      </c>
      <c r="M9" t="s">
        <v>13041</v>
      </c>
      <c r="N9">
        <v>3.7</v>
      </c>
      <c r="O9">
        <v>20320909</v>
      </c>
      <c r="P9">
        <v>171.15</v>
      </c>
      <c r="Q9">
        <v>8.8000000000000007</v>
      </c>
      <c r="R9">
        <v>32.090000000000003</v>
      </c>
      <c r="S9">
        <v>-4.29</v>
      </c>
    </row>
    <row r="10" spans="1:19" x14ac:dyDescent="0.3">
      <c r="A10" t="s">
        <v>13069</v>
      </c>
      <c r="B10" t="s">
        <v>13070</v>
      </c>
      <c r="C10" t="s">
        <v>13071</v>
      </c>
      <c r="D10" t="s">
        <v>13072</v>
      </c>
      <c r="E10">
        <v>14.87</v>
      </c>
      <c r="F10">
        <v>19.331</v>
      </c>
      <c r="G10">
        <v>110</v>
      </c>
      <c r="H10">
        <v>12.638999999999999</v>
      </c>
      <c r="I10">
        <v>70.09</v>
      </c>
      <c r="J10">
        <v>5.9290000000000003</v>
      </c>
      <c r="K10" t="s">
        <v>13040</v>
      </c>
      <c r="L10" t="s">
        <v>13041</v>
      </c>
      <c r="M10" t="s">
        <v>13041</v>
      </c>
      <c r="N10">
        <v>10.234</v>
      </c>
      <c r="O10">
        <v>20320902</v>
      </c>
      <c r="P10">
        <v>139.55000000000001</v>
      </c>
      <c r="Q10">
        <v>-0.45</v>
      </c>
      <c r="R10">
        <v>12.2</v>
      </c>
      <c r="S10">
        <v>0.25</v>
      </c>
    </row>
    <row r="11" spans="1:19" x14ac:dyDescent="0.3">
      <c r="A11" t="s">
        <v>13073</v>
      </c>
      <c r="B11" t="s">
        <v>13074</v>
      </c>
      <c r="C11" t="s">
        <v>13075</v>
      </c>
      <c r="D11" t="s">
        <v>12669</v>
      </c>
      <c r="E11">
        <v>84.04</v>
      </c>
      <c r="F11">
        <v>109.252</v>
      </c>
      <c r="G11">
        <v>110</v>
      </c>
      <c r="H11">
        <v>71.433999999999997</v>
      </c>
      <c r="I11">
        <v>61.04</v>
      </c>
      <c r="J11">
        <v>5.8879999999999999</v>
      </c>
      <c r="K11" t="s">
        <v>13040</v>
      </c>
      <c r="L11" t="s">
        <v>13041</v>
      </c>
      <c r="M11" t="s">
        <v>13041</v>
      </c>
      <c r="N11">
        <v>5.5</v>
      </c>
      <c r="O11">
        <v>20320818</v>
      </c>
      <c r="P11">
        <v>211.36</v>
      </c>
      <c r="Q11">
        <v>-4.0199999999999996</v>
      </c>
      <c r="R11">
        <v>110.3</v>
      </c>
      <c r="S11">
        <v>-5.32</v>
      </c>
    </row>
    <row r="12" spans="1:19" x14ac:dyDescent="0.3">
      <c r="A12" t="s">
        <v>13076</v>
      </c>
      <c r="B12" t="s">
        <v>13077</v>
      </c>
      <c r="C12" t="s">
        <v>13078</v>
      </c>
      <c r="D12" t="s">
        <v>13079</v>
      </c>
      <c r="E12">
        <v>35.590000000000003</v>
      </c>
      <c r="F12">
        <v>46.267000000000003</v>
      </c>
      <c r="G12">
        <v>110</v>
      </c>
      <c r="H12">
        <v>30.251999999999999</v>
      </c>
      <c r="I12">
        <v>95.06</v>
      </c>
      <c r="J12">
        <v>5.8849999999999998</v>
      </c>
      <c r="K12" t="s">
        <v>13040</v>
      </c>
      <c r="L12" t="s">
        <v>13041</v>
      </c>
      <c r="M12" t="s">
        <v>13041</v>
      </c>
      <c r="N12">
        <v>6.0750000000000002</v>
      </c>
      <c r="O12">
        <v>20320817</v>
      </c>
      <c r="P12">
        <v>171</v>
      </c>
      <c r="Q12">
        <v>-9.0399999999999991</v>
      </c>
      <c r="R12">
        <v>31.2</v>
      </c>
      <c r="S12">
        <v>-1.45</v>
      </c>
    </row>
    <row r="13" spans="1:19" x14ac:dyDescent="0.3">
      <c r="A13" t="s">
        <v>13080</v>
      </c>
      <c r="B13" t="s">
        <v>13081</v>
      </c>
      <c r="C13" t="s">
        <v>13082</v>
      </c>
      <c r="D13" t="s">
        <v>13083</v>
      </c>
      <c r="E13">
        <v>104.25</v>
      </c>
      <c r="F13">
        <v>135.52500000000001</v>
      </c>
      <c r="G13">
        <v>110</v>
      </c>
      <c r="H13">
        <v>88.611999999999995</v>
      </c>
      <c r="I13">
        <v>70.37</v>
      </c>
      <c r="J13">
        <v>5.8819999999999997</v>
      </c>
      <c r="K13" t="s">
        <v>13040</v>
      </c>
      <c r="L13" t="s">
        <v>13041</v>
      </c>
      <c r="M13" t="s">
        <v>13041</v>
      </c>
      <c r="N13">
        <v>18.8</v>
      </c>
      <c r="O13">
        <v>20320816</v>
      </c>
      <c r="P13">
        <v>150.6</v>
      </c>
      <c r="Q13">
        <v>1</v>
      </c>
      <c r="R13">
        <v>92.15</v>
      </c>
      <c r="S13">
        <v>-0.91</v>
      </c>
    </row>
    <row r="14" spans="1:19" x14ac:dyDescent="0.3">
      <c r="A14" t="s">
        <v>13084</v>
      </c>
      <c r="B14" t="s">
        <v>13085</v>
      </c>
      <c r="C14" t="s">
        <v>13086</v>
      </c>
      <c r="D14" t="s">
        <v>12805</v>
      </c>
      <c r="E14">
        <v>20.28</v>
      </c>
      <c r="F14">
        <v>26.364000000000001</v>
      </c>
      <c r="G14">
        <v>110</v>
      </c>
      <c r="H14">
        <v>17.238</v>
      </c>
      <c r="I14">
        <v>57.22</v>
      </c>
      <c r="J14">
        <v>5.8520000000000003</v>
      </c>
      <c r="K14" t="s">
        <v>13040</v>
      </c>
      <c r="L14" t="s">
        <v>13041</v>
      </c>
      <c r="M14" t="s">
        <v>13041</v>
      </c>
      <c r="N14">
        <v>10.68</v>
      </c>
      <c r="O14">
        <v>20320805</v>
      </c>
      <c r="P14">
        <v>149</v>
      </c>
      <c r="Q14">
        <v>-0.86</v>
      </c>
      <c r="R14">
        <v>19.22</v>
      </c>
      <c r="S14">
        <v>-0.83</v>
      </c>
    </row>
    <row r="15" spans="1:19" x14ac:dyDescent="0.3">
      <c r="A15" t="s">
        <v>13087</v>
      </c>
      <c r="B15" t="s">
        <v>13088</v>
      </c>
      <c r="C15" t="s">
        <v>13089</v>
      </c>
      <c r="D15" t="s">
        <v>13090</v>
      </c>
      <c r="E15">
        <v>86.4</v>
      </c>
      <c r="F15">
        <v>112.32</v>
      </c>
      <c r="G15">
        <v>110</v>
      </c>
      <c r="H15">
        <v>73.44</v>
      </c>
      <c r="I15">
        <v>91.79</v>
      </c>
      <c r="J15">
        <v>5.8520000000000003</v>
      </c>
      <c r="K15" t="s">
        <v>13040</v>
      </c>
      <c r="L15" t="s">
        <v>13041</v>
      </c>
      <c r="M15" t="s">
        <v>13041</v>
      </c>
      <c r="N15">
        <v>7.5</v>
      </c>
      <c r="O15">
        <v>20320805</v>
      </c>
      <c r="P15">
        <v>177.39</v>
      </c>
      <c r="Q15">
        <v>-2.99</v>
      </c>
      <c r="R15">
        <v>79.91</v>
      </c>
      <c r="S15">
        <v>-4.33</v>
      </c>
    </row>
    <row r="16" spans="1:19" x14ac:dyDescent="0.3">
      <c r="A16" t="s">
        <v>13091</v>
      </c>
      <c r="B16" t="s">
        <v>13092</v>
      </c>
      <c r="C16" t="s">
        <v>13093</v>
      </c>
      <c r="D16" t="s">
        <v>13094</v>
      </c>
      <c r="E16">
        <v>81.3</v>
      </c>
      <c r="F16">
        <v>105.69</v>
      </c>
      <c r="G16">
        <v>110</v>
      </c>
      <c r="H16">
        <v>69.105000000000004</v>
      </c>
      <c r="I16">
        <v>70.78</v>
      </c>
      <c r="J16">
        <v>5.8520000000000003</v>
      </c>
      <c r="K16" t="s">
        <v>13040</v>
      </c>
      <c r="L16" t="s">
        <v>13041</v>
      </c>
      <c r="M16" t="s">
        <v>13041</v>
      </c>
      <c r="N16">
        <v>15.8</v>
      </c>
      <c r="O16">
        <v>20320805</v>
      </c>
      <c r="P16">
        <v>160.47999999999999</v>
      </c>
      <c r="Q16">
        <v>-1.58</v>
      </c>
      <c r="R16">
        <v>76.400000000000006</v>
      </c>
      <c r="S16">
        <v>-1.37</v>
      </c>
    </row>
    <row r="17" spans="1:19" x14ac:dyDescent="0.3">
      <c r="A17" t="s">
        <v>13095</v>
      </c>
      <c r="B17" t="s">
        <v>13096</v>
      </c>
      <c r="C17" t="s">
        <v>13097</v>
      </c>
      <c r="D17" t="s">
        <v>13098</v>
      </c>
      <c r="E17">
        <v>9.6199999999999992</v>
      </c>
      <c r="F17">
        <v>12.506</v>
      </c>
      <c r="G17">
        <v>110</v>
      </c>
      <c r="H17">
        <v>7.6959999999999997</v>
      </c>
      <c r="I17">
        <v>54.19</v>
      </c>
      <c r="J17">
        <v>5.8470000000000004</v>
      </c>
      <c r="K17" t="s">
        <v>13040</v>
      </c>
      <c r="L17" t="s">
        <v>13041</v>
      </c>
      <c r="M17" t="s">
        <v>13041</v>
      </c>
      <c r="N17">
        <v>5.3</v>
      </c>
      <c r="O17">
        <v>20320803</v>
      </c>
      <c r="P17">
        <v>145.05000000000001</v>
      </c>
      <c r="Q17">
        <v>-0.17</v>
      </c>
      <c r="R17">
        <v>9.0500000000000007</v>
      </c>
      <c r="S17">
        <v>0.22</v>
      </c>
    </row>
    <row r="18" spans="1:19" x14ac:dyDescent="0.3">
      <c r="A18" t="s">
        <v>13099</v>
      </c>
      <c r="B18" t="s">
        <v>13100</v>
      </c>
      <c r="C18" t="s">
        <v>13101</v>
      </c>
      <c r="D18" t="s">
        <v>13102</v>
      </c>
      <c r="E18">
        <v>267.33</v>
      </c>
      <c r="F18">
        <v>347.529</v>
      </c>
      <c r="G18">
        <v>110</v>
      </c>
      <c r="H18">
        <v>227.23099999999999</v>
      </c>
      <c r="I18">
        <v>68.540000000000006</v>
      </c>
      <c r="J18">
        <v>5.8440000000000003</v>
      </c>
      <c r="K18" t="s">
        <v>13040</v>
      </c>
      <c r="L18" t="s">
        <v>13041</v>
      </c>
      <c r="M18" t="s">
        <v>13041</v>
      </c>
      <c r="N18">
        <v>7.86</v>
      </c>
      <c r="O18">
        <v>20320802</v>
      </c>
      <c r="P18">
        <v>179.9</v>
      </c>
      <c r="Q18">
        <v>-5.22</v>
      </c>
      <c r="R18">
        <v>285.35000000000002</v>
      </c>
      <c r="S18">
        <v>-3.43</v>
      </c>
    </row>
    <row r="19" spans="1:19" x14ac:dyDescent="0.3">
      <c r="A19" t="s">
        <v>13103</v>
      </c>
      <c r="B19" t="s">
        <v>13104</v>
      </c>
      <c r="C19" t="s">
        <v>13105</v>
      </c>
      <c r="D19" t="s">
        <v>12842</v>
      </c>
      <c r="E19">
        <v>13.98</v>
      </c>
      <c r="F19">
        <v>18.173999999999999</v>
      </c>
      <c r="G19">
        <v>110</v>
      </c>
      <c r="H19">
        <v>11.882999999999999</v>
      </c>
      <c r="I19">
        <v>58.47</v>
      </c>
      <c r="J19">
        <v>5.8330000000000002</v>
      </c>
      <c r="K19" t="s">
        <v>13040</v>
      </c>
      <c r="L19" t="s">
        <v>13041</v>
      </c>
      <c r="M19" t="s">
        <v>13041</v>
      </c>
      <c r="N19">
        <v>5.45</v>
      </c>
      <c r="O19">
        <v>20320729</v>
      </c>
      <c r="P19">
        <v>160.28</v>
      </c>
      <c r="Q19">
        <v>-1.22</v>
      </c>
      <c r="R19">
        <v>14.14</v>
      </c>
      <c r="S19">
        <v>-0.35</v>
      </c>
    </row>
    <row r="20" spans="1:19" x14ac:dyDescent="0.3">
      <c r="A20" t="s">
        <v>13106</v>
      </c>
      <c r="B20" t="s">
        <v>13107</v>
      </c>
      <c r="C20" t="s">
        <v>13108</v>
      </c>
      <c r="D20" t="s">
        <v>13109</v>
      </c>
      <c r="E20">
        <v>40.33</v>
      </c>
      <c r="F20">
        <v>52.429000000000002</v>
      </c>
      <c r="G20">
        <v>110</v>
      </c>
      <c r="H20">
        <v>34.28</v>
      </c>
      <c r="I20">
        <v>75.87</v>
      </c>
      <c r="J20">
        <v>5.8330000000000002</v>
      </c>
      <c r="K20" t="s">
        <v>13040</v>
      </c>
      <c r="L20" t="s">
        <v>13041</v>
      </c>
      <c r="M20" t="s">
        <v>13041</v>
      </c>
      <c r="N20">
        <v>8.7799999999999994</v>
      </c>
      <c r="O20">
        <v>20320729</v>
      </c>
      <c r="P20">
        <v>175.53</v>
      </c>
      <c r="Q20">
        <v>-0.2</v>
      </c>
      <c r="R20">
        <v>40.25</v>
      </c>
      <c r="S20">
        <v>2.0299999999999998</v>
      </c>
    </row>
    <row r="21" spans="1:19" x14ac:dyDescent="0.3">
      <c r="A21" t="s">
        <v>13110</v>
      </c>
      <c r="B21" t="s">
        <v>13111</v>
      </c>
      <c r="C21" t="s">
        <v>13112</v>
      </c>
      <c r="D21" t="s">
        <v>13113</v>
      </c>
      <c r="E21">
        <v>16.149999999999999</v>
      </c>
      <c r="F21">
        <v>20.995000000000001</v>
      </c>
      <c r="G21">
        <v>110</v>
      </c>
      <c r="H21">
        <v>13.727</v>
      </c>
      <c r="I21">
        <v>49.88</v>
      </c>
      <c r="J21">
        <v>5.83</v>
      </c>
      <c r="K21" t="s">
        <v>13040</v>
      </c>
      <c r="L21" t="s">
        <v>13041</v>
      </c>
      <c r="M21" t="s">
        <v>13041</v>
      </c>
      <c r="N21">
        <v>15</v>
      </c>
      <c r="O21">
        <v>20320728</v>
      </c>
      <c r="P21">
        <v>138.65</v>
      </c>
      <c r="Q21">
        <v>-0.03</v>
      </c>
      <c r="R21">
        <v>14.94</v>
      </c>
      <c r="S21">
        <v>-0.73</v>
      </c>
    </row>
    <row r="22" spans="1:19" x14ac:dyDescent="0.3">
      <c r="A22" t="s">
        <v>13114</v>
      </c>
      <c r="B22" t="s">
        <v>13115</v>
      </c>
      <c r="C22" t="s">
        <v>13116</v>
      </c>
      <c r="D22" t="s">
        <v>13117</v>
      </c>
      <c r="E22">
        <v>149.83000000000001</v>
      </c>
      <c r="F22">
        <v>194.779</v>
      </c>
      <c r="G22">
        <v>110</v>
      </c>
      <c r="H22">
        <v>127.35599999999999</v>
      </c>
      <c r="I22">
        <v>106.22</v>
      </c>
      <c r="J22">
        <v>5.83</v>
      </c>
      <c r="K22" t="s">
        <v>13040</v>
      </c>
      <c r="L22" t="s">
        <v>13041</v>
      </c>
      <c r="M22" t="s">
        <v>13041</v>
      </c>
      <c r="N22">
        <v>12.7</v>
      </c>
      <c r="O22">
        <v>20320728</v>
      </c>
      <c r="P22">
        <v>176.72</v>
      </c>
      <c r="Q22">
        <v>-3.91</v>
      </c>
      <c r="R22">
        <v>128.4</v>
      </c>
      <c r="S22">
        <v>-2.09</v>
      </c>
    </row>
    <row r="23" spans="1:19" x14ac:dyDescent="0.3">
      <c r="A23" t="s">
        <v>13118</v>
      </c>
      <c r="B23" t="s">
        <v>13119</v>
      </c>
      <c r="C23" t="s">
        <v>13120</v>
      </c>
      <c r="D23" t="s">
        <v>13121</v>
      </c>
      <c r="E23">
        <v>58.56</v>
      </c>
      <c r="F23">
        <v>76.128</v>
      </c>
      <c r="G23">
        <v>108</v>
      </c>
      <c r="H23">
        <v>49.776000000000003</v>
      </c>
      <c r="I23">
        <v>77.05</v>
      </c>
      <c r="J23">
        <v>5.827</v>
      </c>
      <c r="K23" t="s">
        <v>13040</v>
      </c>
      <c r="L23" t="s">
        <v>13041</v>
      </c>
      <c r="M23" t="s">
        <v>13041</v>
      </c>
      <c r="N23">
        <v>15.33</v>
      </c>
      <c r="O23">
        <v>20320727</v>
      </c>
      <c r="P23">
        <v>159.91</v>
      </c>
      <c r="Q23">
        <v>2.84</v>
      </c>
      <c r="R23">
        <v>52.89</v>
      </c>
      <c r="S23">
        <v>3.3</v>
      </c>
    </row>
    <row r="24" spans="1:19" x14ac:dyDescent="0.3">
      <c r="A24" t="s">
        <v>13122</v>
      </c>
      <c r="B24" t="s">
        <v>13123</v>
      </c>
      <c r="C24" t="s">
        <v>13124</v>
      </c>
      <c r="D24" t="s">
        <v>13125</v>
      </c>
      <c r="E24">
        <v>13.56</v>
      </c>
      <c r="F24">
        <v>17.628</v>
      </c>
      <c r="G24">
        <v>110</v>
      </c>
      <c r="H24">
        <v>11.526</v>
      </c>
      <c r="I24">
        <v>50.46</v>
      </c>
      <c r="J24">
        <v>5.8159999999999998</v>
      </c>
      <c r="K24" t="s">
        <v>13040</v>
      </c>
      <c r="L24" t="s">
        <v>13041</v>
      </c>
      <c r="M24" t="s">
        <v>13041</v>
      </c>
      <c r="N24">
        <v>3.8</v>
      </c>
      <c r="O24">
        <v>20320723</v>
      </c>
      <c r="P24">
        <v>165.1</v>
      </c>
      <c r="Q24">
        <v>-1.47</v>
      </c>
      <c r="R24">
        <v>14.88</v>
      </c>
      <c r="S24">
        <v>-0.93</v>
      </c>
    </row>
    <row r="25" spans="1:19" x14ac:dyDescent="0.3">
      <c r="A25" t="s">
        <v>13126</v>
      </c>
      <c r="B25" t="s">
        <v>13127</v>
      </c>
      <c r="C25" t="s">
        <v>13128</v>
      </c>
      <c r="D25" t="s">
        <v>13129</v>
      </c>
      <c r="E25">
        <v>8.74</v>
      </c>
      <c r="F25">
        <v>11.362</v>
      </c>
      <c r="G25">
        <v>106</v>
      </c>
      <c r="H25">
        <v>7.4290000000000003</v>
      </c>
      <c r="I25">
        <v>41.33</v>
      </c>
      <c r="J25">
        <v>5.8159999999999998</v>
      </c>
      <c r="K25" t="s">
        <v>13040</v>
      </c>
      <c r="L25" t="s">
        <v>13041</v>
      </c>
      <c r="M25" t="s">
        <v>13041</v>
      </c>
      <c r="N25">
        <v>20</v>
      </c>
      <c r="O25">
        <v>20320723</v>
      </c>
      <c r="P25">
        <v>141.97</v>
      </c>
      <c r="Q25">
        <v>0.26</v>
      </c>
      <c r="R25">
        <v>8.7799999999999994</v>
      </c>
      <c r="S25">
        <v>0.23</v>
      </c>
    </row>
    <row r="26" spans="1:19" x14ac:dyDescent="0.3">
      <c r="A26" t="s">
        <v>13130</v>
      </c>
      <c r="B26" t="s">
        <v>13131</v>
      </c>
      <c r="C26" t="s">
        <v>13132</v>
      </c>
      <c r="D26" t="s">
        <v>13133</v>
      </c>
      <c r="E26">
        <v>23.78</v>
      </c>
      <c r="F26">
        <v>30.914000000000001</v>
      </c>
      <c r="G26">
        <v>114</v>
      </c>
      <c r="H26">
        <v>20.213000000000001</v>
      </c>
      <c r="I26">
        <v>62.38</v>
      </c>
      <c r="J26">
        <v>5.806</v>
      </c>
      <c r="K26" t="s">
        <v>13040</v>
      </c>
      <c r="L26" t="s">
        <v>13041</v>
      </c>
      <c r="M26" t="s">
        <v>13041</v>
      </c>
      <c r="N26">
        <v>3</v>
      </c>
      <c r="O26">
        <v>20320719</v>
      </c>
      <c r="P26">
        <v>150.15</v>
      </c>
      <c r="Q26">
        <v>-1.3</v>
      </c>
      <c r="R26">
        <v>21.99</v>
      </c>
      <c r="S26">
        <v>2.61</v>
      </c>
    </row>
    <row r="27" spans="1:19" x14ac:dyDescent="0.3">
      <c r="A27" t="s">
        <v>13134</v>
      </c>
      <c r="B27" t="s">
        <v>13135</v>
      </c>
      <c r="C27" t="s">
        <v>13136</v>
      </c>
      <c r="D27" t="s">
        <v>13137</v>
      </c>
      <c r="E27">
        <v>86.9</v>
      </c>
      <c r="F27">
        <v>112.97</v>
      </c>
      <c r="G27">
        <v>110</v>
      </c>
      <c r="H27">
        <v>73.864999999999995</v>
      </c>
      <c r="I27">
        <v>91.3</v>
      </c>
      <c r="J27">
        <v>5.7969999999999997</v>
      </c>
      <c r="K27" t="s">
        <v>13040</v>
      </c>
      <c r="L27" t="s">
        <v>13041</v>
      </c>
      <c r="M27" t="s">
        <v>13041</v>
      </c>
      <c r="N27">
        <v>5.5190000000000001</v>
      </c>
      <c r="O27">
        <v>20320716</v>
      </c>
      <c r="P27">
        <v>144.19</v>
      </c>
      <c r="Q27">
        <v>-0.91</v>
      </c>
      <c r="R27">
        <v>65.5</v>
      </c>
      <c r="S27">
        <v>0.08</v>
      </c>
    </row>
    <row r="28" spans="1:19" x14ac:dyDescent="0.3">
      <c r="A28" t="s">
        <v>13138</v>
      </c>
      <c r="B28" t="s">
        <v>13139</v>
      </c>
      <c r="C28" t="s">
        <v>13140</v>
      </c>
      <c r="D28" t="s">
        <v>13141</v>
      </c>
      <c r="E28">
        <v>108.89</v>
      </c>
      <c r="F28">
        <v>141.55699999999999</v>
      </c>
      <c r="G28">
        <v>105</v>
      </c>
      <c r="H28">
        <v>92.555999999999997</v>
      </c>
      <c r="I28">
        <v>89.19</v>
      </c>
      <c r="J28">
        <v>5.7919999999999998</v>
      </c>
      <c r="K28" t="s">
        <v>13040</v>
      </c>
      <c r="L28" t="s">
        <v>13041</v>
      </c>
      <c r="M28" t="s">
        <v>13041</v>
      </c>
      <c r="N28">
        <v>80</v>
      </c>
      <c r="O28">
        <v>20320714</v>
      </c>
      <c r="P28">
        <v>138.16</v>
      </c>
      <c r="Q28">
        <v>-0.02</v>
      </c>
      <c r="R28">
        <v>79.52</v>
      </c>
      <c r="S28">
        <v>-1.0900000000000001</v>
      </c>
    </row>
    <row r="29" spans="1:19" x14ac:dyDescent="0.3">
      <c r="A29" t="s">
        <v>13142</v>
      </c>
      <c r="B29" t="s">
        <v>13143</v>
      </c>
      <c r="C29" t="s">
        <v>13144</v>
      </c>
      <c r="D29" t="s">
        <v>13012</v>
      </c>
      <c r="E29">
        <v>20.64</v>
      </c>
      <c r="F29">
        <v>26.832000000000001</v>
      </c>
      <c r="G29">
        <v>108</v>
      </c>
      <c r="H29">
        <v>17.544</v>
      </c>
      <c r="I29">
        <v>61.44</v>
      </c>
      <c r="J29">
        <v>5.7889999999999997</v>
      </c>
      <c r="K29" t="s">
        <v>13040</v>
      </c>
      <c r="L29" t="s">
        <v>13041</v>
      </c>
      <c r="M29" t="s">
        <v>13041</v>
      </c>
      <c r="N29">
        <v>11.85</v>
      </c>
      <c r="O29">
        <v>20320713</v>
      </c>
      <c r="P29">
        <v>139.93</v>
      </c>
      <c r="Q29">
        <v>0.45</v>
      </c>
      <c r="R29">
        <v>17.89</v>
      </c>
      <c r="S29">
        <v>2.35</v>
      </c>
    </row>
    <row r="30" spans="1:19" x14ac:dyDescent="0.3">
      <c r="A30" t="s">
        <v>13145</v>
      </c>
      <c r="B30" t="s">
        <v>13146</v>
      </c>
      <c r="C30" t="s">
        <v>13147</v>
      </c>
      <c r="D30" t="s">
        <v>12746</v>
      </c>
      <c r="E30">
        <v>33.76</v>
      </c>
      <c r="F30">
        <v>43.887999999999998</v>
      </c>
      <c r="G30">
        <v>110</v>
      </c>
      <c r="H30">
        <v>28.696000000000002</v>
      </c>
      <c r="I30">
        <v>93.43</v>
      </c>
      <c r="J30">
        <v>5.7750000000000004</v>
      </c>
      <c r="K30" t="s">
        <v>13040</v>
      </c>
      <c r="L30" t="s">
        <v>13041</v>
      </c>
      <c r="M30" t="s">
        <v>13041</v>
      </c>
      <c r="N30">
        <v>5.9</v>
      </c>
      <c r="O30">
        <v>20320708</v>
      </c>
      <c r="P30">
        <v>134.58000000000001</v>
      </c>
      <c r="Q30">
        <v>-0.28999999999999998</v>
      </c>
      <c r="R30">
        <v>23.49</v>
      </c>
      <c r="S30">
        <v>-0.13</v>
      </c>
    </row>
    <row r="31" spans="1:19" x14ac:dyDescent="0.3">
      <c r="A31" t="s">
        <v>13148</v>
      </c>
      <c r="B31" t="s">
        <v>13149</v>
      </c>
      <c r="C31" t="s">
        <v>13150</v>
      </c>
      <c r="D31" t="s">
        <v>12927</v>
      </c>
      <c r="E31">
        <v>45.56</v>
      </c>
      <c r="F31">
        <v>59.228000000000002</v>
      </c>
      <c r="G31">
        <v>108</v>
      </c>
      <c r="H31">
        <v>38.725999999999999</v>
      </c>
      <c r="I31">
        <v>82.24</v>
      </c>
      <c r="J31">
        <v>5.7590000000000003</v>
      </c>
      <c r="K31" t="s">
        <v>13040</v>
      </c>
      <c r="L31" t="s">
        <v>13041</v>
      </c>
      <c r="M31" t="s">
        <v>13041</v>
      </c>
      <c r="N31">
        <v>14.91</v>
      </c>
      <c r="O31">
        <v>20320702</v>
      </c>
      <c r="P31">
        <v>147</v>
      </c>
      <c r="Q31">
        <v>-1.33</v>
      </c>
      <c r="R31">
        <v>36.75</v>
      </c>
      <c r="S31">
        <v>-1.1299999999999999</v>
      </c>
    </row>
    <row r="32" spans="1:19" x14ac:dyDescent="0.3">
      <c r="A32" t="s">
        <v>13151</v>
      </c>
      <c r="B32" t="s">
        <v>13152</v>
      </c>
      <c r="C32" t="s">
        <v>13153</v>
      </c>
      <c r="D32" t="s">
        <v>13154</v>
      </c>
      <c r="E32">
        <v>14.09</v>
      </c>
      <c r="F32">
        <v>18.317</v>
      </c>
      <c r="G32">
        <v>110</v>
      </c>
      <c r="H32">
        <v>11.977</v>
      </c>
      <c r="I32">
        <v>60.22</v>
      </c>
      <c r="J32">
        <v>5.74</v>
      </c>
      <c r="K32" t="s">
        <v>13040</v>
      </c>
      <c r="L32" t="s">
        <v>13041</v>
      </c>
      <c r="M32" t="s">
        <v>13041</v>
      </c>
      <c r="N32">
        <v>33</v>
      </c>
      <c r="O32">
        <v>20320625</v>
      </c>
      <c r="P32">
        <v>131</v>
      </c>
      <c r="Q32">
        <v>0.54</v>
      </c>
      <c r="R32">
        <v>11.52</v>
      </c>
      <c r="S32">
        <v>0.35</v>
      </c>
    </row>
    <row r="33" spans="1:19" x14ac:dyDescent="0.3">
      <c r="A33" t="s">
        <v>13155</v>
      </c>
      <c r="B33" t="s">
        <v>13156</v>
      </c>
      <c r="C33" t="s">
        <v>13157</v>
      </c>
      <c r="D33" t="s">
        <v>13158</v>
      </c>
      <c r="E33">
        <v>35.619999999999997</v>
      </c>
      <c r="F33">
        <v>46.305999999999997</v>
      </c>
      <c r="G33">
        <v>113</v>
      </c>
      <c r="H33">
        <v>30.277000000000001</v>
      </c>
      <c r="I33">
        <v>90.41</v>
      </c>
      <c r="J33">
        <v>5.74</v>
      </c>
      <c r="K33" t="s">
        <v>13040</v>
      </c>
      <c r="L33" t="s">
        <v>13041</v>
      </c>
      <c r="M33" t="s">
        <v>13041</v>
      </c>
      <c r="N33">
        <v>6.3</v>
      </c>
      <c r="O33">
        <v>20320625</v>
      </c>
      <c r="P33">
        <v>136.1</v>
      </c>
      <c r="Q33">
        <v>-1.1100000000000001</v>
      </c>
      <c r="R33">
        <v>25.46</v>
      </c>
      <c r="S33">
        <v>-1.05</v>
      </c>
    </row>
    <row r="34" spans="1:19" x14ac:dyDescent="0.3">
      <c r="A34" t="s">
        <v>13159</v>
      </c>
      <c r="B34" t="s">
        <v>13160</v>
      </c>
      <c r="C34" t="s">
        <v>13161</v>
      </c>
      <c r="D34" t="s">
        <v>13162</v>
      </c>
      <c r="E34">
        <v>42.38</v>
      </c>
      <c r="F34">
        <v>55.094000000000001</v>
      </c>
      <c r="G34">
        <v>108</v>
      </c>
      <c r="H34">
        <v>36.023000000000003</v>
      </c>
      <c r="I34">
        <v>68.73</v>
      </c>
      <c r="J34">
        <v>5.7370000000000001</v>
      </c>
      <c r="K34" t="s">
        <v>13040</v>
      </c>
      <c r="L34" t="s">
        <v>13041</v>
      </c>
      <c r="M34" t="s">
        <v>13041</v>
      </c>
      <c r="N34">
        <v>25</v>
      </c>
      <c r="O34">
        <v>20320624</v>
      </c>
      <c r="P34">
        <v>142.01</v>
      </c>
      <c r="Q34">
        <v>-1.3</v>
      </c>
      <c r="R34">
        <v>35.67</v>
      </c>
      <c r="S34">
        <v>-1.1399999999999999</v>
      </c>
    </row>
    <row r="35" spans="1:19" x14ac:dyDescent="0.3">
      <c r="A35" t="s">
        <v>13163</v>
      </c>
      <c r="B35" t="s">
        <v>13164</v>
      </c>
      <c r="C35" t="s">
        <v>13165</v>
      </c>
      <c r="D35" t="s">
        <v>13166</v>
      </c>
      <c r="E35">
        <v>245.7</v>
      </c>
      <c r="F35">
        <v>319.41000000000003</v>
      </c>
      <c r="G35">
        <v>113</v>
      </c>
      <c r="H35">
        <v>208.845</v>
      </c>
      <c r="I35">
        <v>92.22</v>
      </c>
      <c r="J35">
        <v>5.734</v>
      </c>
      <c r="K35" t="s">
        <v>13040</v>
      </c>
      <c r="L35" t="s">
        <v>13041</v>
      </c>
      <c r="M35" t="s">
        <v>13041</v>
      </c>
      <c r="N35">
        <v>9.3000000000000007</v>
      </c>
      <c r="O35">
        <v>20320623</v>
      </c>
      <c r="P35">
        <v>161.49</v>
      </c>
      <c r="Q35">
        <v>-3.21</v>
      </c>
      <c r="R35">
        <v>206.41</v>
      </c>
      <c r="S35">
        <v>-1.8</v>
      </c>
    </row>
    <row r="36" spans="1:19" x14ac:dyDescent="0.3">
      <c r="A36" t="s">
        <v>13167</v>
      </c>
      <c r="B36" t="s">
        <v>13168</v>
      </c>
      <c r="C36" t="s">
        <v>13169</v>
      </c>
      <c r="D36" t="s">
        <v>13170</v>
      </c>
      <c r="E36">
        <v>30.98</v>
      </c>
      <c r="F36">
        <v>40.274000000000001</v>
      </c>
      <c r="G36">
        <v>106</v>
      </c>
      <c r="H36">
        <v>26.332999999999998</v>
      </c>
      <c r="I36">
        <v>68.88</v>
      </c>
      <c r="J36">
        <v>5.734</v>
      </c>
      <c r="K36" t="s">
        <v>13040</v>
      </c>
      <c r="L36" t="s">
        <v>13041</v>
      </c>
      <c r="M36" t="s">
        <v>13041</v>
      </c>
      <c r="N36">
        <v>35</v>
      </c>
      <c r="O36">
        <v>20320623</v>
      </c>
      <c r="P36">
        <v>134.27000000000001</v>
      </c>
      <c r="Q36">
        <v>-0.93</v>
      </c>
      <c r="R36">
        <v>24.63</v>
      </c>
      <c r="S36">
        <v>0.2</v>
      </c>
    </row>
    <row r="37" spans="1:19" x14ac:dyDescent="0.3">
      <c r="A37" t="s">
        <v>13171</v>
      </c>
      <c r="B37" t="s">
        <v>13172</v>
      </c>
      <c r="C37" t="s">
        <v>13173</v>
      </c>
      <c r="D37" t="s">
        <v>13174</v>
      </c>
      <c r="E37">
        <v>335.33</v>
      </c>
      <c r="F37">
        <v>435.92899999999997</v>
      </c>
      <c r="G37">
        <v>110</v>
      </c>
      <c r="H37">
        <v>285.03100000000001</v>
      </c>
      <c r="I37">
        <v>87.19</v>
      </c>
      <c r="J37">
        <v>5.7320000000000002</v>
      </c>
      <c r="K37" t="s">
        <v>13040</v>
      </c>
      <c r="L37" t="s">
        <v>13041</v>
      </c>
      <c r="M37" t="s">
        <v>13041</v>
      </c>
      <c r="N37">
        <v>7.49</v>
      </c>
      <c r="O37">
        <v>20320622</v>
      </c>
      <c r="P37">
        <v>208.78</v>
      </c>
      <c r="Q37">
        <v>-4.12</v>
      </c>
      <c r="R37">
        <v>374</v>
      </c>
      <c r="S37">
        <v>-6.26</v>
      </c>
    </row>
    <row r="38" spans="1:19" x14ac:dyDescent="0.3">
      <c r="A38" t="s">
        <v>13175</v>
      </c>
      <c r="B38" t="s">
        <v>13176</v>
      </c>
      <c r="C38" t="s">
        <v>13177</v>
      </c>
      <c r="D38" t="s">
        <v>12688</v>
      </c>
      <c r="E38">
        <v>43.71</v>
      </c>
      <c r="F38">
        <v>56.823</v>
      </c>
      <c r="G38">
        <v>108</v>
      </c>
      <c r="H38">
        <v>37.154000000000003</v>
      </c>
      <c r="I38">
        <v>96.65</v>
      </c>
      <c r="J38">
        <v>5.718</v>
      </c>
      <c r="K38" t="s">
        <v>13040</v>
      </c>
      <c r="L38" t="s">
        <v>13041</v>
      </c>
      <c r="M38" t="s">
        <v>13041</v>
      </c>
      <c r="N38">
        <v>15.869</v>
      </c>
      <c r="O38">
        <v>20320617</v>
      </c>
      <c r="P38">
        <v>144.1</v>
      </c>
      <c r="Q38">
        <v>-0.98</v>
      </c>
      <c r="R38">
        <v>32.03</v>
      </c>
      <c r="S38">
        <v>-2.2599999999999998</v>
      </c>
    </row>
    <row r="39" spans="1:19" x14ac:dyDescent="0.3">
      <c r="A39" t="s">
        <v>13178</v>
      </c>
      <c r="B39" t="s">
        <v>13179</v>
      </c>
      <c r="C39" t="s">
        <v>13180</v>
      </c>
      <c r="D39" t="s">
        <v>13181</v>
      </c>
      <c r="E39">
        <v>14.43</v>
      </c>
      <c r="F39">
        <v>18.759</v>
      </c>
      <c r="G39">
        <v>114</v>
      </c>
      <c r="H39">
        <v>12.265000000000001</v>
      </c>
      <c r="I39">
        <v>234.08</v>
      </c>
      <c r="J39">
        <v>5.7149999999999999</v>
      </c>
      <c r="K39" t="s">
        <v>13040</v>
      </c>
      <c r="L39" t="s">
        <v>13041</v>
      </c>
      <c r="M39" t="s">
        <v>13041</v>
      </c>
      <c r="N39">
        <v>2.9</v>
      </c>
      <c r="O39">
        <v>20320616</v>
      </c>
      <c r="P39">
        <v>297.5</v>
      </c>
      <c r="Q39">
        <v>-2.78</v>
      </c>
      <c r="R39">
        <v>12.85</v>
      </c>
      <c r="S39">
        <v>-1.1499999999999999</v>
      </c>
    </row>
    <row r="40" spans="1:19" x14ac:dyDescent="0.3">
      <c r="A40" t="s">
        <v>13182</v>
      </c>
      <c r="B40" t="s">
        <v>13183</v>
      </c>
      <c r="C40" t="s">
        <v>13184</v>
      </c>
      <c r="D40" t="s">
        <v>13185</v>
      </c>
      <c r="E40">
        <v>30.62</v>
      </c>
      <c r="F40">
        <v>39.805999999999997</v>
      </c>
      <c r="G40">
        <v>115</v>
      </c>
      <c r="H40">
        <v>26.027000000000001</v>
      </c>
      <c r="I40">
        <v>67.56</v>
      </c>
      <c r="J40">
        <v>5.71</v>
      </c>
      <c r="K40" t="s">
        <v>13040</v>
      </c>
      <c r="L40" t="s">
        <v>13041</v>
      </c>
      <c r="M40" t="s">
        <v>13041</v>
      </c>
      <c r="N40">
        <v>9.6999999999999993</v>
      </c>
      <c r="O40">
        <v>20320614</v>
      </c>
      <c r="P40">
        <v>170.46</v>
      </c>
      <c r="Q40">
        <v>-2.38</v>
      </c>
      <c r="R40">
        <v>31.15</v>
      </c>
      <c r="S40">
        <v>-2.2599999999999998</v>
      </c>
    </row>
    <row r="41" spans="1:19" x14ac:dyDescent="0.3">
      <c r="A41" t="s">
        <v>13186</v>
      </c>
      <c r="B41" t="s">
        <v>13187</v>
      </c>
      <c r="C41" t="s">
        <v>13188</v>
      </c>
      <c r="D41" t="s">
        <v>13189</v>
      </c>
      <c r="E41">
        <v>10.74</v>
      </c>
      <c r="F41">
        <v>13.962</v>
      </c>
      <c r="G41">
        <v>110</v>
      </c>
      <c r="H41">
        <v>8.5920000000000005</v>
      </c>
      <c r="I41">
        <v>67.430000000000007</v>
      </c>
      <c r="J41">
        <v>5.71</v>
      </c>
      <c r="K41" t="s">
        <v>13040</v>
      </c>
      <c r="L41" t="s">
        <v>13041</v>
      </c>
      <c r="M41" t="s">
        <v>13041</v>
      </c>
      <c r="N41">
        <v>18</v>
      </c>
      <c r="O41">
        <v>20320614</v>
      </c>
      <c r="P41">
        <v>132.04</v>
      </c>
      <c r="Q41">
        <v>-0.34</v>
      </c>
      <c r="R41">
        <v>8.4700000000000006</v>
      </c>
      <c r="S41">
        <v>-0.24</v>
      </c>
    </row>
    <row r="42" spans="1:19" x14ac:dyDescent="0.3">
      <c r="A42" t="s">
        <v>13190</v>
      </c>
      <c r="B42" t="s">
        <v>13191</v>
      </c>
      <c r="C42" t="s">
        <v>13192</v>
      </c>
      <c r="D42" t="s">
        <v>12840</v>
      </c>
      <c r="E42">
        <v>5.99</v>
      </c>
      <c r="F42">
        <v>7.7869999999999999</v>
      </c>
      <c r="G42">
        <v>108</v>
      </c>
      <c r="H42">
        <v>5.0910000000000002</v>
      </c>
      <c r="I42">
        <v>59.72</v>
      </c>
      <c r="J42">
        <v>5.6989999999999998</v>
      </c>
      <c r="K42" t="s">
        <v>13040</v>
      </c>
      <c r="L42" t="s">
        <v>13041</v>
      </c>
      <c r="M42" t="s">
        <v>13041</v>
      </c>
      <c r="N42">
        <v>10.39</v>
      </c>
      <c r="O42">
        <v>20320610</v>
      </c>
      <c r="P42">
        <v>140.79</v>
      </c>
      <c r="Q42">
        <v>0.06</v>
      </c>
      <c r="R42">
        <v>5.28</v>
      </c>
      <c r="S42">
        <v>0</v>
      </c>
    </row>
    <row r="43" spans="1:19" x14ac:dyDescent="0.3">
      <c r="A43" t="s">
        <v>13193</v>
      </c>
      <c r="B43" t="s">
        <v>13194</v>
      </c>
      <c r="C43" t="s">
        <v>13195</v>
      </c>
      <c r="D43" t="s">
        <v>13196</v>
      </c>
      <c r="E43">
        <v>28.49</v>
      </c>
      <c r="F43">
        <v>37.036999999999999</v>
      </c>
      <c r="G43">
        <v>113</v>
      </c>
      <c r="H43">
        <v>24.216000000000001</v>
      </c>
      <c r="I43">
        <v>94.17</v>
      </c>
      <c r="J43">
        <v>5.6989999999999998</v>
      </c>
      <c r="K43" t="s">
        <v>13040</v>
      </c>
      <c r="L43" t="s">
        <v>13041</v>
      </c>
      <c r="M43" t="s">
        <v>13041</v>
      </c>
      <c r="N43">
        <v>2.67</v>
      </c>
      <c r="O43">
        <v>20320610</v>
      </c>
      <c r="P43">
        <v>153.34</v>
      </c>
      <c r="Q43">
        <v>-1.63</v>
      </c>
      <c r="R43">
        <v>22.5</v>
      </c>
      <c r="S43">
        <v>0.22</v>
      </c>
    </row>
    <row r="44" spans="1:19" x14ac:dyDescent="0.3">
      <c r="A44" t="s">
        <v>13197</v>
      </c>
      <c r="B44" t="s">
        <v>13198</v>
      </c>
      <c r="C44" t="s">
        <v>13199</v>
      </c>
      <c r="D44" t="s">
        <v>13200</v>
      </c>
      <c r="E44">
        <v>241.7</v>
      </c>
      <c r="F44">
        <v>314.20999999999998</v>
      </c>
      <c r="G44">
        <v>108</v>
      </c>
      <c r="H44">
        <v>205.44499999999999</v>
      </c>
      <c r="I44">
        <v>43.57</v>
      </c>
      <c r="J44">
        <v>5.6959999999999997</v>
      </c>
      <c r="K44" t="s">
        <v>13040</v>
      </c>
      <c r="L44" t="s">
        <v>13041</v>
      </c>
      <c r="M44" t="s">
        <v>13041</v>
      </c>
      <c r="N44">
        <v>21.79</v>
      </c>
      <c r="O44">
        <v>20320609</v>
      </c>
      <c r="P44">
        <v>170.51</v>
      </c>
      <c r="Q44">
        <v>-1.99</v>
      </c>
      <c r="R44">
        <v>287.06</v>
      </c>
      <c r="S44">
        <v>1.08</v>
      </c>
    </row>
    <row r="45" spans="1:19" x14ac:dyDescent="0.3">
      <c r="A45" t="s">
        <v>13201</v>
      </c>
      <c r="B45" t="s">
        <v>13202</v>
      </c>
      <c r="C45" t="s">
        <v>13203</v>
      </c>
      <c r="D45" t="s">
        <v>13204</v>
      </c>
      <c r="E45">
        <v>21.94</v>
      </c>
      <c r="F45">
        <v>28.521999999999998</v>
      </c>
      <c r="G45">
        <v>112</v>
      </c>
      <c r="H45">
        <v>17.552</v>
      </c>
      <c r="I45">
        <v>78.44</v>
      </c>
      <c r="J45">
        <v>5.69</v>
      </c>
      <c r="K45" t="s">
        <v>13040</v>
      </c>
      <c r="L45" t="s">
        <v>13041</v>
      </c>
      <c r="M45" t="s">
        <v>13041</v>
      </c>
      <c r="N45">
        <v>13.01</v>
      </c>
      <c r="O45">
        <v>20320607</v>
      </c>
      <c r="P45">
        <v>134.6</v>
      </c>
      <c r="Q45">
        <v>-0.17</v>
      </c>
      <c r="R45">
        <v>16.55</v>
      </c>
      <c r="S45">
        <v>-0.72</v>
      </c>
    </row>
    <row r="46" spans="1:19" x14ac:dyDescent="0.3">
      <c r="A46" t="s">
        <v>13205</v>
      </c>
      <c r="B46" t="s">
        <v>13206</v>
      </c>
      <c r="C46" t="s">
        <v>13207</v>
      </c>
      <c r="D46" t="s">
        <v>13208</v>
      </c>
      <c r="E46">
        <v>32.49</v>
      </c>
      <c r="F46">
        <v>42.237000000000002</v>
      </c>
      <c r="G46">
        <v>110</v>
      </c>
      <c r="H46">
        <v>27.617000000000001</v>
      </c>
      <c r="I46">
        <v>140.46</v>
      </c>
      <c r="J46">
        <v>5.68</v>
      </c>
      <c r="K46" t="s">
        <v>13040</v>
      </c>
      <c r="L46" t="s">
        <v>13041</v>
      </c>
      <c r="M46" t="s">
        <v>13041</v>
      </c>
      <c r="N46">
        <v>9.08</v>
      </c>
      <c r="O46">
        <v>20320603</v>
      </c>
      <c r="P46">
        <v>123.89</v>
      </c>
      <c r="Q46">
        <v>-0.09</v>
      </c>
      <c r="R46">
        <v>16.739999999999998</v>
      </c>
      <c r="S46">
        <v>-0.42</v>
      </c>
    </row>
    <row r="47" spans="1:19" x14ac:dyDescent="0.3">
      <c r="A47" t="s">
        <v>13209</v>
      </c>
      <c r="B47" t="s">
        <v>13210</v>
      </c>
      <c r="C47" t="s">
        <v>13211</v>
      </c>
      <c r="D47" t="s">
        <v>13212</v>
      </c>
      <c r="E47">
        <v>33.18</v>
      </c>
      <c r="F47">
        <v>43.134</v>
      </c>
      <c r="G47">
        <v>115</v>
      </c>
      <c r="H47">
        <v>28.202999999999999</v>
      </c>
      <c r="I47">
        <v>54.65</v>
      </c>
      <c r="J47">
        <v>5.6740000000000004</v>
      </c>
      <c r="K47" t="s">
        <v>13040</v>
      </c>
      <c r="L47" t="s">
        <v>13041</v>
      </c>
      <c r="M47" t="s">
        <v>13041</v>
      </c>
      <c r="N47">
        <v>5.2190000000000003</v>
      </c>
      <c r="O47">
        <v>20320601</v>
      </c>
      <c r="P47">
        <v>163.88</v>
      </c>
      <c r="Q47">
        <v>-0.36</v>
      </c>
      <c r="R47">
        <v>35.159999999999997</v>
      </c>
      <c r="S47">
        <v>-1.21</v>
      </c>
    </row>
    <row r="48" spans="1:19" x14ac:dyDescent="0.3">
      <c r="A48" t="s">
        <v>13213</v>
      </c>
      <c r="B48" t="s">
        <v>13214</v>
      </c>
      <c r="C48" t="s">
        <v>13215</v>
      </c>
      <c r="D48" t="s">
        <v>13216</v>
      </c>
      <c r="E48">
        <v>53.68</v>
      </c>
      <c r="F48">
        <v>69.784000000000006</v>
      </c>
      <c r="G48">
        <v>113</v>
      </c>
      <c r="H48">
        <v>45.628</v>
      </c>
      <c r="I48">
        <v>266.57</v>
      </c>
      <c r="J48">
        <v>5.6710000000000003</v>
      </c>
      <c r="K48" t="s">
        <v>13040</v>
      </c>
      <c r="L48" t="s">
        <v>13041</v>
      </c>
      <c r="M48" t="s">
        <v>13041</v>
      </c>
      <c r="N48">
        <v>4.05</v>
      </c>
      <c r="O48">
        <v>20320531</v>
      </c>
      <c r="P48">
        <v>202.2</v>
      </c>
      <c r="Q48">
        <v>-8.3800000000000008</v>
      </c>
      <c r="R48">
        <v>29.61</v>
      </c>
      <c r="S48">
        <v>-1.3</v>
      </c>
    </row>
    <row r="49" spans="1:19" x14ac:dyDescent="0.3">
      <c r="A49" t="s">
        <v>13217</v>
      </c>
      <c r="B49" t="s">
        <v>13218</v>
      </c>
      <c r="C49" t="s">
        <v>13219</v>
      </c>
      <c r="D49" t="s">
        <v>13220</v>
      </c>
      <c r="E49">
        <v>28.24</v>
      </c>
      <c r="F49">
        <v>36.712000000000003</v>
      </c>
      <c r="G49">
        <v>110</v>
      </c>
      <c r="H49">
        <v>24.004000000000001</v>
      </c>
      <c r="I49">
        <v>47.39</v>
      </c>
      <c r="J49">
        <v>5.556</v>
      </c>
      <c r="K49" t="s">
        <v>13040</v>
      </c>
      <c r="L49" t="s">
        <v>13041</v>
      </c>
      <c r="M49" t="s">
        <v>13041</v>
      </c>
      <c r="N49">
        <v>9.8000000000000007</v>
      </c>
      <c r="O49">
        <v>20320419</v>
      </c>
      <c r="P49">
        <v>152.30000000000001</v>
      </c>
      <c r="Q49">
        <v>-0.61</v>
      </c>
      <c r="R49">
        <v>29.18</v>
      </c>
      <c r="S49">
        <v>-3.19</v>
      </c>
    </row>
    <row r="50" spans="1:19" x14ac:dyDescent="0.3">
      <c r="A50" t="s">
        <v>13221</v>
      </c>
      <c r="B50" t="s">
        <v>13222</v>
      </c>
      <c r="C50" t="s">
        <v>13223</v>
      </c>
      <c r="D50" t="s">
        <v>13224</v>
      </c>
      <c r="E50">
        <v>54.13</v>
      </c>
      <c r="F50">
        <v>70.369</v>
      </c>
      <c r="G50">
        <v>115</v>
      </c>
      <c r="H50">
        <v>46.011000000000003</v>
      </c>
      <c r="I50">
        <v>50.27</v>
      </c>
      <c r="J50">
        <v>5.548</v>
      </c>
      <c r="K50" t="s">
        <v>13040</v>
      </c>
      <c r="L50" t="s">
        <v>13041</v>
      </c>
      <c r="M50" t="s">
        <v>13041</v>
      </c>
      <c r="N50">
        <v>4.6900000000000004</v>
      </c>
      <c r="O50">
        <v>20320416</v>
      </c>
      <c r="P50">
        <v>191.5</v>
      </c>
      <c r="Q50">
        <v>-4.68</v>
      </c>
      <c r="R50">
        <v>68.98</v>
      </c>
      <c r="S50">
        <v>-7.17</v>
      </c>
    </row>
    <row r="51" spans="1:19" x14ac:dyDescent="0.3">
      <c r="A51" t="s">
        <v>13225</v>
      </c>
      <c r="B51" t="s">
        <v>13226</v>
      </c>
      <c r="C51" t="s">
        <v>13227</v>
      </c>
      <c r="D51" t="s">
        <v>13228</v>
      </c>
      <c r="E51">
        <v>97.47</v>
      </c>
      <c r="F51">
        <v>126.711</v>
      </c>
      <c r="G51">
        <v>110</v>
      </c>
      <c r="H51">
        <v>82.85</v>
      </c>
      <c r="I51">
        <v>113.25</v>
      </c>
      <c r="J51">
        <v>5.5449999999999999</v>
      </c>
      <c r="K51" t="s">
        <v>13040</v>
      </c>
      <c r="L51" t="s">
        <v>13041</v>
      </c>
      <c r="M51" t="s">
        <v>13041</v>
      </c>
      <c r="N51">
        <v>7.5</v>
      </c>
      <c r="O51">
        <v>20320415</v>
      </c>
      <c r="P51">
        <v>184</v>
      </c>
      <c r="Q51">
        <v>-5.69</v>
      </c>
      <c r="R51">
        <v>84.1</v>
      </c>
      <c r="S51">
        <v>-4.5199999999999996</v>
      </c>
    </row>
    <row r="52" spans="1:19" x14ac:dyDescent="0.3">
      <c r="A52" t="s">
        <v>12666</v>
      </c>
      <c r="B52" t="s">
        <v>13229</v>
      </c>
      <c r="C52" t="s">
        <v>13230</v>
      </c>
      <c r="D52" t="s">
        <v>13231</v>
      </c>
      <c r="E52">
        <v>104.79</v>
      </c>
      <c r="F52">
        <v>136.227</v>
      </c>
      <c r="G52">
        <v>108</v>
      </c>
      <c r="H52">
        <v>89.072000000000003</v>
      </c>
      <c r="I52">
        <v>93.76</v>
      </c>
      <c r="J52">
        <v>5.5449999999999999</v>
      </c>
      <c r="K52" t="s">
        <v>13040</v>
      </c>
      <c r="L52" t="s">
        <v>13041</v>
      </c>
      <c r="M52" t="s">
        <v>13041</v>
      </c>
      <c r="N52">
        <v>15</v>
      </c>
      <c r="O52">
        <v>20320415</v>
      </c>
      <c r="P52">
        <v>150.16</v>
      </c>
      <c r="Q52">
        <v>-1.8</v>
      </c>
      <c r="R52">
        <v>81.209999999999994</v>
      </c>
      <c r="S52">
        <v>-2.63</v>
      </c>
    </row>
    <row r="53" spans="1:19" x14ac:dyDescent="0.3">
      <c r="A53" t="s">
        <v>13232</v>
      </c>
      <c r="B53" t="s">
        <v>13233</v>
      </c>
      <c r="C53" t="s">
        <v>13234</v>
      </c>
      <c r="D53" t="s">
        <v>13235</v>
      </c>
      <c r="E53">
        <v>21.38</v>
      </c>
      <c r="F53">
        <v>27.794</v>
      </c>
      <c r="G53">
        <v>112</v>
      </c>
      <c r="H53">
        <v>18.172999999999998</v>
      </c>
      <c r="I53">
        <v>97.97</v>
      </c>
      <c r="J53">
        <v>5.4690000000000003</v>
      </c>
      <c r="K53" t="s">
        <v>13040</v>
      </c>
      <c r="L53" t="s">
        <v>13041</v>
      </c>
      <c r="M53" t="s">
        <v>13041</v>
      </c>
      <c r="N53">
        <v>3.75</v>
      </c>
      <c r="O53">
        <v>20320318</v>
      </c>
      <c r="P53">
        <v>135</v>
      </c>
      <c r="Q53">
        <v>-0.15</v>
      </c>
      <c r="R53">
        <v>14.58</v>
      </c>
      <c r="S53">
        <v>-1.49</v>
      </c>
    </row>
    <row r="54" spans="1:19" x14ac:dyDescent="0.3">
      <c r="A54" t="s">
        <v>13236</v>
      </c>
      <c r="B54" t="s">
        <v>13237</v>
      </c>
      <c r="C54" t="s">
        <v>13238</v>
      </c>
      <c r="D54" t="s">
        <v>13239</v>
      </c>
      <c r="E54">
        <v>32.25</v>
      </c>
      <c r="F54">
        <v>41.924999999999997</v>
      </c>
      <c r="G54">
        <v>113</v>
      </c>
      <c r="H54">
        <v>27.413</v>
      </c>
      <c r="I54">
        <v>105.76</v>
      </c>
      <c r="J54">
        <v>5.4690000000000003</v>
      </c>
      <c r="K54" t="s">
        <v>13040</v>
      </c>
      <c r="L54" t="s">
        <v>13041</v>
      </c>
      <c r="M54" t="s">
        <v>13041</v>
      </c>
      <c r="N54">
        <v>3.25</v>
      </c>
      <c r="O54">
        <v>20320318</v>
      </c>
      <c r="P54">
        <v>127.03</v>
      </c>
      <c r="Q54">
        <v>-0.32</v>
      </c>
      <c r="R54">
        <v>19.91</v>
      </c>
      <c r="S54">
        <v>-0.15</v>
      </c>
    </row>
    <row r="55" spans="1:19" x14ac:dyDescent="0.3">
      <c r="A55" t="s">
        <v>13240</v>
      </c>
      <c r="B55" t="s">
        <v>13241</v>
      </c>
      <c r="C55" t="s">
        <v>13242</v>
      </c>
      <c r="D55" t="s">
        <v>13243</v>
      </c>
      <c r="E55">
        <v>10.92</v>
      </c>
      <c r="F55">
        <v>14.196</v>
      </c>
      <c r="G55">
        <v>110</v>
      </c>
      <c r="H55">
        <v>9.282</v>
      </c>
      <c r="I55">
        <v>41.84</v>
      </c>
      <c r="J55">
        <v>5.444</v>
      </c>
      <c r="K55" t="s">
        <v>13040</v>
      </c>
      <c r="L55" t="s">
        <v>13041</v>
      </c>
      <c r="M55" t="s">
        <v>13041</v>
      </c>
      <c r="N55">
        <v>7.585</v>
      </c>
      <c r="O55">
        <v>20320309</v>
      </c>
      <c r="P55">
        <v>147.68</v>
      </c>
      <c r="Q55">
        <v>-0.6</v>
      </c>
      <c r="R55">
        <v>11.37</v>
      </c>
      <c r="S55">
        <v>0.18</v>
      </c>
    </row>
    <row r="56" spans="1:19" x14ac:dyDescent="0.3">
      <c r="A56" t="s">
        <v>13244</v>
      </c>
      <c r="B56" t="s">
        <v>13245</v>
      </c>
      <c r="C56" t="s">
        <v>13246</v>
      </c>
      <c r="D56" t="s">
        <v>13247</v>
      </c>
      <c r="E56">
        <v>13.37</v>
      </c>
      <c r="F56">
        <v>17.381</v>
      </c>
      <c r="G56">
        <v>114</v>
      </c>
      <c r="H56">
        <v>11.364000000000001</v>
      </c>
      <c r="I56">
        <v>91.4</v>
      </c>
      <c r="J56">
        <v>5.4269999999999996</v>
      </c>
      <c r="K56" t="s">
        <v>13040</v>
      </c>
      <c r="L56" t="s">
        <v>13041</v>
      </c>
      <c r="M56" t="s">
        <v>13041</v>
      </c>
      <c r="N56">
        <v>4</v>
      </c>
      <c r="O56">
        <v>20320303</v>
      </c>
      <c r="P56">
        <v>143.87</v>
      </c>
      <c r="Q56">
        <v>-1.31</v>
      </c>
      <c r="R56">
        <v>10.050000000000001</v>
      </c>
      <c r="S56">
        <v>-3.74</v>
      </c>
    </row>
    <row r="57" spans="1:19" x14ac:dyDescent="0.3">
      <c r="A57" t="s">
        <v>13248</v>
      </c>
      <c r="B57" t="s">
        <v>13249</v>
      </c>
      <c r="C57" t="s">
        <v>13250</v>
      </c>
      <c r="D57" t="s">
        <v>13251</v>
      </c>
      <c r="E57">
        <v>55.96</v>
      </c>
      <c r="F57">
        <v>72.748000000000005</v>
      </c>
      <c r="G57">
        <v>110</v>
      </c>
      <c r="H57">
        <v>47.566000000000003</v>
      </c>
      <c r="I57">
        <v>157.15</v>
      </c>
      <c r="J57">
        <v>5.4249999999999998</v>
      </c>
      <c r="K57" t="s">
        <v>13040</v>
      </c>
      <c r="L57" t="s">
        <v>13041</v>
      </c>
      <c r="M57" t="s">
        <v>13041</v>
      </c>
      <c r="N57">
        <v>5.76</v>
      </c>
      <c r="O57">
        <v>20320302</v>
      </c>
      <c r="P57">
        <v>124.94</v>
      </c>
      <c r="Q57">
        <v>-0.15</v>
      </c>
      <c r="R57">
        <v>27.19</v>
      </c>
      <c r="S57">
        <v>-0.95</v>
      </c>
    </row>
    <row r="58" spans="1:19" x14ac:dyDescent="0.3">
      <c r="A58" t="s">
        <v>13252</v>
      </c>
      <c r="B58" t="s">
        <v>13253</v>
      </c>
      <c r="C58" t="s">
        <v>13254</v>
      </c>
      <c r="D58" t="s">
        <v>13255</v>
      </c>
      <c r="E58">
        <v>12.41</v>
      </c>
      <c r="F58">
        <v>16.132999999999999</v>
      </c>
      <c r="G58">
        <v>110</v>
      </c>
      <c r="H58">
        <v>10.548</v>
      </c>
      <c r="I58">
        <v>96.2</v>
      </c>
      <c r="J58">
        <v>5.3529999999999998</v>
      </c>
      <c r="K58" t="s">
        <v>13040</v>
      </c>
      <c r="L58" t="s">
        <v>13041</v>
      </c>
      <c r="M58" t="s">
        <v>13041</v>
      </c>
      <c r="N58">
        <v>8.01</v>
      </c>
      <c r="O58">
        <v>20320205</v>
      </c>
      <c r="P58">
        <v>126.64</v>
      </c>
      <c r="Q58">
        <v>0.51</v>
      </c>
      <c r="R58">
        <v>8.01</v>
      </c>
      <c r="S58">
        <v>0.5</v>
      </c>
    </row>
    <row r="59" spans="1:19" x14ac:dyDescent="0.3">
      <c r="A59" t="s">
        <v>13256</v>
      </c>
      <c r="B59" t="s">
        <v>13257</v>
      </c>
      <c r="C59" t="s">
        <v>13258</v>
      </c>
      <c r="D59" t="s">
        <v>13259</v>
      </c>
      <c r="E59">
        <v>79.400000000000006</v>
      </c>
      <c r="F59">
        <v>103.22</v>
      </c>
      <c r="G59">
        <v>108</v>
      </c>
      <c r="H59">
        <v>67.489999999999995</v>
      </c>
      <c r="I59">
        <v>89.59</v>
      </c>
      <c r="J59">
        <v>5.3150000000000004</v>
      </c>
      <c r="K59" t="s">
        <v>13040</v>
      </c>
      <c r="L59" t="s">
        <v>13041</v>
      </c>
      <c r="M59" t="s">
        <v>13041</v>
      </c>
      <c r="N59">
        <v>19.010000000000002</v>
      </c>
      <c r="O59">
        <v>20320122</v>
      </c>
      <c r="P59">
        <v>128.41999999999999</v>
      </c>
      <c r="Q59">
        <v>-0.57999999999999996</v>
      </c>
      <c r="R59">
        <v>53.78</v>
      </c>
      <c r="S59">
        <v>-1.63</v>
      </c>
    </row>
    <row r="60" spans="1:19" x14ac:dyDescent="0.3">
      <c r="A60" t="s">
        <v>13260</v>
      </c>
      <c r="B60" t="s">
        <v>13261</v>
      </c>
      <c r="C60" t="s">
        <v>13262</v>
      </c>
      <c r="D60" t="s">
        <v>13263</v>
      </c>
      <c r="E60">
        <v>4.59</v>
      </c>
      <c r="F60">
        <v>5.9669999999999996</v>
      </c>
      <c r="G60">
        <v>110</v>
      </c>
      <c r="H60">
        <v>3.6720000000000002</v>
      </c>
      <c r="I60">
        <v>61.08</v>
      </c>
      <c r="J60">
        <v>5.3150000000000004</v>
      </c>
      <c r="K60" t="s">
        <v>13040</v>
      </c>
      <c r="L60" t="s">
        <v>13041</v>
      </c>
      <c r="M60" t="s">
        <v>13041</v>
      </c>
      <c r="N60">
        <v>10</v>
      </c>
      <c r="O60">
        <v>20320122</v>
      </c>
      <c r="P60">
        <v>116.51</v>
      </c>
      <c r="Q60">
        <v>0.51</v>
      </c>
      <c r="R60">
        <v>3.32</v>
      </c>
      <c r="S60">
        <v>0.91</v>
      </c>
    </row>
    <row r="61" spans="1:19" x14ac:dyDescent="0.3">
      <c r="A61" t="s">
        <v>13264</v>
      </c>
      <c r="B61" t="s">
        <v>13265</v>
      </c>
      <c r="C61" t="s">
        <v>13266</v>
      </c>
      <c r="D61" t="s">
        <v>13267</v>
      </c>
      <c r="E61">
        <v>60.02</v>
      </c>
      <c r="F61">
        <v>78.025999999999996</v>
      </c>
      <c r="G61">
        <v>107</v>
      </c>
      <c r="H61">
        <v>51.017000000000003</v>
      </c>
      <c r="I61">
        <v>71.92</v>
      </c>
      <c r="J61">
        <v>5.2990000000000004</v>
      </c>
      <c r="K61" t="s">
        <v>13040</v>
      </c>
      <c r="L61" t="s">
        <v>13041</v>
      </c>
      <c r="M61" t="s">
        <v>13041</v>
      </c>
      <c r="N61">
        <v>17.338999999999999</v>
      </c>
      <c r="O61">
        <v>20320116</v>
      </c>
      <c r="P61">
        <v>135.6</v>
      </c>
      <c r="Q61">
        <v>1.75</v>
      </c>
      <c r="R61">
        <v>47.34</v>
      </c>
      <c r="S61">
        <v>2.71</v>
      </c>
    </row>
    <row r="62" spans="1:19" x14ac:dyDescent="0.3">
      <c r="A62" t="s">
        <v>13268</v>
      </c>
      <c r="B62" t="s">
        <v>13269</v>
      </c>
      <c r="C62" t="s">
        <v>13270</v>
      </c>
      <c r="D62" t="s">
        <v>13271</v>
      </c>
      <c r="E62">
        <v>29.42</v>
      </c>
      <c r="F62">
        <v>38.246000000000002</v>
      </c>
      <c r="G62">
        <v>114</v>
      </c>
      <c r="H62">
        <v>25.007000000000001</v>
      </c>
      <c r="I62">
        <v>143.41</v>
      </c>
      <c r="J62">
        <v>5.2990000000000004</v>
      </c>
      <c r="K62" t="s">
        <v>13040</v>
      </c>
      <c r="L62" t="s">
        <v>13041</v>
      </c>
      <c r="M62" t="s">
        <v>13041</v>
      </c>
      <c r="N62">
        <v>4.4989999999999997</v>
      </c>
      <c r="O62">
        <v>20320116</v>
      </c>
      <c r="P62">
        <v>129.88999999999999</v>
      </c>
      <c r="Q62">
        <v>0.2</v>
      </c>
      <c r="R62">
        <v>15.7</v>
      </c>
      <c r="S62">
        <v>-1.88</v>
      </c>
    </row>
    <row r="63" spans="1:19" x14ac:dyDescent="0.3">
      <c r="A63" t="s">
        <v>13272</v>
      </c>
      <c r="B63" t="s">
        <v>13273</v>
      </c>
      <c r="C63" t="s">
        <v>13274</v>
      </c>
      <c r="D63" t="s">
        <v>13275</v>
      </c>
      <c r="E63">
        <v>63.05</v>
      </c>
      <c r="F63">
        <v>81.965000000000003</v>
      </c>
      <c r="G63">
        <v>110</v>
      </c>
      <c r="H63">
        <v>53.593000000000004</v>
      </c>
      <c r="I63">
        <v>31.9</v>
      </c>
      <c r="J63">
        <v>5.2770000000000001</v>
      </c>
      <c r="K63" t="s">
        <v>13276</v>
      </c>
      <c r="L63" t="s">
        <v>13041</v>
      </c>
      <c r="M63" t="s">
        <v>13041</v>
      </c>
      <c r="N63">
        <v>6.9480000000000004</v>
      </c>
      <c r="O63">
        <v>20320108</v>
      </c>
      <c r="P63">
        <v>301.88</v>
      </c>
      <c r="Q63">
        <v>-7.68</v>
      </c>
      <c r="R63">
        <v>144.30000000000001</v>
      </c>
      <c r="S63">
        <v>-2.95</v>
      </c>
    </row>
    <row r="64" spans="1:19" x14ac:dyDescent="0.3">
      <c r="A64" t="s">
        <v>13277</v>
      </c>
      <c r="B64" t="s">
        <v>13278</v>
      </c>
      <c r="C64" t="s">
        <v>13279</v>
      </c>
      <c r="D64" t="s">
        <v>12824</v>
      </c>
      <c r="E64">
        <v>36.4</v>
      </c>
      <c r="F64">
        <v>47.32</v>
      </c>
      <c r="G64">
        <v>110</v>
      </c>
      <c r="H64">
        <v>30.94</v>
      </c>
      <c r="I64">
        <v>96.82</v>
      </c>
      <c r="J64">
        <v>5.2409999999999997</v>
      </c>
      <c r="K64" t="s">
        <v>13040</v>
      </c>
      <c r="L64" t="s">
        <v>13041</v>
      </c>
      <c r="M64" t="s">
        <v>13041</v>
      </c>
      <c r="N64">
        <v>8</v>
      </c>
      <c r="O64">
        <v>20311226</v>
      </c>
      <c r="P64">
        <v>121.12</v>
      </c>
      <c r="Q64">
        <v>0.1</v>
      </c>
      <c r="R64">
        <v>22.4</v>
      </c>
      <c r="S64">
        <v>-1.1000000000000001</v>
      </c>
    </row>
    <row r="65" spans="1:19" x14ac:dyDescent="0.3">
      <c r="A65" t="s">
        <v>13280</v>
      </c>
      <c r="B65" t="s">
        <v>13281</v>
      </c>
      <c r="C65" t="s">
        <v>13282</v>
      </c>
      <c r="D65" t="s">
        <v>13283</v>
      </c>
      <c r="E65">
        <v>88.6</v>
      </c>
      <c r="F65">
        <v>115.18</v>
      </c>
      <c r="G65">
        <v>108</v>
      </c>
      <c r="H65">
        <v>75.31</v>
      </c>
      <c r="I65">
        <v>94.7</v>
      </c>
      <c r="J65">
        <v>5.2380000000000004</v>
      </c>
      <c r="K65" t="s">
        <v>13040</v>
      </c>
      <c r="L65" t="s">
        <v>13041</v>
      </c>
      <c r="M65" t="s">
        <v>13041</v>
      </c>
      <c r="N65">
        <v>16.707000000000001</v>
      </c>
      <c r="O65">
        <v>20311225</v>
      </c>
      <c r="P65">
        <v>135.21</v>
      </c>
      <c r="Q65">
        <v>-0.55000000000000004</v>
      </c>
      <c r="R65">
        <v>61.53</v>
      </c>
      <c r="S65">
        <v>-0.03</v>
      </c>
    </row>
    <row r="66" spans="1:19" x14ac:dyDescent="0.3">
      <c r="A66" t="s">
        <v>13284</v>
      </c>
      <c r="B66" t="s">
        <v>13285</v>
      </c>
      <c r="C66" t="s">
        <v>13286</v>
      </c>
      <c r="D66" t="s">
        <v>13287</v>
      </c>
      <c r="E66">
        <v>43.42</v>
      </c>
      <c r="F66">
        <v>56.445999999999998</v>
      </c>
      <c r="G66">
        <v>110</v>
      </c>
      <c r="H66">
        <v>36.906999999999996</v>
      </c>
      <c r="I66">
        <v>72.59</v>
      </c>
      <c r="J66">
        <v>5.2110000000000003</v>
      </c>
      <c r="K66" t="s">
        <v>13040</v>
      </c>
      <c r="L66" t="s">
        <v>13041</v>
      </c>
      <c r="M66" t="s">
        <v>13041</v>
      </c>
      <c r="N66">
        <v>8.2750000000000004</v>
      </c>
      <c r="O66">
        <v>20311215</v>
      </c>
      <c r="P66">
        <v>149.61000000000001</v>
      </c>
      <c r="Q66">
        <v>0.21</v>
      </c>
      <c r="R66">
        <v>37.64</v>
      </c>
      <c r="S66">
        <v>-1.7</v>
      </c>
    </row>
    <row r="67" spans="1:19" x14ac:dyDescent="0.3">
      <c r="A67" t="s">
        <v>13288</v>
      </c>
      <c r="B67" t="s">
        <v>13289</v>
      </c>
      <c r="C67" t="s">
        <v>13290</v>
      </c>
      <c r="D67" t="s">
        <v>12807</v>
      </c>
      <c r="E67">
        <v>55.13</v>
      </c>
      <c r="F67">
        <v>66.156000000000006</v>
      </c>
      <c r="G67">
        <v>112</v>
      </c>
      <c r="H67">
        <v>46.860999999999997</v>
      </c>
      <c r="I67">
        <v>19.079999999999998</v>
      </c>
      <c r="J67">
        <v>5.2030000000000003</v>
      </c>
      <c r="K67" t="s">
        <v>13276</v>
      </c>
      <c r="L67" t="s">
        <v>13041</v>
      </c>
      <c r="M67" t="s">
        <v>13041</v>
      </c>
      <c r="N67">
        <v>8.7189999999999994</v>
      </c>
      <c r="O67">
        <v>20311212</v>
      </c>
      <c r="P67">
        <v>155.30000000000001</v>
      </c>
      <c r="Q67">
        <v>-2.69</v>
      </c>
      <c r="R67">
        <v>71.900000000000006</v>
      </c>
      <c r="S67">
        <v>-3.44</v>
      </c>
    </row>
    <row r="68" spans="1:19" x14ac:dyDescent="0.3">
      <c r="A68" t="s">
        <v>13291</v>
      </c>
      <c r="B68" t="s">
        <v>13292</v>
      </c>
      <c r="C68" t="s">
        <v>13293</v>
      </c>
      <c r="D68" t="s">
        <v>12828</v>
      </c>
      <c r="E68">
        <v>38.619999999999997</v>
      </c>
      <c r="F68">
        <v>50.206000000000003</v>
      </c>
      <c r="G68">
        <v>110</v>
      </c>
      <c r="H68">
        <v>32.826999999999998</v>
      </c>
      <c r="I68">
        <v>102.69</v>
      </c>
      <c r="J68">
        <v>5.2</v>
      </c>
      <c r="K68" t="s">
        <v>13040</v>
      </c>
      <c r="L68" t="s">
        <v>13041</v>
      </c>
      <c r="M68" t="s">
        <v>13041</v>
      </c>
      <c r="N68">
        <v>4.9989999999999997</v>
      </c>
      <c r="O68">
        <v>20311211</v>
      </c>
      <c r="P68">
        <v>127.53</v>
      </c>
      <c r="Q68">
        <v>0.38</v>
      </c>
      <c r="R68">
        <v>24.3</v>
      </c>
      <c r="S68">
        <v>-0.65</v>
      </c>
    </row>
    <row r="69" spans="1:19" x14ac:dyDescent="0.3">
      <c r="A69" t="s">
        <v>13294</v>
      </c>
      <c r="B69" t="s">
        <v>13295</v>
      </c>
      <c r="C69" t="s">
        <v>13296</v>
      </c>
      <c r="D69" t="s">
        <v>13297</v>
      </c>
      <c r="E69">
        <v>33.54</v>
      </c>
      <c r="F69">
        <v>43.601999999999997</v>
      </c>
      <c r="G69">
        <v>112</v>
      </c>
      <c r="H69">
        <v>26.832000000000001</v>
      </c>
      <c r="I69">
        <v>16.73</v>
      </c>
      <c r="J69">
        <v>5.2</v>
      </c>
      <c r="K69" t="s">
        <v>13298</v>
      </c>
      <c r="L69" t="s">
        <v>13041</v>
      </c>
      <c r="M69" t="s">
        <v>13041</v>
      </c>
      <c r="N69">
        <v>5.798</v>
      </c>
      <c r="O69">
        <v>20311211</v>
      </c>
      <c r="P69">
        <v>186.68</v>
      </c>
      <c r="Q69">
        <v>-13.31</v>
      </c>
      <c r="R69">
        <v>53.64</v>
      </c>
      <c r="S69">
        <v>-10</v>
      </c>
    </row>
    <row r="70" spans="1:19" x14ac:dyDescent="0.3">
      <c r="A70" t="s">
        <v>13299</v>
      </c>
      <c r="B70" t="s">
        <v>13300</v>
      </c>
      <c r="C70" t="s">
        <v>13301</v>
      </c>
      <c r="D70" t="s">
        <v>1163</v>
      </c>
      <c r="E70">
        <v>12.97</v>
      </c>
      <c r="F70">
        <v>16.861000000000001</v>
      </c>
      <c r="G70">
        <v>114</v>
      </c>
      <c r="H70">
        <v>11.023999999999999</v>
      </c>
      <c r="I70">
        <v>63.57</v>
      </c>
      <c r="J70">
        <v>5.1840000000000002</v>
      </c>
      <c r="K70" t="s">
        <v>13040</v>
      </c>
      <c r="L70" t="s">
        <v>13041</v>
      </c>
      <c r="M70" t="s">
        <v>13041</v>
      </c>
      <c r="N70">
        <v>2.4279999999999999</v>
      </c>
      <c r="O70">
        <v>20311205</v>
      </c>
      <c r="P70">
        <v>151.21</v>
      </c>
      <c r="Q70">
        <v>-1.8</v>
      </c>
      <c r="R70">
        <v>11.99</v>
      </c>
      <c r="S70">
        <v>-1.72</v>
      </c>
    </row>
    <row r="71" spans="1:19" x14ac:dyDescent="0.3">
      <c r="A71" t="s">
        <v>13302</v>
      </c>
      <c r="B71" t="s">
        <v>13303</v>
      </c>
      <c r="C71" t="s">
        <v>13304</v>
      </c>
      <c r="D71" t="s">
        <v>13305</v>
      </c>
      <c r="E71">
        <v>364.15</v>
      </c>
      <c r="F71">
        <v>473.39499999999998</v>
      </c>
      <c r="G71">
        <v>113</v>
      </c>
      <c r="H71">
        <v>309.52699999999999</v>
      </c>
      <c r="I71">
        <v>60.38</v>
      </c>
      <c r="J71">
        <v>5.1449999999999996</v>
      </c>
      <c r="K71" t="s">
        <v>13276</v>
      </c>
      <c r="L71" t="s">
        <v>13041</v>
      </c>
      <c r="M71" t="s">
        <v>13041</v>
      </c>
      <c r="N71">
        <v>5.6210000000000004</v>
      </c>
      <c r="O71">
        <v>20311121</v>
      </c>
      <c r="P71">
        <v>177.93</v>
      </c>
      <c r="Q71">
        <v>-1.72</v>
      </c>
      <c r="R71">
        <v>404</v>
      </c>
      <c r="S71">
        <v>-2.5499999999999998</v>
      </c>
    </row>
    <row r="72" spans="1:19" x14ac:dyDescent="0.3">
      <c r="A72" t="s">
        <v>13306</v>
      </c>
      <c r="B72" t="s">
        <v>13307</v>
      </c>
      <c r="C72" t="s">
        <v>13308</v>
      </c>
      <c r="D72" t="s">
        <v>13309</v>
      </c>
      <c r="E72">
        <v>52.53</v>
      </c>
      <c r="F72">
        <v>68.289000000000001</v>
      </c>
      <c r="G72">
        <v>112</v>
      </c>
      <c r="H72">
        <v>44.651000000000003</v>
      </c>
      <c r="I72">
        <v>57.11</v>
      </c>
      <c r="J72">
        <v>5.1260000000000003</v>
      </c>
      <c r="K72" t="s">
        <v>13276</v>
      </c>
      <c r="L72" t="s">
        <v>13041</v>
      </c>
      <c r="M72" t="s">
        <v>13041</v>
      </c>
      <c r="N72">
        <v>9.9990000000000006</v>
      </c>
      <c r="O72">
        <v>20311114</v>
      </c>
      <c r="P72">
        <v>168.03</v>
      </c>
      <c r="Q72">
        <v>-3.43</v>
      </c>
      <c r="R72">
        <v>56.18</v>
      </c>
      <c r="S72">
        <v>-2.31</v>
      </c>
    </row>
    <row r="73" spans="1:19" x14ac:dyDescent="0.3">
      <c r="A73" t="s">
        <v>13310</v>
      </c>
      <c r="B73" t="s">
        <v>13311</v>
      </c>
      <c r="C73" t="s">
        <v>13312</v>
      </c>
      <c r="D73" t="s">
        <v>13313</v>
      </c>
      <c r="E73">
        <v>52.15</v>
      </c>
      <c r="F73">
        <v>67.795000000000002</v>
      </c>
      <c r="G73">
        <v>114</v>
      </c>
      <c r="H73">
        <v>44.328000000000003</v>
      </c>
      <c r="I73">
        <v>94.33</v>
      </c>
      <c r="J73">
        <v>5.1070000000000002</v>
      </c>
      <c r="K73" t="s">
        <v>13040</v>
      </c>
      <c r="L73" t="s">
        <v>13041</v>
      </c>
      <c r="M73" t="s">
        <v>13041</v>
      </c>
      <c r="N73">
        <v>4.4989999999999997</v>
      </c>
      <c r="O73">
        <v>20311107</v>
      </c>
      <c r="P73">
        <v>141.6</v>
      </c>
      <c r="Q73">
        <v>-0.21</v>
      </c>
      <c r="R73">
        <v>38</v>
      </c>
      <c r="S73">
        <v>-1.2</v>
      </c>
    </row>
    <row r="74" spans="1:19" x14ac:dyDescent="0.3">
      <c r="A74" t="s">
        <v>13314</v>
      </c>
      <c r="B74" t="s">
        <v>13315</v>
      </c>
      <c r="C74" t="s">
        <v>13316</v>
      </c>
      <c r="D74" t="s">
        <v>13317</v>
      </c>
      <c r="E74">
        <v>13.7</v>
      </c>
      <c r="F74">
        <v>17.809999999999999</v>
      </c>
      <c r="G74">
        <v>108</v>
      </c>
      <c r="H74">
        <v>11.645</v>
      </c>
      <c r="I74">
        <v>51.84</v>
      </c>
      <c r="J74">
        <v>5.0960000000000001</v>
      </c>
      <c r="K74" t="s">
        <v>13276</v>
      </c>
      <c r="L74" t="s">
        <v>13041</v>
      </c>
      <c r="M74" t="s">
        <v>13041</v>
      </c>
      <c r="N74">
        <v>8.4979999999999993</v>
      </c>
      <c r="O74">
        <v>20311103</v>
      </c>
      <c r="P74">
        <v>190.41</v>
      </c>
      <c r="Q74">
        <v>-4.87</v>
      </c>
      <c r="R74">
        <v>17.18</v>
      </c>
      <c r="S74">
        <v>-5.76</v>
      </c>
    </row>
    <row r="75" spans="1:19" x14ac:dyDescent="0.3">
      <c r="A75" t="s">
        <v>13318</v>
      </c>
      <c r="B75" t="s">
        <v>13319</v>
      </c>
      <c r="C75" t="s">
        <v>13320</v>
      </c>
      <c r="D75" t="s">
        <v>13321</v>
      </c>
      <c r="E75">
        <v>72.41</v>
      </c>
      <c r="F75">
        <v>94.132999999999996</v>
      </c>
      <c r="G75">
        <v>110</v>
      </c>
      <c r="H75">
        <v>61.548000000000002</v>
      </c>
      <c r="I75">
        <v>98.8</v>
      </c>
      <c r="J75">
        <v>5.0490000000000004</v>
      </c>
      <c r="K75" t="s">
        <v>13276</v>
      </c>
      <c r="L75" t="s">
        <v>13041</v>
      </c>
      <c r="M75" t="s">
        <v>13041</v>
      </c>
      <c r="N75">
        <v>16.763000000000002</v>
      </c>
      <c r="O75">
        <v>20311017</v>
      </c>
      <c r="P75">
        <v>145.4</v>
      </c>
      <c r="Q75">
        <v>0.01</v>
      </c>
      <c r="R75">
        <v>52.96</v>
      </c>
      <c r="S75">
        <v>0.65</v>
      </c>
    </row>
    <row r="76" spans="1:19" x14ac:dyDescent="0.3">
      <c r="A76" t="s">
        <v>13322</v>
      </c>
      <c r="B76" t="s">
        <v>13323</v>
      </c>
      <c r="C76" t="s">
        <v>13324</v>
      </c>
      <c r="D76" t="s">
        <v>13325</v>
      </c>
      <c r="E76">
        <v>9.49</v>
      </c>
      <c r="F76">
        <v>12.337</v>
      </c>
      <c r="G76">
        <v>106</v>
      </c>
      <c r="H76">
        <v>8.0660000000000007</v>
      </c>
      <c r="I76">
        <v>24.52</v>
      </c>
      <c r="J76">
        <v>5.0380000000000003</v>
      </c>
      <c r="K76" t="s">
        <v>13040</v>
      </c>
      <c r="L76" t="s">
        <v>13041</v>
      </c>
      <c r="M76" t="s">
        <v>13041</v>
      </c>
      <c r="N76">
        <v>38.018999999999998</v>
      </c>
      <c r="O76">
        <v>20311013</v>
      </c>
      <c r="P76">
        <v>144.6</v>
      </c>
      <c r="Q76">
        <v>0.77</v>
      </c>
      <c r="R76">
        <v>11.02</v>
      </c>
      <c r="S76">
        <v>1.75</v>
      </c>
    </row>
    <row r="77" spans="1:19" x14ac:dyDescent="0.3">
      <c r="A77" t="s">
        <v>13326</v>
      </c>
      <c r="B77" t="s">
        <v>13327</v>
      </c>
      <c r="C77" t="s">
        <v>13328</v>
      </c>
      <c r="D77" t="s">
        <v>13329</v>
      </c>
      <c r="E77">
        <v>62.8</v>
      </c>
      <c r="F77">
        <v>81.64</v>
      </c>
      <c r="G77">
        <v>112</v>
      </c>
      <c r="H77">
        <v>53.38</v>
      </c>
      <c r="I77">
        <v>58.3</v>
      </c>
      <c r="J77">
        <v>4.992</v>
      </c>
      <c r="K77" t="s">
        <v>13298</v>
      </c>
      <c r="L77" t="s">
        <v>13041</v>
      </c>
      <c r="M77" t="s">
        <v>13041</v>
      </c>
      <c r="N77">
        <v>19.998000000000001</v>
      </c>
      <c r="O77">
        <v>20310926</v>
      </c>
      <c r="P77">
        <v>182.19</v>
      </c>
      <c r="Q77">
        <v>0.24</v>
      </c>
      <c r="R77">
        <v>72.28</v>
      </c>
      <c r="S77">
        <v>-0.1</v>
      </c>
    </row>
    <row r="78" spans="1:19" x14ac:dyDescent="0.3">
      <c r="A78" t="s">
        <v>13330</v>
      </c>
      <c r="B78" t="s">
        <v>13331</v>
      </c>
      <c r="C78" t="s">
        <v>13332</v>
      </c>
      <c r="D78" t="s">
        <v>13333</v>
      </c>
      <c r="E78">
        <v>54.36</v>
      </c>
      <c r="F78">
        <v>70.668000000000006</v>
      </c>
      <c r="G78">
        <v>113</v>
      </c>
      <c r="H78">
        <v>46.206000000000003</v>
      </c>
      <c r="I78">
        <v>-1.27</v>
      </c>
      <c r="J78" t="s">
        <v>13041</v>
      </c>
      <c r="K78" t="s">
        <v>13041</v>
      </c>
      <c r="L78" t="s">
        <v>13334</v>
      </c>
      <c r="M78" t="s">
        <v>13335</v>
      </c>
      <c r="N78">
        <v>0.217</v>
      </c>
      <c r="O78">
        <v>20310828</v>
      </c>
      <c r="P78">
        <v>217.6</v>
      </c>
      <c r="Q78">
        <v>0</v>
      </c>
      <c r="R78">
        <v>119.81</v>
      </c>
      <c r="S78">
        <v>0.55000000000000004</v>
      </c>
    </row>
    <row r="79" spans="1:19" x14ac:dyDescent="0.3">
      <c r="A79" t="s">
        <v>13336</v>
      </c>
      <c r="B79" t="s">
        <v>13337</v>
      </c>
      <c r="C79" t="s">
        <v>13338</v>
      </c>
      <c r="D79" t="s">
        <v>13339</v>
      </c>
      <c r="E79">
        <v>19.190000000000001</v>
      </c>
      <c r="F79">
        <v>24.946999999999999</v>
      </c>
      <c r="G79">
        <v>110</v>
      </c>
      <c r="H79">
        <v>16.312000000000001</v>
      </c>
      <c r="I79">
        <v>58.9</v>
      </c>
      <c r="J79">
        <v>4.8899999999999997</v>
      </c>
      <c r="K79" t="s">
        <v>13040</v>
      </c>
      <c r="L79" t="s">
        <v>13041</v>
      </c>
      <c r="M79" t="s">
        <v>13041</v>
      </c>
      <c r="N79">
        <v>12.923999999999999</v>
      </c>
      <c r="O79">
        <v>20310820</v>
      </c>
      <c r="P79">
        <v>133.56</v>
      </c>
      <c r="Q79">
        <v>0.71</v>
      </c>
      <c r="R79">
        <v>16.13</v>
      </c>
      <c r="S79">
        <v>1.07</v>
      </c>
    </row>
    <row r="80" spans="1:19" x14ac:dyDescent="0.3">
      <c r="A80" t="s">
        <v>13340</v>
      </c>
      <c r="B80" t="s">
        <v>13341</v>
      </c>
      <c r="C80" t="s">
        <v>13342</v>
      </c>
      <c r="D80" t="s">
        <v>13343</v>
      </c>
      <c r="E80">
        <v>12.55</v>
      </c>
      <c r="F80">
        <v>16.315000000000001</v>
      </c>
      <c r="G80">
        <v>110</v>
      </c>
      <c r="H80">
        <v>10.667999999999999</v>
      </c>
      <c r="I80">
        <v>61.55</v>
      </c>
      <c r="J80">
        <v>4.8769999999999998</v>
      </c>
      <c r="K80" t="s">
        <v>13040</v>
      </c>
      <c r="L80" t="s">
        <v>13041</v>
      </c>
      <c r="M80" t="s">
        <v>13041</v>
      </c>
      <c r="N80">
        <v>3.0790000000000002</v>
      </c>
      <c r="O80">
        <v>20310815</v>
      </c>
      <c r="P80">
        <v>133.36000000000001</v>
      </c>
      <c r="Q80">
        <v>-0.13</v>
      </c>
      <c r="R80">
        <v>10.36</v>
      </c>
      <c r="S80">
        <v>-0.77</v>
      </c>
    </row>
    <row r="81" spans="1:19" x14ac:dyDescent="0.3">
      <c r="A81" t="s">
        <v>13344</v>
      </c>
      <c r="B81" t="s">
        <v>13345</v>
      </c>
      <c r="C81" t="s">
        <v>13346</v>
      </c>
      <c r="D81" t="s">
        <v>13347</v>
      </c>
      <c r="E81">
        <v>33.29</v>
      </c>
      <c r="F81">
        <v>43.277000000000001</v>
      </c>
      <c r="G81">
        <v>110</v>
      </c>
      <c r="H81">
        <v>28.297000000000001</v>
      </c>
      <c r="I81">
        <v>4.8899999999999997</v>
      </c>
      <c r="J81">
        <v>4.8520000000000003</v>
      </c>
      <c r="K81" t="s">
        <v>13298</v>
      </c>
      <c r="L81" t="s">
        <v>13041</v>
      </c>
      <c r="M81" t="s">
        <v>13041</v>
      </c>
      <c r="N81">
        <v>11.696999999999999</v>
      </c>
      <c r="O81">
        <v>20310806</v>
      </c>
      <c r="P81">
        <v>319.52999999999997</v>
      </c>
      <c r="Q81">
        <v>-6.75</v>
      </c>
      <c r="R81">
        <v>101.41</v>
      </c>
      <c r="S81">
        <v>-5.22</v>
      </c>
    </row>
    <row r="82" spans="1:19" x14ac:dyDescent="0.3">
      <c r="A82" t="s">
        <v>2111</v>
      </c>
      <c r="B82" t="s">
        <v>13348</v>
      </c>
      <c r="C82" t="s">
        <v>13349</v>
      </c>
      <c r="D82" t="s">
        <v>13350</v>
      </c>
      <c r="E82">
        <v>3.58</v>
      </c>
      <c r="F82">
        <v>4.6539999999999999</v>
      </c>
      <c r="G82">
        <v>106</v>
      </c>
      <c r="H82">
        <v>3.0430000000000001</v>
      </c>
      <c r="I82">
        <v>15.55</v>
      </c>
      <c r="J82">
        <v>4.7750000000000004</v>
      </c>
      <c r="K82" t="s">
        <v>13040</v>
      </c>
      <c r="L82" t="s">
        <v>13041</v>
      </c>
      <c r="M82" t="s">
        <v>13041</v>
      </c>
      <c r="N82">
        <v>48.991999999999997</v>
      </c>
      <c r="O82">
        <v>20310709</v>
      </c>
      <c r="P82">
        <v>136.53</v>
      </c>
      <c r="Q82">
        <v>0.59</v>
      </c>
      <c r="R82">
        <v>4.2300000000000004</v>
      </c>
      <c r="S82">
        <v>0.48</v>
      </c>
    </row>
    <row r="83" spans="1:19" x14ac:dyDescent="0.3">
      <c r="A83" t="s">
        <v>13351</v>
      </c>
      <c r="B83" t="s">
        <v>13352</v>
      </c>
      <c r="C83" t="s">
        <v>13353</v>
      </c>
      <c r="D83" t="s">
        <v>13354</v>
      </c>
      <c r="E83">
        <v>35.159999999999997</v>
      </c>
      <c r="F83">
        <v>45.707999999999998</v>
      </c>
      <c r="G83">
        <v>110</v>
      </c>
      <c r="H83">
        <v>29.885999999999999</v>
      </c>
      <c r="I83">
        <v>63.85</v>
      </c>
      <c r="J83">
        <v>4.7530000000000001</v>
      </c>
      <c r="K83" t="s">
        <v>13040</v>
      </c>
      <c r="L83" t="s">
        <v>13041</v>
      </c>
      <c r="M83" t="s">
        <v>13041</v>
      </c>
      <c r="N83">
        <v>28.016999999999999</v>
      </c>
      <c r="O83">
        <v>20310701</v>
      </c>
      <c r="P83">
        <v>131.13999999999999</v>
      </c>
      <c r="Q83">
        <v>1.24</v>
      </c>
      <c r="R83">
        <v>28.14</v>
      </c>
      <c r="S83">
        <v>1.1499999999999999</v>
      </c>
    </row>
    <row r="84" spans="1:19" x14ac:dyDescent="0.3">
      <c r="A84" t="s">
        <v>13355</v>
      </c>
      <c r="B84" t="s">
        <v>13356</v>
      </c>
      <c r="C84" t="s">
        <v>13357</v>
      </c>
      <c r="D84" t="s">
        <v>13358</v>
      </c>
      <c r="E84">
        <v>16.68</v>
      </c>
      <c r="F84">
        <v>21.684000000000001</v>
      </c>
      <c r="G84">
        <v>114</v>
      </c>
      <c r="H84">
        <v>14.178000000000001</v>
      </c>
      <c r="I84">
        <v>26.44</v>
      </c>
      <c r="J84">
        <v>4.7229999999999999</v>
      </c>
      <c r="K84" t="s">
        <v>13040</v>
      </c>
      <c r="L84" t="s">
        <v>13041</v>
      </c>
      <c r="M84" t="s">
        <v>13041</v>
      </c>
      <c r="N84">
        <v>4.5970000000000004</v>
      </c>
      <c r="O84">
        <v>20310620</v>
      </c>
      <c r="P84">
        <v>141.53</v>
      </c>
      <c r="Q84">
        <v>0.62</v>
      </c>
      <c r="R84">
        <v>18.670000000000002</v>
      </c>
      <c r="S84">
        <v>2.08</v>
      </c>
    </row>
    <row r="85" spans="1:19" x14ac:dyDescent="0.3">
      <c r="A85" t="s">
        <v>13359</v>
      </c>
      <c r="B85" t="s">
        <v>13360</v>
      </c>
      <c r="C85" t="s">
        <v>13361</v>
      </c>
      <c r="D85" t="s">
        <v>13362</v>
      </c>
      <c r="E85">
        <v>22.19</v>
      </c>
      <c r="F85">
        <v>28.847000000000001</v>
      </c>
      <c r="G85">
        <v>113</v>
      </c>
      <c r="H85">
        <v>18.861000000000001</v>
      </c>
      <c r="I85">
        <v>54.89</v>
      </c>
      <c r="J85">
        <v>4.718</v>
      </c>
      <c r="K85" t="s">
        <v>13040</v>
      </c>
      <c r="L85" t="s">
        <v>13041</v>
      </c>
      <c r="M85" t="s">
        <v>13041</v>
      </c>
      <c r="N85">
        <v>5.1970000000000001</v>
      </c>
      <c r="O85">
        <v>20310618</v>
      </c>
      <c r="P85">
        <v>155.1</v>
      </c>
      <c r="Q85">
        <v>-7.0000000000000007E-2</v>
      </c>
      <c r="R85">
        <v>22.22</v>
      </c>
      <c r="S85">
        <v>0.54</v>
      </c>
    </row>
    <row r="86" spans="1:19" x14ac:dyDescent="0.3">
      <c r="A86" t="s">
        <v>13363</v>
      </c>
      <c r="B86" t="s">
        <v>13364</v>
      </c>
      <c r="C86" t="s">
        <v>13365</v>
      </c>
      <c r="D86" t="s">
        <v>13366</v>
      </c>
      <c r="E86">
        <v>9.99</v>
      </c>
      <c r="F86">
        <v>12.987</v>
      </c>
      <c r="G86">
        <v>110</v>
      </c>
      <c r="H86">
        <v>7.992</v>
      </c>
      <c r="I86">
        <v>23.04</v>
      </c>
      <c r="J86">
        <v>4.7119999999999997</v>
      </c>
      <c r="K86" t="s">
        <v>13298</v>
      </c>
      <c r="L86" t="s">
        <v>13041</v>
      </c>
      <c r="M86" t="s">
        <v>13041</v>
      </c>
      <c r="N86">
        <v>4.8659999999999997</v>
      </c>
      <c r="O86">
        <v>20310616</v>
      </c>
      <c r="P86">
        <v>146.81</v>
      </c>
      <c r="Q86">
        <v>-0.26</v>
      </c>
      <c r="R86">
        <v>11.92</v>
      </c>
      <c r="S86">
        <v>0.08</v>
      </c>
    </row>
    <row r="87" spans="1:19" x14ac:dyDescent="0.3">
      <c r="A87" t="s">
        <v>13367</v>
      </c>
      <c r="B87" t="s">
        <v>13368</v>
      </c>
      <c r="C87" t="s">
        <v>13369</v>
      </c>
      <c r="D87" t="s">
        <v>12811</v>
      </c>
      <c r="E87">
        <v>105.96</v>
      </c>
      <c r="F87">
        <v>137.74799999999999</v>
      </c>
      <c r="G87">
        <v>108</v>
      </c>
      <c r="H87">
        <v>90.066000000000003</v>
      </c>
      <c r="I87">
        <v>24.21</v>
      </c>
      <c r="J87">
        <v>4.7119999999999997</v>
      </c>
      <c r="K87" t="s">
        <v>13040</v>
      </c>
      <c r="L87" t="s">
        <v>13041</v>
      </c>
      <c r="M87" t="s">
        <v>13041</v>
      </c>
      <c r="N87">
        <v>11.045999999999999</v>
      </c>
      <c r="O87">
        <v>20310616</v>
      </c>
      <c r="P87">
        <v>146.1</v>
      </c>
      <c r="Q87">
        <v>-0.44</v>
      </c>
      <c r="R87">
        <v>124.63</v>
      </c>
      <c r="S87">
        <v>0.65</v>
      </c>
    </row>
    <row r="88" spans="1:19" x14ac:dyDescent="0.3">
      <c r="A88" t="s">
        <v>13370</v>
      </c>
      <c r="B88" t="s">
        <v>13371</v>
      </c>
      <c r="C88" t="s">
        <v>13372</v>
      </c>
      <c r="D88" t="s">
        <v>13373</v>
      </c>
      <c r="E88">
        <v>35.29</v>
      </c>
      <c r="F88">
        <v>45.877000000000002</v>
      </c>
      <c r="G88">
        <v>112</v>
      </c>
      <c r="H88">
        <v>29.997</v>
      </c>
      <c r="I88">
        <v>40.74</v>
      </c>
      <c r="J88">
        <v>4.6989999999999998</v>
      </c>
      <c r="K88" t="s">
        <v>13276</v>
      </c>
      <c r="L88" t="s">
        <v>13041</v>
      </c>
      <c r="M88" t="s">
        <v>13041</v>
      </c>
      <c r="N88">
        <v>6.1440000000000001</v>
      </c>
      <c r="O88">
        <v>20310611</v>
      </c>
      <c r="P88">
        <v>255.24</v>
      </c>
      <c r="Q88">
        <v>-4.1100000000000003</v>
      </c>
      <c r="R88">
        <v>64</v>
      </c>
      <c r="S88">
        <v>-2.56</v>
      </c>
    </row>
    <row r="89" spans="1:19" x14ac:dyDescent="0.3">
      <c r="A89" t="s">
        <v>13374</v>
      </c>
      <c r="B89" t="s">
        <v>13375</v>
      </c>
      <c r="C89" t="s">
        <v>13376</v>
      </c>
      <c r="D89" t="s">
        <v>12874</v>
      </c>
      <c r="E89">
        <v>12.85</v>
      </c>
      <c r="F89">
        <v>16.704999999999998</v>
      </c>
      <c r="G89">
        <v>114</v>
      </c>
      <c r="H89">
        <v>10.922000000000001</v>
      </c>
      <c r="I89">
        <v>55.59</v>
      </c>
      <c r="J89">
        <v>4.5229999999999997</v>
      </c>
      <c r="K89" t="s">
        <v>13040</v>
      </c>
      <c r="L89" t="s">
        <v>13041</v>
      </c>
      <c r="M89" t="s">
        <v>13041</v>
      </c>
      <c r="N89">
        <v>4.9989999999999997</v>
      </c>
      <c r="O89">
        <v>20310408</v>
      </c>
      <c r="P89">
        <v>123.51</v>
      </c>
      <c r="Q89">
        <v>-0.18</v>
      </c>
      <c r="R89">
        <v>10.199999999999999</v>
      </c>
      <c r="S89">
        <v>-1.1599999999999999</v>
      </c>
    </row>
    <row r="90" spans="1:19" x14ac:dyDescent="0.3">
      <c r="A90" t="s">
        <v>13377</v>
      </c>
      <c r="B90" t="s">
        <v>13378</v>
      </c>
      <c r="C90" t="s">
        <v>13379</v>
      </c>
      <c r="D90" t="s">
        <v>13380</v>
      </c>
      <c r="E90">
        <v>28.38</v>
      </c>
      <c r="F90">
        <v>36.893999999999998</v>
      </c>
      <c r="G90">
        <v>110</v>
      </c>
      <c r="H90">
        <v>24.123000000000001</v>
      </c>
      <c r="I90">
        <v>36</v>
      </c>
      <c r="J90">
        <v>4.5069999999999997</v>
      </c>
      <c r="K90" t="s">
        <v>13276</v>
      </c>
      <c r="L90" t="s">
        <v>13041</v>
      </c>
      <c r="M90" t="s">
        <v>13041</v>
      </c>
      <c r="N90">
        <v>9.0950000000000006</v>
      </c>
      <c r="O90">
        <v>20310402</v>
      </c>
      <c r="P90">
        <v>323.24</v>
      </c>
      <c r="Q90">
        <v>-2.17</v>
      </c>
      <c r="R90">
        <v>67.45</v>
      </c>
      <c r="S90">
        <v>-1.36</v>
      </c>
    </row>
    <row r="91" spans="1:19" x14ac:dyDescent="0.3">
      <c r="A91" t="s">
        <v>2054</v>
      </c>
      <c r="B91" t="s">
        <v>13381</v>
      </c>
      <c r="C91" t="s">
        <v>13382</v>
      </c>
      <c r="D91" t="s">
        <v>13383</v>
      </c>
      <c r="E91">
        <v>5.54</v>
      </c>
      <c r="F91">
        <v>7.202</v>
      </c>
      <c r="G91">
        <v>112</v>
      </c>
      <c r="H91">
        <v>4.7089999999999996</v>
      </c>
      <c r="I91">
        <v>61.2</v>
      </c>
      <c r="J91">
        <v>4.4930000000000003</v>
      </c>
      <c r="K91" t="s">
        <v>13040</v>
      </c>
      <c r="L91" t="s">
        <v>13041</v>
      </c>
      <c r="M91" t="s">
        <v>13041</v>
      </c>
      <c r="N91">
        <v>29.498000000000001</v>
      </c>
      <c r="O91">
        <v>20310328</v>
      </c>
      <c r="P91">
        <v>121.33</v>
      </c>
      <c r="Q91">
        <v>0.28000000000000003</v>
      </c>
      <c r="R91">
        <v>4.17</v>
      </c>
      <c r="S91">
        <v>0.48</v>
      </c>
    </row>
    <row r="92" spans="1:19" x14ac:dyDescent="0.3">
      <c r="A92" t="s">
        <v>13384</v>
      </c>
      <c r="B92" t="s">
        <v>13385</v>
      </c>
      <c r="C92" t="s">
        <v>13386</v>
      </c>
      <c r="D92" t="s">
        <v>12940</v>
      </c>
      <c r="E92">
        <v>11.13</v>
      </c>
      <c r="F92">
        <v>14.468999999999999</v>
      </c>
      <c r="G92">
        <v>110</v>
      </c>
      <c r="H92">
        <v>8.9039999999999999</v>
      </c>
      <c r="I92">
        <v>113.64</v>
      </c>
      <c r="J92">
        <v>4.4660000000000002</v>
      </c>
      <c r="K92" t="s">
        <v>13040</v>
      </c>
      <c r="L92" t="s">
        <v>13041</v>
      </c>
      <c r="M92" t="s">
        <v>13041</v>
      </c>
      <c r="N92">
        <v>6.7</v>
      </c>
      <c r="O92">
        <v>20310318</v>
      </c>
      <c r="P92">
        <v>120.74</v>
      </c>
      <c r="Q92">
        <v>0.09</v>
      </c>
      <c r="R92">
        <v>6.29</v>
      </c>
      <c r="S92">
        <v>1.1299999999999999</v>
      </c>
    </row>
    <row r="93" spans="1:19" x14ac:dyDescent="0.3">
      <c r="A93" t="s">
        <v>2091</v>
      </c>
      <c r="B93" t="s">
        <v>13387</v>
      </c>
      <c r="C93" t="s">
        <v>13388</v>
      </c>
      <c r="D93" t="s">
        <v>13015</v>
      </c>
      <c r="E93">
        <v>18.190000000000001</v>
      </c>
      <c r="F93">
        <v>23.646999999999998</v>
      </c>
      <c r="G93">
        <v>113</v>
      </c>
      <c r="H93">
        <v>15.462</v>
      </c>
      <c r="I93">
        <v>72.95</v>
      </c>
      <c r="J93">
        <v>4.452</v>
      </c>
      <c r="K93" t="s">
        <v>13040</v>
      </c>
      <c r="L93" t="s">
        <v>13041</v>
      </c>
      <c r="M93" t="s">
        <v>13041</v>
      </c>
      <c r="N93">
        <v>9.7970000000000006</v>
      </c>
      <c r="O93">
        <v>20310313</v>
      </c>
      <c r="P93">
        <v>127.5</v>
      </c>
      <c r="Q93">
        <v>-0.31</v>
      </c>
      <c r="R93">
        <v>13.41</v>
      </c>
      <c r="S93">
        <v>-1.18</v>
      </c>
    </row>
    <row r="94" spans="1:19" x14ac:dyDescent="0.3">
      <c r="A94" t="s">
        <v>13389</v>
      </c>
      <c r="B94" t="s">
        <v>13390</v>
      </c>
      <c r="C94" t="s">
        <v>13391</v>
      </c>
      <c r="D94" t="s">
        <v>13392</v>
      </c>
      <c r="E94">
        <v>24.2</v>
      </c>
      <c r="F94">
        <v>31.46</v>
      </c>
      <c r="G94">
        <v>115</v>
      </c>
      <c r="H94">
        <v>20.57</v>
      </c>
      <c r="I94">
        <v>51.57</v>
      </c>
      <c r="J94">
        <v>4.452</v>
      </c>
      <c r="K94" t="s">
        <v>13040</v>
      </c>
      <c r="L94" t="s">
        <v>13041</v>
      </c>
      <c r="M94" t="s">
        <v>13041</v>
      </c>
      <c r="N94">
        <v>3.5390000000000001</v>
      </c>
      <c r="O94">
        <v>20310313</v>
      </c>
      <c r="P94">
        <v>138.1</v>
      </c>
      <c r="Q94">
        <v>-1.06</v>
      </c>
      <c r="R94">
        <v>22.05</v>
      </c>
      <c r="S94">
        <v>-2.86</v>
      </c>
    </row>
    <row r="95" spans="1:19" x14ac:dyDescent="0.3">
      <c r="A95" t="s">
        <v>13393</v>
      </c>
      <c r="B95" t="s">
        <v>13394</v>
      </c>
      <c r="C95" t="s">
        <v>13395</v>
      </c>
      <c r="D95" t="s">
        <v>13396</v>
      </c>
      <c r="E95">
        <v>4.72</v>
      </c>
      <c r="F95">
        <v>6.1360000000000001</v>
      </c>
      <c r="G95">
        <v>108</v>
      </c>
      <c r="H95">
        <v>4.0119999999999996</v>
      </c>
      <c r="I95">
        <v>43.91</v>
      </c>
      <c r="J95">
        <v>4.28</v>
      </c>
      <c r="K95" t="s">
        <v>13040</v>
      </c>
      <c r="L95" t="s">
        <v>13041</v>
      </c>
      <c r="M95" t="s">
        <v>13041</v>
      </c>
      <c r="N95">
        <v>18.998000000000001</v>
      </c>
      <c r="O95">
        <v>20310109</v>
      </c>
      <c r="P95">
        <v>122.57</v>
      </c>
      <c r="Q95">
        <v>0.76</v>
      </c>
      <c r="R95">
        <v>4.0199999999999996</v>
      </c>
      <c r="S95">
        <v>0.5</v>
      </c>
    </row>
    <row r="96" spans="1:19" x14ac:dyDescent="0.3">
      <c r="A96" t="s">
        <v>13397</v>
      </c>
      <c r="B96" t="s">
        <v>13398</v>
      </c>
      <c r="C96" t="s">
        <v>13399</v>
      </c>
      <c r="D96" t="s">
        <v>13400</v>
      </c>
      <c r="E96">
        <v>12.5</v>
      </c>
      <c r="F96">
        <v>16.25</v>
      </c>
      <c r="G96">
        <v>113</v>
      </c>
      <c r="H96">
        <v>10.625</v>
      </c>
      <c r="I96">
        <v>77.540000000000006</v>
      </c>
      <c r="J96">
        <v>4.2709999999999999</v>
      </c>
      <c r="K96" t="s">
        <v>13040</v>
      </c>
      <c r="L96" t="s">
        <v>13041</v>
      </c>
      <c r="M96" t="s">
        <v>13041</v>
      </c>
      <c r="N96">
        <v>7.8460000000000001</v>
      </c>
      <c r="O96">
        <v>20310106</v>
      </c>
      <c r="P96">
        <v>126.55</v>
      </c>
      <c r="Q96">
        <v>0.04</v>
      </c>
      <c r="R96">
        <v>8.91</v>
      </c>
      <c r="S96">
        <v>-0.67</v>
      </c>
    </row>
    <row r="97" spans="1:19" x14ac:dyDescent="0.3">
      <c r="A97" t="s">
        <v>13401</v>
      </c>
      <c r="B97" t="s">
        <v>13402</v>
      </c>
      <c r="C97" t="s">
        <v>13403</v>
      </c>
      <c r="D97" t="s">
        <v>13404</v>
      </c>
      <c r="E97">
        <v>4.8600000000000003</v>
      </c>
      <c r="F97">
        <v>6.3179999999999996</v>
      </c>
      <c r="G97">
        <v>108</v>
      </c>
      <c r="H97">
        <v>4.1310000000000002</v>
      </c>
      <c r="I97">
        <v>27.56</v>
      </c>
      <c r="J97">
        <v>4.2380000000000004</v>
      </c>
      <c r="K97" t="s">
        <v>13040</v>
      </c>
      <c r="L97" t="s">
        <v>13041</v>
      </c>
      <c r="M97" t="s">
        <v>13041</v>
      </c>
      <c r="N97">
        <v>10.814</v>
      </c>
      <c r="O97">
        <v>20301225</v>
      </c>
      <c r="P97">
        <v>131.24</v>
      </c>
      <c r="Q97">
        <v>0.55000000000000004</v>
      </c>
      <c r="R97">
        <v>5</v>
      </c>
      <c r="S97">
        <v>1.21</v>
      </c>
    </row>
    <row r="98" spans="1:19" x14ac:dyDescent="0.3">
      <c r="A98" t="s">
        <v>13405</v>
      </c>
      <c r="B98" t="s">
        <v>13406</v>
      </c>
      <c r="C98" t="s">
        <v>13407</v>
      </c>
      <c r="D98" t="s">
        <v>13408</v>
      </c>
      <c r="E98">
        <v>40.130000000000003</v>
      </c>
      <c r="F98">
        <v>52.168999999999997</v>
      </c>
      <c r="G98">
        <v>113</v>
      </c>
      <c r="H98">
        <v>34.110999999999997</v>
      </c>
      <c r="I98">
        <v>20.260000000000002</v>
      </c>
      <c r="J98">
        <v>4.1639999999999997</v>
      </c>
      <c r="K98" t="s">
        <v>13276</v>
      </c>
      <c r="L98" t="s">
        <v>13041</v>
      </c>
      <c r="M98" t="s">
        <v>13041</v>
      </c>
      <c r="N98">
        <v>8.218</v>
      </c>
      <c r="O98">
        <v>20301128</v>
      </c>
      <c r="P98">
        <v>298.08999999999997</v>
      </c>
      <c r="Q98">
        <v>1.47</v>
      </c>
      <c r="R98">
        <v>99.47</v>
      </c>
      <c r="S98">
        <v>1.92</v>
      </c>
    </row>
    <row r="99" spans="1:19" x14ac:dyDescent="0.3">
      <c r="A99" t="s">
        <v>13409</v>
      </c>
      <c r="B99" t="s">
        <v>13410</v>
      </c>
      <c r="C99" t="s">
        <v>13411</v>
      </c>
      <c r="D99" t="s">
        <v>13412</v>
      </c>
      <c r="E99">
        <v>78.88</v>
      </c>
      <c r="F99">
        <v>102.544</v>
      </c>
      <c r="G99">
        <v>114</v>
      </c>
      <c r="H99">
        <v>67.048000000000002</v>
      </c>
      <c r="I99">
        <v>170.98</v>
      </c>
      <c r="J99">
        <v>4.1070000000000002</v>
      </c>
      <c r="K99" t="s">
        <v>13040</v>
      </c>
      <c r="L99" t="s">
        <v>13041</v>
      </c>
      <c r="M99" t="s">
        <v>13041</v>
      </c>
      <c r="N99">
        <v>3.9550000000000001</v>
      </c>
      <c r="O99">
        <v>20301107</v>
      </c>
      <c r="P99">
        <v>120.72</v>
      </c>
      <c r="Q99">
        <v>0.03</v>
      </c>
      <c r="R99">
        <v>35.14</v>
      </c>
      <c r="S99">
        <v>-3.7</v>
      </c>
    </row>
    <row r="100" spans="1:19" x14ac:dyDescent="0.3">
      <c r="A100" t="s">
        <v>13413</v>
      </c>
      <c r="B100" t="s">
        <v>13414</v>
      </c>
      <c r="C100" t="s">
        <v>13415</v>
      </c>
      <c r="D100" t="s">
        <v>13416</v>
      </c>
      <c r="E100">
        <v>38.78</v>
      </c>
      <c r="F100">
        <v>50.414000000000001</v>
      </c>
      <c r="G100">
        <v>110</v>
      </c>
      <c r="H100">
        <v>31.024000000000001</v>
      </c>
      <c r="I100">
        <v>67.98</v>
      </c>
      <c r="J100">
        <v>4.0880000000000001</v>
      </c>
      <c r="K100" t="s">
        <v>13040</v>
      </c>
      <c r="L100" t="s">
        <v>13041</v>
      </c>
      <c r="M100" t="s">
        <v>13041</v>
      </c>
      <c r="N100">
        <v>13.897</v>
      </c>
      <c r="O100">
        <v>20301031</v>
      </c>
      <c r="P100">
        <v>126.05</v>
      </c>
      <c r="Q100">
        <v>0.12</v>
      </c>
      <c r="R100">
        <v>29.1</v>
      </c>
      <c r="S100">
        <v>0.55000000000000004</v>
      </c>
    </row>
    <row r="101" spans="1:19" x14ac:dyDescent="0.3">
      <c r="A101" t="s">
        <v>13417</v>
      </c>
      <c r="B101" t="s">
        <v>13418</v>
      </c>
      <c r="C101" t="s">
        <v>13419</v>
      </c>
      <c r="D101" t="s">
        <v>13420</v>
      </c>
      <c r="E101">
        <v>2</v>
      </c>
      <c r="F101">
        <v>2.6</v>
      </c>
      <c r="G101">
        <v>110</v>
      </c>
      <c r="H101">
        <v>1.7</v>
      </c>
      <c r="I101">
        <v>22.59</v>
      </c>
      <c r="J101">
        <v>4.08</v>
      </c>
      <c r="K101" t="s">
        <v>13276</v>
      </c>
      <c r="L101" t="s">
        <v>13041</v>
      </c>
      <c r="M101" t="s">
        <v>13041</v>
      </c>
      <c r="N101">
        <v>45.99</v>
      </c>
      <c r="O101">
        <v>20301028</v>
      </c>
      <c r="P101">
        <v>134.24</v>
      </c>
      <c r="Q101">
        <v>-0.4</v>
      </c>
      <c r="R101">
        <v>2.19</v>
      </c>
      <c r="S101">
        <v>0.46</v>
      </c>
    </row>
    <row r="102" spans="1:19" x14ac:dyDescent="0.3">
      <c r="A102" t="s">
        <v>13421</v>
      </c>
      <c r="B102" t="s">
        <v>13422</v>
      </c>
      <c r="C102" t="s">
        <v>13423</v>
      </c>
      <c r="D102" t="s">
        <v>13424</v>
      </c>
      <c r="E102">
        <v>8.19</v>
      </c>
      <c r="F102">
        <v>10.647</v>
      </c>
      <c r="G102">
        <v>110</v>
      </c>
      <c r="H102">
        <v>6.9619999999999997</v>
      </c>
      <c r="I102">
        <v>27.13</v>
      </c>
      <c r="J102">
        <v>4.069</v>
      </c>
      <c r="K102" t="s">
        <v>13040</v>
      </c>
      <c r="L102" t="s">
        <v>13041</v>
      </c>
      <c r="M102" t="s">
        <v>13041</v>
      </c>
      <c r="N102">
        <v>9.8889999999999993</v>
      </c>
      <c r="O102">
        <v>20301024</v>
      </c>
      <c r="P102">
        <v>138.77000000000001</v>
      </c>
      <c r="Q102">
        <v>1.24</v>
      </c>
      <c r="R102">
        <v>8.94</v>
      </c>
      <c r="S102">
        <v>1.94</v>
      </c>
    </row>
    <row r="103" spans="1:19" x14ac:dyDescent="0.3">
      <c r="A103" t="s">
        <v>13425</v>
      </c>
      <c r="B103" t="s">
        <v>13426</v>
      </c>
      <c r="C103" t="s">
        <v>13427</v>
      </c>
      <c r="D103" t="s">
        <v>13428</v>
      </c>
      <c r="E103">
        <v>6.45</v>
      </c>
      <c r="F103">
        <v>8.3849999999999998</v>
      </c>
      <c r="G103">
        <v>112</v>
      </c>
      <c r="H103">
        <v>5.4820000000000002</v>
      </c>
      <c r="I103">
        <v>52.71</v>
      </c>
      <c r="J103">
        <v>4.0490000000000004</v>
      </c>
      <c r="K103" t="s">
        <v>13040</v>
      </c>
      <c r="L103" t="s">
        <v>13041</v>
      </c>
      <c r="M103" t="s">
        <v>13041</v>
      </c>
      <c r="N103">
        <v>7.9969999999999999</v>
      </c>
      <c r="O103">
        <v>20301017</v>
      </c>
      <c r="P103">
        <v>130.93</v>
      </c>
      <c r="Q103">
        <v>0.17</v>
      </c>
      <c r="R103">
        <v>5.53</v>
      </c>
      <c r="S103">
        <v>0</v>
      </c>
    </row>
    <row r="104" spans="1:19" x14ac:dyDescent="0.3">
      <c r="A104" t="s">
        <v>13429</v>
      </c>
      <c r="B104" t="s">
        <v>13430</v>
      </c>
      <c r="C104" t="s">
        <v>13431</v>
      </c>
      <c r="D104" t="s">
        <v>13432</v>
      </c>
      <c r="E104">
        <v>24.81</v>
      </c>
      <c r="F104">
        <v>32.253</v>
      </c>
      <c r="G104">
        <v>115</v>
      </c>
      <c r="H104">
        <v>21.088000000000001</v>
      </c>
      <c r="I104">
        <v>27.57</v>
      </c>
      <c r="J104">
        <v>3.8929999999999998</v>
      </c>
      <c r="K104" t="s">
        <v>13298</v>
      </c>
      <c r="L104" t="s">
        <v>13041</v>
      </c>
      <c r="M104" t="s">
        <v>13041</v>
      </c>
      <c r="N104">
        <v>6.5970000000000004</v>
      </c>
      <c r="O104">
        <v>20300821</v>
      </c>
      <c r="P104">
        <v>266.61</v>
      </c>
      <c r="Q104">
        <v>-1.24</v>
      </c>
      <c r="R104">
        <v>51.85</v>
      </c>
      <c r="S104">
        <v>-2.17</v>
      </c>
    </row>
    <row r="105" spans="1:19" x14ac:dyDescent="0.3">
      <c r="A105" t="s">
        <v>13433</v>
      </c>
      <c r="B105" t="s">
        <v>13434</v>
      </c>
      <c r="C105" t="s">
        <v>13435</v>
      </c>
      <c r="D105" t="s">
        <v>13436</v>
      </c>
      <c r="E105">
        <v>11.15</v>
      </c>
      <c r="F105">
        <v>14.494999999999999</v>
      </c>
      <c r="G105">
        <v>110</v>
      </c>
      <c r="H105">
        <v>9.4770000000000003</v>
      </c>
      <c r="I105">
        <v>19.64</v>
      </c>
      <c r="J105">
        <v>3.88</v>
      </c>
      <c r="K105" t="s">
        <v>13276</v>
      </c>
      <c r="L105" t="s">
        <v>13041</v>
      </c>
      <c r="M105" t="s">
        <v>13041</v>
      </c>
      <c r="N105">
        <v>19.641999999999999</v>
      </c>
      <c r="O105">
        <v>20300816</v>
      </c>
      <c r="P105">
        <v>179.08</v>
      </c>
      <c r="Q105">
        <v>0.72</v>
      </c>
      <c r="R105">
        <v>16.690000000000001</v>
      </c>
      <c r="S105">
        <v>2.14</v>
      </c>
    </row>
    <row r="106" spans="1:19" x14ac:dyDescent="0.3">
      <c r="A106" t="s">
        <v>13437</v>
      </c>
      <c r="B106" t="s">
        <v>13438</v>
      </c>
      <c r="C106" t="s">
        <v>13439</v>
      </c>
      <c r="D106" t="s">
        <v>13440</v>
      </c>
      <c r="E106">
        <v>18.059999999999999</v>
      </c>
      <c r="F106">
        <v>23.478000000000002</v>
      </c>
      <c r="G106">
        <v>115</v>
      </c>
      <c r="H106">
        <v>15.351000000000001</v>
      </c>
      <c r="I106">
        <v>13.28</v>
      </c>
      <c r="J106">
        <v>3.8740000000000001</v>
      </c>
      <c r="K106" t="s">
        <v>13298</v>
      </c>
      <c r="L106" t="s">
        <v>13041</v>
      </c>
      <c r="M106" t="s">
        <v>13041</v>
      </c>
      <c r="N106">
        <v>1.5369999999999999</v>
      </c>
      <c r="O106">
        <v>20300814</v>
      </c>
      <c r="P106">
        <v>353.45</v>
      </c>
      <c r="Q106">
        <v>-4.7300000000000004</v>
      </c>
      <c r="R106">
        <v>56.35</v>
      </c>
      <c r="S106">
        <v>-5.37</v>
      </c>
    </row>
    <row r="107" spans="1:19" x14ac:dyDescent="0.3">
      <c r="A107" t="s">
        <v>13441</v>
      </c>
      <c r="B107" t="s">
        <v>13442</v>
      </c>
      <c r="C107" t="s">
        <v>13443</v>
      </c>
      <c r="D107" t="s">
        <v>13444</v>
      </c>
      <c r="E107">
        <v>24.6</v>
      </c>
      <c r="F107">
        <v>31.98</v>
      </c>
      <c r="G107">
        <v>115</v>
      </c>
      <c r="H107">
        <v>20.91</v>
      </c>
      <c r="I107">
        <v>63.17</v>
      </c>
      <c r="J107">
        <v>3.8220000000000001</v>
      </c>
      <c r="K107" t="s">
        <v>13040</v>
      </c>
      <c r="L107" t="s">
        <v>13041</v>
      </c>
      <c r="M107" t="s">
        <v>13041</v>
      </c>
      <c r="N107">
        <v>8.1210000000000004</v>
      </c>
      <c r="O107">
        <v>20300726</v>
      </c>
      <c r="P107">
        <v>133.12</v>
      </c>
      <c r="Q107">
        <v>1.38</v>
      </c>
      <c r="R107">
        <v>20.07</v>
      </c>
      <c r="S107">
        <v>4.0999999999999996</v>
      </c>
    </row>
    <row r="108" spans="1:19" x14ac:dyDescent="0.3">
      <c r="A108" t="s">
        <v>13445</v>
      </c>
      <c r="B108" t="s">
        <v>13446</v>
      </c>
      <c r="C108" t="s">
        <v>13447</v>
      </c>
      <c r="D108" t="s">
        <v>13448</v>
      </c>
      <c r="E108">
        <v>10.53</v>
      </c>
      <c r="F108">
        <v>13.689</v>
      </c>
      <c r="G108">
        <v>115</v>
      </c>
      <c r="H108">
        <v>8.4239999999999995</v>
      </c>
      <c r="I108">
        <v>63.04</v>
      </c>
      <c r="J108">
        <v>3.8109999999999999</v>
      </c>
      <c r="K108" t="s">
        <v>13040</v>
      </c>
      <c r="L108" t="s">
        <v>13041</v>
      </c>
      <c r="M108" t="s">
        <v>13041</v>
      </c>
      <c r="N108">
        <v>3.38</v>
      </c>
      <c r="O108">
        <v>20300722</v>
      </c>
      <c r="P108">
        <v>130.37</v>
      </c>
      <c r="Q108">
        <v>0.25</v>
      </c>
      <c r="R108">
        <v>8.42</v>
      </c>
      <c r="S108">
        <v>-0.36</v>
      </c>
    </row>
    <row r="109" spans="1:19" x14ac:dyDescent="0.3">
      <c r="A109" t="s">
        <v>13449</v>
      </c>
      <c r="B109" t="s">
        <v>13450</v>
      </c>
      <c r="C109" t="s">
        <v>13451</v>
      </c>
      <c r="D109" t="s">
        <v>12991</v>
      </c>
      <c r="E109">
        <v>7.22</v>
      </c>
      <c r="F109">
        <v>9.3859999999999992</v>
      </c>
      <c r="G109">
        <v>114</v>
      </c>
      <c r="H109">
        <v>6.1369999999999996</v>
      </c>
      <c r="I109">
        <v>2.56</v>
      </c>
      <c r="J109">
        <v>3.778</v>
      </c>
      <c r="K109" t="s">
        <v>13276</v>
      </c>
      <c r="L109" t="s">
        <v>13041</v>
      </c>
      <c r="M109" t="s">
        <v>13041</v>
      </c>
      <c r="N109">
        <v>2.5579999999999998</v>
      </c>
      <c r="O109">
        <v>20300710</v>
      </c>
      <c r="P109">
        <v>251</v>
      </c>
      <c r="Q109">
        <v>-5.75</v>
      </c>
      <c r="R109">
        <v>17.670000000000002</v>
      </c>
      <c r="S109">
        <v>-5.91</v>
      </c>
    </row>
    <row r="110" spans="1:19" x14ac:dyDescent="0.3">
      <c r="A110" t="s">
        <v>13452</v>
      </c>
      <c r="B110" t="s">
        <v>13453</v>
      </c>
      <c r="C110" t="s">
        <v>13454</v>
      </c>
      <c r="D110" t="s">
        <v>13455</v>
      </c>
      <c r="E110">
        <v>30.8</v>
      </c>
      <c r="F110">
        <v>40.04</v>
      </c>
      <c r="G110">
        <v>112</v>
      </c>
      <c r="H110">
        <v>26.18</v>
      </c>
      <c r="I110">
        <v>30.65</v>
      </c>
      <c r="J110">
        <v>3.7639999999999998</v>
      </c>
      <c r="K110" t="s">
        <v>13276</v>
      </c>
      <c r="L110" t="s">
        <v>13041</v>
      </c>
      <c r="M110" t="s">
        <v>13041</v>
      </c>
      <c r="N110">
        <v>2.6040000000000001</v>
      </c>
      <c r="O110">
        <v>20300705</v>
      </c>
      <c r="P110">
        <v>743.59</v>
      </c>
      <c r="Q110">
        <v>-9.6300000000000008</v>
      </c>
      <c r="R110">
        <v>175.3</v>
      </c>
      <c r="S110">
        <v>-3.36</v>
      </c>
    </row>
    <row r="111" spans="1:19" x14ac:dyDescent="0.3">
      <c r="A111" t="s">
        <v>2112</v>
      </c>
      <c r="B111" t="s">
        <v>13456</v>
      </c>
      <c r="C111" t="s">
        <v>13457</v>
      </c>
      <c r="D111" t="s">
        <v>13458</v>
      </c>
      <c r="E111">
        <v>8</v>
      </c>
      <c r="F111">
        <v>10.4</v>
      </c>
      <c r="G111">
        <v>115</v>
      </c>
      <c r="H111">
        <v>6.8</v>
      </c>
      <c r="I111">
        <v>6.61</v>
      </c>
      <c r="J111">
        <v>3.7559999999999998</v>
      </c>
      <c r="K111" t="s">
        <v>13298</v>
      </c>
      <c r="L111" t="s">
        <v>13041</v>
      </c>
      <c r="M111" t="s">
        <v>13041</v>
      </c>
      <c r="N111">
        <v>3.363</v>
      </c>
      <c r="O111">
        <v>20300702</v>
      </c>
      <c r="P111">
        <v>147.12</v>
      </c>
      <c r="Q111">
        <v>-4.13</v>
      </c>
      <c r="R111">
        <v>11.04</v>
      </c>
      <c r="S111">
        <v>-2.82</v>
      </c>
    </row>
    <row r="112" spans="1:19" x14ac:dyDescent="0.3">
      <c r="A112" t="s">
        <v>13459</v>
      </c>
      <c r="B112" t="s">
        <v>13460</v>
      </c>
      <c r="C112" t="s">
        <v>13461</v>
      </c>
      <c r="D112" t="s">
        <v>13462</v>
      </c>
      <c r="E112">
        <v>31.14</v>
      </c>
      <c r="F112">
        <v>40.481999999999999</v>
      </c>
      <c r="G112">
        <v>110</v>
      </c>
      <c r="H112">
        <v>26.469000000000001</v>
      </c>
      <c r="I112">
        <v>66.59</v>
      </c>
      <c r="J112">
        <v>3.427</v>
      </c>
      <c r="K112" t="s">
        <v>13040</v>
      </c>
      <c r="L112" t="s">
        <v>13041</v>
      </c>
      <c r="M112" t="s">
        <v>13041</v>
      </c>
      <c r="N112">
        <v>17.968</v>
      </c>
      <c r="O112">
        <v>20300304</v>
      </c>
      <c r="P112">
        <v>124.7</v>
      </c>
      <c r="Q112">
        <v>0.2</v>
      </c>
      <c r="R112">
        <v>23.31</v>
      </c>
      <c r="S112">
        <v>2.64</v>
      </c>
    </row>
    <row r="113" spans="1:19" x14ac:dyDescent="0.3">
      <c r="A113" t="s">
        <v>13463</v>
      </c>
      <c r="B113" t="s">
        <v>13464</v>
      </c>
      <c r="C113" t="s">
        <v>13465</v>
      </c>
      <c r="D113" t="s">
        <v>13466</v>
      </c>
      <c r="E113">
        <v>5.8</v>
      </c>
      <c r="F113">
        <v>7.54</v>
      </c>
      <c r="G113">
        <v>115</v>
      </c>
      <c r="H113">
        <v>4.93</v>
      </c>
      <c r="I113">
        <v>40.43</v>
      </c>
      <c r="J113">
        <v>3.34</v>
      </c>
      <c r="K113" t="s">
        <v>13040</v>
      </c>
      <c r="L113" t="s">
        <v>13041</v>
      </c>
      <c r="M113" t="s">
        <v>13041</v>
      </c>
      <c r="N113">
        <v>7.5330000000000004</v>
      </c>
      <c r="O113">
        <v>20300131</v>
      </c>
      <c r="P113">
        <v>129.53</v>
      </c>
      <c r="Q113">
        <v>0.41</v>
      </c>
      <c r="R113">
        <v>5.35</v>
      </c>
      <c r="S113">
        <v>0.56000000000000005</v>
      </c>
    </row>
    <row r="114" spans="1:19" x14ac:dyDescent="0.3">
      <c r="A114" t="s">
        <v>13467</v>
      </c>
      <c r="B114" t="s">
        <v>13468</v>
      </c>
      <c r="C114" t="s">
        <v>13469</v>
      </c>
      <c r="D114" t="s">
        <v>13470</v>
      </c>
      <c r="E114">
        <v>19.38</v>
      </c>
      <c r="F114">
        <v>25.193999999999999</v>
      </c>
      <c r="G114">
        <v>115</v>
      </c>
      <c r="H114">
        <v>16.472999999999999</v>
      </c>
      <c r="I114">
        <v>58.72</v>
      </c>
      <c r="J114">
        <v>3.3210000000000002</v>
      </c>
      <c r="K114" t="s">
        <v>13040</v>
      </c>
      <c r="L114" t="s">
        <v>13041</v>
      </c>
      <c r="M114" t="s">
        <v>13041</v>
      </c>
      <c r="N114">
        <v>5.8220000000000001</v>
      </c>
      <c r="O114">
        <v>20300124</v>
      </c>
      <c r="P114">
        <v>134.88</v>
      </c>
      <c r="Q114">
        <v>0.14000000000000001</v>
      </c>
      <c r="R114">
        <v>16.47</v>
      </c>
      <c r="S114">
        <v>0.24</v>
      </c>
    </row>
    <row r="115" spans="1:19" x14ac:dyDescent="0.3">
      <c r="A115" t="s">
        <v>13471</v>
      </c>
      <c r="B115" t="s">
        <v>13472</v>
      </c>
      <c r="C115" t="s">
        <v>13473</v>
      </c>
      <c r="D115" t="s">
        <v>13474</v>
      </c>
      <c r="E115">
        <v>13.46</v>
      </c>
      <c r="F115">
        <v>17.498000000000001</v>
      </c>
      <c r="G115">
        <v>113</v>
      </c>
      <c r="H115">
        <v>11.441000000000001</v>
      </c>
      <c r="I115">
        <v>53.74</v>
      </c>
      <c r="J115">
        <v>3.266</v>
      </c>
      <c r="K115" t="s">
        <v>13040</v>
      </c>
      <c r="L115" t="s">
        <v>13041</v>
      </c>
      <c r="M115" t="s">
        <v>13041</v>
      </c>
      <c r="N115">
        <v>4.3140000000000001</v>
      </c>
      <c r="O115">
        <v>20300104</v>
      </c>
      <c r="P115">
        <v>132.84</v>
      </c>
      <c r="Q115">
        <v>0.16</v>
      </c>
      <c r="R115">
        <v>11.63</v>
      </c>
      <c r="S115">
        <v>-1.86</v>
      </c>
    </row>
    <row r="116" spans="1:19" x14ac:dyDescent="0.3">
      <c r="A116" t="s">
        <v>13475</v>
      </c>
      <c r="B116" t="s">
        <v>13476</v>
      </c>
      <c r="C116" t="s">
        <v>13477</v>
      </c>
      <c r="D116" t="s">
        <v>13478</v>
      </c>
      <c r="E116">
        <v>5.59</v>
      </c>
      <c r="F116">
        <v>7.2670000000000003</v>
      </c>
      <c r="G116">
        <v>108</v>
      </c>
      <c r="H116">
        <v>4.7519999999999998</v>
      </c>
      <c r="I116">
        <v>24.15</v>
      </c>
      <c r="J116">
        <v>3.2629999999999999</v>
      </c>
      <c r="K116" t="s">
        <v>13040</v>
      </c>
      <c r="L116" t="s">
        <v>13041</v>
      </c>
      <c r="M116" t="s">
        <v>13041</v>
      </c>
      <c r="N116">
        <v>19.998999999999999</v>
      </c>
      <c r="O116">
        <v>20300103</v>
      </c>
      <c r="P116">
        <v>131.69999999999999</v>
      </c>
      <c r="Q116">
        <v>0.15</v>
      </c>
      <c r="R116">
        <v>5.93</v>
      </c>
      <c r="S116">
        <v>-0.17</v>
      </c>
    </row>
    <row r="117" spans="1:19" x14ac:dyDescent="0.3">
      <c r="A117" t="s">
        <v>2050</v>
      </c>
      <c r="B117" t="s">
        <v>13479</v>
      </c>
      <c r="C117" t="s">
        <v>13480</v>
      </c>
      <c r="D117" t="s">
        <v>460</v>
      </c>
      <c r="E117">
        <v>10.95</v>
      </c>
      <c r="F117">
        <v>14.234999999999999</v>
      </c>
      <c r="G117">
        <v>115</v>
      </c>
      <c r="H117">
        <v>9.3070000000000004</v>
      </c>
      <c r="I117">
        <v>7.75</v>
      </c>
      <c r="J117">
        <v>3.2490000000000001</v>
      </c>
      <c r="K117" t="s">
        <v>13040</v>
      </c>
      <c r="L117" t="s">
        <v>13041</v>
      </c>
      <c r="M117" t="s">
        <v>13041</v>
      </c>
      <c r="N117">
        <v>5.476</v>
      </c>
      <c r="O117">
        <v>20291229</v>
      </c>
      <c r="P117">
        <v>136.47999999999999</v>
      </c>
      <c r="Q117">
        <v>0.39</v>
      </c>
      <c r="R117">
        <v>13.87</v>
      </c>
      <c r="S117">
        <v>0.87</v>
      </c>
    </row>
    <row r="118" spans="1:19" x14ac:dyDescent="0.3">
      <c r="A118" t="s">
        <v>13481</v>
      </c>
      <c r="B118" t="s">
        <v>13482</v>
      </c>
      <c r="C118" t="s">
        <v>13483</v>
      </c>
      <c r="D118" t="s">
        <v>13484</v>
      </c>
      <c r="E118">
        <v>10.17</v>
      </c>
      <c r="F118">
        <v>13.221</v>
      </c>
      <c r="G118">
        <v>108</v>
      </c>
      <c r="H118">
        <v>8.6449999999999996</v>
      </c>
      <c r="I118">
        <v>58.48</v>
      </c>
      <c r="J118">
        <v>3.238</v>
      </c>
      <c r="K118" t="s">
        <v>13040</v>
      </c>
      <c r="L118" t="s">
        <v>13041</v>
      </c>
      <c r="M118" t="s">
        <v>13041</v>
      </c>
      <c r="N118">
        <v>9.9510000000000005</v>
      </c>
      <c r="O118">
        <v>20291225</v>
      </c>
      <c r="P118">
        <v>119.68</v>
      </c>
      <c r="Q118">
        <v>1.25</v>
      </c>
      <c r="R118">
        <v>7.68</v>
      </c>
      <c r="S118">
        <v>3.92</v>
      </c>
    </row>
    <row r="119" spans="1:19" x14ac:dyDescent="0.3">
      <c r="A119" t="s">
        <v>13485</v>
      </c>
      <c r="B119" t="s">
        <v>13486</v>
      </c>
      <c r="C119" t="s">
        <v>13487</v>
      </c>
      <c r="D119" t="s">
        <v>12085</v>
      </c>
      <c r="E119">
        <v>15.97</v>
      </c>
      <c r="F119">
        <v>20.760999999999999</v>
      </c>
      <c r="G119">
        <v>115</v>
      </c>
      <c r="H119">
        <v>13.574999999999999</v>
      </c>
      <c r="I119">
        <v>70.55</v>
      </c>
      <c r="J119">
        <v>3.238</v>
      </c>
      <c r="K119" t="s">
        <v>13040</v>
      </c>
      <c r="L119" t="s">
        <v>13041</v>
      </c>
      <c r="M119" t="s">
        <v>13041</v>
      </c>
      <c r="N119">
        <v>13.022</v>
      </c>
      <c r="O119">
        <v>20291225</v>
      </c>
      <c r="P119">
        <v>123.13</v>
      </c>
      <c r="Q119">
        <v>0.54</v>
      </c>
      <c r="R119">
        <v>11.53</v>
      </c>
      <c r="S119">
        <v>1.95</v>
      </c>
    </row>
    <row r="120" spans="1:19" x14ac:dyDescent="0.3">
      <c r="A120" t="s">
        <v>13488</v>
      </c>
      <c r="B120" t="s">
        <v>13489</v>
      </c>
      <c r="C120" t="s">
        <v>13490</v>
      </c>
      <c r="D120" t="s">
        <v>13000</v>
      </c>
      <c r="E120">
        <v>21.31</v>
      </c>
      <c r="F120">
        <v>27.702999999999999</v>
      </c>
      <c r="G120">
        <v>115</v>
      </c>
      <c r="H120">
        <v>18.113</v>
      </c>
      <c r="I120">
        <v>20.9</v>
      </c>
      <c r="J120">
        <v>3.2269999999999999</v>
      </c>
      <c r="K120" t="s">
        <v>13276</v>
      </c>
      <c r="L120" t="s">
        <v>13041</v>
      </c>
      <c r="M120" t="s">
        <v>13041</v>
      </c>
      <c r="N120">
        <v>4.3520000000000003</v>
      </c>
      <c r="O120">
        <v>20291221</v>
      </c>
      <c r="P120">
        <v>181.6</v>
      </c>
      <c r="Q120">
        <v>-1.02</v>
      </c>
      <c r="R120">
        <v>32.01</v>
      </c>
      <c r="S120">
        <v>-2.41</v>
      </c>
    </row>
    <row r="121" spans="1:19" x14ac:dyDescent="0.3">
      <c r="A121" t="s">
        <v>13491</v>
      </c>
      <c r="B121" t="s">
        <v>13492</v>
      </c>
      <c r="C121" t="s">
        <v>13493</v>
      </c>
      <c r="D121" t="s">
        <v>12793</v>
      </c>
      <c r="E121">
        <v>15.33</v>
      </c>
      <c r="F121">
        <v>19.928999999999998</v>
      </c>
      <c r="G121">
        <v>115</v>
      </c>
      <c r="H121">
        <v>13.03</v>
      </c>
      <c r="I121">
        <v>39.92</v>
      </c>
      <c r="J121">
        <v>3.1859999999999999</v>
      </c>
      <c r="K121" t="s">
        <v>13040</v>
      </c>
      <c r="L121" t="s">
        <v>13041</v>
      </c>
      <c r="M121" t="s">
        <v>13041</v>
      </c>
      <c r="N121">
        <v>4.5410000000000004</v>
      </c>
      <c r="O121">
        <v>20291206</v>
      </c>
      <c r="P121">
        <v>131.80000000000001</v>
      </c>
      <c r="Q121">
        <v>-0.01</v>
      </c>
      <c r="R121">
        <v>14.44</v>
      </c>
      <c r="S121">
        <v>0.21</v>
      </c>
    </row>
    <row r="122" spans="1:19" x14ac:dyDescent="0.3">
      <c r="A122" t="s">
        <v>2103</v>
      </c>
      <c r="B122" t="s">
        <v>13494</v>
      </c>
      <c r="C122" t="s">
        <v>13495</v>
      </c>
      <c r="D122" t="s">
        <v>13496</v>
      </c>
      <c r="E122">
        <v>42</v>
      </c>
      <c r="F122">
        <v>54.6</v>
      </c>
      <c r="G122">
        <v>112</v>
      </c>
      <c r="H122">
        <v>35.700000000000003</v>
      </c>
      <c r="I122">
        <v>167.08</v>
      </c>
      <c r="J122">
        <v>3.153</v>
      </c>
      <c r="K122" t="s">
        <v>13040</v>
      </c>
      <c r="L122" t="s">
        <v>13041</v>
      </c>
      <c r="M122" t="s">
        <v>13041</v>
      </c>
      <c r="N122">
        <v>4.6929999999999996</v>
      </c>
      <c r="O122">
        <v>20291124</v>
      </c>
      <c r="P122">
        <v>121.65</v>
      </c>
      <c r="Q122">
        <v>0.83</v>
      </c>
      <c r="R122">
        <v>19.13</v>
      </c>
      <c r="S122">
        <v>0.53</v>
      </c>
    </row>
    <row r="123" spans="1:19" x14ac:dyDescent="0.3">
      <c r="A123" t="s">
        <v>2090</v>
      </c>
      <c r="B123" t="s">
        <v>13497</v>
      </c>
      <c r="C123" t="s">
        <v>13498</v>
      </c>
      <c r="D123" t="s">
        <v>13499</v>
      </c>
      <c r="E123">
        <v>12.91</v>
      </c>
      <c r="F123">
        <v>16.783000000000001</v>
      </c>
      <c r="G123">
        <v>115</v>
      </c>
      <c r="H123">
        <v>10.973000000000001</v>
      </c>
      <c r="I123">
        <v>40.659999999999997</v>
      </c>
      <c r="J123">
        <v>3.129</v>
      </c>
      <c r="K123" t="s">
        <v>13040</v>
      </c>
      <c r="L123" t="s">
        <v>13041</v>
      </c>
      <c r="M123" t="s">
        <v>13041</v>
      </c>
      <c r="N123">
        <v>2.9980000000000002</v>
      </c>
      <c r="O123">
        <v>20291115</v>
      </c>
      <c r="P123">
        <v>135.54</v>
      </c>
      <c r="Q123">
        <v>-1.32</v>
      </c>
      <c r="R123">
        <v>12.44</v>
      </c>
      <c r="S123">
        <v>-3.34</v>
      </c>
    </row>
    <row r="124" spans="1:19" x14ac:dyDescent="0.3">
      <c r="A124" t="s">
        <v>13500</v>
      </c>
      <c r="B124" t="s">
        <v>13501</v>
      </c>
      <c r="C124" t="s">
        <v>13502</v>
      </c>
      <c r="D124" t="s">
        <v>13503</v>
      </c>
      <c r="E124">
        <v>12.55</v>
      </c>
      <c r="F124">
        <v>16.315000000000001</v>
      </c>
      <c r="G124">
        <v>115</v>
      </c>
      <c r="H124">
        <v>10.667999999999999</v>
      </c>
      <c r="I124">
        <v>84.53</v>
      </c>
      <c r="J124">
        <v>3.0739999999999998</v>
      </c>
      <c r="K124" t="s">
        <v>13040</v>
      </c>
      <c r="L124" t="s">
        <v>13041</v>
      </c>
      <c r="M124" t="s">
        <v>13041</v>
      </c>
      <c r="N124">
        <v>8.7989999999999995</v>
      </c>
      <c r="O124">
        <v>20291026</v>
      </c>
      <c r="P124">
        <v>124.98</v>
      </c>
      <c r="Q124">
        <v>-0.32</v>
      </c>
      <c r="R124">
        <v>8.5</v>
      </c>
      <c r="S124">
        <v>-3.74</v>
      </c>
    </row>
    <row r="125" spans="1:19" x14ac:dyDescent="0.3">
      <c r="A125" t="s">
        <v>13504</v>
      </c>
      <c r="B125" t="s">
        <v>13505</v>
      </c>
      <c r="C125" t="s">
        <v>13506</v>
      </c>
      <c r="D125" t="s">
        <v>13507</v>
      </c>
      <c r="E125">
        <v>13.2</v>
      </c>
      <c r="F125">
        <v>17.16</v>
      </c>
      <c r="G125">
        <v>115</v>
      </c>
      <c r="H125">
        <v>11.22</v>
      </c>
      <c r="I125">
        <v>27.9</v>
      </c>
      <c r="J125">
        <v>3.0710000000000002</v>
      </c>
      <c r="K125" t="s">
        <v>13276</v>
      </c>
      <c r="L125" t="s">
        <v>13041</v>
      </c>
      <c r="M125" t="s">
        <v>13041</v>
      </c>
      <c r="N125">
        <v>2.8740000000000001</v>
      </c>
      <c r="O125">
        <v>20291025</v>
      </c>
      <c r="P125">
        <v>428.55</v>
      </c>
      <c r="Q125">
        <v>-5.52</v>
      </c>
      <c r="R125">
        <v>44.23</v>
      </c>
      <c r="S125">
        <v>-4.8</v>
      </c>
    </row>
    <row r="126" spans="1:19" x14ac:dyDescent="0.3">
      <c r="A126" t="s">
        <v>13508</v>
      </c>
      <c r="B126" t="s">
        <v>13509</v>
      </c>
      <c r="C126" t="s">
        <v>13510</v>
      </c>
      <c r="D126" t="s">
        <v>12930</v>
      </c>
      <c r="E126">
        <v>9.9499999999999993</v>
      </c>
      <c r="F126">
        <v>12.935</v>
      </c>
      <c r="G126">
        <v>115</v>
      </c>
      <c r="H126">
        <v>8.4570000000000007</v>
      </c>
      <c r="I126">
        <v>88.13</v>
      </c>
      <c r="J126">
        <v>3.0659999999999998</v>
      </c>
      <c r="K126" t="s">
        <v>13040</v>
      </c>
      <c r="L126" t="s">
        <v>13041</v>
      </c>
      <c r="M126" t="s">
        <v>13041</v>
      </c>
      <c r="N126">
        <v>1.7789999999999999</v>
      </c>
      <c r="O126">
        <v>20291023</v>
      </c>
      <c r="P126">
        <v>129.9</v>
      </c>
      <c r="Q126">
        <v>-0.21</v>
      </c>
      <c r="R126">
        <v>6.87</v>
      </c>
      <c r="S126">
        <v>-0.87</v>
      </c>
    </row>
    <row r="127" spans="1:19" x14ac:dyDescent="0.3">
      <c r="A127" t="s">
        <v>13511</v>
      </c>
      <c r="B127" t="s">
        <v>13512</v>
      </c>
      <c r="C127" t="s">
        <v>13513</v>
      </c>
      <c r="D127" t="s">
        <v>13514</v>
      </c>
      <c r="E127">
        <v>20.47</v>
      </c>
      <c r="F127">
        <v>26.611000000000001</v>
      </c>
      <c r="G127">
        <v>115</v>
      </c>
      <c r="H127">
        <v>17.399000000000001</v>
      </c>
      <c r="I127">
        <v>64.53</v>
      </c>
      <c r="J127">
        <v>3.0550000000000002</v>
      </c>
      <c r="K127" t="s">
        <v>13040</v>
      </c>
      <c r="L127" t="s">
        <v>13041</v>
      </c>
      <c r="M127" t="s">
        <v>13041</v>
      </c>
      <c r="N127">
        <v>5.1059999999999999</v>
      </c>
      <c r="O127">
        <v>20291019</v>
      </c>
      <c r="P127">
        <v>134.31</v>
      </c>
      <c r="Q127">
        <v>-0.13</v>
      </c>
      <c r="R127">
        <v>16.71</v>
      </c>
      <c r="S127">
        <v>-2.11</v>
      </c>
    </row>
    <row r="128" spans="1:19" x14ac:dyDescent="0.3">
      <c r="A128" t="s">
        <v>13515</v>
      </c>
      <c r="B128" t="s">
        <v>13516</v>
      </c>
      <c r="C128" t="s">
        <v>13517</v>
      </c>
      <c r="D128" t="s">
        <v>13518</v>
      </c>
      <c r="E128">
        <v>8.68</v>
      </c>
      <c r="F128">
        <v>11.284000000000001</v>
      </c>
      <c r="G128">
        <v>115</v>
      </c>
      <c r="H128">
        <v>7.3780000000000001</v>
      </c>
      <c r="I128">
        <v>31.55</v>
      </c>
      <c r="J128">
        <v>3.052</v>
      </c>
      <c r="K128" t="s">
        <v>13040</v>
      </c>
      <c r="L128" t="s">
        <v>13041</v>
      </c>
      <c r="M128" t="s">
        <v>13041</v>
      </c>
      <c r="N128">
        <v>6.9269999999999996</v>
      </c>
      <c r="O128">
        <v>20291018</v>
      </c>
      <c r="P128">
        <v>137.16</v>
      </c>
      <c r="Q128">
        <v>0.1</v>
      </c>
      <c r="R128">
        <v>9.0500000000000007</v>
      </c>
      <c r="S128">
        <v>0</v>
      </c>
    </row>
    <row r="129" spans="1:19" x14ac:dyDescent="0.3">
      <c r="A129" t="s">
        <v>13519</v>
      </c>
      <c r="B129" t="s">
        <v>13520</v>
      </c>
      <c r="C129" t="s">
        <v>13521</v>
      </c>
      <c r="D129" t="s">
        <v>13522</v>
      </c>
      <c r="E129">
        <v>8.3000000000000007</v>
      </c>
      <c r="F129">
        <v>10.79</v>
      </c>
      <c r="G129">
        <v>113</v>
      </c>
      <c r="H129">
        <v>7.0549999999999997</v>
      </c>
      <c r="I129">
        <v>55.82</v>
      </c>
      <c r="J129">
        <v>3.0489999999999999</v>
      </c>
      <c r="K129" t="s">
        <v>13040</v>
      </c>
      <c r="L129" t="s">
        <v>13041</v>
      </c>
      <c r="M129" t="s">
        <v>13041</v>
      </c>
      <c r="N129">
        <v>2.4249999999999998</v>
      </c>
      <c r="O129">
        <v>20291017</v>
      </c>
      <c r="P129">
        <v>127.85</v>
      </c>
      <c r="Q129">
        <v>0.05</v>
      </c>
      <c r="R129">
        <v>6.81</v>
      </c>
      <c r="S129">
        <v>-0.15</v>
      </c>
    </row>
    <row r="130" spans="1:19" x14ac:dyDescent="0.3">
      <c r="A130" t="s">
        <v>13523</v>
      </c>
      <c r="B130" t="s">
        <v>13524</v>
      </c>
      <c r="C130" t="s">
        <v>13525</v>
      </c>
      <c r="D130" t="s">
        <v>13526</v>
      </c>
      <c r="E130">
        <v>27.34</v>
      </c>
      <c r="F130">
        <v>35.542000000000002</v>
      </c>
      <c r="G130">
        <v>118</v>
      </c>
      <c r="H130">
        <v>23.239000000000001</v>
      </c>
      <c r="I130">
        <v>30.64</v>
      </c>
      <c r="J130">
        <v>3.03</v>
      </c>
      <c r="K130" t="s">
        <v>13040</v>
      </c>
      <c r="L130" t="s">
        <v>13041</v>
      </c>
      <c r="M130" t="s">
        <v>13041</v>
      </c>
      <c r="N130">
        <v>5.585</v>
      </c>
      <c r="O130">
        <v>20291010</v>
      </c>
      <c r="P130">
        <v>138</v>
      </c>
      <c r="Q130">
        <v>2.06</v>
      </c>
      <c r="R130">
        <v>28.88</v>
      </c>
      <c r="S130">
        <v>6.29</v>
      </c>
    </row>
    <row r="131" spans="1:19" x14ac:dyDescent="0.3">
      <c r="A131" t="s">
        <v>13527</v>
      </c>
      <c r="B131" t="s">
        <v>13528</v>
      </c>
      <c r="C131" t="s">
        <v>13529</v>
      </c>
      <c r="D131" t="s">
        <v>13530</v>
      </c>
      <c r="E131">
        <v>11.91</v>
      </c>
      <c r="F131">
        <v>15.483000000000001</v>
      </c>
      <c r="G131">
        <v>116</v>
      </c>
      <c r="H131">
        <v>10.122999999999999</v>
      </c>
      <c r="I131">
        <v>16.11</v>
      </c>
      <c r="J131">
        <v>2.9780000000000002</v>
      </c>
      <c r="K131" t="s">
        <v>13276</v>
      </c>
      <c r="L131" t="s">
        <v>13041</v>
      </c>
      <c r="M131" t="s">
        <v>13041</v>
      </c>
      <c r="N131">
        <v>5.2489999999999997</v>
      </c>
      <c r="O131">
        <v>20290921</v>
      </c>
      <c r="P131">
        <v>305.33</v>
      </c>
      <c r="Q131">
        <v>-2.81</v>
      </c>
      <c r="R131">
        <v>31.32</v>
      </c>
      <c r="S131">
        <v>-2.61</v>
      </c>
    </row>
    <row r="132" spans="1:19" x14ac:dyDescent="0.3">
      <c r="A132" t="s">
        <v>2081</v>
      </c>
      <c r="B132" t="s">
        <v>13531</v>
      </c>
      <c r="C132" t="s">
        <v>13532</v>
      </c>
      <c r="D132" t="s">
        <v>1189</v>
      </c>
      <c r="E132">
        <v>28.09</v>
      </c>
      <c r="F132">
        <v>36.517000000000003</v>
      </c>
      <c r="G132">
        <v>115</v>
      </c>
      <c r="H132">
        <v>23.876999999999999</v>
      </c>
      <c r="I132">
        <v>53.04</v>
      </c>
      <c r="J132">
        <v>2.9729999999999999</v>
      </c>
      <c r="K132" t="s">
        <v>13040</v>
      </c>
      <c r="L132" t="s">
        <v>13041</v>
      </c>
      <c r="M132" t="s">
        <v>13041</v>
      </c>
      <c r="N132">
        <v>2.8479999999999999</v>
      </c>
      <c r="O132">
        <v>20290919</v>
      </c>
      <c r="P132">
        <v>134.62</v>
      </c>
      <c r="Q132">
        <v>0</v>
      </c>
      <c r="R132">
        <v>24.71</v>
      </c>
      <c r="S132">
        <v>-0.2</v>
      </c>
    </row>
    <row r="133" spans="1:19" x14ac:dyDescent="0.3">
      <c r="A133" t="s">
        <v>13533</v>
      </c>
      <c r="B133" t="s">
        <v>13534</v>
      </c>
      <c r="C133" t="s">
        <v>13535</v>
      </c>
      <c r="D133" t="s">
        <v>12963</v>
      </c>
      <c r="E133">
        <v>14.55</v>
      </c>
      <c r="F133">
        <v>18.914999999999999</v>
      </c>
      <c r="G133">
        <v>113</v>
      </c>
      <c r="H133">
        <v>12.367000000000001</v>
      </c>
      <c r="I133">
        <v>72.97</v>
      </c>
      <c r="J133">
        <v>2.9620000000000002</v>
      </c>
      <c r="K133" t="s">
        <v>13040</v>
      </c>
      <c r="L133" t="s">
        <v>13041</v>
      </c>
      <c r="M133" t="s">
        <v>13041</v>
      </c>
      <c r="N133">
        <v>2.052</v>
      </c>
      <c r="O133">
        <v>20290915</v>
      </c>
      <c r="P133">
        <v>131.6</v>
      </c>
      <c r="Q133">
        <v>0.76</v>
      </c>
      <c r="R133">
        <v>11.07</v>
      </c>
      <c r="S133">
        <v>3.75</v>
      </c>
    </row>
    <row r="134" spans="1:19" x14ac:dyDescent="0.3">
      <c r="A134" t="s">
        <v>13536</v>
      </c>
      <c r="B134" t="s">
        <v>13537</v>
      </c>
      <c r="C134" t="s">
        <v>13538</v>
      </c>
      <c r="D134" t="s">
        <v>555</v>
      </c>
      <c r="E134">
        <v>33.659999999999997</v>
      </c>
      <c r="F134">
        <v>43.758000000000003</v>
      </c>
      <c r="G134">
        <v>112</v>
      </c>
      <c r="H134">
        <v>28.611000000000001</v>
      </c>
      <c r="I134">
        <v>33.32</v>
      </c>
      <c r="J134">
        <v>2.9590000000000001</v>
      </c>
      <c r="K134" t="s">
        <v>13276</v>
      </c>
      <c r="L134" t="s">
        <v>13041</v>
      </c>
      <c r="M134" t="s">
        <v>13041</v>
      </c>
      <c r="N134">
        <v>10.489000000000001</v>
      </c>
      <c r="O134">
        <v>20290914</v>
      </c>
      <c r="P134">
        <v>282.64</v>
      </c>
      <c r="Q134">
        <v>-3.46</v>
      </c>
      <c r="R134">
        <v>71.36</v>
      </c>
      <c r="S134">
        <v>-0.71</v>
      </c>
    </row>
    <row r="135" spans="1:19" x14ac:dyDescent="0.3">
      <c r="A135" t="s">
        <v>13539</v>
      </c>
      <c r="B135" t="s">
        <v>13540</v>
      </c>
      <c r="C135" t="s">
        <v>13541</v>
      </c>
      <c r="D135" t="s">
        <v>13542</v>
      </c>
      <c r="E135">
        <v>18.850000000000001</v>
      </c>
      <c r="F135">
        <v>24.504999999999999</v>
      </c>
      <c r="G135">
        <v>113</v>
      </c>
      <c r="H135">
        <v>16.023</v>
      </c>
      <c r="I135">
        <v>34.28</v>
      </c>
      <c r="J135">
        <v>2.9510000000000001</v>
      </c>
      <c r="K135" t="s">
        <v>13276</v>
      </c>
      <c r="L135" t="s">
        <v>13041</v>
      </c>
      <c r="M135" t="s">
        <v>13041</v>
      </c>
      <c r="N135">
        <v>4.42</v>
      </c>
      <c r="O135">
        <v>20290911</v>
      </c>
      <c r="P135">
        <v>157.63999999999999</v>
      </c>
      <c r="Q135">
        <v>-1.97</v>
      </c>
      <c r="R135">
        <v>22.13</v>
      </c>
      <c r="S135">
        <v>-2.98</v>
      </c>
    </row>
    <row r="136" spans="1:19" x14ac:dyDescent="0.3">
      <c r="A136" t="s">
        <v>2104</v>
      </c>
      <c r="B136" t="s">
        <v>13543</v>
      </c>
      <c r="C136" t="s">
        <v>13544</v>
      </c>
      <c r="D136" t="s">
        <v>13545</v>
      </c>
      <c r="E136">
        <v>16.46</v>
      </c>
      <c r="F136">
        <v>21.398</v>
      </c>
      <c r="G136">
        <v>115</v>
      </c>
      <c r="H136">
        <v>13.991</v>
      </c>
      <c r="I136">
        <v>39.64</v>
      </c>
      <c r="J136">
        <v>2.9430000000000001</v>
      </c>
      <c r="K136" t="s">
        <v>13040</v>
      </c>
      <c r="L136" t="s">
        <v>13041</v>
      </c>
      <c r="M136" t="s">
        <v>13041</v>
      </c>
      <c r="N136">
        <v>2.4380000000000002</v>
      </c>
      <c r="O136">
        <v>20290908</v>
      </c>
      <c r="P136">
        <v>139.05000000000001</v>
      </c>
      <c r="Q136">
        <v>1.24</v>
      </c>
      <c r="R136">
        <v>16.39</v>
      </c>
      <c r="S136">
        <v>3.6</v>
      </c>
    </row>
    <row r="137" spans="1:19" x14ac:dyDescent="0.3">
      <c r="A137" t="s">
        <v>2106</v>
      </c>
      <c r="B137" t="s">
        <v>13546</v>
      </c>
      <c r="C137" t="s">
        <v>13547</v>
      </c>
      <c r="D137" t="s">
        <v>12777</v>
      </c>
      <c r="E137">
        <v>8.85</v>
      </c>
      <c r="F137">
        <v>11.505000000000001</v>
      </c>
      <c r="G137">
        <v>115</v>
      </c>
      <c r="H137">
        <v>7.5220000000000002</v>
      </c>
      <c r="I137">
        <v>73.14</v>
      </c>
      <c r="J137">
        <v>2.8849999999999998</v>
      </c>
      <c r="K137" t="s">
        <v>13040</v>
      </c>
      <c r="L137" t="s">
        <v>13041</v>
      </c>
      <c r="M137" t="s">
        <v>13041</v>
      </c>
      <c r="N137">
        <v>2.9049999999999998</v>
      </c>
      <c r="O137">
        <v>20290818</v>
      </c>
      <c r="P137">
        <v>130.1</v>
      </c>
      <c r="Q137">
        <v>0.47</v>
      </c>
      <c r="R137">
        <v>6.65</v>
      </c>
      <c r="S137">
        <v>1.06</v>
      </c>
    </row>
    <row r="138" spans="1:19" x14ac:dyDescent="0.3">
      <c r="A138" t="s">
        <v>13548</v>
      </c>
      <c r="B138" t="s">
        <v>13549</v>
      </c>
      <c r="C138" t="s">
        <v>13550</v>
      </c>
      <c r="D138" t="s">
        <v>13551</v>
      </c>
      <c r="E138">
        <v>6.72</v>
      </c>
      <c r="F138">
        <v>8.7360000000000007</v>
      </c>
      <c r="G138">
        <v>110</v>
      </c>
      <c r="H138">
        <v>5.7119999999999997</v>
      </c>
      <c r="I138">
        <v>27.9</v>
      </c>
      <c r="J138">
        <v>2.8769999999999998</v>
      </c>
      <c r="K138" t="s">
        <v>13040</v>
      </c>
      <c r="L138" t="s">
        <v>13041</v>
      </c>
      <c r="M138" t="s">
        <v>13041</v>
      </c>
      <c r="N138">
        <v>6.7149999999999999</v>
      </c>
      <c r="O138">
        <v>20290815</v>
      </c>
      <c r="P138">
        <v>127.14</v>
      </c>
      <c r="Q138">
        <v>0.83</v>
      </c>
      <c r="R138">
        <v>6.68</v>
      </c>
      <c r="S138">
        <v>0.75</v>
      </c>
    </row>
    <row r="139" spans="1:19" x14ac:dyDescent="0.3">
      <c r="A139" t="s">
        <v>13552</v>
      </c>
      <c r="B139" t="s">
        <v>13553</v>
      </c>
      <c r="C139" t="s">
        <v>13554</v>
      </c>
      <c r="D139" t="s">
        <v>13555</v>
      </c>
      <c r="E139">
        <v>83.39</v>
      </c>
      <c r="F139">
        <v>108.407</v>
      </c>
      <c r="G139">
        <v>115</v>
      </c>
      <c r="H139">
        <v>70.882000000000005</v>
      </c>
      <c r="I139">
        <v>148</v>
      </c>
      <c r="J139">
        <v>2.863</v>
      </c>
      <c r="K139" t="s">
        <v>13040</v>
      </c>
      <c r="L139" t="s">
        <v>13041</v>
      </c>
      <c r="M139" t="s">
        <v>13041</v>
      </c>
      <c r="N139">
        <v>11.398999999999999</v>
      </c>
      <c r="O139">
        <v>20290810</v>
      </c>
      <c r="P139">
        <v>124.7</v>
      </c>
      <c r="Q139">
        <v>0.44</v>
      </c>
      <c r="R139">
        <v>41.93</v>
      </c>
      <c r="S139">
        <v>-1.27</v>
      </c>
    </row>
    <row r="140" spans="1:19" x14ac:dyDescent="0.3">
      <c r="A140" t="s">
        <v>2085</v>
      </c>
      <c r="B140" t="s">
        <v>13556</v>
      </c>
      <c r="C140" t="s">
        <v>13557</v>
      </c>
      <c r="D140" t="s">
        <v>12692</v>
      </c>
      <c r="E140">
        <v>6.18</v>
      </c>
      <c r="F140">
        <v>8.0340000000000007</v>
      </c>
      <c r="G140">
        <v>110</v>
      </c>
      <c r="H140">
        <v>5.2530000000000001</v>
      </c>
      <c r="I140">
        <v>72.61</v>
      </c>
      <c r="J140">
        <v>2.8580000000000001</v>
      </c>
      <c r="K140" t="s">
        <v>13040</v>
      </c>
      <c r="L140" t="s">
        <v>13041</v>
      </c>
      <c r="M140" t="s">
        <v>13041</v>
      </c>
      <c r="N140">
        <v>14.006</v>
      </c>
      <c r="O140">
        <v>20290808</v>
      </c>
      <c r="P140">
        <v>112.56</v>
      </c>
      <c r="Q140">
        <v>0.97</v>
      </c>
      <c r="R140">
        <v>4.03</v>
      </c>
      <c r="S140">
        <v>3.07</v>
      </c>
    </row>
    <row r="141" spans="1:19" x14ac:dyDescent="0.3">
      <c r="A141" t="s">
        <v>2073</v>
      </c>
      <c r="B141" t="s">
        <v>13558</v>
      </c>
      <c r="C141" t="s">
        <v>13559</v>
      </c>
      <c r="D141" t="s">
        <v>13560</v>
      </c>
      <c r="E141">
        <v>6.61</v>
      </c>
      <c r="F141">
        <v>8.593</v>
      </c>
      <c r="G141">
        <v>115</v>
      </c>
      <c r="H141">
        <v>5.6189999999999998</v>
      </c>
      <c r="I141">
        <v>70.52</v>
      </c>
      <c r="J141">
        <v>2.847</v>
      </c>
      <c r="K141" t="s">
        <v>13040</v>
      </c>
      <c r="L141" t="s">
        <v>13041</v>
      </c>
      <c r="M141" t="s">
        <v>13041</v>
      </c>
      <c r="N141">
        <v>21.959</v>
      </c>
      <c r="O141">
        <v>20290804</v>
      </c>
      <c r="P141">
        <v>124.6</v>
      </c>
      <c r="Q141">
        <v>1.99</v>
      </c>
      <c r="R141">
        <v>4.83</v>
      </c>
      <c r="S141">
        <v>4.7699999999999996</v>
      </c>
    </row>
    <row r="142" spans="1:19" x14ac:dyDescent="0.3">
      <c r="A142" t="s">
        <v>12745</v>
      </c>
      <c r="B142" t="s">
        <v>13561</v>
      </c>
      <c r="C142" t="s">
        <v>13562</v>
      </c>
      <c r="D142" t="s">
        <v>13009</v>
      </c>
      <c r="E142">
        <v>19.190000000000001</v>
      </c>
      <c r="F142">
        <v>24.946999999999999</v>
      </c>
      <c r="G142">
        <v>118</v>
      </c>
      <c r="H142">
        <v>16.312000000000001</v>
      </c>
      <c r="I142">
        <v>97.05</v>
      </c>
      <c r="J142">
        <v>2.8439999999999999</v>
      </c>
      <c r="K142" t="s">
        <v>13040</v>
      </c>
      <c r="L142" t="s">
        <v>13041</v>
      </c>
      <c r="M142" t="s">
        <v>13041</v>
      </c>
      <c r="N142">
        <v>8.5549999999999997</v>
      </c>
      <c r="O142">
        <v>20290803</v>
      </c>
      <c r="P142">
        <v>120.96</v>
      </c>
      <c r="Q142">
        <v>0.08</v>
      </c>
      <c r="R142">
        <v>11.78</v>
      </c>
      <c r="S142">
        <v>0.34</v>
      </c>
    </row>
    <row r="143" spans="1:19" x14ac:dyDescent="0.3">
      <c r="A143" t="s">
        <v>2086</v>
      </c>
      <c r="B143" t="s">
        <v>13563</v>
      </c>
      <c r="C143" t="s">
        <v>13564</v>
      </c>
      <c r="D143" t="s">
        <v>12640</v>
      </c>
      <c r="E143">
        <v>6.62</v>
      </c>
      <c r="F143">
        <v>8.6059999999999999</v>
      </c>
      <c r="G143">
        <v>113</v>
      </c>
      <c r="H143">
        <v>5.9580000000000002</v>
      </c>
      <c r="I143">
        <v>56.16</v>
      </c>
      <c r="J143">
        <v>2.8359999999999999</v>
      </c>
      <c r="K143" t="s">
        <v>13040</v>
      </c>
      <c r="L143" t="s">
        <v>13041</v>
      </c>
      <c r="M143" t="s">
        <v>13041</v>
      </c>
      <c r="N143">
        <v>4.5490000000000004</v>
      </c>
      <c r="O143">
        <v>20290731</v>
      </c>
      <c r="P143">
        <v>128.80000000000001</v>
      </c>
      <c r="Q143">
        <v>0.95</v>
      </c>
      <c r="R143">
        <v>5.46</v>
      </c>
      <c r="S143">
        <v>0.74</v>
      </c>
    </row>
    <row r="144" spans="1:19" x14ac:dyDescent="0.3">
      <c r="A144" t="s">
        <v>13565</v>
      </c>
      <c r="B144" t="s">
        <v>13566</v>
      </c>
      <c r="C144" t="s">
        <v>13567</v>
      </c>
      <c r="D144" t="s">
        <v>13568</v>
      </c>
      <c r="E144">
        <v>7.1</v>
      </c>
      <c r="F144">
        <v>9.23</v>
      </c>
      <c r="G144">
        <v>112</v>
      </c>
      <c r="H144">
        <v>6.39</v>
      </c>
      <c r="I144">
        <v>17.39</v>
      </c>
      <c r="J144">
        <v>2.827</v>
      </c>
      <c r="K144" t="s">
        <v>13276</v>
      </c>
      <c r="L144" t="s">
        <v>13041</v>
      </c>
      <c r="M144" t="s">
        <v>13041</v>
      </c>
      <c r="N144">
        <v>3.2589999999999999</v>
      </c>
      <c r="O144">
        <v>20290728</v>
      </c>
      <c r="P144">
        <v>248</v>
      </c>
      <c r="Q144">
        <v>-5.34</v>
      </c>
      <c r="R144">
        <v>15</v>
      </c>
      <c r="S144">
        <v>-3.04</v>
      </c>
    </row>
    <row r="145" spans="1:19" x14ac:dyDescent="0.3">
      <c r="A145" t="s">
        <v>2107</v>
      </c>
      <c r="B145" t="s">
        <v>13569</v>
      </c>
      <c r="C145" t="s">
        <v>13570</v>
      </c>
      <c r="D145" t="s">
        <v>13571</v>
      </c>
      <c r="E145">
        <v>9.1999999999999993</v>
      </c>
      <c r="F145">
        <v>11.96</v>
      </c>
      <c r="G145">
        <v>115</v>
      </c>
      <c r="H145">
        <v>7.82</v>
      </c>
      <c r="I145">
        <v>41.91</v>
      </c>
      <c r="J145">
        <v>2.8250000000000002</v>
      </c>
      <c r="K145" t="s">
        <v>13040</v>
      </c>
      <c r="L145" t="s">
        <v>13041</v>
      </c>
      <c r="M145" t="s">
        <v>13041</v>
      </c>
      <c r="N145">
        <v>3.07</v>
      </c>
      <c r="O145">
        <v>20290727</v>
      </c>
      <c r="P145">
        <v>146.69</v>
      </c>
      <c r="Q145">
        <v>7.0000000000000007E-2</v>
      </c>
      <c r="R145">
        <v>9.51</v>
      </c>
      <c r="S145">
        <v>1.17</v>
      </c>
    </row>
    <row r="146" spans="1:19" x14ac:dyDescent="0.3">
      <c r="A146" t="s">
        <v>13572</v>
      </c>
      <c r="B146" t="s">
        <v>13573</v>
      </c>
      <c r="C146" t="s">
        <v>13574</v>
      </c>
      <c r="D146" t="s">
        <v>13575</v>
      </c>
      <c r="E146">
        <v>7.24</v>
      </c>
      <c r="F146">
        <v>9.4120000000000008</v>
      </c>
      <c r="G146">
        <v>107</v>
      </c>
      <c r="H146">
        <v>6.1539999999999999</v>
      </c>
      <c r="I146">
        <v>42.68</v>
      </c>
      <c r="J146">
        <v>2.8250000000000002</v>
      </c>
      <c r="K146" t="s">
        <v>13040</v>
      </c>
      <c r="L146" t="s">
        <v>13041</v>
      </c>
      <c r="M146" t="s">
        <v>13041</v>
      </c>
      <c r="N146">
        <v>29.998999999999999</v>
      </c>
      <c r="O146">
        <v>20290727</v>
      </c>
      <c r="P146">
        <v>123.17</v>
      </c>
      <c r="Q146">
        <v>0.6</v>
      </c>
      <c r="R146">
        <v>6.25</v>
      </c>
      <c r="S146">
        <v>1.1299999999999999</v>
      </c>
    </row>
    <row r="147" spans="1:19" x14ac:dyDescent="0.3">
      <c r="A147" t="s">
        <v>2108</v>
      </c>
      <c r="B147" t="s">
        <v>13576</v>
      </c>
      <c r="C147" t="s">
        <v>13577</v>
      </c>
      <c r="D147" t="s">
        <v>13578</v>
      </c>
      <c r="E147">
        <v>17.510000000000002</v>
      </c>
      <c r="F147">
        <v>22.763000000000002</v>
      </c>
      <c r="G147">
        <v>113</v>
      </c>
      <c r="H147">
        <v>14.884</v>
      </c>
      <c r="I147">
        <v>33.479999999999997</v>
      </c>
      <c r="J147">
        <v>2.8220000000000001</v>
      </c>
      <c r="K147" t="s">
        <v>13040</v>
      </c>
      <c r="L147" t="s">
        <v>13041</v>
      </c>
      <c r="M147" t="s">
        <v>13041</v>
      </c>
      <c r="N147">
        <v>1.6719999999999999</v>
      </c>
      <c r="O147">
        <v>20290726</v>
      </c>
      <c r="P147">
        <v>157.34</v>
      </c>
      <c r="Q147">
        <v>-0.52</v>
      </c>
      <c r="R147">
        <v>20.64</v>
      </c>
      <c r="S147">
        <v>-1.39</v>
      </c>
    </row>
    <row r="148" spans="1:19" x14ac:dyDescent="0.3">
      <c r="A148" t="s">
        <v>13579</v>
      </c>
      <c r="B148" t="s">
        <v>13580</v>
      </c>
      <c r="C148" t="s">
        <v>13581</v>
      </c>
      <c r="D148" t="s">
        <v>938</v>
      </c>
      <c r="E148">
        <v>10.44</v>
      </c>
      <c r="F148">
        <v>13.571999999999999</v>
      </c>
      <c r="G148">
        <v>115</v>
      </c>
      <c r="H148">
        <v>8.8740000000000006</v>
      </c>
      <c r="I148">
        <v>6.9</v>
      </c>
      <c r="J148">
        <v>2.8079999999999998</v>
      </c>
      <c r="K148" t="s">
        <v>13298</v>
      </c>
      <c r="L148" t="s">
        <v>13041</v>
      </c>
      <c r="M148" t="s">
        <v>13041</v>
      </c>
      <c r="N148">
        <v>1.4550000000000001</v>
      </c>
      <c r="O148">
        <v>20290721</v>
      </c>
      <c r="P148">
        <v>181.96</v>
      </c>
      <c r="Q148">
        <v>-1.1100000000000001</v>
      </c>
      <c r="R148">
        <v>17.77</v>
      </c>
      <c r="S148">
        <v>-0.5</v>
      </c>
    </row>
    <row r="149" spans="1:19" x14ac:dyDescent="0.3">
      <c r="A149" t="s">
        <v>13582</v>
      </c>
      <c r="B149" t="s">
        <v>13583</v>
      </c>
      <c r="C149" t="s">
        <v>13584</v>
      </c>
      <c r="D149" t="s">
        <v>13585</v>
      </c>
      <c r="E149">
        <v>6.91</v>
      </c>
      <c r="F149">
        <v>8.9830000000000005</v>
      </c>
      <c r="G149">
        <v>112</v>
      </c>
      <c r="H149">
        <v>5.8730000000000002</v>
      </c>
      <c r="I149">
        <v>65.81</v>
      </c>
      <c r="J149">
        <v>2.8079999999999998</v>
      </c>
      <c r="K149" t="s">
        <v>13040</v>
      </c>
      <c r="L149" t="s">
        <v>13041</v>
      </c>
      <c r="M149" t="s">
        <v>13041</v>
      </c>
      <c r="N149">
        <v>3.9990000000000001</v>
      </c>
      <c r="O149">
        <v>20290721</v>
      </c>
      <c r="P149">
        <v>124.78</v>
      </c>
      <c r="Q149">
        <v>0.15</v>
      </c>
      <c r="R149">
        <v>5.2</v>
      </c>
      <c r="S149">
        <v>0</v>
      </c>
    </row>
    <row r="150" spans="1:19" x14ac:dyDescent="0.3">
      <c r="A150" t="s">
        <v>13586</v>
      </c>
      <c r="B150" t="s">
        <v>13587</v>
      </c>
      <c r="C150" t="s">
        <v>13588</v>
      </c>
      <c r="D150" t="s">
        <v>13589</v>
      </c>
      <c r="E150">
        <v>7.3</v>
      </c>
      <c r="F150">
        <v>9.49</v>
      </c>
      <c r="G150">
        <v>113</v>
      </c>
      <c r="H150">
        <v>6.2050000000000001</v>
      </c>
      <c r="I150">
        <v>50.56</v>
      </c>
      <c r="J150">
        <v>2.806</v>
      </c>
      <c r="K150" t="s">
        <v>13040</v>
      </c>
      <c r="L150" t="s">
        <v>13041</v>
      </c>
      <c r="M150" t="s">
        <v>13041</v>
      </c>
      <c r="N150">
        <v>4.1040000000000001</v>
      </c>
      <c r="O150">
        <v>20290720</v>
      </c>
      <c r="P150">
        <v>127.88</v>
      </c>
      <c r="Q150">
        <v>-0.17</v>
      </c>
      <c r="R150">
        <v>6.2</v>
      </c>
      <c r="S150">
        <v>-1.74</v>
      </c>
    </row>
    <row r="151" spans="1:19" x14ac:dyDescent="0.3">
      <c r="A151" t="s">
        <v>2076</v>
      </c>
      <c r="B151" t="s">
        <v>13590</v>
      </c>
      <c r="C151" t="s">
        <v>13591</v>
      </c>
      <c r="D151" t="s">
        <v>12624</v>
      </c>
      <c r="E151">
        <v>8.9</v>
      </c>
      <c r="F151">
        <v>11.57</v>
      </c>
      <c r="G151">
        <v>108</v>
      </c>
      <c r="H151">
        <v>7.5650000000000004</v>
      </c>
      <c r="I151">
        <v>50.79</v>
      </c>
      <c r="J151">
        <v>2.8</v>
      </c>
      <c r="K151" t="s">
        <v>13040</v>
      </c>
      <c r="L151" t="s">
        <v>13041</v>
      </c>
      <c r="M151" t="s">
        <v>13041</v>
      </c>
      <c r="N151">
        <v>89.587999999999994</v>
      </c>
      <c r="O151">
        <v>20290718</v>
      </c>
      <c r="P151">
        <v>114.19</v>
      </c>
      <c r="Q151">
        <v>0.5</v>
      </c>
      <c r="R151">
        <v>6.74</v>
      </c>
      <c r="S151">
        <v>2.12</v>
      </c>
    </row>
    <row r="152" spans="1:19" x14ac:dyDescent="0.3">
      <c r="A152" t="s">
        <v>13592</v>
      </c>
      <c r="B152" t="s">
        <v>13593</v>
      </c>
      <c r="C152" t="s">
        <v>13594</v>
      </c>
      <c r="D152" t="s">
        <v>13595</v>
      </c>
      <c r="E152">
        <v>7.12</v>
      </c>
      <c r="F152">
        <v>9.2560000000000002</v>
      </c>
      <c r="G152">
        <v>112</v>
      </c>
      <c r="H152">
        <v>6.0519999999999996</v>
      </c>
      <c r="I152">
        <v>40.770000000000003</v>
      </c>
      <c r="J152">
        <v>2.8</v>
      </c>
      <c r="K152" t="s">
        <v>13276</v>
      </c>
      <c r="L152" t="s">
        <v>13041</v>
      </c>
      <c r="M152" t="s">
        <v>13041</v>
      </c>
      <c r="N152">
        <v>9.0779999999999994</v>
      </c>
      <c r="O152">
        <v>20290718</v>
      </c>
      <c r="P152">
        <v>194.75</v>
      </c>
      <c r="Q152">
        <v>1.82</v>
      </c>
      <c r="R152">
        <v>9.85</v>
      </c>
      <c r="S152">
        <v>2.2799999999999998</v>
      </c>
    </row>
    <row r="153" spans="1:19" x14ac:dyDescent="0.3">
      <c r="A153" t="s">
        <v>13596</v>
      </c>
      <c r="B153" t="s">
        <v>13597</v>
      </c>
      <c r="C153" t="s">
        <v>13598</v>
      </c>
      <c r="D153" t="s">
        <v>12764</v>
      </c>
      <c r="E153">
        <v>7.88</v>
      </c>
      <c r="F153">
        <v>10.244</v>
      </c>
      <c r="G153">
        <v>110</v>
      </c>
      <c r="H153">
        <v>6.6980000000000004</v>
      </c>
      <c r="I153">
        <v>98.48</v>
      </c>
      <c r="J153">
        <v>2.778</v>
      </c>
      <c r="K153" t="s">
        <v>13040</v>
      </c>
      <c r="L153" t="s">
        <v>13041</v>
      </c>
      <c r="M153" t="s">
        <v>13041</v>
      </c>
      <c r="N153">
        <v>3.093</v>
      </c>
      <c r="O153">
        <v>20290710</v>
      </c>
      <c r="P153">
        <v>123.42</v>
      </c>
      <c r="Q153">
        <v>-0.41</v>
      </c>
      <c r="R153">
        <v>4.9000000000000004</v>
      </c>
      <c r="S153">
        <v>-0.41</v>
      </c>
    </row>
    <row r="154" spans="1:19" x14ac:dyDescent="0.3">
      <c r="A154" t="s">
        <v>2063</v>
      </c>
      <c r="B154" t="s">
        <v>13599</v>
      </c>
      <c r="C154" t="s">
        <v>13238</v>
      </c>
      <c r="D154" t="s">
        <v>13239</v>
      </c>
      <c r="E154">
        <v>28.64</v>
      </c>
      <c r="F154">
        <v>37.231999999999999</v>
      </c>
      <c r="G154">
        <v>111</v>
      </c>
      <c r="H154">
        <v>24.344000000000001</v>
      </c>
      <c r="I154">
        <v>79.28</v>
      </c>
      <c r="J154">
        <v>2.7669999999999999</v>
      </c>
      <c r="K154" t="s">
        <v>13040</v>
      </c>
      <c r="L154" t="s">
        <v>13041</v>
      </c>
      <c r="M154" t="s">
        <v>13041</v>
      </c>
      <c r="N154">
        <v>4.6790000000000003</v>
      </c>
      <c r="O154">
        <v>20290706</v>
      </c>
      <c r="P154">
        <v>124.63</v>
      </c>
      <c r="Q154">
        <v>0.32</v>
      </c>
      <c r="R154">
        <v>19.91</v>
      </c>
      <c r="S154">
        <v>-0.15</v>
      </c>
    </row>
    <row r="155" spans="1:19" x14ac:dyDescent="0.3">
      <c r="A155" t="s">
        <v>2069</v>
      </c>
      <c r="B155" t="s">
        <v>13600</v>
      </c>
      <c r="C155" t="s">
        <v>13601</v>
      </c>
      <c r="D155" t="s">
        <v>13602</v>
      </c>
      <c r="E155">
        <v>20.28</v>
      </c>
      <c r="F155">
        <v>26.364000000000001</v>
      </c>
      <c r="G155">
        <v>115</v>
      </c>
      <c r="H155">
        <v>18.251999999999999</v>
      </c>
      <c r="I155">
        <v>11.18</v>
      </c>
      <c r="J155">
        <v>2.7669999999999999</v>
      </c>
      <c r="K155" t="s">
        <v>13040</v>
      </c>
      <c r="L155" t="s">
        <v>13041</v>
      </c>
      <c r="M155" t="s">
        <v>13041</v>
      </c>
      <c r="N155">
        <v>6.6619999999999999</v>
      </c>
      <c r="O155">
        <v>20290706</v>
      </c>
      <c r="P155">
        <v>133</v>
      </c>
      <c r="Q155">
        <v>-0.1</v>
      </c>
      <c r="R155">
        <v>24.26</v>
      </c>
      <c r="S155">
        <v>-2.2599999999999998</v>
      </c>
    </row>
    <row r="156" spans="1:19" x14ac:dyDescent="0.3">
      <c r="A156" t="s">
        <v>13603</v>
      </c>
      <c r="B156" t="s">
        <v>13604</v>
      </c>
      <c r="C156" t="s">
        <v>13605</v>
      </c>
      <c r="D156" t="s">
        <v>13606</v>
      </c>
      <c r="E156">
        <v>16.41</v>
      </c>
      <c r="F156">
        <v>21.332999999999998</v>
      </c>
      <c r="G156">
        <v>115</v>
      </c>
      <c r="H156">
        <v>13.948</v>
      </c>
      <c r="I156">
        <v>29.76</v>
      </c>
      <c r="J156">
        <v>2.7589999999999999</v>
      </c>
      <c r="K156" t="s">
        <v>13276</v>
      </c>
      <c r="L156" t="s">
        <v>13041</v>
      </c>
      <c r="M156" t="s">
        <v>13041</v>
      </c>
      <c r="N156">
        <v>5.9960000000000004</v>
      </c>
      <c r="O156">
        <v>20290703</v>
      </c>
      <c r="P156">
        <v>159.72999999999999</v>
      </c>
      <c r="Q156">
        <v>-0.77</v>
      </c>
      <c r="R156">
        <v>20.2</v>
      </c>
      <c r="S156">
        <v>0.65</v>
      </c>
    </row>
    <row r="157" spans="1:19" x14ac:dyDescent="0.3">
      <c r="A157" t="s">
        <v>2074</v>
      </c>
      <c r="B157" t="s">
        <v>13607</v>
      </c>
      <c r="C157" t="s">
        <v>13608</v>
      </c>
      <c r="D157" t="s">
        <v>13609</v>
      </c>
      <c r="E157">
        <v>18.5</v>
      </c>
      <c r="F157">
        <v>24.05</v>
      </c>
      <c r="G157">
        <v>115</v>
      </c>
      <c r="H157">
        <v>15.725</v>
      </c>
      <c r="I157">
        <v>29.31</v>
      </c>
      <c r="J157">
        <v>2.7450000000000001</v>
      </c>
      <c r="K157" t="s">
        <v>13040</v>
      </c>
      <c r="L157" t="s">
        <v>13041</v>
      </c>
      <c r="M157" t="s">
        <v>13041</v>
      </c>
      <c r="N157">
        <v>3.8</v>
      </c>
      <c r="O157">
        <v>20290628</v>
      </c>
      <c r="P157">
        <v>140.71</v>
      </c>
      <c r="Q157">
        <v>-0.77</v>
      </c>
      <c r="R157">
        <v>20.13</v>
      </c>
      <c r="S157">
        <v>-2.38</v>
      </c>
    </row>
    <row r="158" spans="1:19" x14ac:dyDescent="0.3">
      <c r="A158" t="s">
        <v>13610</v>
      </c>
      <c r="B158" t="s">
        <v>13611</v>
      </c>
      <c r="C158" t="s">
        <v>13612</v>
      </c>
      <c r="D158" t="s">
        <v>13613</v>
      </c>
      <c r="E158">
        <v>18.21</v>
      </c>
      <c r="F158">
        <v>23.672999999999998</v>
      </c>
      <c r="G158">
        <v>112</v>
      </c>
      <c r="H158">
        <v>14.568</v>
      </c>
      <c r="I158">
        <v>134.80000000000001</v>
      </c>
      <c r="J158">
        <v>2.7229999999999999</v>
      </c>
      <c r="K158" t="s">
        <v>13040</v>
      </c>
      <c r="L158" t="s">
        <v>13041</v>
      </c>
      <c r="M158" t="s">
        <v>13041</v>
      </c>
      <c r="N158">
        <v>5.9989999999999997</v>
      </c>
      <c r="O158">
        <v>20290620</v>
      </c>
      <c r="P158">
        <v>119.79</v>
      </c>
      <c r="Q158">
        <v>0.19</v>
      </c>
      <c r="R158">
        <v>9.2899999999999991</v>
      </c>
      <c r="S158">
        <v>2.09</v>
      </c>
    </row>
    <row r="159" spans="1:19" x14ac:dyDescent="0.3">
      <c r="A159" t="s">
        <v>12969</v>
      </c>
      <c r="B159" t="s">
        <v>13614</v>
      </c>
      <c r="C159" t="s">
        <v>13615</v>
      </c>
      <c r="D159" t="s">
        <v>13616</v>
      </c>
      <c r="E159">
        <v>13</v>
      </c>
      <c r="F159">
        <v>16.899999999999999</v>
      </c>
      <c r="G159">
        <v>108</v>
      </c>
      <c r="H159">
        <v>11.05</v>
      </c>
      <c r="I159">
        <v>35.57</v>
      </c>
      <c r="J159">
        <v>2.7010000000000001</v>
      </c>
      <c r="K159" t="s">
        <v>13040</v>
      </c>
      <c r="L159" t="s">
        <v>13041</v>
      </c>
      <c r="M159" t="s">
        <v>13041</v>
      </c>
      <c r="N159">
        <v>3.1970000000000001</v>
      </c>
      <c r="O159">
        <v>20290612</v>
      </c>
      <c r="P159">
        <v>138.28</v>
      </c>
      <c r="Q159">
        <v>0.43</v>
      </c>
      <c r="R159">
        <v>13.26</v>
      </c>
      <c r="S159">
        <v>0.99</v>
      </c>
    </row>
    <row r="160" spans="1:19" x14ac:dyDescent="0.3">
      <c r="A160" t="s">
        <v>13617</v>
      </c>
      <c r="B160" t="s">
        <v>13618</v>
      </c>
      <c r="C160" t="s">
        <v>13619</v>
      </c>
      <c r="D160" t="s">
        <v>13620</v>
      </c>
      <c r="E160">
        <v>62.31</v>
      </c>
      <c r="F160">
        <v>81.003</v>
      </c>
      <c r="G160">
        <v>115</v>
      </c>
      <c r="H160">
        <v>52.963999999999999</v>
      </c>
      <c r="I160">
        <v>19.03</v>
      </c>
      <c r="J160">
        <v>2.7010000000000001</v>
      </c>
      <c r="K160" t="s">
        <v>13298</v>
      </c>
      <c r="L160" t="s">
        <v>13041</v>
      </c>
      <c r="M160" t="s">
        <v>13041</v>
      </c>
      <c r="N160">
        <v>4.7990000000000004</v>
      </c>
      <c r="O160">
        <v>20290612</v>
      </c>
      <c r="P160">
        <v>145.15</v>
      </c>
      <c r="Q160">
        <v>-0.49</v>
      </c>
      <c r="R160">
        <v>75.98</v>
      </c>
      <c r="S160">
        <v>-4.63</v>
      </c>
    </row>
    <row r="161" spans="1:19" x14ac:dyDescent="0.3">
      <c r="A161" t="s">
        <v>2053</v>
      </c>
      <c r="B161" t="s">
        <v>13621</v>
      </c>
      <c r="C161" t="s">
        <v>13622</v>
      </c>
      <c r="D161" t="s">
        <v>12610</v>
      </c>
      <c r="E161">
        <v>4.34</v>
      </c>
      <c r="F161">
        <v>5.2080000000000002</v>
      </c>
      <c r="G161">
        <v>108</v>
      </c>
      <c r="H161">
        <v>3.6890000000000001</v>
      </c>
      <c r="I161">
        <v>31.1</v>
      </c>
      <c r="J161">
        <v>2.556</v>
      </c>
      <c r="K161" t="s">
        <v>13040</v>
      </c>
      <c r="L161" t="s">
        <v>13041</v>
      </c>
      <c r="M161" t="s">
        <v>13041</v>
      </c>
      <c r="N161">
        <v>83.22</v>
      </c>
      <c r="O161">
        <v>20290420</v>
      </c>
      <c r="P161">
        <v>115.69</v>
      </c>
      <c r="Q161">
        <v>0.55000000000000004</v>
      </c>
      <c r="R161">
        <v>3.83</v>
      </c>
      <c r="S161">
        <v>2.41</v>
      </c>
    </row>
    <row r="162" spans="1:19" x14ac:dyDescent="0.3">
      <c r="A162" t="s">
        <v>2102</v>
      </c>
      <c r="B162" t="s">
        <v>13623</v>
      </c>
      <c r="C162" t="s">
        <v>13624</v>
      </c>
      <c r="D162" t="s">
        <v>12734</v>
      </c>
      <c r="E162">
        <v>21.91</v>
      </c>
      <c r="F162">
        <v>28.483000000000001</v>
      </c>
      <c r="G162">
        <v>115</v>
      </c>
      <c r="H162">
        <v>18.623000000000001</v>
      </c>
      <c r="I162">
        <v>97.93</v>
      </c>
      <c r="J162">
        <v>2.5510000000000002</v>
      </c>
      <c r="K162" t="s">
        <v>13040</v>
      </c>
      <c r="L162" t="s">
        <v>13041</v>
      </c>
      <c r="M162" t="s">
        <v>13041</v>
      </c>
      <c r="N162">
        <v>3.5009999999999999</v>
      </c>
      <c r="O162">
        <v>20290418</v>
      </c>
      <c r="P162">
        <v>125.57</v>
      </c>
      <c r="Q162">
        <v>0.45</v>
      </c>
      <c r="R162">
        <v>13.9</v>
      </c>
      <c r="S162">
        <v>-1.35</v>
      </c>
    </row>
    <row r="163" spans="1:19" x14ac:dyDescent="0.3">
      <c r="A163" t="s">
        <v>13625</v>
      </c>
      <c r="B163" t="s">
        <v>13626</v>
      </c>
      <c r="C163" t="s">
        <v>13627</v>
      </c>
      <c r="D163" t="s">
        <v>13628</v>
      </c>
      <c r="E163">
        <v>59.09</v>
      </c>
      <c r="F163">
        <v>76.816999999999993</v>
      </c>
      <c r="G163">
        <v>115</v>
      </c>
      <c r="H163">
        <v>50.226999999999997</v>
      </c>
      <c r="I163">
        <v>52.15</v>
      </c>
      <c r="J163">
        <v>2.548</v>
      </c>
      <c r="K163" t="s">
        <v>13040</v>
      </c>
      <c r="L163" t="s">
        <v>13041</v>
      </c>
      <c r="M163" t="s">
        <v>13041</v>
      </c>
      <c r="N163">
        <v>5.4550000000000001</v>
      </c>
      <c r="O163">
        <v>20290417</v>
      </c>
      <c r="P163">
        <v>172.6</v>
      </c>
      <c r="Q163">
        <v>2.35</v>
      </c>
      <c r="R163">
        <v>67.03</v>
      </c>
      <c r="S163">
        <v>0.12</v>
      </c>
    </row>
    <row r="164" spans="1:19" x14ac:dyDescent="0.3">
      <c r="A164" t="s">
        <v>13629</v>
      </c>
      <c r="B164" t="s">
        <v>13630</v>
      </c>
      <c r="C164" t="s">
        <v>13631</v>
      </c>
      <c r="D164" t="s">
        <v>13632</v>
      </c>
      <c r="E164">
        <v>37.54</v>
      </c>
      <c r="F164">
        <v>48.802</v>
      </c>
      <c r="G164">
        <v>115</v>
      </c>
      <c r="H164">
        <v>30.032</v>
      </c>
      <c r="I164">
        <v>187.88</v>
      </c>
      <c r="J164">
        <v>2.548</v>
      </c>
      <c r="K164" t="s">
        <v>13040</v>
      </c>
      <c r="L164" t="s">
        <v>13041</v>
      </c>
      <c r="M164" t="s">
        <v>13041</v>
      </c>
      <c r="N164">
        <v>7.7</v>
      </c>
      <c r="O164">
        <v>20290417</v>
      </c>
      <c r="P164">
        <v>121.86</v>
      </c>
      <c r="Q164">
        <v>0.64</v>
      </c>
      <c r="R164">
        <v>15.89</v>
      </c>
      <c r="S164">
        <v>0.38</v>
      </c>
    </row>
    <row r="165" spans="1:19" x14ac:dyDescent="0.3">
      <c r="A165" t="s">
        <v>2087</v>
      </c>
      <c r="B165" t="s">
        <v>13633</v>
      </c>
      <c r="C165" t="s">
        <v>13634</v>
      </c>
      <c r="D165" t="s">
        <v>12823</v>
      </c>
      <c r="E165">
        <v>24.79</v>
      </c>
      <c r="F165">
        <v>32.226999999999997</v>
      </c>
      <c r="G165">
        <v>113</v>
      </c>
      <c r="H165">
        <v>21.071999999999999</v>
      </c>
      <c r="I165">
        <v>32.24</v>
      </c>
      <c r="J165">
        <v>2.54</v>
      </c>
      <c r="K165" t="s">
        <v>13040</v>
      </c>
      <c r="L165" t="s">
        <v>13041</v>
      </c>
      <c r="M165" t="s">
        <v>13041</v>
      </c>
      <c r="N165">
        <v>8.4589999999999996</v>
      </c>
      <c r="O165">
        <v>20290414</v>
      </c>
      <c r="P165">
        <v>136.99</v>
      </c>
      <c r="Q165">
        <v>1.48</v>
      </c>
      <c r="R165">
        <v>25.68</v>
      </c>
      <c r="S165">
        <v>2.56</v>
      </c>
    </row>
    <row r="166" spans="1:19" x14ac:dyDescent="0.3">
      <c r="A166" t="s">
        <v>13635</v>
      </c>
      <c r="B166" t="s">
        <v>13636</v>
      </c>
      <c r="C166" t="s">
        <v>13637</v>
      </c>
      <c r="D166" t="s">
        <v>12660</v>
      </c>
      <c r="E166">
        <v>14.5</v>
      </c>
      <c r="F166">
        <v>18.850000000000001</v>
      </c>
      <c r="G166">
        <v>115</v>
      </c>
      <c r="H166">
        <v>12.324999999999999</v>
      </c>
      <c r="I166">
        <v>56.26</v>
      </c>
      <c r="J166">
        <v>2.5369999999999999</v>
      </c>
      <c r="K166" t="s">
        <v>13040</v>
      </c>
      <c r="L166" t="s">
        <v>13041</v>
      </c>
      <c r="M166" t="s">
        <v>13041</v>
      </c>
      <c r="N166">
        <v>5.9969999999999999</v>
      </c>
      <c r="O166">
        <v>20290413</v>
      </c>
      <c r="P166">
        <v>127.92</v>
      </c>
      <c r="Q166">
        <v>-7.0000000000000007E-2</v>
      </c>
      <c r="R166">
        <v>11.87</v>
      </c>
      <c r="S166">
        <v>0</v>
      </c>
    </row>
    <row r="167" spans="1:19" x14ac:dyDescent="0.3">
      <c r="A167" t="s">
        <v>13638</v>
      </c>
      <c r="B167" t="s">
        <v>13639</v>
      </c>
      <c r="C167" t="s">
        <v>13640</v>
      </c>
      <c r="D167" t="s">
        <v>13641</v>
      </c>
      <c r="E167">
        <v>17.32</v>
      </c>
      <c r="F167">
        <v>22.515999999999998</v>
      </c>
      <c r="G167">
        <v>115</v>
      </c>
      <c r="H167">
        <v>14.722</v>
      </c>
      <c r="I167">
        <v>104.79</v>
      </c>
      <c r="J167">
        <v>2.5369999999999999</v>
      </c>
      <c r="K167" t="s">
        <v>13040</v>
      </c>
      <c r="L167" t="s">
        <v>13041</v>
      </c>
      <c r="M167" t="s">
        <v>13041</v>
      </c>
      <c r="N167">
        <v>7.1870000000000003</v>
      </c>
      <c r="O167">
        <v>20290413</v>
      </c>
      <c r="P167">
        <v>122.97</v>
      </c>
      <c r="Q167">
        <v>0.3</v>
      </c>
      <c r="R167">
        <v>10.4</v>
      </c>
      <c r="S167">
        <v>0.68</v>
      </c>
    </row>
    <row r="168" spans="1:19" x14ac:dyDescent="0.3">
      <c r="A168" t="s">
        <v>13642</v>
      </c>
      <c r="B168" t="s">
        <v>13643</v>
      </c>
      <c r="C168" t="s">
        <v>13644</v>
      </c>
      <c r="D168" t="s">
        <v>12774</v>
      </c>
      <c r="E168">
        <v>11.53</v>
      </c>
      <c r="F168">
        <v>14.989000000000001</v>
      </c>
      <c r="G168">
        <v>108</v>
      </c>
      <c r="H168">
        <v>9.8000000000000007</v>
      </c>
      <c r="I168">
        <v>102.03</v>
      </c>
      <c r="J168">
        <v>2.532</v>
      </c>
      <c r="K168" t="s">
        <v>13040</v>
      </c>
      <c r="L168" t="s">
        <v>13041</v>
      </c>
      <c r="M168" t="s">
        <v>13041</v>
      </c>
      <c r="N168">
        <v>24.498999999999999</v>
      </c>
      <c r="O168">
        <v>20290411</v>
      </c>
      <c r="P168">
        <v>119.5</v>
      </c>
      <c r="Q168">
        <v>1.27</v>
      </c>
      <c r="R168">
        <v>6.82</v>
      </c>
      <c r="S168">
        <v>0.28999999999999998</v>
      </c>
    </row>
    <row r="169" spans="1:19" x14ac:dyDescent="0.3">
      <c r="A169" t="s">
        <v>2065</v>
      </c>
      <c r="B169" t="s">
        <v>13645</v>
      </c>
      <c r="C169" t="s">
        <v>13646</v>
      </c>
      <c r="D169" t="s">
        <v>12900</v>
      </c>
      <c r="E169">
        <v>15.18</v>
      </c>
      <c r="F169">
        <v>19.734000000000002</v>
      </c>
      <c r="G169">
        <v>113</v>
      </c>
      <c r="H169">
        <v>12.903</v>
      </c>
      <c r="I169">
        <v>28.15</v>
      </c>
      <c r="J169">
        <v>2.5179999999999998</v>
      </c>
      <c r="K169" t="s">
        <v>13040</v>
      </c>
      <c r="L169" t="s">
        <v>13041</v>
      </c>
      <c r="M169" t="s">
        <v>13041</v>
      </c>
      <c r="N169">
        <v>3.286</v>
      </c>
      <c r="O169">
        <v>20290406</v>
      </c>
      <c r="P169">
        <v>133.38</v>
      </c>
      <c r="Q169">
        <v>-0.37</v>
      </c>
      <c r="R169">
        <v>15.8</v>
      </c>
      <c r="S169">
        <v>-0.88</v>
      </c>
    </row>
    <row r="170" spans="1:19" x14ac:dyDescent="0.3">
      <c r="A170" t="s">
        <v>13647</v>
      </c>
      <c r="B170" t="s">
        <v>13648</v>
      </c>
      <c r="C170" t="s">
        <v>13649</v>
      </c>
      <c r="D170" t="s">
        <v>13650</v>
      </c>
      <c r="E170">
        <v>21.77</v>
      </c>
      <c r="F170">
        <v>28.300999999999998</v>
      </c>
      <c r="G170">
        <v>115</v>
      </c>
      <c r="H170">
        <v>18.504999999999999</v>
      </c>
      <c r="I170">
        <v>27.5</v>
      </c>
      <c r="J170">
        <v>2.512</v>
      </c>
      <c r="K170" t="s">
        <v>13276</v>
      </c>
      <c r="L170" t="s">
        <v>13041</v>
      </c>
      <c r="M170" t="s">
        <v>13041</v>
      </c>
      <c r="N170">
        <v>2.242</v>
      </c>
      <c r="O170">
        <v>20290404</v>
      </c>
      <c r="P170">
        <v>192.69</v>
      </c>
      <c r="Q170">
        <v>-1.1299999999999999</v>
      </c>
      <c r="R170">
        <v>32.9</v>
      </c>
      <c r="S170">
        <v>-0.24</v>
      </c>
    </row>
    <row r="171" spans="1:19" x14ac:dyDescent="0.3">
      <c r="A171" t="s">
        <v>13651</v>
      </c>
      <c r="B171" t="s">
        <v>13652</v>
      </c>
      <c r="C171" t="s">
        <v>13653</v>
      </c>
      <c r="D171" t="s">
        <v>13654</v>
      </c>
      <c r="E171">
        <v>6.98</v>
      </c>
      <c r="F171">
        <v>9.0739999999999998</v>
      </c>
      <c r="G171">
        <v>112</v>
      </c>
      <c r="H171">
        <v>5.5839999999999996</v>
      </c>
      <c r="I171">
        <v>24.84</v>
      </c>
      <c r="J171">
        <v>2.4900000000000002</v>
      </c>
      <c r="K171" t="s">
        <v>13040</v>
      </c>
      <c r="L171" t="s">
        <v>13041</v>
      </c>
      <c r="M171" t="s">
        <v>13041</v>
      </c>
      <c r="N171">
        <v>24.809000000000001</v>
      </c>
      <c r="O171">
        <v>20290327</v>
      </c>
      <c r="P171">
        <v>134.5</v>
      </c>
      <c r="Q171">
        <v>1.59</v>
      </c>
      <c r="R171">
        <v>7.52</v>
      </c>
      <c r="S171">
        <v>2.17</v>
      </c>
    </row>
    <row r="172" spans="1:19" x14ac:dyDescent="0.3">
      <c r="A172" t="s">
        <v>13655</v>
      </c>
      <c r="B172" t="s">
        <v>13656</v>
      </c>
      <c r="C172" t="s">
        <v>13657</v>
      </c>
      <c r="D172" t="s">
        <v>13658</v>
      </c>
      <c r="E172">
        <v>7.42</v>
      </c>
      <c r="F172">
        <v>9.6460000000000008</v>
      </c>
      <c r="G172">
        <v>108</v>
      </c>
      <c r="H172">
        <v>6.3070000000000004</v>
      </c>
      <c r="I172">
        <v>52.94</v>
      </c>
      <c r="J172">
        <v>2.4820000000000002</v>
      </c>
      <c r="K172" t="s">
        <v>13040</v>
      </c>
      <c r="L172" t="s">
        <v>13041</v>
      </c>
      <c r="M172" t="s">
        <v>13041</v>
      </c>
      <c r="N172">
        <v>48.359000000000002</v>
      </c>
      <c r="O172">
        <v>20290324</v>
      </c>
      <c r="P172">
        <v>120.99</v>
      </c>
      <c r="Q172">
        <v>0.47</v>
      </c>
      <c r="R172">
        <v>5.87</v>
      </c>
      <c r="S172">
        <v>4.63</v>
      </c>
    </row>
    <row r="173" spans="1:19" x14ac:dyDescent="0.3">
      <c r="A173" t="s">
        <v>2114</v>
      </c>
      <c r="B173" t="s">
        <v>13659</v>
      </c>
      <c r="C173" t="s">
        <v>13660</v>
      </c>
      <c r="D173" t="s">
        <v>13661</v>
      </c>
      <c r="E173">
        <v>11.63</v>
      </c>
      <c r="F173">
        <v>15.119</v>
      </c>
      <c r="G173">
        <v>115</v>
      </c>
      <c r="H173">
        <v>9.8859999999999992</v>
      </c>
      <c r="I173">
        <v>35.82</v>
      </c>
      <c r="J173">
        <v>2.48</v>
      </c>
      <c r="K173" t="s">
        <v>13040</v>
      </c>
      <c r="L173" t="s">
        <v>13041</v>
      </c>
      <c r="M173" t="s">
        <v>13041</v>
      </c>
      <c r="N173">
        <v>6.3289999999999997</v>
      </c>
      <c r="O173">
        <v>20290323</v>
      </c>
      <c r="P173">
        <v>129.05000000000001</v>
      </c>
      <c r="Q173">
        <v>-0.65</v>
      </c>
      <c r="R173">
        <v>11.05</v>
      </c>
      <c r="S173">
        <v>1.38</v>
      </c>
    </row>
    <row r="174" spans="1:19" x14ac:dyDescent="0.3">
      <c r="A174" t="s">
        <v>13662</v>
      </c>
      <c r="B174" t="s">
        <v>13663</v>
      </c>
      <c r="C174" t="s">
        <v>13664</v>
      </c>
      <c r="D174" t="s">
        <v>13665</v>
      </c>
      <c r="E174">
        <v>7.46</v>
      </c>
      <c r="F174">
        <v>9.6980000000000004</v>
      </c>
      <c r="G174">
        <v>107</v>
      </c>
      <c r="H174">
        <v>5.968</v>
      </c>
      <c r="I174">
        <v>16.3</v>
      </c>
      <c r="J174">
        <v>2.46</v>
      </c>
      <c r="K174" t="s">
        <v>13298</v>
      </c>
      <c r="L174" t="s">
        <v>13041</v>
      </c>
      <c r="M174" t="s">
        <v>13041</v>
      </c>
      <c r="N174">
        <v>14.273999999999999</v>
      </c>
      <c r="O174">
        <v>20290316</v>
      </c>
      <c r="P174">
        <v>137.5</v>
      </c>
      <c r="Q174">
        <v>0.38</v>
      </c>
      <c r="R174">
        <v>8.82</v>
      </c>
      <c r="S174">
        <v>1.03</v>
      </c>
    </row>
    <row r="175" spans="1:19" x14ac:dyDescent="0.3">
      <c r="A175" t="s">
        <v>2084</v>
      </c>
      <c r="B175" t="s">
        <v>13666</v>
      </c>
      <c r="C175" t="s">
        <v>13667</v>
      </c>
      <c r="D175" t="s">
        <v>12707</v>
      </c>
      <c r="E175">
        <v>8.08</v>
      </c>
      <c r="F175">
        <v>10.504</v>
      </c>
      <c r="G175">
        <v>107</v>
      </c>
      <c r="H175">
        <v>6.4640000000000004</v>
      </c>
      <c r="I175">
        <v>49.74</v>
      </c>
      <c r="J175">
        <v>2.46</v>
      </c>
      <c r="K175" t="s">
        <v>13040</v>
      </c>
      <c r="L175" t="s">
        <v>13041</v>
      </c>
      <c r="M175" t="s">
        <v>13041</v>
      </c>
      <c r="N175">
        <v>22.196999999999999</v>
      </c>
      <c r="O175">
        <v>20290316</v>
      </c>
      <c r="P175">
        <v>116.75</v>
      </c>
      <c r="Q175">
        <v>0.56999999999999995</v>
      </c>
      <c r="R175">
        <v>6.3</v>
      </c>
      <c r="S175">
        <v>1.29</v>
      </c>
    </row>
    <row r="176" spans="1:19" x14ac:dyDescent="0.3">
      <c r="A176" t="s">
        <v>2105</v>
      </c>
      <c r="B176" t="s">
        <v>13668</v>
      </c>
      <c r="C176" t="s">
        <v>13669</v>
      </c>
      <c r="D176" t="s">
        <v>13002</v>
      </c>
      <c r="E176">
        <v>5.22</v>
      </c>
      <c r="F176">
        <v>6.7859999999999996</v>
      </c>
      <c r="G176">
        <v>112</v>
      </c>
      <c r="H176">
        <v>4.6980000000000004</v>
      </c>
      <c r="I176">
        <v>35.15</v>
      </c>
      <c r="J176">
        <v>2.4409999999999998</v>
      </c>
      <c r="K176" t="s">
        <v>13040</v>
      </c>
      <c r="L176" t="s">
        <v>13041</v>
      </c>
      <c r="M176" t="s">
        <v>13041</v>
      </c>
      <c r="N176">
        <v>11.585000000000001</v>
      </c>
      <c r="O176">
        <v>20290309</v>
      </c>
      <c r="P176">
        <v>129.19</v>
      </c>
      <c r="Q176">
        <v>0.27</v>
      </c>
      <c r="R176">
        <v>4.99</v>
      </c>
      <c r="S176">
        <v>0.4</v>
      </c>
    </row>
    <row r="177" spans="1:19" x14ac:dyDescent="0.3">
      <c r="A177" t="s">
        <v>13670</v>
      </c>
      <c r="B177" t="s">
        <v>13671</v>
      </c>
      <c r="C177" t="s">
        <v>13672</v>
      </c>
      <c r="D177" t="s">
        <v>12768</v>
      </c>
      <c r="E177">
        <v>47.59</v>
      </c>
      <c r="F177">
        <v>61.866999999999997</v>
      </c>
      <c r="G177">
        <v>115</v>
      </c>
      <c r="H177">
        <v>40.451999999999998</v>
      </c>
      <c r="I177">
        <v>170.94</v>
      </c>
      <c r="J177">
        <v>2.4409999999999998</v>
      </c>
      <c r="K177" t="s">
        <v>13040</v>
      </c>
      <c r="L177" t="s">
        <v>13041</v>
      </c>
      <c r="M177" t="s">
        <v>13041</v>
      </c>
      <c r="N177">
        <v>3.1960000000000002</v>
      </c>
      <c r="O177">
        <v>20290309</v>
      </c>
      <c r="P177">
        <v>127.13</v>
      </c>
      <c r="Q177">
        <v>0.02</v>
      </c>
      <c r="R177">
        <v>22.33</v>
      </c>
      <c r="S177">
        <v>-1.33</v>
      </c>
    </row>
    <row r="178" spans="1:19" x14ac:dyDescent="0.3">
      <c r="A178" t="s">
        <v>13673</v>
      </c>
      <c r="B178" t="s">
        <v>13674</v>
      </c>
      <c r="C178" t="s">
        <v>13675</v>
      </c>
      <c r="D178" t="s">
        <v>13676</v>
      </c>
      <c r="E178">
        <v>71.41</v>
      </c>
      <c r="F178">
        <v>92.832999999999998</v>
      </c>
      <c r="G178">
        <v>115</v>
      </c>
      <c r="H178">
        <v>60.698</v>
      </c>
      <c r="I178">
        <v>229.55</v>
      </c>
      <c r="J178">
        <v>2.4380000000000002</v>
      </c>
      <c r="K178" t="s">
        <v>13040</v>
      </c>
      <c r="L178" t="s">
        <v>13041</v>
      </c>
      <c r="M178" t="s">
        <v>13041</v>
      </c>
      <c r="N178">
        <v>6.9989999999999997</v>
      </c>
      <c r="O178">
        <v>20290308</v>
      </c>
      <c r="P178">
        <v>121.42</v>
      </c>
      <c r="Q178">
        <v>0.12</v>
      </c>
      <c r="R178">
        <v>26.31</v>
      </c>
      <c r="S178">
        <v>-2.12</v>
      </c>
    </row>
    <row r="179" spans="1:19" x14ac:dyDescent="0.3">
      <c r="A179" t="s">
        <v>2096</v>
      </c>
      <c r="B179" t="s">
        <v>13677</v>
      </c>
      <c r="C179" t="s">
        <v>13678</v>
      </c>
      <c r="D179" t="s">
        <v>12849</v>
      </c>
      <c r="E179">
        <v>94.64</v>
      </c>
      <c r="F179">
        <v>123.032</v>
      </c>
      <c r="G179">
        <v>115</v>
      </c>
      <c r="H179">
        <v>80.444000000000003</v>
      </c>
      <c r="I179">
        <v>343.3</v>
      </c>
      <c r="J179">
        <v>2.4359999999999999</v>
      </c>
      <c r="K179" t="s">
        <v>13040</v>
      </c>
      <c r="L179" t="s">
        <v>13041</v>
      </c>
      <c r="M179" t="s">
        <v>13041</v>
      </c>
      <c r="N179">
        <v>9.4990000000000006</v>
      </c>
      <c r="O179">
        <v>20290307</v>
      </c>
      <c r="P179">
        <v>120.85</v>
      </c>
      <c r="Q179">
        <v>0.11</v>
      </c>
      <c r="R179">
        <v>25.8</v>
      </c>
      <c r="S179">
        <v>1.42</v>
      </c>
    </row>
    <row r="180" spans="1:19" x14ac:dyDescent="0.3">
      <c r="A180" t="s">
        <v>2058</v>
      </c>
      <c r="B180" t="s">
        <v>13679</v>
      </c>
      <c r="C180" t="s">
        <v>13680</v>
      </c>
      <c r="D180" t="s">
        <v>12907</v>
      </c>
      <c r="E180">
        <v>13.34</v>
      </c>
      <c r="F180">
        <v>17.341999999999999</v>
      </c>
      <c r="G180">
        <v>115</v>
      </c>
      <c r="H180">
        <v>11.339</v>
      </c>
      <c r="I180">
        <v>20.81</v>
      </c>
      <c r="J180">
        <v>2.4329999999999998</v>
      </c>
      <c r="K180" t="s">
        <v>13040</v>
      </c>
      <c r="L180" t="s">
        <v>13041</v>
      </c>
      <c r="M180" t="s">
        <v>13041</v>
      </c>
      <c r="N180">
        <v>11.58</v>
      </c>
      <c r="O180">
        <v>20290306</v>
      </c>
      <c r="P180">
        <v>139.56</v>
      </c>
      <c r="Q180">
        <v>0.49</v>
      </c>
      <c r="R180">
        <v>15.41</v>
      </c>
      <c r="S180">
        <v>0.52</v>
      </c>
    </row>
    <row r="181" spans="1:19" x14ac:dyDescent="0.3">
      <c r="A181" t="s">
        <v>13681</v>
      </c>
      <c r="B181" t="s">
        <v>13682</v>
      </c>
      <c r="C181" t="s">
        <v>13683</v>
      </c>
      <c r="D181" t="s">
        <v>13684</v>
      </c>
      <c r="E181">
        <v>64.510000000000005</v>
      </c>
      <c r="F181">
        <v>83.863</v>
      </c>
      <c r="G181">
        <v>112</v>
      </c>
      <c r="H181">
        <v>54.834000000000003</v>
      </c>
      <c r="I181">
        <v>36.71</v>
      </c>
      <c r="J181">
        <v>2.4220000000000002</v>
      </c>
      <c r="K181" t="s">
        <v>13276</v>
      </c>
      <c r="L181" t="s">
        <v>13041</v>
      </c>
      <c r="M181" t="s">
        <v>13041</v>
      </c>
      <c r="N181">
        <v>12.753</v>
      </c>
      <c r="O181">
        <v>20290302</v>
      </c>
      <c r="P181">
        <v>390</v>
      </c>
      <c r="Q181">
        <v>-6.85</v>
      </c>
      <c r="R181">
        <v>184.03</v>
      </c>
      <c r="S181">
        <v>-6.63</v>
      </c>
    </row>
    <row r="182" spans="1:19" x14ac:dyDescent="0.3">
      <c r="A182" t="s">
        <v>13685</v>
      </c>
      <c r="B182" t="s">
        <v>13686</v>
      </c>
      <c r="C182" t="s">
        <v>13687</v>
      </c>
      <c r="D182" t="s">
        <v>12839</v>
      </c>
      <c r="E182">
        <v>36.68</v>
      </c>
      <c r="F182">
        <v>47.683999999999997</v>
      </c>
      <c r="G182">
        <v>110</v>
      </c>
      <c r="H182">
        <v>31.178000000000001</v>
      </c>
      <c r="I182">
        <v>97.51</v>
      </c>
      <c r="J182">
        <v>2.403</v>
      </c>
      <c r="K182" t="s">
        <v>13040</v>
      </c>
      <c r="L182" t="s">
        <v>13041</v>
      </c>
      <c r="M182" t="s">
        <v>13041</v>
      </c>
      <c r="N182">
        <v>19.994</v>
      </c>
      <c r="O182">
        <v>20290223</v>
      </c>
      <c r="P182">
        <v>119.7</v>
      </c>
      <c r="Q182">
        <v>0.75</v>
      </c>
      <c r="R182">
        <v>22.23</v>
      </c>
      <c r="S182">
        <v>1.97</v>
      </c>
    </row>
    <row r="183" spans="1:19" x14ac:dyDescent="0.3">
      <c r="A183" t="s">
        <v>2099</v>
      </c>
      <c r="B183" t="s">
        <v>13688</v>
      </c>
      <c r="C183" t="s">
        <v>13689</v>
      </c>
      <c r="D183" t="s">
        <v>13690</v>
      </c>
      <c r="E183">
        <v>13</v>
      </c>
      <c r="F183">
        <v>16.899999999999999</v>
      </c>
      <c r="G183">
        <v>112</v>
      </c>
      <c r="H183">
        <v>11.05</v>
      </c>
      <c r="I183">
        <v>41.4</v>
      </c>
      <c r="J183">
        <v>2.4</v>
      </c>
      <c r="K183" t="s">
        <v>13040</v>
      </c>
      <c r="L183" t="s">
        <v>13041</v>
      </c>
      <c r="M183" t="s">
        <v>13041</v>
      </c>
      <c r="N183">
        <v>4.1989999999999998</v>
      </c>
      <c r="O183">
        <v>20290222</v>
      </c>
      <c r="P183">
        <v>113.02</v>
      </c>
      <c r="Q183">
        <v>-0.71</v>
      </c>
      <c r="R183">
        <v>10.39</v>
      </c>
      <c r="S183">
        <v>-1.33</v>
      </c>
    </row>
    <row r="184" spans="1:19" x14ac:dyDescent="0.3">
      <c r="A184" t="s">
        <v>2052</v>
      </c>
      <c r="B184" t="s">
        <v>13691</v>
      </c>
      <c r="C184" t="s">
        <v>13692</v>
      </c>
      <c r="D184" t="s">
        <v>12629</v>
      </c>
      <c r="E184">
        <v>16</v>
      </c>
      <c r="F184">
        <v>20.8</v>
      </c>
      <c r="G184">
        <v>115</v>
      </c>
      <c r="H184">
        <v>13.6</v>
      </c>
      <c r="I184">
        <v>70.47</v>
      </c>
      <c r="J184">
        <v>2.375</v>
      </c>
      <c r="K184" t="s">
        <v>13040</v>
      </c>
      <c r="L184" t="s">
        <v>13041</v>
      </c>
      <c r="M184" t="s">
        <v>13041</v>
      </c>
      <c r="N184">
        <v>58.512</v>
      </c>
      <c r="O184">
        <v>20290213</v>
      </c>
      <c r="P184">
        <v>117.09</v>
      </c>
      <c r="Q184">
        <v>0.54</v>
      </c>
      <c r="R184">
        <v>10.99</v>
      </c>
      <c r="S184">
        <v>1.76</v>
      </c>
    </row>
    <row r="185" spans="1:19" x14ac:dyDescent="0.3">
      <c r="A185" t="s">
        <v>2048</v>
      </c>
      <c r="B185" t="s">
        <v>13693</v>
      </c>
      <c r="C185" t="s">
        <v>13694</v>
      </c>
      <c r="D185" t="s">
        <v>12601</v>
      </c>
      <c r="E185">
        <v>3.02</v>
      </c>
      <c r="F185">
        <v>3.9260000000000002</v>
      </c>
      <c r="G185">
        <v>110</v>
      </c>
      <c r="H185">
        <v>2.5670000000000002</v>
      </c>
      <c r="I185">
        <v>61.91</v>
      </c>
      <c r="J185">
        <v>2.2709999999999999</v>
      </c>
      <c r="K185" t="s">
        <v>13040</v>
      </c>
      <c r="L185" t="s">
        <v>13041</v>
      </c>
      <c r="M185" t="s">
        <v>13041</v>
      </c>
      <c r="N185">
        <v>21.184999999999999</v>
      </c>
      <c r="O185">
        <v>20290106</v>
      </c>
      <c r="P185">
        <v>73.45</v>
      </c>
      <c r="Q185">
        <v>-2.87</v>
      </c>
      <c r="R185">
        <v>1.37</v>
      </c>
      <c r="S185">
        <v>-5.52</v>
      </c>
    </row>
    <row r="186" spans="1:19" x14ac:dyDescent="0.3">
      <c r="A186" t="s">
        <v>13695</v>
      </c>
      <c r="B186" t="s">
        <v>13696</v>
      </c>
      <c r="C186" t="s">
        <v>13697</v>
      </c>
      <c r="D186" t="s">
        <v>13698</v>
      </c>
      <c r="E186">
        <v>11.11</v>
      </c>
      <c r="F186">
        <v>14.443</v>
      </c>
      <c r="G186">
        <v>115</v>
      </c>
      <c r="H186">
        <v>8.8879999999999999</v>
      </c>
      <c r="I186">
        <v>36.520000000000003</v>
      </c>
      <c r="J186">
        <v>2.266</v>
      </c>
      <c r="K186" t="s">
        <v>13276</v>
      </c>
      <c r="L186" t="s">
        <v>13041</v>
      </c>
      <c r="M186" t="s">
        <v>13041</v>
      </c>
      <c r="N186">
        <v>1.016</v>
      </c>
      <c r="O186">
        <v>20290104</v>
      </c>
      <c r="P186">
        <v>361.5</v>
      </c>
      <c r="Q186">
        <v>-1.7</v>
      </c>
      <c r="R186">
        <v>29.42</v>
      </c>
      <c r="S186">
        <v>-1.87</v>
      </c>
    </row>
    <row r="187" spans="1:19" x14ac:dyDescent="0.3">
      <c r="A187" t="s">
        <v>13699</v>
      </c>
      <c r="B187" t="s">
        <v>13700</v>
      </c>
      <c r="C187" t="s">
        <v>13701</v>
      </c>
      <c r="D187" t="s">
        <v>13702</v>
      </c>
      <c r="E187">
        <v>28.94</v>
      </c>
      <c r="F187">
        <v>37.622</v>
      </c>
      <c r="G187">
        <v>115</v>
      </c>
      <c r="H187">
        <v>24.599</v>
      </c>
      <c r="I187">
        <v>15.2</v>
      </c>
      <c r="J187">
        <v>2.2519999999999998</v>
      </c>
      <c r="K187" t="s">
        <v>13276</v>
      </c>
      <c r="L187" t="s">
        <v>13041</v>
      </c>
      <c r="M187" t="s">
        <v>13041</v>
      </c>
      <c r="N187">
        <v>2.7930000000000001</v>
      </c>
      <c r="O187">
        <v>20281230</v>
      </c>
      <c r="P187">
        <v>239.72</v>
      </c>
      <c r="Q187">
        <v>-1.43</v>
      </c>
      <c r="R187">
        <v>60.22</v>
      </c>
      <c r="S187">
        <v>-1.68</v>
      </c>
    </row>
    <row r="188" spans="1:19" x14ac:dyDescent="0.3">
      <c r="A188" t="s">
        <v>13703</v>
      </c>
      <c r="B188" t="s">
        <v>13704</v>
      </c>
      <c r="C188" t="s">
        <v>13705</v>
      </c>
      <c r="D188" t="s">
        <v>13706</v>
      </c>
      <c r="E188">
        <v>10</v>
      </c>
      <c r="F188">
        <v>13</v>
      </c>
      <c r="G188">
        <v>115</v>
      </c>
      <c r="H188">
        <v>8</v>
      </c>
      <c r="I188">
        <v>30.4</v>
      </c>
      <c r="J188">
        <v>2.2519999999999998</v>
      </c>
      <c r="K188" t="s">
        <v>13040</v>
      </c>
      <c r="L188" t="s">
        <v>13041</v>
      </c>
      <c r="M188" t="s">
        <v>13041</v>
      </c>
      <c r="N188">
        <v>2.33</v>
      </c>
      <c r="O188">
        <v>20281230</v>
      </c>
      <c r="P188">
        <v>137.05000000000001</v>
      </c>
      <c r="Q188">
        <v>-0.25</v>
      </c>
      <c r="R188">
        <v>10.51</v>
      </c>
      <c r="S188">
        <v>-1.1299999999999999</v>
      </c>
    </row>
    <row r="189" spans="1:19" x14ac:dyDescent="0.3">
      <c r="A189" t="s">
        <v>13707</v>
      </c>
      <c r="B189" t="s">
        <v>13708</v>
      </c>
      <c r="C189" t="s">
        <v>13709</v>
      </c>
      <c r="D189" t="s">
        <v>13710</v>
      </c>
      <c r="E189">
        <v>38.159999999999997</v>
      </c>
      <c r="F189">
        <v>49.607999999999997</v>
      </c>
      <c r="G189">
        <v>110</v>
      </c>
      <c r="H189">
        <v>32.436</v>
      </c>
      <c r="I189">
        <v>21.48</v>
      </c>
      <c r="J189">
        <v>2.2519999999999998</v>
      </c>
      <c r="K189" t="s">
        <v>13276</v>
      </c>
      <c r="L189" t="s">
        <v>13041</v>
      </c>
      <c r="M189" t="s">
        <v>13041</v>
      </c>
      <c r="N189">
        <v>12.622</v>
      </c>
      <c r="O189">
        <v>20281230</v>
      </c>
      <c r="P189">
        <v>552.07000000000005</v>
      </c>
      <c r="Q189">
        <v>-5.18</v>
      </c>
      <c r="R189">
        <v>173.42</v>
      </c>
      <c r="S189">
        <v>-1.78</v>
      </c>
    </row>
    <row r="190" spans="1:19" x14ac:dyDescent="0.3">
      <c r="A190" t="s">
        <v>2080</v>
      </c>
      <c r="B190" t="s">
        <v>13711</v>
      </c>
      <c r="C190" t="s">
        <v>13712</v>
      </c>
      <c r="D190" t="s">
        <v>12898</v>
      </c>
      <c r="E190">
        <v>14.91</v>
      </c>
      <c r="F190">
        <v>19.382999999999999</v>
      </c>
      <c r="G190">
        <v>113</v>
      </c>
      <c r="H190">
        <v>12.673</v>
      </c>
      <c r="I190">
        <v>32.32</v>
      </c>
      <c r="J190">
        <v>2.2109999999999999</v>
      </c>
      <c r="K190" t="s">
        <v>13040</v>
      </c>
      <c r="L190" t="s">
        <v>13041</v>
      </c>
      <c r="M190" t="s">
        <v>13041</v>
      </c>
      <c r="N190">
        <v>7.96</v>
      </c>
      <c r="O190">
        <v>20281215</v>
      </c>
      <c r="P190">
        <v>131.69999999999999</v>
      </c>
      <c r="Q190">
        <v>2.39</v>
      </c>
      <c r="R190">
        <v>14.84</v>
      </c>
      <c r="S190">
        <v>5.7</v>
      </c>
    </row>
    <row r="191" spans="1:19" x14ac:dyDescent="0.3">
      <c r="A191" t="s">
        <v>2059</v>
      </c>
      <c r="B191" t="s">
        <v>13713</v>
      </c>
      <c r="C191" t="s">
        <v>13714</v>
      </c>
      <c r="D191" t="s">
        <v>13715</v>
      </c>
      <c r="E191">
        <v>6.31</v>
      </c>
      <c r="F191">
        <v>8.2029999999999994</v>
      </c>
      <c r="G191">
        <v>115</v>
      </c>
      <c r="H191">
        <v>5.3639999999999999</v>
      </c>
      <c r="I191">
        <v>49.48</v>
      </c>
      <c r="J191">
        <v>2.2109999999999999</v>
      </c>
      <c r="K191" t="s">
        <v>13040</v>
      </c>
      <c r="L191" t="s">
        <v>13041</v>
      </c>
      <c r="M191" t="s">
        <v>13041</v>
      </c>
      <c r="N191">
        <v>3.5960000000000001</v>
      </c>
      <c r="O191">
        <v>20281215</v>
      </c>
      <c r="P191">
        <v>124.13</v>
      </c>
      <c r="Q191">
        <v>-0.27</v>
      </c>
      <c r="R191">
        <v>5.24</v>
      </c>
      <c r="S191">
        <v>-0.76</v>
      </c>
    </row>
    <row r="192" spans="1:19" x14ac:dyDescent="0.3">
      <c r="A192" t="s">
        <v>13716</v>
      </c>
      <c r="B192" t="s">
        <v>13717</v>
      </c>
      <c r="C192" t="s">
        <v>13718</v>
      </c>
      <c r="D192" t="s">
        <v>1192</v>
      </c>
      <c r="E192">
        <v>6.11</v>
      </c>
      <c r="F192">
        <v>7.9429999999999996</v>
      </c>
      <c r="G192">
        <v>115</v>
      </c>
      <c r="H192">
        <v>5.194</v>
      </c>
      <c r="I192">
        <v>18.059999999999999</v>
      </c>
      <c r="J192">
        <v>2.2080000000000002</v>
      </c>
      <c r="K192" t="s">
        <v>13276</v>
      </c>
      <c r="L192" t="s">
        <v>13041</v>
      </c>
      <c r="M192" t="s">
        <v>13041</v>
      </c>
      <c r="N192">
        <v>4.1580000000000004</v>
      </c>
      <c r="O192">
        <v>20281214</v>
      </c>
      <c r="P192">
        <v>153.61000000000001</v>
      </c>
      <c r="Q192">
        <v>-1.02</v>
      </c>
      <c r="R192">
        <v>7.95</v>
      </c>
      <c r="S192">
        <v>-0.5</v>
      </c>
    </row>
    <row r="193" spans="1:19" x14ac:dyDescent="0.3">
      <c r="A193" t="s">
        <v>2062</v>
      </c>
      <c r="B193" t="s">
        <v>13719</v>
      </c>
      <c r="C193" t="s">
        <v>13720</v>
      </c>
      <c r="D193" t="s">
        <v>13721</v>
      </c>
      <c r="E193">
        <v>27.08</v>
      </c>
      <c r="F193">
        <v>35.204000000000001</v>
      </c>
      <c r="G193">
        <v>115</v>
      </c>
      <c r="H193">
        <v>23.018000000000001</v>
      </c>
      <c r="I193">
        <v>35.590000000000003</v>
      </c>
      <c r="J193">
        <v>2.1640000000000001</v>
      </c>
      <c r="K193" t="s">
        <v>13040</v>
      </c>
      <c r="L193" t="s">
        <v>13041</v>
      </c>
      <c r="M193" t="s">
        <v>13041</v>
      </c>
      <c r="N193">
        <v>3.7989999999999999</v>
      </c>
      <c r="O193">
        <v>20281128</v>
      </c>
      <c r="P193">
        <v>128.68</v>
      </c>
      <c r="Q193">
        <v>1.02</v>
      </c>
      <c r="R193">
        <v>25.7</v>
      </c>
      <c r="S193">
        <v>2.72</v>
      </c>
    </row>
    <row r="194" spans="1:19" x14ac:dyDescent="0.3">
      <c r="A194" t="s">
        <v>12698</v>
      </c>
      <c r="B194" t="s">
        <v>13722</v>
      </c>
      <c r="C194" t="s">
        <v>13723</v>
      </c>
      <c r="D194" t="s">
        <v>13724</v>
      </c>
      <c r="E194">
        <v>8.68</v>
      </c>
      <c r="F194">
        <v>11.284000000000001</v>
      </c>
      <c r="G194">
        <v>115</v>
      </c>
      <c r="H194">
        <v>7.3780000000000001</v>
      </c>
      <c r="I194">
        <v>0.16</v>
      </c>
      <c r="J194">
        <v>2.1640000000000001</v>
      </c>
      <c r="K194" t="s">
        <v>13040</v>
      </c>
      <c r="L194" t="s">
        <v>13041</v>
      </c>
      <c r="M194" t="s">
        <v>13041</v>
      </c>
      <c r="N194">
        <v>6.0119999999999996</v>
      </c>
      <c r="O194">
        <v>20281128</v>
      </c>
      <c r="P194">
        <v>101.55</v>
      </c>
      <c r="Q194">
        <v>2.2000000000000002</v>
      </c>
      <c r="R194">
        <v>8.8000000000000007</v>
      </c>
      <c r="S194">
        <v>3.53</v>
      </c>
    </row>
    <row r="195" spans="1:19" x14ac:dyDescent="0.3">
      <c r="A195" t="s">
        <v>13725</v>
      </c>
      <c r="B195" t="s">
        <v>13726</v>
      </c>
      <c r="C195" t="s">
        <v>13727</v>
      </c>
      <c r="D195" t="s">
        <v>13728</v>
      </c>
      <c r="E195">
        <v>10.74</v>
      </c>
      <c r="F195">
        <v>13.962</v>
      </c>
      <c r="G195">
        <v>115</v>
      </c>
      <c r="H195">
        <v>9.1289999999999996</v>
      </c>
      <c r="I195">
        <v>77.63</v>
      </c>
      <c r="J195">
        <v>2.1509999999999998</v>
      </c>
      <c r="K195" t="s">
        <v>13040</v>
      </c>
      <c r="L195" t="s">
        <v>13041</v>
      </c>
      <c r="M195" t="s">
        <v>13041</v>
      </c>
      <c r="N195">
        <v>4.899</v>
      </c>
      <c r="O195">
        <v>20281123</v>
      </c>
      <c r="P195">
        <v>127.18</v>
      </c>
      <c r="Q195">
        <v>-0.87</v>
      </c>
      <c r="R195">
        <v>7.69</v>
      </c>
      <c r="S195">
        <v>-0.13</v>
      </c>
    </row>
    <row r="196" spans="1:19" x14ac:dyDescent="0.3">
      <c r="A196" t="s">
        <v>2077</v>
      </c>
      <c r="B196" t="s">
        <v>13729</v>
      </c>
      <c r="C196" t="s">
        <v>13730</v>
      </c>
      <c r="D196" t="s">
        <v>13731</v>
      </c>
      <c r="E196">
        <v>14.59</v>
      </c>
      <c r="F196">
        <v>18.966999999999999</v>
      </c>
      <c r="G196">
        <v>110</v>
      </c>
      <c r="H196">
        <v>12.401999999999999</v>
      </c>
      <c r="I196">
        <v>35.68</v>
      </c>
      <c r="J196">
        <v>2.1480000000000001</v>
      </c>
      <c r="K196" t="s">
        <v>13040</v>
      </c>
      <c r="L196" t="s">
        <v>13041</v>
      </c>
      <c r="M196" t="s">
        <v>13041</v>
      </c>
      <c r="N196">
        <v>30.297000000000001</v>
      </c>
      <c r="O196">
        <v>20281122</v>
      </c>
      <c r="P196">
        <v>128.88999999999999</v>
      </c>
      <c r="Q196">
        <v>0.56999999999999995</v>
      </c>
      <c r="R196">
        <v>13.86</v>
      </c>
      <c r="S196">
        <v>0.73</v>
      </c>
    </row>
    <row r="197" spans="1:19" x14ac:dyDescent="0.3">
      <c r="A197" t="s">
        <v>12825</v>
      </c>
      <c r="B197" t="s">
        <v>13732</v>
      </c>
      <c r="C197" t="s">
        <v>13733</v>
      </c>
      <c r="D197" t="s">
        <v>12892</v>
      </c>
      <c r="E197">
        <v>36.840000000000003</v>
      </c>
      <c r="F197">
        <v>47.892000000000003</v>
      </c>
      <c r="G197">
        <v>112</v>
      </c>
      <c r="H197">
        <v>31.314</v>
      </c>
      <c r="I197">
        <v>202.91</v>
      </c>
      <c r="J197">
        <v>2.1339999999999999</v>
      </c>
      <c r="K197" t="s">
        <v>13040</v>
      </c>
      <c r="L197" t="s">
        <v>13041</v>
      </c>
      <c r="M197" t="s">
        <v>13041</v>
      </c>
      <c r="N197">
        <v>3.9769999999999999</v>
      </c>
      <c r="O197">
        <v>20281117</v>
      </c>
      <c r="P197">
        <v>121.86</v>
      </c>
      <c r="Q197">
        <v>0.34</v>
      </c>
      <c r="R197">
        <v>14.82</v>
      </c>
      <c r="S197">
        <v>0.88</v>
      </c>
    </row>
    <row r="198" spans="1:19" x14ac:dyDescent="0.3">
      <c r="A198" t="s">
        <v>12711</v>
      </c>
      <c r="B198" t="s">
        <v>13734</v>
      </c>
      <c r="C198" t="s">
        <v>13735</v>
      </c>
      <c r="D198" t="s">
        <v>12751</v>
      </c>
      <c r="E198">
        <v>10.51</v>
      </c>
      <c r="F198">
        <v>13.663</v>
      </c>
      <c r="G198">
        <v>110</v>
      </c>
      <c r="H198">
        <v>8.9339999999999993</v>
      </c>
      <c r="I198">
        <v>104.54</v>
      </c>
      <c r="J198">
        <v>2.1070000000000002</v>
      </c>
      <c r="K198" t="s">
        <v>13040</v>
      </c>
      <c r="L198" t="s">
        <v>13041</v>
      </c>
      <c r="M198" t="s">
        <v>13041</v>
      </c>
      <c r="N198">
        <v>7.0110000000000001</v>
      </c>
      <c r="O198">
        <v>20281107</v>
      </c>
      <c r="P198">
        <v>120.47</v>
      </c>
      <c r="Q198">
        <v>0.2</v>
      </c>
      <c r="R198">
        <v>6.19</v>
      </c>
      <c r="S198">
        <v>0.16</v>
      </c>
    </row>
    <row r="199" spans="1:19" x14ac:dyDescent="0.3">
      <c r="A199" t="s">
        <v>13736</v>
      </c>
      <c r="B199" t="s">
        <v>13737</v>
      </c>
      <c r="C199" t="s">
        <v>13738</v>
      </c>
      <c r="D199" t="s">
        <v>13739</v>
      </c>
      <c r="E199">
        <v>11.8</v>
      </c>
      <c r="F199">
        <v>15.34</v>
      </c>
      <c r="G199">
        <v>115</v>
      </c>
      <c r="H199">
        <v>10.029999999999999</v>
      </c>
      <c r="I199">
        <v>45.96</v>
      </c>
      <c r="J199">
        <v>2.077</v>
      </c>
      <c r="K199" t="s">
        <v>13040</v>
      </c>
      <c r="L199" t="s">
        <v>13041</v>
      </c>
      <c r="M199" t="s">
        <v>13041</v>
      </c>
      <c r="N199">
        <v>8.4960000000000004</v>
      </c>
      <c r="O199">
        <v>20281027</v>
      </c>
      <c r="P199">
        <v>130.5</v>
      </c>
      <c r="Q199">
        <v>-0.33</v>
      </c>
      <c r="R199">
        <v>10.55</v>
      </c>
      <c r="S199">
        <v>-0.85</v>
      </c>
    </row>
    <row r="200" spans="1:19" x14ac:dyDescent="0.3">
      <c r="A200" t="s">
        <v>12808</v>
      </c>
      <c r="B200" t="s">
        <v>13740</v>
      </c>
      <c r="C200" t="s">
        <v>13741</v>
      </c>
      <c r="D200" t="s">
        <v>12835</v>
      </c>
      <c r="E200">
        <v>22.51</v>
      </c>
      <c r="F200">
        <v>27.012</v>
      </c>
      <c r="G200">
        <v>112</v>
      </c>
      <c r="H200">
        <v>19.134</v>
      </c>
      <c r="I200">
        <v>89.07</v>
      </c>
      <c r="J200">
        <v>2.069</v>
      </c>
      <c r="K200" t="s">
        <v>13040</v>
      </c>
      <c r="L200" t="s">
        <v>13041</v>
      </c>
      <c r="M200" t="s">
        <v>13041</v>
      </c>
      <c r="N200">
        <v>30.888999999999999</v>
      </c>
      <c r="O200">
        <v>20281024</v>
      </c>
      <c r="P200">
        <v>120.44</v>
      </c>
      <c r="Q200">
        <v>0.41</v>
      </c>
      <c r="R200">
        <v>14.34</v>
      </c>
      <c r="S200">
        <v>1.2</v>
      </c>
    </row>
    <row r="201" spans="1:19" x14ac:dyDescent="0.3">
      <c r="A201" t="s">
        <v>12628</v>
      </c>
      <c r="B201" t="s">
        <v>13742</v>
      </c>
      <c r="C201" t="s">
        <v>13743</v>
      </c>
      <c r="D201" t="s">
        <v>13744</v>
      </c>
      <c r="E201">
        <v>31.72</v>
      </c>
      <c r="F201">
        <v>41.235999999999997</v>
      </c>
      <c r="G201">
        <v>110</v>
      </c>
      <c r="H201">
        <v>25.376000000000001</v>
      </c>
      <c r="I201">
        <v>35.840000000000003</v>
      </c>
      <c r="J201">
        <v>2.0409999999999999</v>
      </c>
      <c r="K201" t="s">
        <v>13040</v>
      </c>
      <c r="L201" t="s">
        <v>13041</v>
      </c>
      <c r="M201" t="s">
        <v>13041</v>
      </c>
      <c r="N201">
        <v>11.997999999999999</v>
      </c>
      <c r="O201">
        <v>20281014</v>
      </c>
      <c r="P201">
        <v>129.81</v>
      </c>
      <c r="Q201">
        <v>-0.1</v>
      </c>
      <c r="R201">
        <v>30.31</v>
      </c>
      <c r="S201">
        <v>-0.36</v>
      </c>
    </row>
    <row r="202" spans="1:19" x14ac:dyDescent="0.3">
      <c r="A202" t="s">
        <v>13745</v>
      </c>
      <c r="B202" t="s">
        <v>13746</v>
      </c>
      <c r="C202" t="s">
        <v>13747</v>
      </c>
      <c r="D202" t="s">
        <v>13748</v>
      </c>
      <c r="E202">
        <v>15.49</v>
      </c>
      <c r="F202">
        <v>20.137</v>
      </c>
      <c r="G202">
        <v>110</v>
      </c>
      <c r="H202">
        <v>13.167</v>
      </c>
      <c r="I202">
        <v>142.43</v>
      </c>
      <c r="J202">
        <v>2.0329999999999999</v>
      </c>
      <c r="K202" t="s">
        <v>13040</v>
      </c>
      <c r="L202" t="s">
        <v>13041</v>
      </c>
      <c r="M202" t="s">
        <v>13041</v>
      </c>
      <c r="N202">
        <v>32.497</v>
      </c>
      <c r="O202">
        <v>20281011</v>
      </c>
      <c r="P202">
        <v>116.6</v>
      </c>
      <c r="Q202">
        <v>0.74</v>
      </c>
      <c r="R202">
        <v>7.45</v>
      </c>
      <c r="S202">
        <v>1.78</v>
      </c>
    </row>
    <row r="203" spans="1:19" x14ac:dyDescent="0.3">
      <c r="A203" t="s">
        <v>2101</v>
      </c>
      <c r="B203" t="s">
        <v>13749</v>
      </c>
      <c r="C203" t="s">
        <v>13750</v>
      </c>
      <c r="D203" t="s">
        <v>12706</v>
      </c>
      <c r="E203">
        <v>19.7</v>
      </c>
      <c r="F203">
        <v>25.61</v>
      </c>
      <c r="G203">
        <v>115</v>
      </c>
      <c r="H203">
        <v>16.745000000000001</v>
      </c>
      <c r="I203">
        <v>18.079999999999998</v>
      </c>
      <c r="J203">
        <v>1.9970000000000001</v>
      </c>
      <c r="K203" t="s">
        <v>13276</v>
      </c>
      <c r="L203" t="s">
        <v>13041</v>
      </c>
      <c r="M203" t="s">
        <v>13041</v>
      </c>
      <c r="N203">
        <v>2.3140000000000001</v>
      </c>
      <c r="O203">
        <v>20280928</v>
      </c>
      <c r="P203">
        <v>161</v>
      </c>
      <c r="Q203">
        <v>-0.87</v>
      </c>
      <c r="R203">
        <v>26.86</v>
      </c>
      <c r="S203">
        <v>-3</v>
      </c>
    </row>
    <row r="204" spans="1:19" x14ac:dyDescent="0.3">
      <c r="A204" t="s">
        <v>13751</v>
      </c>
      <c r="B204" t="s">
        <v>13752</v>
      </c>
      <c r="C204" t="s">
        <v>13753</v>
      </c>
      <c r="D204" t="s">
        <v>13754</v>
      </c>
      <c r="E204">
        <v>40.49</v>
      </c>
      <c r="F204">
        <v>52.637</v>
      </c>
      <c r="G204">
        <v>110</v>
      </c>
      <c r="H204">
        <v>32.392000000000003</v>
      </c>
      <c r="I204">
        <v>43.65</v>
      </c>
      <c r="J204">
        <v>1.992</v>
      </c>
      <c r="K204" t="s">
        <v>13276</v>
      </c>
      <c r="L204" t="s">
        <v>13041</v>
      </c>
      <c r="M204" t="s">
        <v>13041</v>
      </c>
      <c r="N204">
        <v>18.045999999999999</v>
      </c>
      <c r="O204">
        <v>20280926</v>
      </c>
      <c r="P204">
        <v>236</v>
      </c>
      <c r="Q204">
        <v>-1.94</v>
      </c>
      <c r="R204">
        <v>66.52</v>
      </c>
      <c r="S204">
        <v>0.89</v>
      </c>
    </row>
    <row r="205" spans="1:19" x14ac:dyDescent="0.3">
      <c r="A205" t="s">
        <v>2060</v>
      </c>
      <c r="B205" t="s">
        <v>13755</v>
      </c>
      <c r="C205" t="s">
        <v>13756</v>
      </c>
      <c r="D205" t="s">
        <v>12621</v>
      </c>
      <c r="E205">
        <v>7</v>
      </c>
      <c r="F205">
        <v>9.1</v>
      </c>
      <c r="G205">
        <v>120</v>
      </c>
      <c r="H205">
        <v>5.95</v>
      </c>
      <c r="I205">
        <v>38.1</v>
      </c>
      <c r="J205">
        <v>1.984</v>
      </c>
      <c r="K205" t="s">
        <v>13040</v>
      </c>
      <c r="L205" t="s">
        <v>13041</v>
      </c>
      <c r="M205" t="s">
        <v>13041</v>
      </c>
      <c r="N205">
        <v>6.4169999999999998</v>
      </c>
      <c r="O205">
        <v>20280923</v>
      </c>
      <c r="P205">
        <v>116.79</v>
      </c>
      <c r="Q205">
        <v>0.09</v>
      </c>
      <c r="R205">
        <v>5.92</v>
      </c>
      <c r="S205">
        <v>0.51</v>
      </c>
    </row>
    <row r="206" spans="1:19" x14ac:dyDescent="0.3">
      <c r="A206" t="s">
        <v>13757</v>
      </c>
      <c r="B206" t="s">
        <v>13758</v>
      </c>
      <c r="C206" t="s">
        <v>13759</v>
      </c>
      <c r="D206" t="s">
        <v>13760</v>
      </c>
      <c r="E206">
        <v>17.149999999999999</v>
      </c>
      <c r="F206">
        <v>22.295000000000002</v>
      </c>
      <c r="G206">
        <v>110</v>
      </c>
      <c r="H206">
        <v>14.577</v>
      </c>
      <c r="I206">
        <v>61.4</v>
      </c>
      <c r="J206">
        <v>1.984</v>
      </c>
      <c r="K206" t="s">
        <v>13040</v>
      </c>
      <c r="L206" t="s">
        <v>13041</v>
      </c>
      <c r="M206" t="s">
        <v>13041</v>
      </c>
      <c r="N206">
        <v>15.695</v>
      </c>
      <c r="O206">
        <v>20280923</v>
      </c>
      <c r="P206">
        <v>124.88</v>
      </c>
      <c r="Q206">
        <v>0.56000000000000005</v>
      </c>
      <c r="R206">
        <v>13.27</v>
      </c>
      <c r="S206">
        <v>-0.23</v>
      </c>
    </row>
    <row r="207" spans="1:19" x14ac:dyDescent="0.3">
      <c r="A207" t="s">
        <v>13761</v>
      </c>
      <c r="B207" t="s">
        <v>13762</v>
      </c>
      <c r="C207" t="s">
        <v>13763</v>
      </c>
      <c r="D207" t="s">
        <v>13764</v>
      </c>
      <c r="E207">
        <v>14.81</v>
      </c>
      <c r="F207">
        <v>19.253</v>
      </c>
      <c r="G207">
        <v>112</v>
      </c>
      <c r="H207">
        <v>12.589</v>
      </c>
      <c r="I207">
        <v>72.5</v>
      </c>
      <c r="J207">
        <v>1.9810000000000001</v>
      </c>
      <c r="K207" t="s">
        <v>13040</v>
      </c>
      <c r="L207" t="s">
        <v>13041</v>
      </c>
      <c r="M207" t="s">
        <v>13041</v>
      </c>
      <c r="N207">
        <v>4.4980000000000002</v>
      </c>
      <c r="O207">
        <v>20280922</v>
      </c>
      <c r="P207">
        <v>129.29</v>
      </c>
      <c r="Q207">
        <v>1.1499999999999999</v>
      </c>
      <c r="R207">
        <v>11.1</v>
      </c>
      <c r="S207">
        <v>0.73</v>
      </c>
    </row>
    <row r="208" spans="1:19" x14ac:dyDescent="0.3">
      <c r="A208" t="s">
        <v>13765</v>
      </c>
      <c r="B208" t="s">
        <v>13766</v>
      </c>
      <c r="C208" t="s">
        <v>13767</v>
      </c>
      <c r="D208" t="s">
        <v>13768</v>
      </c>
      <c r="E208">
        <v>5.25</v>
      </c>
      <c r="F208">
        <v>6.8250000000000002</v>
      </c>
      <c r="G208">
        <v>107</v>
      </c>
      <c r="H208">
        <v>4.2</v>
      </c>
      <c r="I208">
        <v>6.34</v>
      </c>
      <c r="J208">
        <v>1.962</v>
      </c>
      <c r="K208" t="s">
        <v>13040</v>
      </c>
      <c r="L208" t="s">
        <v>13041</v>
      </c>
      <c r="M208" t="s">
        <v>13041</v>
      </c>
      <c r="N208">
        <v>59.994</v>
      </c>
      <c r="O208">
        <v>20280915</v>
      </c>
      <c r="P208">
        <v>126.8</v>
      </c>
      <c r="Q208">
        <v>0.56999999999999995</v>
      </c>
      <c r="R208">
        <v>6.26</v>
      </c>
      <c r="S208">
        <v>1.62</v>
      </c>
    </row>
    <row r="209" spans="1:19" x14ac:dyDescent="0.3">
      <c r="A209" t="s">
        <v>12678</v>
      </c>
      <c r="B209" t="s">
        <v>13769</v>
      </c>
      <c r="C209" t="s">
        <v>13770</v>
      </c>
      <c r="D209" t="s">
        <v>13771</v>
      </c>
      <c r="E209">
        <v>10.33</v>
      </c>
      <c r="F209">
        <v>13.429</v>
      </c>
      <c r="G209">
        <v>115</v>
      </c>
      <c r="H209">
        <v>8.7799999999999994</v>
      </c>
      <c r="I209">
        <v>96.5</v>
      </c>
      <c r="J209">
        <v>1.923</v>
      </c>
      <c r="K209" t="s">
        <v>13040</v>
      </c>
      <c r="L209" t="s">
        <v>13041</v>
      </c>
      <c r="M209" t="s">
        <v>13041</v>
      </c>
      <c r="N209">
        <v>7.9980000000000002</v>
      </c>
      <c r="O209">
        <v>20280901</v>
      </c>
      <c r="P209">
        <v>116.42</v>
      </c>
      <c r="Q209">
        <v>0.09</v>
      </c>
      <c r="R209">
        <v>6.12</v>
      </c>
      <c r="S209">
        <v>-0.33</v>
      </c>
    </row>
    <row r="210" spans="1:19" x14ac:dyDescent="0.3">
      <c r="A210" t="s">
        <v>13772</v>
      </c>
      <c r="B210" t="s">
        <v>13773</v>
      </c>
      <c r="C210" t="s">
        <v>13774</v>
      </c>
      <c r="D210" t="s">
        <v>13775</v>
      </c>
      <c r="E210">
        <v>8.8000000000000007</v>
      </c>
      <c r="F210">
        <v>11.44</v>
      </c>
      <c r="G210">
        <v>115</v>
      </c>
      <c r="H210">
        <v>7.48</v>
      </c>
      <c r="I210">
        <v>56.58</v>
      </c>
      <c r="J210">
        <v>1.9179999999999999</v>
      </c>
      <c r="K210" t="s">
        <v>13040</v>
      </c>
      <c r="L210" t="s">
        <v>13041</v>
      </c>
      <c r="M210" t="s">
        <v>13041</v>
      </c>
      <c r="N210">
        <v>2.34</v>
      </c>
      <c r="O210">
        <v>20280830</v>
      </c>
      <c r="P210">
        <v>130.43</v>
      </c>
      <c r="Q210">
        <v>0.33</v>
      </c>
      <c r="R210">
        <v>7.33</v>
      </c>
      <c r="S210">
        <v>-1.61</v>
      </c>
    </row>
    <row r="211" spans="1:19" x14ac:dyDescent="0.3">
      <c r="A211" t="s">
        <v>13776</v>
      </c>
      <c r="B211" t="s">
        <v>13777</v>
      </c>
      <c r="C211" t="s">
        <v>13778</v>
      </c>
      <c r="D211" t="s">
        <v>13779</v>
      </c>
      <c r="E211">
        <v>10.56</v>
      </c>
      <c r="F211">
        <v>13.728</v>
      </c>
      <c r="G211">
        <v>112</v>
      </c>
      <c r="H211">
        <v>7.3920000000000003</v>
      </c>
      <c r="I211">
        <v>16.12</v>
      </c>
      <c r="J211">
        <v>1.8819999999999999</v>
      </c>
      <c r="K211" t="s">
        <v>13298</v>
      </c>
      <c r="L211" t="s">
        <v>13041</v>
      </c>
      <c r="M211" t="s">
        <v>13041</v>
      </c>
      <c r="N211">
        <v>9.3420000000000005</v>
      </c>
      <c r="O211">
        <v>20280817</v>
      </c>
      <c r="P211">
        <v>245</v>
      </c>
      <c r="Q211">
        <v>1.33</v>
      </c>
      <c r="R211">
        <v>22.28</v>
      </c>
      <c r="S211">
        <v>3.05</v>
      </c>
    </row>
    <row r="212" spans="1:19" x14ac:dyDescent="0.3">
      <c r="A212" t="s">
        <v>2075</v>
      </c>
      <c r="B212" t="s">
        <v>13780</v>
      </c>
      <c r="C212" t="s">
        <v>13781</v>
      </c>
      <c r="D212" t="s">
        <v>13782</v>
      </c>
      <c r="E212">
        <v>43.71</v>
      </c>
      <c r="F212">
        <v>56.823</v>
      </c>
      <c r="G212">
        <v>115</v>
      </c>
      <c r="H212">
        <v>37.154000000000003</v>
      </c>
      <c r="I212">
        <v>55.05</v>
      </c>
      <c r="J212">
        <v>1.869</v>
      </c>
      <c r="K212" t="s">
        <v>13040</v>
      </c>
      <c r="L212" t="s">
        <v>13041</v>
      </c>
      <c r="M212" t="s">
        <v>13041</v>
      </c>
      <c r="N212">
        <v>5.0410000000000004</v>
      </c>
      <c r="O212">
        <v>20280812</v>
      </c>
      <c r="P212">
        <v>126</v>
      </c>
      <c r="Q212">
        <v>0.36</v>
      </c>
      <c r="R212">
        <v>35.520000000000003</v>
      </c>
      <c r="S212">
        <v>-0.08</v>
      </c>
    </row>
    <row r="213" spans="1:19" x14ac:dyDescent="0.3">
      <c r="A213" t="s">
        <v>13783</v>
      </c>
      <c r="B213" t="s">
        <v>13784</v>
      </c>
      <c r="C213" t="s">
        <v>13785</v>
      </c>
      <c r="D213" t="s">
        <v>13786</v>
      </c>
      <c r="E213">
        <v>10</v>
      </c>
      <c r="F213">
        <v>13</v>
      </c>
      <c r="G213">
        <v>108</v>
      </c>
      <c r="H213">
        <v>8.5</v>
      </c>
      <c r="I213">
        <v>95.14</v>
      </c>
      <c r="J213">
        <v>1.869</v>
      </c>
      <c r="K213" t="s">
        <v>13040</v>
      </c>
      <c r="L213" t="s">
        <v>13041</v>
      </c>
      <c r="M213" t="s">
        <v>13041</v>
      </c>
      <c r="N213">
        <v>8.3000000000000007</v>
      </c>
      <c r="O213">
        <v>20280812</v>
      </c>
      <c r="P213">
        <v>116.11</v>
      </c>
      <c r="Q213">
        <v>0.44</v>
      </c>
      <c r="R213">
        <v>5.95</v>
      </c>
      <c r="S213">
        <v>0.51</v>
      </c>
    </row>
    <row r="214" spans="1:19" x14ac:dyDescent="0.3">
      <c r="A214" t="s">
        <v>12690</v>
      </c>
      <c r="B214" t="s">
        <v>13787</v>
      </c>
      <c r="C214" t="s">
        <v>13788</v>
      </c>
      <c r="D214" t="s">
        <v>929</v>
      </c>
      <c r="E214">
        <v>31.76</v>
      </c>
      <c r="F214">
        <v>41.287999999999997</v>
      </c>
      <c r="G214">
        <v>115</v>
      </c>
      <c r="H214">
        <v>26.995999999999999</v>
      </c>
      <c r="I214">
        <v>55.63</v>
      </c>
      <c r="J214">
        <v>1.869</v>
      </c>
      <c r="K214" t="s">
        <v>13040</v>
      </c>
      <c r="L214" t="s">
        <v>13041</v>
      </c>
      <c r="M214" t="s">
        <v>13041</v>
      </c>
      <c r="N214">
        <v>3.6</v>
      </c>
      <c r="O214">
        <v>20280812</v>
      </c>
      <c r="P214">
        <v>127.06</v>
      </c>
      <c r="Q214">
        <v>-0.06</v>
      </c>
      <c r="R214">
        <v>25.93</v>
      </c>
      <c r="S214">
        <v>-1.41</v>
      </c>
    </row>
    <row r="215" spans="1:19" x14ac:dyDescent="0.3">
      <c r="A215" t="s">
        <v>13789</v>
      </c>
      <c r="B215" t="s">
        <v>13790</v>
      </c>
      <c r="C215" t="s">
        <v>13791</v>
      </c>
      <c r="D215" t="s">
        <v>13792</v>
      </c>
      <c r="E215">
        <v>16</v>
      </c>
      <c r="F215">
        <v>20.8</v>
      </c>
      <c r="G215">
        <v>115</v>
      </c>
      <c r="H215">
        <v>13.6</v>
      </c>
      <c r="I215">
        <v>93.34</v>
      </c>
      <c r="J215">
        <v>1.849</v>
      </c>
      <c r="K215" t="s">
        <v>13040</v>
      </c>
      <c r="L215" t="s">
        <v>13041</v>
      </c>
      <c r="M215" t="s">
        <v>13041</v>
      </c>
      <c r="N215">
        <v>5.2889999999999997</v>
      </c>
      <c r="O215">
        <v>20280805</v>
      </c>
      <c r="P215">
        <v>120.96</v>
      </c>
      <c r="Q215">
        <v>-0.03</v>
      </c>
      <c r="R215">
        <v>10.01</v>
      </c>
      <c r="S215">
        <v>0.6</v>
      </c>
    </row>
    <row r="216" spans="1:19" x14ac:dyDescent="0.3">
      <c r="A216" t="s">
        <v>13793</v>
      </c>
      <c r="B216" t="s">
        <v>13794</v>
      </c>
      <c r="C216" t="s">
        <v>13795</v>
      </c>
      <c r="D216" t="s">
        <v>13796</v>
      </c>
      <c r="E216">
        <v>6.91</v>
      </c>
      <c r="F216">
        <v>8.9830000000000005</v>
      </c>
      <c r="G216">
        <v>115</v>
      </c>
      <c r="H216">
        <v>5.8730000000000002</v>
      </c>
      <c r="I216">
        <v>30.24</v>
      </c>
      <c r="J216">
        <v>1.849</v>
      </c>
      <c r="K216" t="s">
        <v>13298</v>
      </c>
      <c r="L216" t="s">
        <v>13041</v>
      </c>
      <c r="M216" t="s">
        <v>13041</v>
      </c>
      <c r="N216">
        <v>1.675</v>
      </c>
      <c r="O216">
        <v>20280805</v>
      </c>
      <c r="P216">
        <v>147.76</v>
      </c>
      <c r="Q216">
        <v>2.12</v>
      </c>
      <c r="R216">
        <v>7.84</v>
      </c>
      <c r="S216">
        <v>6.81</v>
      </c>
    </row>
    <row r="217" spans="1:19" x14ac:dyDescent="0.3">
      <c r="A217" t="s">
        <v>12614</v>
      </c>
      <c r="B217" t="s">
        <v>13797</v>
      </c>
      <c r="C217" t="s">
        <v>13798</v>
      </c>
      <c r="D217" t="s">
        <v>12714</v>
      </c>
      <c r="E217">
        <v>51.29</v>
      </c>
      <c r="F217">
        <v>66.677000000000007</v>
      </c>
      <c r="G217">
        <v>112</v>
      </c>
      <c r="H217">
        <v>41.031999999999996</v>
      </c>
      <c r="I217">
        <v>95.23</v>
      </c>
      <c r="J217">
        <v>1.849</v>
      </c>
      <c r="K217" t="s">
        <v>13040</v>
      </c>
      <c r="L217" t="s">
        <v>13041</v>
      </c>
      <c r="M217" t="s">
        <v>13041</v>
      </c>
      <c r="N217">
        <v>19.998999999999999</v>
      </c>
      <c r="O217">
        <v>20280805</v>
      </c>
      <c r="P217">
        <v>119.86</v>
      </c>
      <c r="Q217">
        <v>0.75</v>
      </c>
      <c r="R217">
        <v>31.49</v>
      </c>
      <c r="S217">
        <v>4.0599999999999996</v>
      </c>
    </row>
    <row r="218" spans="1:19" x14ac:dyDescent="0.3">
      <c r="A218" t="s">
        <v>2068</v>
      </c>
      <c r="B218" t="s">
        <v>13799</v>
      </c>
      <c r="C218" t="s">
        <v>13800</v>
      </c>
      <c r="D218" t="s">
        <v>13801</v>
      </c>
      <c r="E218">
        <v>19.02</v>
      </c>
      <c r="F218">
        <v>24.725999999999999</v>
      </c>
      <c r="G218">
        <v>110</v>
      </c>
      <c r="H218">
        <v>17.117999999999999</v>
      </c>
      <c r="I218">
        <v>70.569999999999993</v>
      </c>
      <c r="J218">
        <v>1.8109999999999999</v>
      </c>
      <c r="K218" t="s">
        <v>13040</v>
      </c>
      <c r="L218" t="s">
        <v>13041</v>
      </c>
      <c r="M218" t="s">
        <v>13041</v>
      </c>
      <c r="N218">
        <v>14.766</v>
      </c>
      <c r="O218">
        <v>20280722</v>
      </c>
      <c r="P218">
        <v>120.35</v>
      </c>
      <c r="Q218">
        <v>0.94</v>
      </c>
      <c r="R218">
        <v>13.42</v>
      </c>
      <c r="S218">
        <v>1.51</v>
      </c>
    </row>
    <row r="219" spans="1:19" x14ac:dyDescent="0.3">
      <c r="A219" t="s">
        <v>13802</v>
      </c>
      <c r="B219" t="s">
        <v>13803</v>
      </c>
      <c r="C219" t="s">
        <v>13804</v>
      </c>
      <c r="D219" t="s">
        <v>13805</v>
      </c>
      <c r="E219">
        <v>55.22</v>
      </c>
      <c r="F219">
        <v>71.786000000000001</v>
      </c>
      <c r="G219">
        <v>115</v>
      </c>
      <c r="H219">
        <v>46.936999999999998</v>
      </c>
      <c r="I219">
        <v>129.74</v>
      </c>
      <c r="J219">
        <v>1.8080000000000001</v>
      </c>
      <c r="K219" t="s">
        <v>13040</v>
      </c>
      <c r="L219" t="s">
        <v>13041</v>
      </c>
      <c r="M219" t="s">
        <v>13041</v>
      </c>
      <c r="N219">
        <v>4.0999999999999996</v>
      </c>
      <c r="O219">
        <v>20280721</v>
      </c>
      <c r="P219">
        <v>124.06</v>
      </c>
      <c r="Q219">
        <v>-0.36</v>
      </c>
      <c r="R219">
        <v>29.82</v>
      </c>
      <c r="S219">
        <v>-2.83</v>
      </c>
    </row>
    <row r="220" spans="1:19" x14ac:dyDescent="0.3">
      <c r="A220" t="s">
        <v>13806</v>
      </c>
      <c r="B220" t="s">
        <v>13807</v>
      </c>
      <c r="C220" t="s">
        <v>13808</v>
      </c>
      <c r="D220" t="s">
        <v>13809</v>
      </c>
      <c r="E220">
        <v>20.99</v>
      </c>
      <c r="F220">
        <v>27.286999999999999</v>
      </c>
      <c r="G220">
        <v>115</v>
      </c>
      <c r="H220">
        <v>17.841000000000001</v>
      </c>
      <c r="I220">
        <v>37.51</v>
      </c>
      <c r="J220">
        <v>1.7729999999999999</v>
      </c>
      <c r="K220" t="s">
        <v>13040</v>
      </c>
      <c r="L220" t="s">
        <v>13041</v>
      </c>
      <c r="M220" t="s">
        <v>13041</v>
      </c>
      <c r="N220">
        <v>12.795999999999999</v>
      </c>
      <c r="O220">
        <v>20280708</v>
      </c>
      <c r="P220">
        <v>162.79</v>
      </c>
      <c r="Q220">
        <v>0.06</v>
      </c>
      <c r="R220">
        <v>24.85</v>
      </c>
      <c r="S220">
        <v>-0.16</v>
      </c>
    </row>
    <row r="221" spans="1:19" x14ac:dyDescent="0.3">
      <c r="A221" t="s">
        <v>13810</v>
      </c>
      <c r="B221" t="s">
        <v>13811</v>
      </c>
      <c r="C221" t="s">
        <v>13812</v>
      </c>
      <c r="D221" t="s">
        <v>13813</v>
      </c>
      <c r="E221">
        <v>25.34</v>
      </c>
      <c r="F221">
        <v>32.942</v>
      </c>
      <c r="G221">
        <v>115</v>
      </c>
      <c r="H221">
        <v>21.539000000000001</v>
      </c>
      <c r="I221">
        <v>44.6</v>
      </c>
      <c r="J221">
        <v>1.764</v>
      </c>
      <c r="K221" t="s">
        <v>13040</v>
      </c>
      <c r="L221" t="s">
        <v>13041</v>
      </c>
      <c r="M221" t="s">
        <v>13041</v>
      </c>
      <c r="N221">
        <v>4.9950000000000001</v>
      </c>
      <c r="O221">
        <v>20280705</v>
      </c>
      <c r="P221">
        <v>143.91</v>
      </c>
      <c r="Q221">
        <v>0.48</v>
      </c>
      <c r="R221">
        <v>25.22</v>
      </c>
      <c r="S221">
        <v>1.2</v>
      </c>
    </row>
    <row r="222" spans="1:19" x14ac:dyDescent="0.3">
      <c r="A222" t="s">
        <v>2097</v>
      </c>
      <c r="B222" t="s">
        <v>13814</v>
      </c>
      <c r="C222" t="s">
        <v>13815</v>
      </c>
      <c r="D222" t="s">
        <v>12800</v>
      </c>
      <c r="E222">
        <v>27.55</v>
      </c>
      <c r="F222">
        <v>35.814999999999998</v>
      </c>
      <c r="G222">
        <v>115</v>
      </c>
      <c r="H222">
        <v>23.417999999999999</v>
      </c>
      <c r="I222">
        <v>186.83</v>
      </c>
      <c r="J222">
        <v>1.7529999999999999</v>
      </c>
      <c r="K222" t="s">
        <v>13040</v>
      </c>
      <c r="L222" t="s">
        <v>13041</v>
      </c>
      <c r="M222" t="s">
        <v>13041</v>
      </c>
      <c r="N222">
        <v>6.9980000000000002</v>
      </c>
      <c r="O222">
        <v>20280701</v>
      </c>
      <c r="P222">
        <v>118.17</v>
      </c>
      <c r="Q222">
        <v>0.04</v>
      </c>
      <c r="R222">
        <v>11.35</v>
      </c>
      <c r="S222">
        <v>0.09</v>
      </c>
    </row>
    <row r="223" spans="1:19" x14ac:dyDescent="0.3">
      <c r="A223" t="s">
        <v>13816</v>
      </c>
      <c r="B223" t="s">
        <v>13817</v>
      </c>
      <c r="C223" t="s">
        <v>13818</v>
      </c>
      <c r="D223" t="s">
        <v>13819</v>
      </c>
      <c r="E223">
        <v>23.27</v>
      </c>
      <c r="F223">
        <v>30.251000000000001</v>
      </c>
      <c r="G223">
        <v>115</v>
      </c>
      <c r="H223">
        <v>18.616</v>
      </c>
      <c r="I223">
        <v>166.04</v>
      </c>
      <c r="J223">
        <v>1.7529999999999999</v>
      </c>
      <c r="K223" t="s">
        <v>13040</v>
      </c>
      <c r="L223" t="s">
        <v>13041</v>
      </c>
      <c r="M223" t="s">
        <v>13041</v>
      </c>
      <c r="N223">
        <v>7.9960000000000004</v>
      </c>
      <c r="O223">
        <v>20280701</v>
      </c>
      <c r="P223">
        <v>119.7</v>
      </c>
      <c r="Q223">
        <v>0.57999999999999996</v>
      </c>
      <c r="R223">
        <v>10.47</v>
      </c>
      <c r="S223">
        <v>0.38</v>
      </c>
    </row>
    <row r="224" spans="1:19" x14ac:dyDescent="0.3">
      <c r="A224" t="s">
        <v>12744</v>
      </c>
      <c r="B224" t="s">
        <v>13820</v>
      </c>
      <c r="C224" t="s">
        <v>13821</v>
      </c>
      <c r="D224" t="s">
        <v>12866</v>
      </c>
      <c r="E224">
        <v>11.45</v>
      </c>
      <c r="F224">
        <v>14.885</v>
      </c>
      <c r="G224">
        <v>110</v>
      </c>
      <c r="H224">
        <v>9.7319999999999993</v>
      </c>
      <c r="I224">
        <v>26.39</v>
      </c>
      <c r="J224">
        <v>1.7509999999999999</v>
      </c>
      <c r="K224" t="s">
        <v>13040</v>
      </c>
      <c r="L224" t="s">
        <v>13041</v>
      </c>
      <c r="M224" t="s">
        <v>13041</v>
      </c>
      <c r="N224">
        <v>11.21</v>
      </c>
      <c r="O224">
        <v>20280630</v>
      </c>
      <c r="P224">
        <v>131.80000000000001</v>
      </c>
      <c r="Q224">
        <v>1.1100000000000001</v>
      </c>
      <c r="R224">
        <v>11.94</v>
      </c>
      <c r="S224">
        <v>1.44</v>
      </c>
    </row>
    <row r="225" spans="1:19" x14ac:dyDescent="0.3">
      <c r="A225" t="s">
        <v>13822</v>
      </c>
      <c r="B225" t="s">
        <v>13823</v>
      </c>
      <c r="C225" t="s">
        <v>13824</v>
      </c>
      <c r="D225" t="s">
        <v>13825</v>
      </c>
      <c r="E225">
        <v>47.88</v>
      </c>
      <c r="F225">
        <v>62.244</v>
      </c>
      <c r="G225">
        <v>110</v>
      </c>
      <c r="H225">
        <v>40.698</v>
      </c>
      <c r="I225">
        <v>119.82</v>
      </c>
      <c r="J225">
        <v>1.7450000000000001</v>
      </c>
      <c r="K225" t="s">
        <v>13040</v>
      </c>
      <c r="L225" t="s">
        <v>13041</v>
      </c>
      <c r="M225" t="s">
        <v>13041</v>
      </c>
      <c r="N225">
        <v>4.399</v>
      </c>
      <c r="O225">
        <v>20280628</v>
      </c>
      <c r="P225">
        <v>126.76</v>
      </c>
      <c r="Q225">
        <v>0.6</v>
      </c>
      <c r="R225">
        <v>27.61</v>
      </c>
      <c r="S225">
        <v>12.51</v>
      </c>
    </row>
    <row r="226" spans="1:19" x14ac:dyDescent="0.3">
      <c r="A226" t="s">
        <v>13826</v>
      </c>
      <c r="B226" t="s">
        <v>13827</v>
      </c>
      <c r="C226" t="s">
        <v>13828</v>
      </c>
      <c r="D226" t="s">
        <v>13829</v>
      </c>
      <c r="E226">
        <v>13.55</v>
      </c>
      <c r="F226">
        <v>17.614999999999998</v>
      </c>
      <c r="G226">
        <v>115</v>
      </c>
      <c r="H226">
        <v>11.518000000000001</v>
      </c>
      <c r="I226">
        <v>41.47</v>
      </c>
      <c r="J226">
        <v>1.7430000000000001</v>
      </c>
      <c r="K226" t="s">
        <v>13040</v>
      </c>
      <c r="L226" t="s">
        <v>13041</v>
      </c>
      <c r="M226" t="s">
        <v>13041</v>
      </c>
      <c r="N226">
        <v>4.577</v>
      </c>
      <c r="O226">
        <v>20280627</v>
      </c>
      <c r="P226">
        <v>127.69</v>
      </c>
      <c r="Q226">
        <v>-0.13</v>
      </c>
      <c r="R226">
        <v>12.23</v>
      </c>
      <c r="S226">
        <v>-0.16</v>
      </c>
    </row>
    <row r="227" spans="1:19" x14ac:dyDescent="0.3">
      <c r="A227" t="s">
        <v>2051</v>
      </c>
      <c r="B227" t="s">
        <v>13830</v>
      </c>
      <c r="C227" t="s">
        <v>13831</v>
      </c>
      <c r="D227" t="s">
        <v>13832</v>
      </c>
      <c r="E227">
        <v>5.6</v>
      </c>
      <c r="F227">
        <v>7.28</v>
      </c>
      <c r="G227">
        <v>108</v>
      </c>
      <c r="H227">
        <v>4.76</v>
      </c>
      <c r="I227">
        <v>46.41</v>
      </c>
      <c r="J227">
        <v>1.732</v>
      </c>
      <c r="K227" t="s">
        <v>13040</v>
      </c>
      <c r="L227" t="s">
        <v>13041</v>
      </c>
      <c r="M227" t="s">
        <v>13041</v>
      </c>
      <c r="N227">
        <v>29.975000000000001</v>
      </c>
      <c r="O227">
        <v>20280623</v>
      </c>
      <c r="P227">
        <v>120</v>
      </c>
      <c r="Q227">
        <v>1.59</v>
      </c>
      <c r="R227">
        <v>4.59</v>
      </c>
      <c r="S227">
        <v>1.55</v>
      </c>
    </row>
    <row r="228" spans="1:19" x14ac:dyDescent="0.3">
      <c r="A228" t="s">
        <v>2055</v>
      </c>
      <c r="B228" t="s">
        <v>13833</v>
      </c>
      <c r="C228" t="s">
        <v>13834</v>
      </c>
      <c r="D228" t="s">
        <v>13835</v>
      </c>
      <c r="E228">
        <v>2.71</v>
      </c>
      <c r="F228">
        <v>3.5230000000000001</v>
      </c>
      <c r="G228">
        <v>112</v>
      </c>
      <c r="H228">
        <v>2.3039999999999998</v>
      </c>
      <c r="I228">
        <v>24.23</v>
      </c>
      <c r="J228">
        <v>1.7230000000000001</v>
      </c>
      <c r="K228" t="s">
        <v>13040</v>
      </c>
      <c r="L228" t="s">
        <v>13041</v>
      </c>
      <c r="M228" t="s">
        <v>13041</v>
      </c>
      <c r="N228">
        <v>11.069000000000001</v>
      </c>
      <c r="O228">
        <v>20280620</v>
      </c>
      <c r="P228">
        <v>128.35</v>
      </c>
      <c r="Q228">
        <v>0.11</v>
      </c>
      <c r="R228">
        <v>2.8</v>
      </c>
      <c r="S228">
        <v>-0.71</v>
      </c>
    </row>
    <row r="229" spans="1:19" x14ac:dyDescent="0.3">
      <c r="A229" t="s">
        <v>13836</v>
      </c>
      <c r="B229" t="s">
        <v>13837</v>
      </c>
      <c r="C229" t="s">
        <v>13838</v>
      </c>
      <c r="D229" t="s">
        <v>13839</v>
      </c>
      <c r="E229">
        <v>41.56</v>
      </c>
      <c r="F229">
        <v>54.027999999999999</v>
      </c>
      <c r="G229">
        <v>112</v>
      </c>
      <c r="H229">
        <v>37.404000000000003</v>
      </c>
      <c r="I229">
        <v>423.91</v>
      </c>
      <c r="J229">
        <v>1.6379999999999999</v>
      </c>
      <c r="K229" t="s">
        <v>13040</v>
      </c>
      <c r="L229" t="s">
        <v>13041</v>
      </c>
      <c r="M229" t="s">
        <v>13041</v>
      </c>
      <c r="N229">
        <v>39.996000000000002</v>
      </c>
      <c r="O229">
        <v>20280520</v>
      </c>
      <c r="P229">
        <v>116.23</v>
      </c>
      <c r="Q229">
        <v>0.03</v>
      </c>
      <c r="R229">
        <v>9.2200000000000006</v>
      </c>
      <c r="S229">
        <v>1.32</v>
      </c>
    </row>
    <row r="230" spans="1:19" x14ac:dyDescent="0.3">
      <c r="A230" t="s">
        <v>13840</v>
      </c>
      <c r="B230" t="s">
        <v>13841</v>
      </c>
      <c r="C230" t="s">
        <v>13842</v>
      </c>
      <c r="D230" t="s">
        <v>13843</v>
      </c>
      <c r="E230">
        <v>25.47</v>
      </c>
      <c r="F230">
        <v>33.110999999999997</v>
      </c>
      <c r="G230">
        <v>108</v>
      </c>
      <c r="H230">
        <v>21.649000000000001</v>
      </c>
      <c r="I230">
        <v>36.950000000000003</v>
      </c>
      <c r="J230">
        <v>1.6359999999999999</v>
      </c>
      <c r="K230" t="s">
        <v>13040</v>
      </c>
      <c r="L230" t="s">
        <v>13041</v>
      </c>
      <c r="M230" t="s">
        <v>13041</v>
      </c>
      <c r="N230">
        <v>11.364000000000001</v>
      </c>
      <c r="O230">
        <v>20280519</v>
      </c>
      <c r="P230">
        <v>134.63999999999999</v>
      </c>
      <c r="Q230">
        <v>0.37</v>
      </c>
      <c r="R230">
        <v>25.04</v>
      </c>
      <c r="S230">
        <v>4.25</v>
      </c>
    </row>
    <row r="231" spans="1:19" x14ac:dyDescent="0.3">
      <c r="A231" t="s">
        <v>13844</v>
      </c>
      <c r="B231" t="s">
        <v>13845</v>
      </c>
      <c r="C231" t="s">
        <v>13846</v>
      </c>
      <c r="D231" t="s">
        <v>12039</v>
      </c>
      <c r="E231">
        <v>24.84</v>
      </c>
      <c r="F231">
        <v>32.292000000000002</v>
      </c>
      <c r="G231">
        <v>110</v>
      </c>
      <c r="H231">
        <v>19.872</v>
      </c>
      <c r="I231">
        <v>95.69</v>
      </c>
      <c r="J231">
        <v>1.57</v>
      </c>
      <c r="K231" t="s">
        <v>13040</v>
      </c>
      <c r="L231" t="s">
        <v>13041</v>
      </c>
      <c r="M231" t="s">
        <v>13041</v>
      </c>
      <c r="N231">
        <v>8.9969999999999999</v>
      </c>
      <c r="O231">
        <v>20280425</v>
      </c>
      <c r="P231">
        <v>113.28</v>
      </c>
      <c r="Q231">
        <v>0.41</v>
      </c>
      <c r="R231">
        <v>14.38</v>
      </c>
      <c r="S231">
        <v>0.56000000000000005</v>
      </c>
    </row>
    <row r="232" spans="1:19" x14ac:dyDescent="0.3">
      <c r="A232" t="s">
        <v>13847</v>
      </c>
      <c r="B232" t="s">
        <v>13848</v>
      </c>
      <c r="C232" t="s">
        <v>13849</v>
      </c>
      <c r="D232" t="s">
        <v>13850</v>
      </c>
      <c r="E232">
        <v>10.09</v>
      </c>
      <c r="F232">
        <v>13.117000000000001</v>
      </c>
      <c r="G232">
        <v>112</v>
      </c>
      <c r="H232">
        <v>8.5760000000000005</v>
      </c>
      <c r="I232">
        <v>84.48</v>
      </c>
      <c r="J232">
        <v>1.5620000000000001</v>
      </c>
      <c r="K232" t="s">
        <v>13040</v>
      </c>
      <c r="L232" t="s">
        <v>13041</v>
      </c>
      <c r="M232" t="s">
        <v>13041</v>
      </c>
      <c r="N232">
        <v>14.669</v>
      </c>
      <c r="O232">
        <v>20280422</v>
      </c>
      <c r="P232">
        <v>115.92</v>
      </c>
      <c r="Q232">
        <v>0.28999999999999998</v>
      </c>
      <c r="R232">
        <v>6.34</v>
      </c>
      <c r="S232">
        <v>1.28</v>
      </c>
    </row>
    <row r="233" spans="1:19" x14ac:dyDescent="0.3">
      <c r="A233" t="s">
        <v>13851</v>
      </c>
      <c r="B233" t="s">
        <v>13852</v>
      </c>
      <c r="C233" t="s">
        <v>13853</v>
      </c>
      <c r="D233" t="s">
        <v>13854</v>
      </c>
      <c r="E233">
        <v>4.57</v>
      </c>
      <c r="F233">
        <v>5.9409999999999998</v>
      </c>
      <c r="G233">
        <v>112</v>
      </c>
      <c r="H233">
        <v>3.6560000000000001</v>
      </c>
      <c r="I233">
        <v>62.68</v>
      </c>
      <c r="J233">
        <v>1.5620000000000001</v>
      </c>
      <c r="K233" t="s">
        <v>13040</v>
      </c>
      <c r="L233" t="s">
        <v>13041</v>
      </c>
      <c r="M233" t="s">
        <v>13041</v>
      </c>
      <c r="N233">
        <v>19.998999999999999</v>
      </c>
      <c r="O233">
        <v>20280422</v>
      </c>
      <c r="P233">
        <v>120.68</v>
      </c>
      <c r="Q233">
        <v>0.39</v>
      </c>
      <c r="R233">
        <v>3.39</v>
      </c>
      <c r="S233">
        <v>2.11</v>
      </c>
    </row>
    <row r="234" spans="1:19" x14ac:dyDescent="0.3">
      <c r="A234" t="s">
        <v>2061</v>
      </c>
      <c r="B234" t="s">
        <v>13855</v>
      </c>
      <c r="C234" t="s">
        <v>13856</v>
      </c>
      <c r="D234" t="s">
        <v>12788</v>
      </c>
      <c r="E234">
        <v>7.56</v>
      </c>
      <c r="F234">
        <v>9.8279999999999994</v>
      </c>
      <c r="G234">
        <v>115</v>
      </c>
      <c r="H234">
        <v>6.4260000000000002</v>
      </c>
      <c r="I234">
        <v>119.17</v>
      </c>
      <c r="J234">
        <v>1.5589999999999999</v>
      </c>
      <c r="K234" t="s">
        <v>13040</v>
      </c>
      <c r="L234" t="s">
        <v>13041</v>
      </c>
      <c r="M234" t="s">
        <v>13041</v>
      </c>
      <c r="N234">
        <v>3.9569999999999999</v>
      </c>
      <c r="O234">
        <v>20280421</v>
      </c>
      <c r="P234">
        <v>123.5</v>
      </c>
      <c r="Q234">
        <v>0.41</v>
      </c>
      <c r="R234">
        <v>4.26</v>
      </c>
      <c r="S234">
        <v>-0.23</v>
      </c>
    </row>
    <row r="235" spans="1:19" x14ac:dyDescent="0.3">
      <c r="A235" t="s">
        <v>1992</v>
      </c>
      <c r="B235" t="s">
        <v>13857</v>
      </c>
      <c r="C235" t="s">
        <v>13858</v>
      </c>
      <c r="D235" t="s">
        <v>12623</v>
      </c>
      <c r="E235">
        <v>3.47</v>
      </c>
      <c r="F235">
        <v>4.5110000000000001</v>
      </c>
      <c r="G235">
        <v>118</v>
      </c>
      <c r="H235">
        <v>2.95</v>
      </c>
      <c r="I235">
        <v>6.77</v>
      </c>
      <c r="J235">
        <v>1.556</v>
      </c>
      <c r="K235" t="s">
        <v>13040</v>
      </c>
      <c r="L235" t="s">
        <v>13041</v>
      </c>
      <c r="M235" t="s">
        <v>13041</v>
      </c>
      <c r="N235">
        <v>27.74</v>
      </c>
      <c r="O235">
        <v>20280420</v>
      </c>
      <c r="P235">
        <v>108</v>
      </c>
      <c r="Q235">
        <v>0.62</v>
      </c>
      <c r="R235">
        <v>3.51</v>
      </c>
      <c r="S235">
        <v>1.1499999999999999</v>
      </c>
    </row>
    <row r="236" spans="1:19" x14ac:dyDescent="0.3">
      <c r="A236" t="s">
        <v>13859</v>
      </c>
      <c r="B236" t="s">
        <v>13860</v>
      </c>
      <c r="C236" t="s">
        <v>13861</v>
      </c>
      <c r="D236" t="s">
        <v>12806</v>
      </c>
      <c r="E236">
        <v>13.8</v>
      </c>
      <c r="F236">
        <v>17.940000000000001</v>
      </c>
      <c r="G236">
        <v>110</v>
      </c>
      <c r="H236">
        <v>11.04</v>
      </c>
      <c r="I236">
        <v>33.42</v>
      </c>
      <c r="J236">
        <v>1.5529999999999999</v>
      </c>
      <c r="K236" t="s">
        <v>13040</v>
      </c>
      <c r="L236" t="s">
        <v>13041</v>
      </c>
      <c r="M236" t="s">
        <v>13041</v>
      </c>
      <c r="N236">
        <v>6.399</v>
      </c>
      <c r="O236">
        <v>20280419</v>
      </c>
      <c r="P236">
        <v>123.56</v>
      </c>
      <c r="Q236">
        <v>0.4</v>
      </c>
      <c r="R236">
        <v>12.78</v>
      </c>
      <c r="S236">
        <v>0.79</v>
      </c>
    </row>
    <row r="237" spans="1:19" x14ac:dyDescent="0.3">
      <c r="A237" t="s">
        <v>2115</v>
      </c>
      <c r="B237" t="s">
        <v>13862</v>
      </c>
      <c r="C237" t="s">
        <v>13863</v>
      </c>
      <c r="D237" t="s">
        <v>13864</v>
      </c>
      <c r="E237">
        <v>8.0500000000000007</v>
      </c>
      <c r="F237">
        <v>10.465</v>
      </c>
      <c r="G237">
        <v>108.3</v>
      </c>
      <c r="H237">
        <v>6.843</v>
      </c>
      <c r="I237">
        <v>44.43</v>
      </c>
      <c r="J237">
        <v>1.54</v>
      </c>
      <c r="K237" t="s">
        <v>13040</v>
      </c>
      <c r="L237" t="s">
        <v>13041</v>
      </c>
      <c r="M237" t="s">
        <v>13041</v>
      </c>
      <c r="N237">
        <v>1.3720000000000001</v>
      </c>
      <c r="O237">
        <v>20280414</v>
      </c>
      <c r="P237">
        <v>152.68</v>
      </c>
      <c r="Q237">
        <v>-1.19</v>
      </c>
      <c r="R237">
        <v>8.51</v>
      </c>
      <c r="S237">
        <v>-1.85</v>
      </c>
    </row>
    <row r="238" spans="1:19" x14ac:dyDescent="0.3">
      <c r="A238" t="s">
        <v>2098</v>
      </c>
      <c r="B238" t="s">
        <v>13865</v>
      </c>
      <c r="C238" t="s">
        <v>13866</v>
      </c>
      <c r="D238" t="s">
        <v>13867</v>
      </c>
      <c r="E238">
        <v>7</v>
      </c>
      <c r="F238">
        <v>9.1</v>
      </c>
      <c r="G238">
        <v>115</v>
      </c>
      <c r="H238">
        <v>5.95</v>
      </c>
      <c r="I238">
        <v>39.32</v>
      </c>
      <c r="J238">
        <v>1.532</v>
      </c>
      <c r="K238" t="s">
        <v>13040</v>
      </c>
      <c r="L238" t="s">
        <v>13041</v>
      </c>
      <c r="M238" t="s">
        <v>13041</v>
      </c>
      <c r="N238">
        <v>5.9969999999999999</v>
      </c>
      <c r="O238">
        <v>20280411</v>
      </c>
      <c r="P238">
        <v>125.79</v>
      </c>
      <c r="Q238">
        <v>-0.55000000000000004</v>
      </c>
      <c r="R238">
        <v>6.32</v>
      </c>
      <c r="S238">
        <v>-3.07</v>
      </c>
    </row>
    <row r="239" spans="1:19" x14ac:dyDescent="0.3">
      <c r="A239" t="s">
        <v>2150</v>
      </c>
      <c r="B239" t="s">
        <v>13868</v>
      </c>
      <c r="C239" t="s">
        <v>13869</v>
      </c>
      <c r="D239" t="s">
        <v>13870</v>
      </c>
      <c r="E239">
        <v>8.11</v>
      </c>
      <c r="F239">
        <v>10.542999999999999</v>
      </c>
      <c r="G239">
        <v>115</v>
      </c>
      <c r="H239">
        <v>7.2990000000000004</v>
      </c>
      <c r="I239">
        <v>51.14</v>
      </c>
      <c r="J239">
        <v>1.5229999999999999</v>
      </c>
      <c r="K239" t="s">
        <v>13040</v>
      </c>
      <c r="L239" t="s">
        <v>13041</v>
      </c>
      <c r="M239" t="s">
        <v>13041</v>
      </c>
      <c r="N239">
        <v>3.79</v>
      </c>
      <c r="O239">
        <v>20280408</v>
      </c>
      <c r="P239">
        <v>125.61</v>
      </c>
      <c r="Q239">
        <v>0.32</v>
      </c>
      <c r="R239">
        <v>6.74</v>
      </c>
      <c r="S239">
        <v>0.9</v>
      </c>
    </row>
    <row r="240" spans="1:19" x14ac:dyDescent="0.3">
      <c r="A240" t="s">
        <v>2116</v>
      </c>
      <c r="B240" t="s">
        <v>13871</v>
      </c>
      <c r="C240" t="s">
        <v>13872</v>
      </c>
      <c r="D240" t="s">
        <v>13873</v>
      </c>
      <c r="E240">
        <v>4.4800000000000004</v>
      </c>
      <c r="F240">
        <v>5.8239999999999998</v>
      </c>
      <c r="G240">
        <v>112</v>
      </c>
      <c r="H240">
        <v>3.8079999999999998</v>
      </c>
      <c r="I240">
        <v>13.62</v>
      </c>
      <c r="J240">
        <v>1.4990000000000001</v>
      </c>
      <c r="K240" t="s">
        <v>13040</v>
      </c>
      <c r="L240" t="s">
        <v>13041</v>
      </c>
      <c r="M240" t="s">
        <v>13041</v>
      </c>
      <c r="N240">
        <v>18.638000000000002</v>
      </c>
      <c r="O240">
        <v>20280330</v>
      </c>
      <c r="P240">
        <v>126.81</v>
      </c>
      <c r="Q240">
        <v>0.72</v>
      </c>
      <c r="R240">
        <v>5</v>
      </c>
      <c r="S240">
        <v>0.6</v>
      </c>
    </row>
    <row r="241" spans="1:19" x14ac:dyDescent="0.3">
      <c r="A241" t="s">
        <v>12697</v>
      </c>
      <c r="B241" t="s">
        <v>13874</v>
      </c>
      <c r="C241" t="s">
        <v>13875</v>
      </c>
      <c r="D241" t="s">
        <v>13876</v>
      </c>
      <c r="E241">
        <v>20.149999999999999</v>
      </c>
      <c r="F241">
        <v>26.195</v>
      </c>
      <c r="G241">
        <v>115</v>
      </c>
      <c r="H241">
        <v>17.126999999999999</v>
      </c>
      <c r="I241">
        <v>30.92</v>
      </c>
      <c r="J241">
        <v>1.4990000000000001</v>
      </c>
      <c r="K241" t="s">
        <v>13040</v>
      </c>
      <c r="L241" t="s">
        <v>13041</v>
      </c>
      <c r="M241" t="s">
        <v>13041</v>
      </c>
      <c r="N241">
        <v>6.7149999999999999</v>
      </c>
      <c r="O241">
        <v>20280330</v>
      </c>
      <c r="P241">
        <v>132.03</v>
      </c>
      <c r="Q241">
        <v>0.33</v>
      </c>
      <c r="R241">
        <v>20.32</v>
      </c>
      <c r="S241">
        <v>0.99</v>
      </c>
    </row>
    <row r="242" spans="1:19" x14ac:dyDescent="0.3">
      <c r="A242" t="s">
        <v>13877</v>
      </c>
      <c r="B242" t="s">
        <v>13878</v>
      </c>
      <c r="C242" t="s">
        <v>13879</v>
      </c>
      <c r="D242" t="s">
        <v>13880</v>
      </c>
      <c r="E242">
        <v>11.8</v>
      </c>
      <c r="F242">
        <v>15.34</v>
      </c>
      <c r="G242">
        <v>115</v>
      </c>
      <c r="H242">
        <v>9.44</v>
      </c>
      <c r="I242">
        <v>38.090000000000003</v>
      </c>
      <c r="J242">
        <v>1.4850000000000001</v>
      </c>
      <c r="K242" t="s">
        <v>13040</v>
      </c>
      <c r="L242" t="s">
        <v>13041</v>
      </c>
      <c r="M242" t="s">
        <v>13041</v>
      </c>
      <c r="N242">
        <v>4.992</v>
      </c>
      <c r="O242">
        <v>20280325</v>
      </c>
      <c r="P242">
        <v>139.02000000000001</v>
      </c>
      <c r="Q242">
        <v>-0.35</v>
      </c>
      <c r="R242">
        <v>11.88</v>
      </c>
      <c r="S242">
        <v>0.85</v>
      </c>
    </row>
    <row r="243" spans="1:19" x14ac:dyDescent="0.3">
      <c r="A243" t="s">
        <v>13881</v>
      </c>
      <c r="B243" t="s">
        <v>13882</v>
      </c>
      <c r="C243" t="s">
        <v>13883</v>
      </c>
      <c r="D243" t="s">
        <v>13884</v>
      </c>
      <c r="E243">
        <v>9.2200000000000006</v>
      </c>
      <c r="F243">
        <v>11.986000000000001</v>
      </c>
      <c r="G243">
        <v>110</v>
      </c>
      <c r="H243">
        <v>7.3760000000000003</v>
      </c>
      <c r="I243">
        <v>3.17</v>
      </c>
      <c r="J243">
        <v>1.48</v>
      </c>
      <c r="K243" t="s">
        <v>13040</v>
      </c>
      <c r="L243" t="s">
        <v>13041</v>
      </c>
      <c r="M243" t="s">
        <v>13041</v>
      </c>
      <c r="N243">
        <v>115.622</v>
      </c>
      <c r="O243">
        <v>20280323</v>
      </c>
      <c r="P243">
        <v>125.33</v>
      </c>
      <c r="Q243">
        <v>1.05</v>
      </c>
      <c r="R243">
        <v>11.2</v>
      </c>
      <c r="S243">
        <v>2.1</v>
      </c>
    </row>
    <row r="244" spans="1:19" x14ac:dyDescent="0.3">
      <c r="A244" t="s">
        <v>12928</v>
      </c>
      <c r="B244" t="s">
        <v>13885</v>
      </c>
      <c r="C244" t="s">
        <v>13886</v>
      </c>
      <c r="D244" t="s">
        <v>13887</v>
      </c>
      <c r="E244">
        <v>16.5</v>
      </c>
      <c r="F244">
        <v>21.45</v>
      </c>
      <c r="G244">
        <v>114</v>
      </c>
      <c r="H244">
        <v>14.025</v>
      </c>
      <c r="I244">
        <v>19.59</v>
      </c>
      <c r="J244">
        <v>1.4770000000000001</v>
      </c>
      <c r="K244" t="s">
        <v>13040</v>
      </c>
      <c r="L244" t="s">
        <v>13041</v>
      </c>
      <c r="M244" t="s">
        <v>13041</v>
      </c>
      <c r="N244">
        <v>2.6709999999999998</v>
      </c>
      <c r="O244">
        <v>20280322</v>
      </c>
      <c r="P244">
        <v>141.97999999999999</v>
      </c>
      <c r="Q244">
        <v>-0.28999999999999998</v>
      </c>
      <c r="R244">
        <v>19.59</v>
      </c>
      <c r="S244">
        <v>1.08</v>
      </c>
    </row>
    <row r="245" spans="1:19" x14ac:dyDescent="0.3">
      <c r="A245" t="s">
        <v>2067</v>
      </c>
      <c r="B245" t="s">
        <v>13888</v>
      </c>
      <c r="C245" t="s">
        <v>13889</v>
      </c>
      <c r="D245" t="s">
        <v>13890</v>
      </c>
      <c r="E245">
        <v>33.71</v>
      </c>
      <c r="F245">
        <v>43.823</v>
      </c>
      <c r="G245">
        <v>110</v>
      </c>
      <c r="H245">
        <v>28.652999999999999</v>
      </c>
      <c r="I245">
        <v>35.229999999999997</v>
      </c>
      <c r="J245">
        <v>1.466</v>
      </c>
      <c r="K245" t="s">
        <v>13040</v>
      </c>
      <c r="L245" t="s">
        <v>13041</v>
      </c>
      <c r="M245" t="s">
        <v>13041</v>
      </c>
      <c r="N245">
        <v>5.4939999999999998</v>
      </c>
      <c r="O245">
        <v>20280318</v>
      </c>
      <c r="P245">
        <v>124.72</v>
      </c>
      <c r="Q245">
        <v>1.31</v>
      </c>
      <c r="R245">
        <v>31.09</v>
      </c>
      <c r="S245">
        <v>4.5</v>
      </c>
    </row>
    <row r="246" spans="1:19" x14ac:dyDescent="0.3">
      <c r="A246" t="s">
        <v>13891</v>
      </c>
      <c r="B246" t="s">
        <v>13892</v>
      </c>
      <c r="C246" t="s">
        <v>13447</v>
      </c>
      <c r="D246" t="s">
        <v>13448</v>
      </c>
      <c r="E246">
        <v>8.85</v>
      </c>
      <c r="F246">
        <v>11.505000000000001</v>
      </c>
      <c r="G246">
        <v>115</v>
      </c>
      <c r="H246">
        <v>7.08</v>
      </c>
      <c r="I246">
        <v>43.09</v>
      </c>
      <c r="J246">
        <v>1.4359999999999999</v>
      </c>
      <c r="K246" t="s">
        <v>13040</v>
      </c>
      <c r="L246" t="s">
        <v>13041</v>
      </c>
      <c r="M246" t="s">
        <v>13041</v>
      </c>
      <c r="N246">
        <v>2.0350000000000001</v>
      </c>
      <c r="O246">
        <v>20280307</v>
      </c>
      <c r="P246">
        <v>136.13999999999999</v>
      </c>
      <c r="Q246">
        <v>-0.32</v>
      </c>
      <c r="R246">
        <v>8.42</v>
      </c>
      <c r="S246">
        <v>-0.36</v>
      </c>
    </row>
    <row r="247" spans="1:19" x14ac:dyDescent="0.3">
      <c r="A247" t="s">
        <v>13893</v>
      </c>
      <c r="B247" t="s">
        <v>13894</v>
      </c>
      <c r="C247" t="s">
        <v>13895</v>
      </c>
      <c r="D247" t="s">
        <v>13896</v>
      </c>
      <c r="E247">
        <v>26.53</v>
      </c>
      <c r="F247">
        <v>34.488999999999997</v>
      </c>
      <c r="G247">
        <v>115</v>
      </c>
      <c r="H247">
        <v>22.550999999999998</v>
      </c>
      <c r="I247">
        <v>108.07</v>
      </c>
      <c r="J247">
        <v>1.4219999999999999</v>
      </c>
      <c r="K247" t="s">
        <v>13040</v>
      </c>
      <c r="L247" t="s">
        <v>13041</v>
      </c>
      <c r="M247" t="s">
        <v>13041</v>
      </c>
      <c r="N247">
        <v>2.3929999999999998</v>
      </c>
      <c r="O247">
        <v>20280302</v>
      </c>
      <c r="P247">
        <v>125.09</v>
      </c>
      <c r="Q247">
        <v>0.42</v>
      </c>
      <c r="R247">
        <v>15.95</v>
      </c>
      <c r="S247">
        <v>-1.36</v>
      </c>
    </row>
    <row r="248" spans="1:19" x14ac:dyDescent="0.3">
      <c r="A248" t="s">
        <v>13897</v>
      </c>
      <c r="B248" t="s">
        <v>13898</v>
      </c>
      <c r="C248" t="s">
        <v>13899</v>
      </c>
      <c r="D248" t="s">
        <v>13900</v>
      </c>
      <c r="E248">
        <v>13.69</v>
      </c>
      <c r="F248">
        <v>17.797000000000001</v>
      </c>
      <c r="G248">
        <v>106</v>
      </c>
      <c r="H248">
        <v>10.952</v>
      </c>
      <c r="I248">
        <v>26.35</v>
      </c>
      <c r="J248">
        <v>1.4059999999999999</v>
      </c>
      <c r="K248" t="s">
        <v>13040</v>
      </c>
      <c r="L248" t="s">
        <v>13041</v>
      </c>
      <c r="M248" t="s">
        <v>13041</v>
      </c>
      <c r="N248">
        <v>49.996000000000002</v>
      </c>
      <c r="O248">
        <v>20280225</v>
      </c>
      <c r="P248">
        <v>121</v>
      </c>
      <c r="Q248">
        <v>1.78</v>
      </c>
      <c r="R248">
        <v>13.11</v>
      </c>
      <c r="S248">
        <v>2.42</v>
      </c>
    </row>
    <row r="249" spans="1:19" x14ac:dyDescent="0.3">
      <c r="A249" t="s">
        <v>2066</v>
      </c>
      <c r="B249" t="s">
        <v>13901</v>
      </c>
      <c r="C249" t="s">
        <v>13902</v>
      </c>
      <c r="D249" t="s">
        <v>13903</v>
      </c>
      <c r="E249">
        <v>8.67</v>
      </c>
      <c r="F249">
        <v>11.271000000000001</v>
      </c>
      <c r="G249">
        <v>109</v>
      </c>
      <c r="H249">
        <v>7.37</v>
      </c>
      <c r="I249">
        <v>30.76</v>
      </c>
      <c r="J249">
        <v>1.4059999999999999</v>
      </c>
      <c r="K249" t="s">
        <v>13040</v>
      </c>
      <c r="L249" t="s">
        <v>13041</v>
      </c>
      <c r="M249" t="s">
        <v>13041</v>
      </c>
      <c r="N249">
        <v>23.597999999999999</v>
      </c>
      <c r="O249">
        <v>20280225</v>
      </c>
      <c r="P249">
        <v>122.77</v>
      </c>
      <c r="Q249">
        <v>-0.43</v>
      </c>
      <c r="R249">
        <v>8.14</v>
      </c>
      <c r="S249">
        <v>-1.45</v>
      </c>
    </row>
    <row r="250" spans="1:19" x14ac:dyDescent="0.3">
      <c r="A250" t="s">
        <v>13904</v>
      </c>
      <c r="B250" t="s">
        <v>13905</v>
      </c>
      <c r="C250" t="s">
        <v>13906</v>
      </c>
      <c r="D250" t="s">
        <v>13907</v>
      </c>
      <c r="E250">
        <v>34.6</v>
      </c>
      <c r="F250">
        <v>44.98</v>
      </c>
      <c r="G250">
        <v>109</v>
      </c>
      <c r="H250">
        <v>29.41</v>
      </c>
      <c r="I250">
        <v>238.73</v>
      </c>
      <c r="J250">
        <v>1.403</v>
      </c>
      <c r="K250" t="s">
        <v>13040</v>
      </c>
      <c r="L250" t="s">
        <v>13041</v>
      </c>
      <c r="M250" t="s">
        <v>13041</v>
      </c>
      <c r="N250">
        <v>119.831</v>
      </c>
      <c r="O250">
        <v>20280224</v>
      </c>
      <c r="P250">
        <v>112.78</v>
      </c>
      <c r="Q250">
        <v>0.47</v>
      </c>
      <c r="R250">
        <v>11.52</v>
      </c>
      <c r="S250">
        <v>4.07</v>
      </c>
    </row>
    <row r="251" spans="1:19" x14ac:dyDescent="0.3">
      <c r="A251" t="s">
        <v>13908</v>
      </c>
      <c r="B251" t="s">
        <v>13909</v>
      </c>
      <c r="C251" t="s">
        <v>13910</v>
      </c>
      <c r="D251" t="s">
        <v>13911</v>
      </c>
      <c r="E251">
        <v>18.5</v>
      </c>
      <c r="F251">
        <v>24.05</v>
      </c>
      <c r="G251">
        <v>115</v>
      </c>
      <c r="H251">
        <v>15.725</v>
      </c>
      <c r="I251">
        <v>40.49</v>
      </c>
      <c r="J251">
        <v>1.397</v>
      </c>
      <c r="K251" t="s">
        <v>13276</v>
      </c>
      <c r="L251" t="s">
        <v>13041</v>
      </c>
      <c r="M251" t="s">
        <v>13041</v>
      </c>
      <c r="N251">
        <v>2.081</v>
      </c>
      <c r="O251">
        <v>20280222</v>
      </c>
      <c r="P251">
        <v>171.7</v>
      </c>
      <c r="Q251">
        <v>-4.84</v>
      </c>
      <c r="R251">
        <v>22.61</v>
      </c>
      <c r="S251">
        <v>-4.1900000000000004</v>
      </c>
    </row>
    <row r="252" spans="1:19" x14ac:dyDescent="0.3">
      <c r="A252" t="s">
        <v>2057</v>
      </c>
      <c r="B252" t="s">
        <v>13912</v>
      </c>
      <c r="C252" t="s">
        <v>13913</v>
      </c>
      <c r="D252" t="s">
        <v>13914</v>
      </c>
      <c r="E252">
        <v>10.84</v>
      </c>
      <c r="F252">
        <v>14.092000000000001</v>
      </c>
      <c r="G252">
        <v>115</v>
      </c>
      <c r="H252">
        <v>9.7560000000000002</v>
      </c>
      <c r="I252">
        <v>31.42</v>
      </c>
      <c r="J252">
        <v>1.381</v>
      </c>
      <c r="K252" t="s">
        <v>13040</v>
      </c>
      <c r="L252" t="s">
        <v>13041</v>
      </c>
      <c r="M252" t="s">
        <v>13041</v>
      </c>
      <c r="N252">
        <v>7.39</v>
      </c>
      <c r="O252">
        <v>20280216</v>
      </c>
      <c r="P252">
        <v>127.67</v>
      </c>
      <c r="Q252">
        <v>0.28999999999999998</v>
      </c>
      <c r="R252">
        <v>10.53</v>
      </c>
      <c r="S252">
        <v>-0.28000000000000003</v>
      </c>
    </row>
    <row r="253" spans="1:19" x14ac:dyDescent="0.3">
      <c r="A253" t="s">
        <v>13915</v>
      </c>
      <c r="B253" t="s">
        <v>13916</v>
      </c>
      <c r="C253" t="s">
        <v>13917</v>
      </c>
      <c r="D253" t="s">
        <v>13918</v>
      </c>
      <c r="E253">
        <v>6.96</v>
      </c>
      <c r="F253">
        <v>9.048</v>
      </c>
      <c r="G253">
        <v>112</v>
      </c>
      <c r="H253">
        <v>5.9160000000000004</v>
      </c>
      <c r="I253">
        <v>48.79</v>
      </c>
      <c r="J253">
        <v>1.367</v>
      </c>
      <c r="K253" t="s">
        <v>13040</v>
      </c>
      <c r="L253" t="s">
        <v>13041</v>
      </c>
      <c r="M253" t="s">
        <v>13041</v>
      </c>
      <c r="N253">
        <v>5.1360000000000001</v>
      </c>
      <c r="O253">
        <v>20280211</v>
      </c>
      <c r="P253">
        <v>120.57</v>
      </c>
      <c r="Q253">
        <v>0.14000000000000001</v>
      </c>
      <c r="R253">
        <v>5.64</v>
      </c>
      <c r="S253">
        <v>-0.18</v>
      </c>
    </row>
    <row r="254" spans="1:19" x14ac:dyDescent="0.3">
      <c r="A254" t="s">
        <v>13919</v>
      </c>
      <c r="B254" t="s">
        <v>13920</v>
      </c>
      <c r="C254" t="s">
        <v>13921</v>
      </c>
      <c r="D254" t="s">
        <v>13922</v>
      </c>
      <c r="E254">
        <v>99.01</v>
      </c>
      <c r="F254">
        <v>128.71299999999999</v>
      </c>
      <c r="G254">
        <v>110</v>
      </c>
      <c r="H254">
        <v>84.159000000000006</v>
      </c>
      <c r="I254">
        <v>258.86</v>
      </c>
      <c r="J254">
        <v>1.3260000000000001</v>
      </c>
      <c r="K254" t="s">
        <v>13040</v>
      </c>
      <c r="L254" t="s">
        <v>13041</v>
      </c>
      <c r="M254" t="s">
        <v>13041</v>
      </c>
      <c r="N254">
        <v>8.2989999999999995</v>
      </c>
      <c r="O254">
        <v>20280127</v>
      </c>
      <c r="P254">
        <v>122.33</v>
      </c>
      <c r="Q254">
        <v>0.73</v>
      </c>
      <c r="R254">
        <v>33.75</v>
      </c>
      <c r="S254">
        <v>0.06</v>
      </c>
    </row>
    <row r="255" spans="1:19" x14ac:dyDescent="0.3">
      <c r="A255" t="s">
        <v>13923</v>
      </c>
      <c r="B255" t="s">
        <v>13924</v>
      </c>
      <c r="C255" t="s">
        <v>13925</v>
      </c>
      <c r="D255" t="s">
        <v>13926</v>
      </c>
      <c r="E255">
        <v>17.23</v>
      </c>
      <c r="F255">
        <v>22.399000000000001</v>
      </c>
      <c r="G255">
        <v>118</v>
      </c>
      <c r="H255">
        <v>14.646000000000001</v>
      </c>
      <c r="I255">
        <v>17.149999999999999</v>
      </c>
      <c r="J255">
        <v>1.3180000000000001</v>
      </c>
      <c r="K255" t="s">
        <v>13276</v>
      </c>
      <c r="L255" t="s">
        <v>13041</v>
      </c>
      <c r="M255" t="s">
        <v>13041</v>
      </c>
      <c r="N255">
        <v>2.5750000000000002</v>
      </c>
      <c r="O255">
        <v>20280124</v>
      </c>
      <c r="P255">
        <v>210.37</v>
      </c>
      <c r="Q255">
        <v>-0.91</v>
      </c>
      <c r="R255">
        <v>30.94</v>
      </c>
      <c r="S255">
        <v>-0.45</v>
      </c>
    </row>
    <row r="256" spans="1:19" x14ac:dyDescent="0.3">
      <c r="A256" t="s">
        <v>12671</v>
      </c>
      <c r="B256" t="s">
        <v>13927</v>
      </c>
      <c r="C256" t="s">
        <v>13928</v>
      </c>
      <c r="D256" t="s">
        <v>13929</v>
      </c>
      <c r="E256">
        <v>17.5</v>
      </c>
      <c r="F256">
        <v>22.75</v>
      </c>
      <c r="G256">
        <v>107</v>
      </c>
      <c r="H256">
        <v>14.875</v>
      </c>
      <c r="I256">
        <v>77.930000000000007</v>
      </c>
      <c r="J256">
        <v>1.266</v>
      </c>
      <c r="K256" t="s">
        <v>13040</v>
      </c>
      <c r="L256" t="s">
        <v>13041</v>
      </c>
      <c r="M256" t="s">
        <v>13041</v>
      </c>
      <c r="N256">
        <v>69.950999999999993</v>
      </c>
      <c r="O256">
        <v>20280105</v>
      </c>
      <c r="P256">
        <v>113.98</v>
      </c>
      <c r="Q256">
        <v>0.18</v>
      </c>
      <c r="R256">
        <v>11.21</v>
      </c>
      <c r="S256">
        <v>2.94</v>
      </c>
    </row>
    <row r="257" spans="1:19" x14ac:dyDescent="0.3">
      <c r="A257" t="s">
        <v>2118</v>
      </c>
      <c r="B257" t="s">
        <v>13930</v>
      </c>
      <c r="C257" t="s">
        <v>13931</v>
      </c>
      <c r="D257" t="s">
        <v>12871</v>
      </c>
      <c r="E257">
        <v>16.010000000000002</v>
      </c>
      <c r="F257">
        <v>20.812999999999999</v>
      </c>
      <c r="G257">
        <v>112</v>
      </c>
      <c r="H257">
        <v>13.609</v>
      </c>
      <c r="I257">
        <v>109.3</v>
      </c>
      <c r="J257">
        <v>1.2470000000000001</v>
      </c>
      <c r="K257" t="s">
        <v>13040</v>
      </c>
      <c r="L257" t="s">
        <v>13041</v>
      </c>
      <c r="M257" t="s">
        <v>13041</v>
      </c>
      <c r="N257">
        <v>5.9969999999999999</v>
      </c>
      <c r="O257">
        <v>20271229</v>
      </c>
      <c r="P257">
        <v>119.88</v>
      </c>
      <c r="Q257">
        <v>0.52</v>
      </c>
      <c r="R257">
        <v>9.17</v>
      </c>
      <c r="S257">
        <v>1.44</v>
      </c>
    </row>
    <row r="258" spans="1:19" x14ac:dyDescent="0.3">
      <c r="A258" t="s">
        <v>13932</v>
      </c>
      <c r="B258" t="s">
        <v>13933</v>
      </c>
      <c r="C258" t="s">
        <v>13934</v>
      </c>
      <c r="D258" t="s">
        <v>12758</v>
      </c>
      <c r="E258">
        <v>20.13</v>
      </c>
      <c r="F258">
        <v>26.169</v>
      </c>
      <c r="G258">
        <v>109</v>
      </c>
      <c r="H258">
        <v>16.103999999999999</v>
      </c>
      <c r="I258">
        <v>26.23</v>
      </c>
      <c r="J258">
        <v>1.2410000000000001</v>
      </c>
      <c r="K258" t="s">
        <v>13040</v>
      </c>
      <c r="L258" t="s">
        <v>13041</v>
      </c>
      <c r="M258" t="s">
        <v>13041</v>
      </c>
      <c r="N258">
        <v>413.5</v>
      </c>
      <c r="O258">
        <v>20271227</v>
      </c>
      <c r="P258">
        <v>113.18</v>
      </c>
      <c r="Q258">
        <v>0.77</v>
      </c>
      <c r="R258">
        <v>18.05</v>
      </c>
      <c r="S258">
        <v>1.46</v>
      </c>
    </row>
    <row r="259" spans="1:19" x14ac:dyDescent="0.3">
      <c r="A259" t="s">
        <v>2078</v>
      </c>
      <c r="B259" t="s">
        <v>13935</v>
      </c>
      <c r="C259" t="s">
        <v>13936</v>
      </c>
      <c r="D259" t="s">
        <v>12657</v>
      </c>
      <c r="E259">
        <v>6.42</v>
      </c>
      <c r="F259">
        <v>8.3460000000000001</v>
      </c>
      <c r="G259">
        <v>110</v>
      </c>
      <c r="H259">
        <v>5.4569999999999999</v>
      </c>
      <c r="I259">
        <v>24.15</v>
      </c>
      <c r="J259">
        <v>1.2410000000000001</v>
      </c>
      <c r="K259" t="s">
        <v>13040</v>
      </c>
      <c r="L259" t="s">
        <v>13041</v>
      </c>
      <c r="M259" t="s">
        <v>13041</v>
      </c>
      <c r="N259">
        <v>8.157</v>
      </c>
      <c r="O259">
        <v>20271227</v>
      </c>
      <c r="P259">
        <v>129.18</v>
      </c>
      <c r="Q259">
        <v>0.8</v>
      </c>
      <c r="R259">
        <v>6.68</v>
      </c>
      <c r="S259">
        <v>2.61</v>
      </c>
    </row>
    <row r="260" spans="1:19" x14ac:dyDescent="0.3">
      <c r="A260" t="s">
        <v>13937</v>
      </c>
      <c r="B260" t="s">
        <v>13938</v>
      </c>
      <c r="C260" t="s">
        <v>13939</v>
      </c>
      <c r="D260" t="s">
        <v>13940</v>
      </c>
      <c r="E260">
        <v>15</v>
      </c>
      <c r="F260">
        <v>19.5</v>
      </c>
      <c r="G260">
        <v>115</v>
      </c>
      <c r="H260">
        <v>12.75</v>
      </c>
      <c r="I260">
        <v>28.31</v>
      </c>
      <c r="J260">
        <v>1.2270000000000001</v>
      </c>
      <c r="K260" t="s">
        <v>13040</v>
      </c>
      <c r="L260" t="s">
        <v>13041</v>
      </c>
      <c r="M260" t="s">
        <v>13041</v>
      </c>
      <c r="N260">
        <v>7.1980000000000004</v>
      </c>
      <c r="O260">
        <v>20271222</v>
      </c>
      <c r="P260">
        <v>127.88</v>
      </c>
      <c r="Q260">
        <v>0.04</v>
      </c>
      <c r="R260">
        <v>14.95</v>
      </c>
      <c r="S260">
        <v>0.47</v>
      </c>
    </row>
    <row r="261" spans="1:19" x14ac:dyDescent="0.3">
      <c r="A261" t="s">
        <v>13941</v>
      </c>
      <c r="B261" t="s">
        <v>13942</v>
      </c>
      <c r="C261" t="s">
        <v>13943</v>
      </c>
      <c r="D261" t="s">
        <v>13944</v>
      </c>
      <c r="E261">
        <v>26.22</v>
      </c>
      <c r="F261">
        <v>34.085999999999999</v>
      </c>
      <c r="G261">
        <v>115</v>
      </c>
      <c r="H261">
        <v>20.975999999999999</v>
      </c>
      <c r="I261">
        <v>32.409999999999997</v>
      </c>
      <c r="J261">
        <v>1.2030000000000001</v>
      </c>
      <c r="K261" t="s">
        <v>13040</v>
      </c>
      <c r="L261" t="s">
        <v>13041</v>
      </c>
      <c r="M261" t="s">
        <v>13041</v>
      </c>
      <c r="N261">
        <v>9.9949999999999992</v>
      </c>
      <c r="O261">
        <v>20271213</v>
      </c>
      <c r="P261">
        <v>129.38</v>
      </c>
      <c r="Q261">
        <v>0.56000000000000005</v>
      </c>
      <c r="R261">
        <v>25.62</v>
      </c>
      <c r="S261">
        <v>1.39</v>
      </c>
    </row>
    <row r="262" spans="1:19" x14ac:dyDescent="0.3">
      <c r="A262" t="s">
        <v>13945</v>
      </c>
      <c r="B262" t="s">
        <v>13946</v>
      </c>
      <c r="C262" t="s">
        <v>13947</v>
      </c>
      <c r="D262" t="s">
        <v>13948</v>
      </c>
      <c r="E262">
        <v>94.27</v>
      </c>
      <c r="F262">
        <v>122.551</v>
      </c>
      <c r="G262">
        <v>115</v>
      </c>
      <c r="H262">
        <v>80.129000000000005</v>
      </c>
      <c r="I262">
        <v>104.5</v>
      </c>
      <c r="J262">
        <v>1.1890000000000001</v>
      </c>
      <c r="K262" t="s">
        <v>13040</v>
      </c>
      <c r="L262" t="s">
        <v>13041</v>
      </c>
      <c r="M262" t="s">
        <v>13041</v>
      </c>
      <c r="N262">
        <v>7.5069999999999997</v>
      </c>
      <c r="O262">
        <v>20271208</v>
      </c>
      <c r="P262">
        <v>118.66</v>
      </c>
      <c r="Q262">
        <v>-0.01</v>
      </c>
      <c r="R262">
        <v>54.7</v>
      </c>
      <c r="S262">
        <v>1.33</v>
      </c>
    </row>
    <row r="263" spans="1:19" x14ac:dyDescent="0.3">
      <c r="A263" t="s">
        <v>13949</v>
      </c>
      <c r="B263" t="s">
        <v>13950</v>
      </c>
      <c r="C263" t="s">
        <v>13951</v>
      </c>
      <c r="D263" t="s">
        <v>13952</v>
      </c>
      <c r="E263">
        <v>13.49</v>
      </c>
      <c r="F263">
        <v>17.536999999999999</v>
      </c>
      <c r="G263">
        <v>112</v>
      </c>
      <c r="H263">
        <v>11.467000000000001</v>
      </c>
      <c r="I263">
        <v>25.26</v>
      </c>
      <c r="J263">
        <v>1.1890000000000001</v>
      </c>
      <c r="K263" t="s">
        <v>13040</v>
      </c>
      <c r="L263" t="s">
        <v>13041</v>
      </c>
      <c r="M263" t="s">
        <v>13041</v>
      </c>
      <c r="N263">
        <v>6.6189999999999998</v>
      </c>
      <c r="O263">
        <v>20271208</v>
      </c>
      <c r="P263">
        <v>133.52000000000001</v>
      </c>
      <c r="Q263">
        <v>0.53</v>
      </c>
      <c r="R263">
        <v>14.38</v>
      </c>
      <c r="S263">
        <v>1.27</v>
      </c>
    </row>
    <row r="264" spans="1:19" x14ac:dyDescent="0.3">
      <c r="A264" t="s">
        <v>13953</v>
      </c>
      <c r="B264" t="s">
        <v>13954</v>
      </c>
      <c r="C264" t="s">
        <v>13955</v>
      </c>
      <c r="D264" t="s">
        <v>13956</v>
      </c>
      <c r="E264">
        <v>10.050000000000001</v>
      </c>
      <c r="F264">
        <v>13.065</v>
      </c>
      <c r="G264">
        <v>115</v>
      </c>
      <c r="H264">
        <v>8.5429999999999993</v>
      </c>
      <c r="I264">
        <v>30.38</v>
      </c>
      <c r="J264">
        <v>1.175</v>
      </c>
      <c r="K264" t="s">
        <v>13276</v>
      </c>
      <c r="L264" t="s">
        <v>13041</v>
      </c>
      <c r="M264" t="s">
        <v>13041</v>
      </c>
      <c r="N264">
        <v>3.1589999999999998</v>
      </c>
      <c r="O264">
        <v>20271203</v>
      </c>
      <c r="P264">
        <v>240</v>
      </c>
      <c r="Q264">
        <v>-5.23</v>
      </c>
      <c r="R264">
        <v>18.5</v>
      </c>
      <c r="S264">
        <v>-1.02</v>
      </c>
    </row>
    <row r="265" spans="1:19" x14ac:dyDescent="0.3">
      <c r="A265" t="s">
        <v>13957</v>
      </c>
      <c r="B265" t="s">
        <v>13958</v>
      </c>
      <c r="C265" t="s">
        <v>13959</v>
      </c>
      <c r="D265" t="s">
        <v>13960</v>
      </c>
      <c r="E265">
        <v>172.97</v>
      </c>
      <c r="F265">
        <v>224.86099999999999</v>
      </c>
      <c r="G265">
        <v>110</v>
      </c>
      <c r="H265">
        <v>147.02500000000001</v>
      </c>
      <c r="I265">
        <v>286.02</v>
      </c>
      <c r="J265">
        <v>1.167</v>
      </c>
      <c r="K265" t="s">
        <v>13040</v>
      </c>
      <c r="L265" t="s">
        <v>13041</v>
      </c>
      <c r="M265" t="s">
        <v>13041</v>
      </c>
      <c r="N265">
        <v>10.396000000000001</v>
      </c>
      <c r="O265">
        <v>20271130</v>
      </c>
      <c r="P265">
        <v>111.34</v>
      </c>
      <c r="Q265">
        <v>0.13</v>
      </c>
      <c r="R265">
        <v>49.89</v>
      </c>
      <c r="S265">
        <v>1.36</v>
      </c>
    </row>
    <row r="266" spans="1:19" x14ac:dyDescent="0.3">
      <c r="A266" t="s">
        <v>13961</v>
      </c>
      <c r="B266" t="s">
        <v>13962</v>
      </c>
      <c r="C266" t="s">
        <v>13963</v>
      </c>
      <c r="D266" t="s">
        <v>12889</v>
      </c>
      <c r="E266">
        <v>15.07</v>
      </c>
      <c r="F266">
        <v>19.591000000000001</v>
      </c>
      <c r="G266">
        <v>110</v>
      </c>
      <c r="H266">
        <v>12.808999999999999</v>
      </c>
      <c r="I266">
        <v>37.58</v>
      </c>
      <c r="J266">
        <v>1.115</v>
      </c>
      <c r="K266" t="s">
        <v>13040</v>
      </c>
      <c r="L266" t="s">
        <v>13041</v>
      </c>
      <c r="M266" t="s">
        <v>13041</v>
      </c>
      <c r="N266">
        <v>20.86</v>
      </c>
      <c r="O266">
        <v>20271111</v>
      </c>
      <c r="P266">
        <v>118.86</v>
      </c>
      <c r="Q266">
        <v>0.88</v>
      </c>
      <c r="R266">
        <v>13.02</v>
      </c>
      <c r="S266">
        <v>1.4</v>
      </c>
    </row>
    <row r="267" spans="1:19" x14ac:dyDescent="0.3">
      <c r="A267" t="s">
        <v>2110</v>
      </c>
      <c r="B267" t="s">
        <v>13964</v>
      </c>
      <c r="C267" t="s">
        <v>13965</v>
      </c>
      <c r="D267" t="s">
        <v>12713</v>
      </c>
      <c r="E267">
        <v>6.51</v>
      </c>
      <c r="F267">
        <v>8.4629999999999992</v>
      </c>
      <c r="G267">
        <v>110</v>
      </c>
      <c r="H267">
        <v>5.2080000000000002</v>
      </c>
      <c r="I267">
        <v>10.55</v>
      </c>
      <c r="J267">
        <v>1.107</v>
      </c>
      <c r="K267" t="s">
        <v>13040</v>
      </c>
      <c r="L267" t="s">
        <v>13041</v>
      </c>
      <c r="M267" t="s">
        <v>13041</v>
      </c>
      <c r="N267">
        <v>5.9580000000000002</v>
      </c>
      <c r="O267">
        <v>20271108</v>
      </c>
      <c r="P267">
        <v>131.1</v>
      </c>
      <c r="Q267">
        <v>0.86</v>
      </c>
      <c r="R267">
        <v>7.72</v>
      </c>
      <c r="S267">
        <v>0.65</v>
      </c>
    </row>
    <row r="268" spans="1:19" x14ac:dyDescent="0.3">
      <c r="A268" t="s">
        <v>13966</v>
      </c>
      <c r="B268" t="s">
        <v>13967</v>
      </c>
      <c r="C268" t="s">
        <v>13968</v>
      </c>
      <c r="D268" t="s">
        <v>13969</v>
      </c>
      <c r="E268">
        <v>10.130000000000001</v>
      </c>
      <c r="F268">
        <v>13.169</v>
      </c>
      <c r="G268">
        <v>107</v>
      </c>
      <c r="H268">
        <v>8.1039999999999992</v>
      </c>
      <c r="I268">
        <v>58.58</v>
      </c>
      <c r="J268">
        <v>1.0900000000000001</v>
      </c>
      <c r="K268" t="s">
        <v>13040</v>
      </c>
      <c r="L268" t="s">
        <v>13041</v>
      </c>
      <c r="M268" t="s">
        <v>13041</v>
      </c>
      <c r="N268">
        <v>81.433999999999997</v>
      </c>
      <c r="O268">
        <v>20271102</v>
      </c>
      <c r="P268">
        <v>108.33</v>
      </c>
      <c r="Q268">
        <v>0.49</v>
      </c>
      <c r="R268">
        <v>6.92</v>
      </c>
      <c r="S268">
        <v>0.44</v>
      </c>
    </row>
    <row r="269" spans="1:19" x14ac:dyDescent="0.3">
      <c r="A269" t="s">
        <v>12607</v>
      </c>
      <c r="B269" t="s">
        <v>13970</v>
      </c>
      <c r="C269" t="s">
        <v>13971</v>
      </c>
      <c r="D269" t="s">
        <v>12658</v>
      </c>
      <c r="E269">
        <v>5.0999999999999996</v>
      </c>
      <c r="F269">
        <v>6.63</v>
      </c>
      <c r="G269">
        <v>115</v>
      </c>
      <c r="H269">
        <v>4.08</v>
      </c>
      <c r="I269">
        <v>1.53</v>
      </c>
      <c r="J269">
        <v>1.069</v>
      </c>
      <c r="K269" t="s">
        <v>13298</v>
      </c>
      <c r="L269" t="s">
        <v>13041</v>
      </c>
      <c r="M269" t="s">
        <v>13041</v>
      </c>
      <c r="N269">
        <v>4.6429999999999998</v>
      </c>
      <c r="O269">
        <v>20271025</v>
      </c>
      <c r="P269">
        <v>131</v>
      </c>
      <c r="Q269">
        <v>0.15</v>
      </c>
      <c r="R269">
        <v>6.58</v>
      </c>
      <c r="S269">
        <v>-0.15</v>
      </c>
    </row>
    <row r="270" spans="1:19" x14ac:dyDescent="0.3">
      <c r="A270" t="s">
        <v>2083</v>
      </c>
      <c r="B270" t="s">
        <v>13972</v>
      </c>
      <c r="C270" t="s">
        <v>13973</v>
      </c>
      <c r="D270" t="s">
        <v>12882</v>
      </c>
      <c r="E270">
        <v>20.329999999999998</v>
      </c>
      <c r="F270">
        <v>26.428999999999998</v>
      </c>
      <c r="G270">
        <v>110</v>
      </c>
      <c r="H270">
        <v>17.28</v>
      </c>
      <c r="I270">
        <v>27.65</v>
      </c>
      <c r="J270">
        <v>0.997</v>
      </c>
      <c r="K270" t="s">
        <v>13040</v>
      </c>
      <c r="L270" t="s">
        <v>13041</v>
      </c>
      <c r="M270" t="s">
        <v>13041</v>
      </c>
      <c r="N270">
        <v>11.273999999999999</v>
      </c>
      <c r="O270">
        <v>20270929</v>
      </c>
      <c r="P270">
        <v>122.37</v>
      </c>
      <c r="Q270">
        <v>-0.13</v>
      </c>
      <c r="R270">
        <v>19.489999999999998</v>
      </c>
      <c r="S270">
        <v>3.07</v>
      </c>
    </row>
    <row r="271" spans="1:19" x14ac:dyDescent="0.3">
      <c r="A271" t="s">
        <v>12687</v>
      </c>
      <c r="B271" t="s">
        <v>13974</v>
      </c>
      <c r="C271" t="s">
        <v>13975</v>
      </c>
      <c r="D271" t="s">
        <v>12033</v>
      </c>
      <c r="E271">
        <v>43.32</v>
      </c>
      <c r="F271">
        <v>56.316000000000003</v>
      </c>
      <c r="G271">
        <v>107</v>
      </c>
      <c r="H271">
        <v>34.655999999999999</v>
      </c>
      <c r="I271">
        <v>20.38</v>
      </c>
      <c r="J271">
        <v>0.877</v>
      </c>
      <c r="K271" t="s">
        <v>13040</v>
      </c>
      <c r="L271" t="s">
        <v>13041</v>
      </c>
      <c r="M271" t="s">
        <v>13041</v>
      </c>
      <c r="N271">
        <v>95.429000000000002</v>
      </c>
      <c r="O271">
        <v>20270816</v>
      </c>
      <c r="P271">
        <v>117.97</v>
      </c>
      <c r="Q271">
        <v>0.9</v>
      </c>
      <c r="R271">
        <v>42.45</v>
      </c>
      <c r="S271">
        <v>0.38</v>
      </c>
    </row>
    <row r="272" spans="1:19" x14ac:dyDescent="0.3">
      <c r="A272" t="s">
        <v>12753</v>
      </c>
      <c r="B272" t="s">
        <v>13976</v>
      </c>
      <c r="C272" t="s">
        <v>13977</v>
      </c>
      <c r="D272" t="s">
        <v>13978</v>
      </c>
      <c r="E272">
        <v>19.760000000000002</v>
      </c>
      <c r="F272">
        <v>25.687999999999999</v>
      </c>
      <c r="G272">
        <v>112</v>
      </c>
      <c r="H272">
        <v>16.795999999999999</v>
      </c>
      <c r="I272">
        <v>110.04</v>
      </c>
      <c r="J272">
        <v>0.877</v>
      </c>
      <c r="K272" t="s">
        <v>13040</v>
      </c>
      <c r="L272" t="s">
        <v>13041</v>
      </c>
      <c r="M272" t="s">
        <v>13041</v>
      </c>
      <c r="N272">
        <v>3.3679999999999999</v>
      </c>
      <c r="O272">
        <v>20270816</v>
      </c>
      <c r="P272">
        <v>113.1</v>
      </c>
      <c r="Q272">
        <v>0.14000000000000001</v>
      </c>
      <c r="R272">
        <v>10.64</v>
      </c>
      <c r="S272">
        <v>1.1399999999999999</v>
      </c>
    </row>
    <row r="273" spans="1:19" x14ac:dyDescent="0.3">
      <c r="A273" t="s">
        <v>12709</v>
      </c>
      <c r="B273" t="s">
        <v>13979</v>
      </c>
      <c r="C273" t="s">
        <v>13980</v>
      </c>
      <c r="D273" t="s">
        <v>13981</v>
      </c>
      <c r="E273">
        <v>12.79</v>
      </c>
      <c r="F273">
        <v>16.626999999999999</v>
      </c>
      <c r="G273">
        <v>107</v>
      </c>
      <c r="H273">
        <v>10.871</v>
      </c>
      <c r="I273">
        <v>35.17</v>
      </c>
      <c r="J273">
        <v>0.877</v>
      </c>
      <c r="K273" t="s">
        <v>13040</v>
      </c>
      <c r="L273" t="s">
        <v>13041</v>
      </c>
      <c r="M273" t="s">
        <v>13041</v>
      </c>
      <c r="N273">
        <v>5.2240000000000002</v>
      </c>
      <c r="O273">
        <v>20270816</v>
      </c>
      <c r="P273">
        <v>130.19999999999999</v>
      </c>
      <c r="Q273">
        <v>-1.67</v>
      </c>
      <c r="R273">
        <v>12.32</v>
      </c>
      <c r="S273">
        <v>-2.61</v>
      </c>
    </row>
    <row r="274" spans="1:19" x14ac:dyDescent="0.3">
      <c r="A274" t="s">
        <v>2070</v>
      </c>
      <c r="B274" t="s">
        <v>13982</v>
      </c>
      <c r="C274" t="s">
        <v>13983</v>
      </c>
      <c r="D274" t="s">
        <v>12630</v>
      </c>
      <c r="E274">
        <v>91.5</v>
      </c>
      <c r="F274">
        <v>118.95</v>
      </c>
      <c r="G274">
        <v>115</v>
      </c>
      <c r="H274">
        <v>77.775000000000006</v>
      </c>
      <c r="I274">
        <v>42.62</v>
      </c>
      <c r="J274">
        <v>0.84899999999999998</v>
      </c>
      <c r="K274" t="s">
        <v>13040</v>
      </c>
      <c r="L274" t="s">
        <v>13041</v>
      </c>
      <c r="M274" t="s">
        <v>13041</v>
      </c>
      <c r="N274">
        <v>5.8010000000000002</v>
      </c>
      <c r="O274">
        <v>20270806</v>
      </c>
      <c r="P274">
        <v>125.94</v>
      </c>
      <c r="Q274">
        <v>-0.73</v>
      </c>
      <c r="R274">
        <v>80.8</v>
      </c>
      <c r="S274">
        <v>-2.08</v>
      </c>
    </row>
    <row r="275" spans="1:19" x14ac:dyDescent="0.3">
      <c r="A275" t="s">
        <v>2049</v>
      </c>
      <c r="B275" t="s">
        <v>13984</v>
      </c>
      <c r="C275" t="s">
        <v>13985</v>
      </c>
      <c r="D275" t="s">
        <v>13986</v>
      </c>
      <c r="E275">
        <v>18.36</v>
      </c>
      <c r="F275">
        <v>23.867999999999999</v>
      </c>
      <c r="G275">
        <v>108</v>
      </c>
      <c r="H275">
        <v>15.606</v>
      </c>
      <c r="I275">
        <v>13.3</v>
      </c>
      <c r="J275">
        <v>0.82499999999999996</v>
      </c>
      <c r="K275" t="s">
        <v>13040</v>
      </c>
      <c r="L275" t="s">
        <v>13041</v>
      </c>
      <c r="M275" t="s">
        <v>13041</v>
      </c>
      <c r="N275">
        <v>71.5</v>
      </c>
      <c r="O275">
        <v>20270728</v>
      </c>
      <c r="P275">
        <v>101.39</v>
      </c>
      <c r="Q275">
        <v>0.32</v>
      </c>
      <c r="R275">
        <v>16.43</v>
      </c>
      <c r="S275">
        <v>-0.48</v>
      </c>
    </row>
    <row r="276" spans="1:19" x14ac:dyDescent="0.3">
      <c r="A276" t="s">
        <v>13987</v>
      </c>
      <c r="B276" t="s">
        <v>13988</v>
      </c>
      <c r="C276" t="s">
        <v>13989</v>
      </c>
      <c r="D276" t="s">
        <v>13990</v>
      </c>
      <c r="E276">
        <v>15.69</v>
      </c>
      <c r="F276">
        <v>20.396999999999998</v>
      </c>
      <c r="G276">
        <v>112</v>
      </c>
      <c r="H276">
        <v>13.336</v>
      </c>
      <c r="I276">
        <v>37.07</v>
      </c>
      <c r="J276">
        <v>0.78900000000000003</v>
      </c>
      <c r="K276" t="s">
        <v>13040</v>
      </c>
      <c r="L276" t="s">
        <v>13041</v>
      </c>
      <c r="M276" t="s">
        <v>13041</v>
      </c>
      <c r="N276">
        <v>19.989999999999998</v>
      </c>
      <c r="O276">
        <v>20270715</v>
      </c>
      <c r="P276">
        <v>118.63</v>
      </c>
      <c r="Q276">
        <v>0.87</v>
      </c>
      <c r="R276">
        <v>13.58</v>
      </c>
      <c r="S276">
        <v>6.18</v>
      </c>
    </row>
    <row r="277" spans="1:19" x14ac:dyDescent="0.3">
      <c r="A277" t="s">
        <v>13991</v>
      </c>
      <c r="B277" t="s">
        <v>13992</v>
      </c>
      <c r="C277" t="s">
        <v>13993</v>
      </c>
      <c r="D277" t="s">
        <v>13994</v>
      </c>
      <c r="E277">
        <v>20.61</v>
      </c>
      <c r="F277">
        <v>26.792999999999999</v>
      </c>
      <c r="G277">
        <v>110</v>
      </c>
      <c r="H277">
        <v>17.518000000000001</v>
      </c>
      <c r="I277">
        <v>90.34</v>
      </c>
      <c r="J277">
        <v>0.78900000000000003</v>
      </c>
      <c r="K277" t="s">
        <v>13040</v>
      </c>
      <c r="L277" t="s">
        <v>13041</v>
      </c>
      <c r="M277" t="s">
        <v>13041</v>
      </c>
      <c r="N277">
        <v>7.9960000000000004</v>
      </c>
      <c r="O277">
        <v>20270715</v>
      </c>
      <c r="P277">
        <v>110</v>
      </c>
      <c r="Q277">
        <v>0.35</v>
      </c>
      <c r="R277">
        <v>11.91</v>
      </c>
      <c r="S277">
        <v>1.36</v>
      </c>
    </row>
    <row r="278" spans="1:19" x14ac:dyDescent="0.3">
      <c r="A278" t="s">
        <v>2093</v>
      </c>
      <c r="B278" t="s">
        <v>13995</v>
      </c>
      <c r="C278" t="s">
        <v>13996</v>
      </c>
      <c r="D278" t="s">
        <v>13997</v>
      </c>
      <c r="E278">
        <v>7.35</v>
      </c>
      <c r="F278">
        <v>9.5549999999999997</v>
      </c>
      <c r="G278">
        <v>108</v>
      </c>
      <c r="H278">
        <v>6.2469999999999999</v>
      </c>
      <c r="I278">
        <v>12.35</v>
      </c>
      <c r="J278">
        <v>0.76700000000000002</v>
      </c>
      <c r="K278" t="s">
        <v>13040</v>
      </c>
      <c r="L278" t="s">
        <v>13041</v>
      </c>
      <c r="M278" t="s">
        <v>13041</v>
      </c>
      <c r="N278">
        <v>39.862000000000002</v>
      </c>
      <c r="O278">
        <v>20270707</v>
      </c>
      <c r="P278">
        <v>115.71</v>
      </c>
      <c r="Q278">
        <v>1.63</v>
      </c>
      <c r="R278">
        <v>7.57</v>
      </c>
      <c r="S278">
        <v>1.47</v>
      </c>
    </row>
    <row r="279" spans="1:19" x14ac:dyDescent="0.3">
      <c r="A279" t="s">
        <v>13998</v>
      </c>
      <c r="B279" t="s">
        <v>13999</v>
      </c>
      <c r="C279" t="s">
        <v>14000</v>
      </c>
      <c r="D279" t="s">
        <v>14001</v>
      </c>
      <c r="E279">
        <v>10.33</v>
      </c>
      <c r="F279">
        <v>13.429</v>
      </c>
      <c r="G279">
        <v>115</v>
      </c>
      <c r="H279">
        <v>8.7799999999999994</v>
      </c>
      <c r="I279">
        <v>25.93</v>
      </c>
      <c r="J279">
        <v>0.76700000000000002</v>
      </c>
      <c r="K279" t="s">
        <v>13276</v>
      </c>
      <c r="L279" t="s">
        <v>13041</v>
      </c>
      <c r="M279" t="s">
        <v>13041</v>
      </c>
      <c r="N279">
        <v>0.65400000000000003</v>
      </c>
      <c r="O279">
        <v>20270707</v>
      </c>
      <c r="P279">
        <v>610</v>
      </c>
      <c r="Q279">
        <v>-3.42</v>
      </c>
      <c r="R279">
        <v>50.04</v>
      </c>
      <c r="S279">
        <v>-1.26</v>
      </c>
    </row>
    <row r="280" spans="1:19" x14ac:dyDescent="0.3">
      <c r="A280" t="s">
        <v>2092</v>
      </c>
      <c r="B280" t="s">
        <v>14002</v>
      </c>
      <c r="C280" t="s">
        <v>14003</v>
      </c>
      <c r="D280" t="s">
        <v>14004</v>
      </c>
      <c r="E280">
        <v>38.15</v>
      </c>
      <c r="F280">
        <v>49.594999999999999</v>
      </c>
      <c r="G280">
        <v>110</v>
      </c>
      <c r="H280">
        <v>32.427999999999997</v>
      </c>
      <c r="I280">
        <v>173.49</v>
      </c>
      <c r="J280">
        <v>0.72899999999999998</v>
      </c>
      <c r="K280" t="s">
        <v>13040</v>
      </c>
      <c r="L280" t="s">
        <v>13041</v>
      </c>
      <c r="M280" t="s">
        <v>13041</v>
      </c>
      <c r="N280">
        <v>9.9979999999999993</v>
      </c>
      <c r="O280">
        <v>20270623</v>
      </c>
      <c r="P280">
        <v>109.47</v>
      </c>
      <c r="Q280">
        <v>0.02</v>
      </c>
      <c r="R280">
        <v>15.27</v>
      </c>
      <c r="S280">
        <v>2.2799999999999998</v>
      </c>
    </row>
    <row r="281" spans="1:19" x14ac:dyDescent="0.3">
      <c r="A281" t="s">
        <v>14005</v>
      </c>
      <c r="B281" t="s">
        <v>14006</v>
      </c>
      <c r="C281" t="s">
        <v>14007</v>
      </c>
      <c r="D281" t="s">
        <v>14008</v>
      </c>
      <c r="E281">
        <v>3.32</v>
      </c>
      <c r="F281">
        <v>4.3159999999999998</v>
      </c>
      <c r="G281">
        <v>110</v>
      </c>
      <c r="H281">
        <v>2.8220000000000001</v>
      </c>
      <c r="I281">
        <v>18.04</v>
      </c>
      <c r="J281">
        <v>0.72299999999999998</v>
      </c>
      <c r="K281" t="s">
        <v>13040</v>
      </c>
      <c r="L281" t="s">
        <v>13041</v>
      </c>
      <c r="M281" t="s">
        <v>13041</v>
      </c>
      <c r="N281">
        <v>26.518999999999998</v>
      </c>
      <c r="O281">
        <v>20270621</v>
      </c>
      <c r="P281">
        <v>115.9</v>
      </c>
      <c r="Q281">
        <v>0.36</v>
      </c>
      <c r="R281">
        <v>3.26</v>
      </c>
      <c r="S281">
        <v>0</v>
      </c>
    </row>
    <row r="282" spans="1:19" x14ac:dyDescent="0.3">
      <c r="A282" t="s">
        <v>14009</v>
      </c>
      <c r="B282" t="s">
        <v>14010</v>
      </c>
      <c r="C282" t="s">
        <v>14011</v>
      </c>
      <c r="D282" t="s">
        <v>12762</v>
      </c>
      <c r="E282">
        <v>19.84</v>
      </c>
      <c r="F282">
        <v>25.792000000000002</v>
      </c>
      <c r="G282">
        <v>118</v>
      </c>
      <c r="H282">
        <v>17.856000000000002</v>
      </c>
      <c r="I282">
        <v>99.38</v>
      </c>
      <c r="J282">
        <v>0.69599999999999995</v>
      </c>
      <c r="K282" t="s">
        <v>13040</v>
      </c>
      <c r="L282" t="s">
        <v>13041</v>
      </c>
      <c r="M282" t="s">
        <v>13041</v>
      </c>
      <c r="N282">
        <v>5.8250000000000002</v>
      </c>
      <c r="O282">
        <v>20270611</v>
      </c>
      <c r="P282">
        <v>115.57</v>
      </c>
      <c r="Q282">
        <v>0.18</v>
      </c>
      <c r="R282">
        <v>11.5</v>
      </c>
      <c r="S282">
        <v>0.61</v>
      </c>
    </row>
    <row r="283" spans="1:19" x14ac:dyDescent="0.3">
      <c r="A283" t="s">
        <v>14012</v>
      </c>
      <c r="B283" t="s">
        <v>14013</v>
      </c>
      <c r="C283" t="s">
        <v>14014</v>
      </c>
      <c r="D283" t="s">
        <v>14015</v>
      </c>
      <c r="E283">
        <v>97.01</v>
      </c>
      <c r="F283">
        <v>126.113</v>
      </c>
      <c r="G283">
        <v>110</v>
      </c>
      <c r="H283">
        <v>82.459000000000003</v>
      </c>
      <c r="I283">
        <v>86.6</v>
      </c>
      <c r="J283">
        <v>0.69299999999999995</v>
      </c>
      <c r="K283" t="s">
        <v>13040</v>
      </c>
      <c r="L283" t="s">
        <v>13041</v>
      </c>
      <c r="M283" t="s">
        <v>13041</v>
      </c>
      <c r="N283">
        <v>14.914999999999999</v>
      </c>
      <c r="O283">
        <v>20270610</v>
      </c>
      <c r="P283">
        <v>111.33</v>
      </c>
      <c r="Q283">
        <v>-1.05</v>
      </c>
      <c r="R283">
        <v>57.88</v>
      </c>
      <c r="S283">
        <v>-0.91</v>
      </c>
    </row>
    <row r="284" spans="1:19" x14ac:dyDescent="0.3">
      <c r="A284" t="s">
        <v>14016</v>
      </c>
      <c r="B284" t="s">
        <v>14017</v>
      </c>
      <c r="C284" t="s">
        <v>14018</v>
      </c>
      <c r="D284" t="s">
        <v>14019</v>
      </c>
      <c r="E284">
        <v>38.74</v>
      </c>
      <c r="F284">
        <v>50.362000000000002</v>
      </c>
      <c r="G284">
        <v>107</v>
      </c>
      <c r="H284">
        <v>32.929000000000002</v>
      </c>
      <c r="I284">
        <v>199.14</v>
      </c>
      <c r="J284">
        <v>0.69299999999999995</v>
      </c>
      <c r="K284" t="s">
        <v>13040</v>
      </c>
      <c r="L284" t="s">
        <v>13041</v>
      </c>
      <c r="M284" t="s">
        <v>13041</v>
      </c>
      <c r="N284">
        <v>34.950000000000003</v>
      </c>
      <c r="O284">
        <v>20270610</v>
      </c>
      <c r="P284">
        <v>106.02</v>
      </c>
      <c r="Q284">
        <v>0</v>
      </c>
      <c r="R284">
        <v>13.73</v>
      </c>
      <c r="S284">
        <v>0.51</v>
      </c>
    </row>
    <row r="285" spans="1:19" x14ac:dyDescent="0.3">
      <c r="A285" t="s">
        <v>14020</v>
      </c>
      <c r="B285" t="s">
        <v>14021</v>
      </c>
      <c r="C285" t="s">
        <v>14022</v>
      </c>
      <c r="D285" t="s">
        <v>14023</v>
      </c>
      <c r="E285">
        <v>10.27</v>
      </c>
      <c r="F285">
        <v>13.351000000000001</v>
      </c>
      <c r="G285">
        <v>110</v>
      </c>
      <c r="H285">
        <v>9.2430000000000003</v>
      </c>
      <c r="I285">
        <v>24.21</v>
      </c>
      <c r="J285">
        <v>0.68500000000000005</v>
      </c>
      <c r="K285" t="s">
        <v>13276</v>
      </c>
      <c r="L285" t="s">
        <v>13041</v>
      </c>
      <c r="M285" t="s">
        <v>13041</v>
      </c>
      <c r="N285">
        <v>5.0549999999999997</v>
      </c>
      <c r="O285">
        <v>20270607</v>
      </c>
      <c r="P285">
        <v>410.6</v>
      </c>
      <c r="Q285">
        <v>-0.23</v>
      </c>
      <c r="R285">
        <v>33.950000000000003</v>
      </c>
      <c r="S285">
        <v>-0.73</v>
      </c>
    </row>
    <row r="286" spans="1:19" x14ac:dyDescent="0.3">
      <c r="A286" t="s">
        <v>2082</v>
      </c>
      <c r="B286" t="s">
        <v>14024</v>
      </c>
      <c r="C286" t="s">
        <v>14025</v>
      </c>
      <c r="D286" t="s">
        <v>12926</v>
      </c>
      <c r="E286">
        <v>22.69</v>
      </c>
      <c r="F286">
        <v>29.497</v>
      </c>
      <c r="G286">
        <v>115</v>
      </c>
      <c r="H286">
        <v>19.286999999999999</v>
      </c>
      <c r="I286">
        <v>37.31</v>
      </c>
      <c r="J286">
        <v>0.64900000000000002</v>
      </c>
      <c r="K286" t="s">
        <v>13040</v>
      </c>
      <c r="L286" t="s">
        <v>13041</v>
      </c>
      <c r="M286" t="s">
        <v>13041</v>
      </c>
      <c r="N286">
        <v>8.9990000000000006</v>
      </c>
      <c r="O286">
        <v>20270525</v>
      </c>
      <c r="P286">
        <v>120.12</v>
      </c>
      <c r="Q286">
        <v>0.19</v>
      </c>
      <c r="R286">
        <v>19.850000000000001</v>
      </c>
      <c r="S286">
        <v>-0.65</v>
      </c>
    </row>
    <row r="287" spans="1:19" x14ac:dyDescent="0.3">
      <c r="A287" t="s">
        <v>14026</v>
      </c>
      <c r="B287" t="s">
        <v>14027</v>
      </c>
      <c r="C287" t="s">
        <v>14028</v>
      </c>
      <c r="D287" t="s">
        <v>14029</v>
      </c>
      <c r="E287">
        <v>17.29</v>
      </c>
      <c r="F287">
        <v>22.477</v>
      </c>
      <c r="G287">
        <v>115</v>
      </c>
      <c r="H287">
        <v>14.696</v>
      </c>
      <c r="I287">
        <v>2.96</v>
      </c>
      <c r="J287">
        <v>0.64700000000000002</v>
      </c>
      <c r="K287" t="s">
        <v>13276</v>
      </c>
      <c r="L287" t="s">
        <v>13041</v>
      </c>
      <c r="M287" t="s">
        <v>13041</v>
      </c>
      <c r="N287">
        <v>9.9909999999999997</v>
      </c>
      <c r="O287">
        <v>20270524</v>
      </c>
      <c r="P287">
        <v>131.66</v>
      </c>
      <c r="Q287">
        <v>0.17</v>
      </c>
      <c r="R287">
        <v>22.11</v>
      </c>
      <c r="S287">
        <v>1.47</v>
      </c>
    </row>
    <row r="288" spans="1:19" x14ac:dyDescent="0.3">
      <c r="A288" t="s">
        <v>2113</v>
      </c>
      <c r="B288" t="s">
        <v>14030</v>
      </c>
      <c r="C288" t="s">
        <v>14031</v>
      </c>
      <c r="D288" t="s">
        <v>14032</v>
      </c>
      <c r="E288">
        <v>9.58</v>
      </c>
      <c r="F288">
        <v>12.454000000000001</v>
      </c>
      <c r="G288">
        <v>113</v>
      </c>
      <c r="H288">
        <v>8.1430000000000007</v>
      </c>
      <c r="I288">
        <v>32.54</v>
      </c>
      <c r="J288">
        <v>0.58099999999999996</v>
      </c>
      <c r="K288" t="s">
        <v>13040</v>
      </c>
      <c r="L288" t="s">
        <v>13041</v>
      </c>
      <c r="M288" t="s">
        <v>13041</v>
      </c>
      <c r="N288">
        <v>4.2789999999999999</v>
      </c>
      <c r="O288">
        <v>20270430</v>
      </c>
      <c r="P288">
        <v>120.78</v>
      </c>
      <c r="Q288">
        <v>0.23</v>
      </c>
      <c r="R288">
        <v>8.73</v>
      </c>
      <c r="S288">
        <v>-1.24</v>
      </c>
    </row>
    <row r="289" spans="1:19" x14ac:dyDescent="0.3">
      <c r="A289" t="s">
        <v>12736</v>
      </c>
      <c r="B289" t="s">
        <v>14033</v>
      </c>
      <c r="C289" t="s">
        <v>14034</v>
      </c>
      <c r="D289" t="s">
        <v>12841</v>
      </c>
      <c r="E289">
        <v>4.47</v>
      </c>
      <c r="F289">
        <v>5.8109999999999999</v>
      </c>
      <c r="G289">
        <v>112</v>
      </c>
      <c r="H289">
        <v>4.0229999999999997</v>
      </c>
      <c r="I289">
        <v>49</v>
      </c>
      <c r="J289">
        <v>0.56200000000000006</v>
      </c>
      <c r="K289" t="s">
        <v>13040</v>
      </c>
      <c r="L289" t="s">
        <v>13041</v>
      </c>
      <c r="M289" t="s">
        <v>13041</v>
      </c>
      <c r="N289">
        <v>15.452999999999999</v>
      </c>
      <c r="O289">
        <v>20270423</v>
      </c>
      <c r="P289">
        <v>113</v>
      </c>
      <c r="Q289">
        <v>0.24</v>
      </c>
      <c r="R289">
        <v>3.39</v>
      </c>
      <c r="S289">
        <v>0.3</v>
      </c>
    </row>
    <row r="290" spans="1:19" x14ac:dyDescent="0.3">
      <c r="A290" t="s">
        <v>14035</v>
      </c>
      <c r="B290" t="s">
        <v>14036</v>
      </c>
      <c r="C290" t="s">
        <v>14037</v>
      </c>
      <c r="D290" t="s">
        <v>12913</v>
      </c>
      <c r="E290">
        <v>31.69</v>
      </c>
      <c r="F290">
        <v>41.197000000000003</v>
      </c>
      <c r="G290">
        <v>113</v>
      </c>
      <c r="H290">
        <v>26.937000000000001</v>
      </c>
      <c r="I290">
        <v>93.79</v>
      </c>
      <c r="J290">
        <v>0.55100000000000005</v>
      </c>
      <c r="K290" t="s">
        <v>13040</v>
      </c>
      <c r="L290" t="s">
        <v>13041</v>
      </c>
      <c r="M290" t="s">
        <v>13041</v>
      </c>
      <c r="N290">
        <v>10.247999999999999</v>
      </c>
      <c r="O290">
        <v>20270419</v>
      </c>
      <c r="P290">
        <v>112.58</v>
      </c>
      <c r="Q290">
        <v>0.16</v>
      </c>
      <c r="R290">
        <v>18.41</v>
      </c>
      <c r="S290">
        <v>4.07</v>
      </c>
    </row>
    <row r="291" spans="1:19" x14ac:dyDescent="0.3">
      <c r="A291" t="s">
        <v>12766</v>
      </c>
      <c r="B291" t="s">
        <v>14038</v>
      </c>
      <c r="C291" t="s">
        <v>14039</v>
      </c>
      <c r="D291" t="s">
        <v>1626</v>
      </c>
      <c r="E291">
        <v>3.79</v>
      </c>
      <c r="F291">
        <v>4.9269999999999996</v>
      </c>
      <c r="G291">
        <v>112</v>
      </c>
      <c r="H291">
        <v>3.2210000000000001</v>
      </c>
      <c r="I291">
        <v>14.5</v>
      </c>
      <c r="J291" t="s">
        <v>13041</v>
      </c>
      <c r="K291" t="s">
        <v>13041</v>
      </c>
      <c r="L291" t="s">
        <v>14040</v>
      </c>
      <c r="M291" t="s">
        <v>14041</v>
      </c>
      <c r="N291">
        <v>9.1999999999999998E-2</v>
      </c>
      <c r="O291">
        <v>20270416</v>
      </c>
      <c r="P291">
        <v>89.73</v>
      </c>
      <c r="R291">
        <v>2.97</v>
      </c>
      <c r="S291">
        <v>-1</v>
      </c>
    </row>
    <row r="292" spans="1:19" x14ac:dyDescent="0.3">
      <c r="A292" t="s">
        <v>14042</v>
      </c>
      <c r="B292" t="s">
        <v>14043</v>
      </c>
      <c r="C292" t="s">
        <v>14044</v>
      </c>
      <c r="D292" t="s">
        <v>14045</v>
      </c>
      <c r="E292">
        <v>20.93</v>
      </c>
      <c r="F292">
        <v>27.209</v>
      </c>
      <c r="G292">
        <v>115</v>
      </c>
      <c r="H292">
        <v>17.79</v>
      </c>
      <c r="I292">
        <v>37.28</v>
      </c>
      <c r="J292">
        <v>0.501</v>
      </c>
      <c r="K292" t="s">
        <v>13040</v>
      </c>
      <c r="L292" t="s">
        <v>13041</v>
      </c>
      <c r="M292" t="s">
        <v>13041</v>
      </c>
      <c r="N292">
        <v>4.5949999999999998</v>
      </c>
      <c r="O292">
        <v>20270401</v>
      </c>
      <c r="P292">
        <v>130</v>
      </c>
      <c r="Q292">
        <v>-2.2599999999999998</v>
      </c>
      <c r="R292">
        <v>19.82</v>
      </c>
      <c r="S292">
        <v>-2.84</v>
      </c>
    </row>
    <row r="293" spans="1:19" x14ac:dyDescent="0.3">
      <c r="A293" t="s">
        <v>2094</v>
      </c>
      <c r="B293" t="s">
        <v>14046</v>
      </c>
      <c r="C293" t="s">
        <v>14047</v>
      </c>
      <c r="D293" t="s">
        <v>12036</v>
      </c>
      <c r="E293">
        <v>16.09</v>
      </c>
      <c r="F293">
        <v>20.917000000000002</v>
      </c>
      <c r="G293">
        <v>108</v>
      </c>
      <c r="H293">
        <v>14.481</v>
      </c>
      <c r="I293">
        <v>18.649999999999999</v>
      </c>
      <c r="J293">
        <v>0.49299999999999999</v>
      </c>
      <c r="K293" t="s">
        <v>13040</v>
      </c>
      <c r="L293" t="s">
        <v>13041</v>
      </c>
      <c r="M293" t="s">
        <v>13041</v>
      </c>
      <c r="N293">
        <v>77.063000000000002</v>
      </c>
      <c r="O293">
        <v>20270329</v>
      </c>
      <c r="P293">
        <v>111.5</v>
      </c>
      <c r="Q293">
        <v>0.4</v>
      </c>
      <c r="R293">
        <v>15.12</v>
      </c>
      <c r="S293">
        <v>0.27</v>
      </c>
    </row>
    <row r="294" spans="1:19" x14ac:dyDescent="0.3">
      <c r="A294" t="s">
        <v>14048</v>
      </c>
      <c r="B294" t="s">
        <v>14049</v>
      </c>
      <c r="C294" t="s">
        <v>14050</v>
      </c>
      <c r="D294" t="s">
        <v>14051</v>
      </c>
      <c r="E294">
        <v>16.79</v>
      </c>
      <c r="F294">
        <v>21.827000000000002</v>
      </c>
      <c r="G294">
        <v>112</v>
      </c>
      <c r="H294">
        <v>14.271000000000001</v>
      </c>
      <c r="I294">
        <v>40.79</v>
      </c>
      <c r="J294">
        <v>0.48199999999999998</v>
      </c>
      <c r="K294" t="s">
        <v>13040</v>
      </c>
      <c r="L294" t="s">
        <v>13041</v>
      </c>
      <c r="M294" t="s">
        <v>13041</v>
      </c>
      <c r="N294">
        <v>9.9990000000000006</v>
      </c>
      <c r="O294">
        <v>20270325</v>
      </c>
      <c r="P294">
        <v>113.2</v>
      </c>
      <c r="Q294">
        <v>0.47</v>
      </c>
      <c r="R294">
        <v>13.5</v>
      </c>
      <c r="S294">
        <v>1.05</v>
      </c>
    </row>
    <row r="295" spans="1:19" x14ac:dyDescent="0.3">
      <c r="A295" t="s">
        <v>14052</v>
      </c>
      <c r="B295" t="s">
        <v>14053</v>
      </c>
      <c r="C295" t="s">
        <v>14054</v>
      </c>
      <c r="D295" t="s">
        <v>12767</v>
      </c>
      <c r="E295">
        <v>13.21</v>
      </c>
      <c r="F295">
        <v>17.172999999999998</v>
      </c>
      <c r="G295">
        <v>108</v>
      </c>
      <c r="H295">
        <v>10.568</v>
      </c>
      <c r="I295">
        <v>15.2</v>
      </c>
      <c r="J295">
        <v>0.47399999999999998</v>
      </c>
      <c r="K295" t="s">
        <v>13040</v>
      </c>
      <c r="L295" t="s">
        <v>13041</v>
      </c>
      <c r="M295" t="s">
        <v>13041</v>
      </c>
      <c r="N295">
        <v>49.973999999999997</v>
      </c>
      <c r="O295">
        <v>20270322</v>
      </c>
      <c r="P295">
        <v>112.41</v>
      </c>
      <c r="Q295">
        <v>0.82</v>
      </c>
      <c r="R295">
        <v>12.89</v>
      </c>
      <c r="S295">
        <v>0.7</v>
      </c>
    </row>
    <row r="296" spans="1:19" x14ac:dyDescent="0.3">
      <c r="A296" t="s">
        <v>2095</v>
      </c>
      <c r="B296" t="s">
        <v>14055</v>
      </c>
      <c r="C296" t="s">
        <v>14056</v>
      </c>
      <c r="D296" t="s">
        <v>14057</v>
      </c>
      <c r="E296">
        <v>10.18</v>
      </c>
      <c r="F296">
        <v>13.234</v>
      </c>
      <c r="G296">
        <v>110</v>
      </c>
      <c r="H296">
        <v>8.1440000000000001</v>
      </c>
      <c r="I296">
        <v>-0.34</v>
      </c>
      <c r="J296">
        <v>0.47399999999999998</v>
      </c>
      <c r="K296" t="s">
        <v>14058</v>
      </c>
      <c r="L296" t="s">
        <v>13041</v>
      </c>
      <c r="M296" t="s">
        <v>13041</v>
      </c>
      <c r="N296">
        <v>12.518000000000001</v>
      </c>
      <c r="O296">
        <v>20270322</v>
      </c>
      <c r="P296">
        <v>114.73</v>
      </c>
      <c r="Q296">
        <v>3.19</v>
      </c>
      <c r="R296">
        <v>11.72</v>
      </c>
      <c r="S296">
        <v>3.53</v>
      </c>
    </row>
    <row r="297" spans="1:19" x14ac:dyDescent="0.3">
      <c r="A297" t="s">
        <v>2120</v>
      </c>
      <c r="B297" t="s">
        <v>14059</v>
      </c>
      <c r="C297" t="s">
        <v>14060</v>
      </c>
      <c r="D297" t="s">
        <v>12637</v>
      </c>
      <c r="E297">
        <v>7.02</v>
      </c>
      <c r="F297">
        <v>9.1259999999999994</v>
      </c>
      <c r="G297">
        <v>120</v>
      </c>
      <c r="H297">
        <v>5.9669999999999996</v>
      </c>
      <c r="I297">
        <v>23.68</v>
      </c>
      <c r="J297">
        <v>0.45800000000000002</v>
      </c>
      <c r="K297" t="s">
        <v>13040</v>
      </c>
      <c r="L297" t="s">
        <v>13041</v>
      </c>
      <c r="M297" t="s">
        <v>13041</v>
      </c>
      <c r="N297">
        <v>9.6989999999999998</v>
      </c>
      <c r="O297">
        <v>20270316</v>
      </c>
      <c r="P297">
        <v>122.98</v>
      </c>
      <c r="Q297">
        <v>0.4</v>
      </c>
      <c r="R297">
        <v>6.98</v>
      </c>
      <c r="S297">
        <v>0.28999999999999998</v>
      </c>
    </row>
    <row r="298" spans="1:19" x14ac:dyDescent="0.3">
      <c r="A298" t="s">
        <v>14061</v>
      </c>
      <c r="B298" t="s">
        <v>14062</v>
      </c>
      <c r="C298" t="s">
        <v>14063</v>
      </c>
      <c r="D298" t="s">
        <v>14064</v>
      </c>
      <c r="E298">
        <v>8.35</v>
      </c>
      <c r="F298">
        <v>10.855</v>
      </c>
      <c r="G298">
        <v>112</v>
      </c>
      <c r="H298">
        <v>6.68</v>
      </c>
      <c r="I298">
        <v>0.6</v>
      </c>
      <c r="J298">
        <v>0.32100000000000001</v>
      </c>
      <c r="K298" t="s">
        <v>13040</v>
      </c>
      <c r="L298" t="s">
        <v>13041</v>
      </c>
      <c r="M298" t="s">
        <v>13041</v>
      </c>
      <c r="N298">
        <v>192.16</v>
      </c>
      <c r="O298">
        <v>20270125</v>
      </c>
      <c r="P298">
        <v>117.47</v>
      </c>
      <c r="Q298">
        <v>0.95</v>
      </c>
      <c r="R298">
        <v>9.75</v>
      </c>
      <c r="S298">
        <v>2.09</v>
      </c>
    </row>
    <row r="299" spans="1:19" x14ac:dyDescent="0.3">
      <c r="A299" t="s">
        <v>12717</v>
      </c>
      <c r="B299" t="s">
        <v>14065</v>
      </c>
      <c r="C299" t="s">
        <v>14066</v>
      </c>
      <c r="D299" t="s">
        <v>12723</v>
      </c>
      <c r="E299">
        <v>159.02000000000001</v>
      </c>
      <c r="F299">
        <v>206.726</v>
      </c>
      <c r="G299">
        <v>110</v>
      </c>
      <c r="H299">
        <v>135.167</v>
      </c>
      <c r="I299">
        <v>111.92</v>
      </c>
      <c r="J299">
        <v>0.24399999999999999</v>
      </c>
      <c r="K299" t="s">
        <v>13040</v>
      </c>
      <c r="L299" t="s">
        <v>13041</v>
      </c>
      <c r="M299" t="s">
        <v>13041</v>
      </c>
      <c r="N299">
        <v>24.324000000000002</v>
      </c>
      <c r="O299">
        <v>20261228</v>
      </c>
      <c r="P299">
        <v>109.56</v>
      </c>
      <c r="Q299">
        <v>0</v>
      </c>
      <c r="R299">
        <v>82.21</v>
      </c>
      <c r="S299">
        <v>2.2999999999999998</v>
      </c>
    </row>
    <row r="300" spans="1:19" x14ac:dyDescent="0.3">
      <c r="A300" t="s">
        <v>12618</v>
      </c>
      <c r="B300" t="s">
        <v>14067</v>
      </c>
      <c r="C300" t="s">
        <v>14068</v>
      </c>
      <c r="D300" t="s">
        <v>12816</v>
      </c>
      <c r="E300">
        <v>4.97</v>
      </c>
      <c r="F300">
        <v>6.4610000000000003</v>
      </c>
      <c r="G300">
        <v>115</v>
      </c>
      <c r="H300">
        <v>4.2240000000000002</v>
      </c>
      <c r="I300">
        <v>19.579999999999998</v>
      </c>
      <c r="J300">
        <v>0.23300000000000001</v>
      </c>
      <c r="K300" t="s">
        <v>13040</v>
      </c>
      <c r="L300" t="s">
        <v>13041</v>
      </c>
      <c r="M300" t="s">
        <v>13041</v>
      </c>
      <c r="N300">
        <v>3.4159999999999999</v>
      </c>
      <c r="O300">
        <v>20261224</v>
      </c>
      <c r="P300">
        <v>115.49</v>
      </c>
      <c r="Q300">
        <v>0.22</v>
      </c>
      <c r="R300">
        <v>4.8</v>
      </c>
      <c r="S300">
        <v>0.21</v>
      </c>
    </row>
    <row r="301" spans="1:19" x14ac:dyDescent="0.3">
      <c r="A301" t="s">
        <v>12787</v>
      </c>
      <c r="B301" t="s">
        <v>14069</v>
      </c>
      <c r="C301" t="s">
        <v>14070</v>
      </c>
      <c r="D301" t="s">
        <v>14071</v>
      </c>
      <c r="E301">
        <v>14.79</v>
      </c>
      <c r="F301">
        <v>19.227</v>
      </c>
      <c r="G301">
        <v>111</v>
      </c>
      <c r="H301">
        <v>12.571</v>
      </c>
      <c r="I301">
        <v>7.17</v>
      </c>
      <c r="J301">
        <v>0.23</v>
      </c>
      <c r="K301" t="s">
        <v>13298</v>
      </c>
      <c r="L301" t="s">
        <v>13041</v>
      </c>
      <c r="M301" t="s">
        <v>13041</v>
      </c>
      <c r="N301">
        <v>5.4589999999999996</v>
      </c>
      <c r="O301">
        <v>20261223</v>
      </c>
      <c r="P301">
        <v>124.2</v>
      </c>
      <c r="Q301">
        <v>-2.39</v>
      </c>
      <c r="R301">
        <v>17.14</v>
      </c>
      <c r="S301">
        <v>-2.67</v>
      </c>
    </row>
    <row r="302" spans="1:19" x14ac:dyDescent="0.3">
      <c r="A302" t="s">
        <v>14072</v>
      </c>
      <c r="B302" t="s">
        <v>14073</v>
      </c>
      <c r="C302" t="s">
        <v>13328</v>
      </c>
      <c r="D302" t="s">
        <v>13329</v>
      </c>
      <c r="E302">
        <v>11.12</v>
      </c>
      <c r="F302">
        <v>14.456</v>
      </c>
      <c r="G302">
        <v>112</v>
      </c>
      <c r="H302">
        <v>10.007999999999999</v>
      </c>
      <c r="I302">
        <v>7.98</v>
      </c>
      <c r="J302">
        <v>0.23</v>
      </c>
      <c r="K302" t="s">
        <v>14074</v>
      </c>
      <c r="L302" t="s">
        <v>13041</v>
      </c>
      <c r="M302" t="s">
        <v>13041</v>
      </c>
      <c r="N302">
        <v>4.9580000000000002</v>
      </c>
      <c r="O302">
        <v>20261223</v>
      </c>
      <c r="P302">
        <v>701.84</v>
      </c>
      <c r="Q302">
        <v>1.07</v>
      </c>
      <c r="R302">
        <v>72.28</v>
      </c>
      <c r="S302">
        <v>-0.1</v>
      </c>
    </row>
    <row r="303" spans="1:19" x14ac:dyDescent="0.3">
      <c r="A303" t="s">
        <v>14075</v>
      </c>
      <c r="B303" t="s">
        <v>14076</v>
      </c>
      <c r="C303" t="s">
        <v>14077</v>
      </c>
      <c r="D303" t="s">
        <v>12631</v>
      </c>
      <c r="E303">
        <v>34.520000000000003</v>
      </c>
      <c r="F303">
        <v>44.875999999999998</v>
      </c>
      <c r="G303">
        <v>112</v>
      </c>
      <c r="H303">
        <v>27.616</v>
      </c>
      <c r="I303">
        <v>136.36000000000001</v>
      </c>
      <c r="J303">
        <v>0.22500000000000001</v>
      </c>
      <c r="K303" t="s">
        <v>13040</v>
      </c>
      <c r="L303" t="s">
        <v>13041</v>
      </c>
      <c r="M303" t="s">
        <v>13041</v>
      </c>
      <c r="N303">
        <v>4.984</v>
      </c>
      <c r="O303">
        <v>20261221</v>
      </c>
      <c r="P303">
        <v>111.61</v>
      </c>
      <c r="Q303">
        <v>0</v>
      </c>
      <c r="R303">
        <v>16.3</v>
      </c>
      <c r="S303">
        <v>1.24</v>
      </c>
    </row>
    <row r="304" spans="1:19" x14ac:dyDescent="0.3">
      <c r="A304" t="s">
        <v>2119</v>
      </c>
      <c r="B304" t="s">
        <v>14078</v>
      </c>
      <c r="C304" t="s">
        <v>14079</v>
      </c>
      <c r="D304" t="s">
        <v>12997</v>
      </c>
      <c r="E304">
        <v>17.5</v>
      </c>
      <c r="F304">
        <v>22.75</v>
      </c>
      <c r="G304">
        <v>110</v>
      </c>
      <c r="H304">
        <v>14</v>
      </c>
      <c r="I304">
        <v>30.75</v>
      </c>
      <c r="J304">
        <v>0.216</v>
      </c>
      <c r="K304" t="s">
        <v>13040</v>
      </c>
      <c r="L304" t="s">
        <v>13041</v>
      </c>
      <c r="M304" t="s">
        <v>13041</v>
      </c>
      <c r="N304">
        <v>7.1779999999999999</v>
      </c>
      <c r="O304">
        <v>20261218</v>
      </c>
      <c r="P304">
        <v>110.73</v>
      </c>
      <c r="Q304">
        <v>0.7</v>
      </c>
      <c r="R304">
        <v>14.82</v>
      </c>
      <c r="S304">
        <v>4</v>
      </c>
    </row>
    <row r="305" spans="1:19" x14ac:dyDescent="0.3">
      <c r="A305" t="s">
        <v>14080</v>
      </c>
      <c r="B305" t="s">
        <v>14081</v>
      </c>
      <c r="C305" t="s">
        <v>14082</v>
      </c>
      <c r="D305" t="s">
        <v>12635</v>
      </c>
      <c r="E305">
        <v>14.97</v>
      </c>
      <c r="F305">
        <v>19.460999999999999</v>
      </c>
      <c r="G305">
        <v>115</v>
      </c>
      <c r="H305">
        <v>12.725</v>
      </c>
      <c r="I305">
        <v>42.22</v>
      </c>
      <c r="J305">
        <v>0.20799999999999999</v>
      </c>
      <c r="K305" t="s">
        <v>13040</v>
      </c>
      <c r="L305" t="s">
        <v>13041</v>
      </c>
      <c r="M305" t="s">
        <v>13041</v>
      </c>
      <c r="N305">
        <v>3.004</v>
      </c>
      <c r="O305">
        <v>20261215</v>
      </c>
      <c r="P305">
        <v>114.86</v>
      </c>
      <c r="Q305">
        <v>-0.03</v>
      </c>
      <c r="R305">
        <v>12.09</v>
      </c>
      <c r="S305">
        <v>-0.98</v>
      </c>
    </row>
    <row r="306" spans="1:19" x14ac:dyDescent="0.3">
      <c r="A306" t="s">
        <v>14083</v>
      </c>
      <c r="B306" t="s">
        <v>14084</v>
      </c>
      <c r="C306" t="s">
        <v>14085</v>
      </c>
      <c r="D306" t="s">
        <v>14086</v>
      </c>
      <c r="E306">
        <v>2.93</v>
      </c>
      <c r="F306">
        <v>3.8090000000000002</v>
      </c>
      <c r="G306">
        <v>110</v>
      </c>
      <c r="H306">
        <v>2.4900000000000002</v>
      </c>
      <c r="I306">
        <v>28.83</v>
      </c>
      <c r="J306">
        <v>0.19500000000000001</v>
      </c>
      <c r="K306" t="s">
        <v>13040</v>
      </c>
      <c r="L306" t="s">
        <v>13041</v>
      </c>
      <c r="M306" t="s">
        <v>13041</v>
      </c>
      <c r="N306">
        <v>19.463000000000001</v>
      </c>
      <c r="O306">
        <v>20261210</v>
      </c>
      <c r="P306">
        <v>109.93</v>
      </c>
      <c r="Q306">
        <v>0.01</v>
      </c>
      <c r="R306">
        <v>2.5</v>
      </c>
      <c r="S306">
        <v>1.63</v>
      </c>
    </row>
    <row r="307" spans="1:19" x14ac:dyDescent="0.3">
      <c r="A307" t="s">
        <v>14087</v>
      </c>
      <c r="B307" t="s">
        <v>14088</v>
      </c>
      <c r="C307" t="s">
        <v>14089</v>
      </c>
      <c r="D307" t="s">
        <v>14090</v>
      </c>
      <c r="E307">
        <v>7.98</v>
      </c>
      <c r="F307">
        <v>10.374000000000001</v>
      </c>
      <c r="G307">
        <v>106</v>
      </c>
      <c r="H307">
        <v>6.3840000000000003</v>
      </c>
      <c r="I307">
        <v>7.06</v>
      </c>
      <c r="J307">
        <v>0.19500000000000001</v>
      </c>
      <c r="K307" t="s">
        <v>13040</v>
      </c>
      <c r="L307" t="s">
        <v>13041</v>
      </c>
      <c r="M307" t="s">
        <v>13041</v>
      </c>
      <c r="N307">
        <v>37.991999999999997</v>
      </c>
      <c r="O307">
        <v>20261210</v>
      </c>
      <c r="P307">
        <v>109.34</v>
      </c>
      <c r="Q307">
        <v>0.06</v>
      </c>
      <c r="R307">
        <v>8.15</v>
      </c>
      <c r="S307">
        <v>-0.24</v>
      </c>
    </row>
    <row r="308" spans="1:19" x14ac:dyDescent="0.3">
      <c r="A308" t="s">
        <v>14091</v>
      </c>
      <c r="B308" t="s">
        <v>14092</v>
      </c>
      <c r="C308" t="s">
        <v>14093</v>
      </c>
      <c r="D308" t="s">
        <v>12955</v>
      </c>
      <c r="E308">
        <v>11.28</v>
      </c>
      <c r="F308">
        <v>14.664</v>
      </c>
      <c r="G308">
        <v>120</v>
      </c>
      <c r="H308">
        <v>9.5879999999999992</v>
      </c>
      <c r="I308">
        <v>20.41</v>
      </c>
      <c r="J308">
        <v>0.17299999999999999</v>
      </c>
      <c r="K308" t="s">
        <v>13040</v>
      </c>
      <c r="L308" t="s">
        <v>13041</v>
      </c>
      <c r="M308" t="s">
        <v>13041</v>
      </c>
      <c r="N308">
        <v>1.4850000000000001</v>
      </c>
      <c r="O308">
        <v>20261202</v>
      </c>
      <c r="P308">
        <v>122.12</v>
      </c>
      <c r="Q308">
        <v>-0.15</v>
      </c>
      <c r="R308">
        <v>11.44</v>
      </c>
      <c r="S308">
        <v>0.26</v>
      </c>
    </row>
    <row r="309" spans="1:19" x14ac:dyDescent="0.3">
      <c r="A309" t="s">
        <v>14094</v>
      </c>
      <c r="B309" t="s">
        <v>14095</v>
      </c>
      <c r="C309" t="s">
        <v>14096</v>
      </c>
      <c r="D309" t="s">
        <v>14097</v>
      </c>
      <c r="E309">
        <v>5.5</v>
      </c>
      <c r="F309">
        <v>7.15</v>
      </c>
      <c r="G309">
        <v>115</v>
      </c>
      <c r="H309">
        <v>4.6749999999999998</v>
      </c>
      <c r="I309">
        <v>5.32</v>
      </c>
      <c r="J309">
        <v>0.17</v>
      </c>
      <c r="K309" t="s">
        <v>13040</v>
      </c>
      <c r="L309" t="s">
        <v>13041</v>
      </c>
      <c r="M309" t="s">
        <v>13041</v>
      </c>
      <c r="N309">
        <v>2.528</v>
      </c>
      <c r="O309">
        <v>20261201</v>
      </c>
      <c r="P309">
        <v>121.21</v>
      </c>
      <c r="Q309">
        <v>1.24</v>
      </c>
      <c r="R309">
        <v>6.33</v>
      </c>
      <c r="S309">
        <v>5.32</v>
      </c>
    </row>
    <row r="310" spans="1:19" x14ac:dyDescent="0.3">
      <c r="A310" t="s">
        <v>14098</v>
      </c>
      <c r="B310" t="s">
        <v>14099</v>
      </c>
      <c r="C310" t="s">
        <v>14100</v>
      </c>
      <c r="D310" t="s">
        <v>14101</v>
      </c>
      <c r="E310">
        <v>4.41</v>
      </c>
      <c r="F310">
        <v>5.7329999999999997</v>
      </c>
      <c r="G310">
        <v>110</v>
      </c>
      <c r="H310">
        <v>3.528</v>
      </c>
      <c r="I310">
        <v>0</v>
      </c>
      <c r="J310">
        <v>0.14000000000000001</v>
      </c>
      <c r="K310" t="s">
        <v>14074</v>
      </c>
      <c r="L310" t="s">
        <v>13041</v>
      </c>
      <c r="M310" t="s">
        <v>13041</v>
      </c>
      <c r="N310">
        <v>4.9429999999999996</v>
      </c>
      <c r="O310">
        <v>20261120</v>
      </c>
      <c r="P310">
        <v>199.78</v>
      </c>
      <c r="Q310">
        <v>0.72</v>
      </c>
      <c r="R310">
        <v>8.81</v>
      </c>
      <c r="S310">
        <v>0.92</v>
      </c>
    </row>
    <row r="311" spans="1:19" x14ac:dyDescent="0.3">
      <c r="A311" t="s">
        <v>14102</v>
      </c>
      <c r="B311" t="s">
        <v>14103</v>
      </c>
      <c r="C311" t="s">
        <v>14104</v>
      </c>
      <c r="D311" t="s">
        <v>12887</v>
      </c>
      <c r="E311">
        <v>10.6</v>
      </c>
      <c r="F311">
        <v>13.78</v>
      </c>
      <c r="G311">
        <v>113</v>
      </c>
      <c r="H311">
        <v>9.01</v>
      </c>
      <c r="I311">
        <v>19.11</v>
      </c>
      <c r="J311">
        <v>0.13700000000000001</v>
      </c>
      <c r="K311" t="s">
        <v>13040</v>
      </c>
      <c r="L311" t="s">
        <v>13041</v>
      </c>
      <c r="M311" t="s">
        <v>13041</v>
      </c>
      <c r="N311">
        <v>3.0030000000000001</v>
      </c>
      <c r="O311">
        <v>20261119</v>
      </c>
      <c r="P311">
        <v>119.78</v>
      </c>
      <c r="Q311">
        <v>-0.19</v>
      </c>
      <c r="R311">
        <v>10.66</v>
      </c>
      <c r="S311">
        <v>-2.74</v>
      </c>
    </row>
    <row r="312" spans="1:19" x14ac:dyDescent="0.3">
      <c r="A312" t="s">
        <v>14105</v>
      </c>
      <c r="B312" t="s">
        <v>14106</v>
      </c>
      <c r="C312" t="s">
        <v>14107</v>
      </c>
      <c r="D312" t="s">
        <v>14108</v>
      </c>
      <c r="E312">
        <v>10.6</v>
      </c>
      <c r="F312">
        <v>13.78</v>
      </c>
      <c r="G312">
        <v>130</v>
      </c>
      <c r="H312">
        <v>9.01</v>
      </c>
      <c r="I312">
        <v>19.34</v>
      </c>
      <c r="J312">
        <v>0.13200000000000001</v>
      </c>
      <c r="K312" t="s">
        <v>13040</v>
      </c>
      <c r="L312" t="s">
        <v>13041</v>
      </c>
      <c r="M312" t="s">
        <v>13041</v>
      </c>
      <c r="N312">
        <v>4.1989999999999998</v>
      </c>
      <c r="O312">
        <v>20261117</v>
      </c>
      <c r="P312">
        <v>130.47999999999999</v>
      </c>
      <c r="Q312">
        <v>-0.11</v>
      </c>
      <c r="R312">
        <v>11.59</v>
      </c>
      <c r="S312">
        <v>-4.92</v>
      </c>
    </row>
    <row r="313" spans="1:19" x14ac:dyDescent="0.3">
      <c r="A313" t="s">
        <v>14109</v>
      </c>
      <c r="B313" t="s">
        <v>14110</v>
      </c>
      <c r="C313" t="s">
        <v>14111</v>
      </c>
      <c r="D313" t="s">
        <v>14112</v>
      </c>
      <c r="E313">
        <v>12.92</v>
      </c>
      <c r="F313">
        <v>16.795999999999999</v>
      </c>
      <c r="G313">
        <v>106</v>
      </c>
      <c r="H313">
        <v>10.981999999999999</v>
      </c>
      <c r="I313">
        <v>273.64999999999998</v>
      </c>
      <c r="J313">
        <v>9.9000000000000005E-2</v>
      </c>
      <c r="K313" t="s">
        <v>13040</v>
      </c>
      <c r="L313" t="s">
        <v>14113</v>
      </c>
      <c r="M313" t="s">
        <v>14114</v>
      </c>
      <c r="N313">
        <v>17.763999999999999</v>
      </c>
      <c r="O313">
        <v>20261105</v>
      </c>
      <c r="P313">
        <v>105.85</v>
      </c>
      <c r="Q313">
        <v>0.04</v>
      </c>
      <c r="R313">
        <v>3.66</v>
      </c>
      <c r="S313">
        <v>1.95</v>
      </c>
    </row>
    <row r="314" spans="1:19" x14ac:dyDescent="0.3">
      <c r="A314" t="s">
        <v>14115</v>
      </c>
      <c r="B314" t="s">
        <v>14116</v>
      </c>
      <c r="C314" t="s">
        <v>14117</v>
      </c>
      <c r="D314" t="s">
        <v>14118</v>
      </c>
      <c r="E314">
        <v>55.67</v>
      </c>
      <c r="F314">
        <v>72.370999999999995</v>
      </c>
      <c r="G314">
        <v>108</v>
      </c>
      <c r="H314">
        <v>44.536000000000001</v>
      </c>
      <c r="I314">
        <v>21.97</v>
      </c>
      <c r="J314">
        <v>9.2999999999999999E-2</v>
      </c>
      <c r="K314" t="s">
        <v>13040</v>
      </c>
      <c r="L314" t="s">
        <v>14119</v>
      </c>
      <c r="M314" t="s">
        <v>14120</v>
      </c>
      <c r="N314">
        <v>29.803999999999998</v>
      </c>
      <c r="O314">
        <v>20261103</v>
      </c>
      <c r="P314">
        <v>108.3</v>
      </c>
      <c r="Q314">
        <v>-0.09</v>
      </c>
      <c r="R314">
        <v>49.43</v>
      </c>
      <c r="S314">
        <v>-1.92</v>
      </c>
    </row>
    <row r="315" spans="1:19" x14ac:dyDescent="0.3">
      <c r="A315" t="s">
        <v>12880</v>
      </c>
      <c r="B315" t="s">
        <v>14121</v>
      </c>
      <c r="C315" t="s">
        <v>14122</v>
      </c>
      <c r="D315" t="s">
        <v>12742</v>
      </c>
      <c r="E315">
        <v>16.5</v>
      </c>
      <c r="F315">
        <v>21.45</v>
      </c>
      <c r="G315">
        <v>110</v>
      </c>
      <c r="H315">
        <v>13.2</v>
      </c>
      <c r="I315">
        <v>11.67</v>
      </c>
      <c r="J315">
        <v>0.09</v>
      </c>
      <c r="K315" t="s">
        <v>13040</v>
      </c>
      <c r="L315" t="s">
        <v>14123</v>
      </c>
      <c r="M315" t="s">
        <v>14113</v>
      </c>
      <c r="N315">
        <v>18.423999999999999</v>
      </c>
      <c r="O315">
        <v>20261102</v>
      </c>
      <c r="P315">
        <v>110.59</v>
      </c>
      <c r="Q315">
        <v>-0.38</v>
      </c>
      <c r="R315">
        <v>16.34</v>
      </c>
      <c r="S315">
        <v>2.19</v>
      </c>
    </row>
    <row r="316" spans="1:19" x14ac:dyDescent="0.3">
      <c r="A316" t="s">
        <v>14124</v>
      </c>
      <c r="B316" t="s">
        <v>14125</v>
      </c>
      <c r="C316" t="s">
        <v>14126</v>
      </c>
      <c r="D316" t="s">
        <v>14127</v>
      </c>
      <c r="E316">
        <v>16.86</v>
      </c>
      <c r="F316">
        <v>21.917999999999999</v>
      </c>
      <c r="G316">
        <v>110</v>
      </c>
      <c r="H316">
        <v>14.331</v>
      </c>
      <c r="I316">
        <v>2.73</v>
      </c>
      <c r="J316">
        <v>0.06</v>
      </c>
      <c r="K316" t="s">
        <v>13040</v>
      </c>
      <c r="L316" t="s">
        <v>14128</v>
      </c>
      <c r="M316" t="s">
        <v>14129</v>
      </c>
      <c r="N316">
        <v>14.042</v>
      </c>
      <c r="O316">
        <v>20261022</v>
      </c>
      <c r="P316">
        <v>110.9</v>
      </c>
      <c r="Q316">
        <v>0.4</v>
      </c>
      <c r="R316">
        <v>18.2</v>
      </c>
      <c r="S316">
        <v>2.08</v>
      </c>
    </row>
    <row r="317" spans="1:19" x14ac:dyDescent="0.3">
      <c r="A317" t="s">
        <v>14130</v>
      </c>
      <c r="B317" t="s">
        <v>14131</v>
      </c>
      <c r="C317" t="s">
        <v>14132</v>
      </c>
      <c r="D317" t="s">
        <v>14133</v>
      </c>
      <c r="E317">
        <v>32.61</v>
      </c>
      <c r="F317">
        <v>42.393000000000001</v>
      </c>
      <c r="G317">
        <v>120</v>
      </c>
      <c r="H317">
        <v>27.718</v>
      </c>
      <c r="I317">
        <v>253.11</v>
      </c>
      <c r="J317">
        <v>5.8000000000000003E-2</v>
      </c>
      <c r="K317" t="s">
        <v>13040</v>
      </c>
      <c r="L317" t="s">
        <v>14134</v>
      </c>
      <c r="M317" t="s">
        <v>14135</v>
      </c>
      <c r="N317">
        <v>1.4179999999999999</v>
      </c>
      <c r="O317">
        <v>20261021</v>
      </c>
      <c r="P317">
        <v>119.87</v>
      </c>
      <c r="Q317">
        <v>0.06</v>
      </c>
      <c r="R317">
        <v>11.07</v>
      </c>
      <c r="S317">
        <v>-0.72</v>
      </c>
    </row>
    <row r="318" spans="1:19" x14ac:dyDescent="0.3">
      <c r="A318" t="s">
        <v>14136</v>
      </c>
      <c r="B318" t="s">
        <v>14137</v>
      </c>
      <c r="C318" t="s">
        <v>14138</v>
      </c>
      <c r="D318" t="s">
        <v>14139</v>
      </c>
      <c r="E318">
        <v>6.68</v>
      </c>
      <c r="F318">
        <v>8.6839999999999993</v>
      </c>
      <c r="G318">
        <v>115</v>
      </c>
      <c r="H318">
        <v>6.0119999999999996</v>
      </c>
      <c r="I318">
        <v>45.1</v>
      </c>
      <c r="J318">
        <v>5.8000000000000003E-2</v>
      </c>
      <c r="K318" t="s">
        <v>13040</v>
      </c>
      <c r="L318" t="s">
        <v>14134</v>
      </c>
      <c r="M318" t="s">
        <v>14135</v>
      </c>
      <c r="N318">
        <v>6.9340000000000002</v>
      </c>
      <c r="O318">
        <v>20261021</v>
      </c>
      <c r="P318">
        <v>114.91</v>
      </c>
      <c r="Q318">
        <v>0.05</v>
      </c>
      <c r="R318">
        <v>5.29</v>
      </c>
      <c r="S318">
        <v>-1.31</v>
      </c>
    </row>
    <row r="319" spans="1:19" x14ac:dyDescent="0.3">
      <c r="A319" t="s">
        <v>14140</v>
      </c>
      <c r="B319" t="s">
        <v>14141</v>
      </c>
      <c r="C319" t="s">
        <v>14142</v>
      </c>
      <c r="D319" t="s">
        <v>14143</v>
      </c>
      <c r="E319">
        <v>54.95</v>
      </c>
      <c r="F319">
        <v>71.435000000000002</v>
      </c>
      <c r="G319">
        <v>115</v>
      </c>
      <c r="H319">
        <v>46.707999999999998</v>
      </c>
      <c r="I319">
        <v>244.28</v>
      </c>
      <c r="J319">
        <v>5.5E-2</v>
      </c>
      <c r="K319" t="s">
        <v>13040</v>
      </c>
      <c r="L319" t="s">
        <v>14144</v>
      </c>
      <c r="M319" t="s">
        <v>14145</v>
      </c>
      <c r="N319">
        <v>13.398</v>
      </c>
      <c r="O319">
        <v>20261020</v>
      </c>
      <c r="P319">
        <v>114.91</v>
      </c>
      <c r="Q319">
        <v>0.02</v>
      </c>
      <c r="R319">
        <v>18.34</v>
      </c>
      <c r="S319">
        <v>1.21</v>
      </c>
    </row>
    <row r="320" spans="1:19" x14ac:dyDescent="0.3">
      <c r="A320" t="s">
        <v>1998</v>
      </c>
      <c r="B320" t="s">
        <v>14146</v>
      </c>
      <c r="C320" t="s">
        <v>14147</v>
      </c>
      <c r="D320" t="s">
        <v>12910</v>
      </c>
      <c r="E320">
        <v>6.17</v>
      </c>
      <c r="F320">
        <v>8.0210000000000008</v>
      </c>
      <c r="G320">
        <v>106.5</v>
      </c>
      <c r="H320">
        <v>5.2450000000000001</v>
      </c>
      <c r="I320">
        <v>33.47</v>
      </c>
      <c r="J320">
        <v>4.1000000000000002E-2</v>
      </c>
      <c r="K320" t="s">
        <v>13040</v>
      </c>
      <c r="L320" t="s">
        <v>13335</v>
      </c>
      <c r="M320" t="s">
        <v>14144</v>
      </c>
      <c r="N320">
        <v>58.957000000000001</v>
      </c>
      <c r="O320">
        <v>20261015</v>
      </c>
      <c r="P320">
        <v>106.43</v>
      </c>
      <c r="Q320">
        <v>0.01</v>
      </c>
      <c r="R320">
        <v>4.92</v>
      </c>
      <c r="S320">
        <v>1.65</v>
      </c>
    </row>
    <row r="321" spans="1:19" x14ac:dyDescent="0.3">
      <c r="A321" t="s">
        <v>14148</v>
      </c>
      <c r="B321" t="s">
        <v>14149</v>
      </c>
      <c r="C321" t="s">
        <v>14150</v>
      </c>
      <c r="D321" t="s">
        <v>14151</v>
      </c>
      <c r="E321">
        <v>17.489999999999998</v>
      </c>
      <c r="F321">
        <v>22.736999999999998</v>
      </c>
      <c r="G321">
        <v>110</v>
      </c>
      <c r="H321">
        <v>14.866</v>
      </c>
      <c r="I321">
        <v>4.84</v>
      </c>
      <c r="J321" t="s">
        <v>13041</v>
      </c>
      <c r="K321" t="s">
        <v>13041</v>
      </c>
      <c r="L321" t="s">
        <v>14152</v>
      </c>
      <c r="M321" t="s">
        <v>14153</v>
      </c>
      <c r="N321">
        <v>4.1680000000000001</v>
      </c>
      <c r="O321">
        <v>20261009</v>
      </c>
      <c r="P321">
        <v>110.05</v>
      </c>
      <c r="Q321">
        <v>0</v>
      </c>
      <c r="R321">
        <v>18.36</v>
      </c>
      <c r="S321">
        <v>-0.43</v>
      </c>
    </row>
  </sheetData>
  <phoneticPr fontId="1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34</vt:i4>
      </vt:variant>
    </vt:vector>
  </HeadingPairs>
  <TitlesOfParts>
    <vt:vector size="34" baseType="lpstr">
      <vt:lpstr>ST公司</vt:lpstr>
      <vt:lpstr>博弈记录</vt:lpstr>
      <vt:lpstr>摘帽</vt:lpstr>
      <vt:lpstr>2023戴帽回测</vt:lpstr>
      <vt:lpstr>退市</vt:lpstr>
      <vt:lpstr>控股权变更</vt:lpstr>
      <vt:lpstr>预计摘帽</vt:lpstr>
      <vt:lpstr>重整</vt:lpstr>
      <vt:lpstr>Sheet5</vt:lpstr>
      <vt:lpstr>月账单</vt:lpstr>
      <vt:lpstr>转债</vt:lpstr>
      <vt:lpstr>转债测算公式</vt:lpstr>
      <vt:lpstr>收益日记</vt:lpstr>
      <vt:lpstr>etf</vt:lpstr>
      <vt:lpstr>年涨跌结构</vt:lpstr>
      <vt:lpstr>可转债等权指数</vt:lpstr>
      <vt:lpstr>新股记录</vt:lpstr>
      <vt:lpstr>煤炭</vt:lpstr>
      <vt:lpstr>电力</vt:lpstr>
      <vt:lpstr>STSTAR回测</vt:lpstr>
      <vt:lpstr>立案调查</vt:lpstr>
      <vt:lpstr>猪肉</vt:lpstr>
      <vt:lpstr>股东户数</vt:lpstr>
      <vt:lpstr>锂矿</vt:lpstr>
      <vt:lpstr>重组</vt:lpstr>
      <vt:lpstr>2024新增ST</vt:lpstr>
      <vt:lpstr>退市记录</vt:lpstr>
      <vt:lpstr>期货与商品ETF套利</vt:lpstr>
      <vt:lpstr>吸收合并</vt:lpstr>
      <vt:lpstr>装修</vt:lpstr>
      <vt:lpstr>Sheet2</vt:lpstr>
      <vt:lpstr>Sheet1</vt:lpstr>
      <vt:lpstr>择时预测</vt:lpstr>
      <vt:lpstr>全部可转债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江林 王</dc:creator>
  <cp:lastModifiedBy>江林 王</cp:lastModifiedBy>
  <cp:lastPrinted>2025-05-20T13:05:04Z</cp:lastPrinted>
  <dcterms:created xsi:type="dcterms:W3CDTF">2024-04-24T03:01:32Z</dcterms:created>
  <dcterms:modified xsi:type="dcterms:W3CDTF">2026-10-05T12:10:05Z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a574fa1b</vt:lpwstr>
  </property>
</Properties>
</file>