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z\Desktop\financialzandn\excel\"/>
    </mc:Choice>
  </mc:AlternateContent>
  <xr:revisionPtr revIDLastSave="0" documentId="13_ncr:1_{70EB4656-6E23-41EC-9EE1-238B6C314780}" xr6:coauthVersionLast="47" xr6:coauthVersionMax="47" xr10:uidLastSave="{00000000-0000-0000-0000-000000000000}"/>
  <bookViews>
    <workbookView xWindow="-120" yWindow="-120" windowWidth="29040" windowHeight="15720" xr2:uid="{E538F311-85C7-1040-B4EE-C35FBEBDF41C}"/>
  </bookViews>
  <sheets>
    <sheet name="Novia" sheetId="1" r:id="rId1"/>
    <sheet name="Zico" sheetId="2" r:id="rId2"/>
    <sheet name="Next to Pay 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0" i="1" l="1"/>
  <c r="C516" i="1"/>
  <c r="B563" i="1"/>
  <c r="F549" i="1"/>
  <c r="C555" i="1"/>
  <c r="R549" i="1"/>
  <c r="C559" i="1"/>
  <c r="C473" i="1"/>
  <c r="C549" i="1"/>
  <c r="D566" i="1"/>
  <c r="B568" i="1" s="1"/>
  <c r="I509" i="1"/>
  <c r="I549" i="1" s="1"/>
  <c r="C556" i="1" s="1"/>
  <c r="B554" i="1"/>
  <c r="B555" i="1"/>
  <c r="B556" i="1"/>
  <c r="B557" i="1"/>
  <c r="B558" i="1"/>
  <c r="B559" i="1"/>
  <c r="O549" i="1"/>
  <c r="C558" i="1"/>
  <c r="L549" i="1"/>
  <c r="C557" i="1"/>
  <c r="C554" i="1"/>
  <c r="C560" i="1" s="1"/>
  <c r="B569" i="1" s="1"/>
  <c r="B495" i="1"/>
  <c r="B497" i="1"/>
  <c r="I448" i="1"/>
  <c r="F469" i="1"/>
  <c r="I447" i="1"/>
  <c r="I446" i="1"/>
  <c r="L473" i="1"/>
  <c r="C478" i="1"/>
  <c r="F283" i="2"/>
  <c r="F282" i="2"/>
  <c r="F281" i="2"/>
  <c r="F280" i="2"/>
  <c r="I442" i="1"/>
  <c r="R473" i="1"/>
  <c r="O473" i="1"/>
  <c r="I443" i="1"/>
  <c r="R297" i="2"/>
  <c r="O297" i="2"/>
  <c r="L297" i="2"/>
  <c r="I297" i="2"/>
  <c r="F297" i="2"/>
  <c r="C297" i="2"/>
  <c r="F279" i="2"/>
  <c r="C303" i="2"/>
  <c r="C304" i="2"/>
  <c r="F443" i="1"/>
  <c r="B308" i="2"/>
  <c r="B307" i="2"/>
  <c r="B306" i="2"/>
  <c r="B305" i="2"/>
  <c r="B304" i="2"/>
  <c r="B303" i="2"/>
  <c r="C301" i="2"/>
  <c r="C308" i="2"/>
  <c r="C307" i="2"/>
  <c r="C306" i="2"/>
  <c r="C305" i="2"/>
  <c r="F441" i="1"/>
  <c r="C485" i="1"/>
  <c r="C484" i="1"/>
  <c r="C480" i="1"/>
  <c r="F432" i="1"/>
  <c r="F473" i="1" s="1"/>
  <c r="I433" i="1"/>
  <c r="I473" i="1" s="1"/>
  <c r="F251" i="2"/>
  <c r="F250" i="2"/>
  <c r="C414" i="1"/>
  <c r="B485" i="1"/>
  <c r="B484" i="1"/>
  <c r="B483" i="1"/>
  <c r="B482" i="1"/>
  <c r="B481" i="1"/>
  <c r="B480" i="1"/>
  <c r="I382" i="1"/>
  <c r="I234" i="2"/>
  <c r="F400" i="1"/>
  <c r="R255" i="2"/>
  <c r="O255" i="2"/>
  <c r="I255" i="2"/>
  <c r="C255" i="2"/>
  <c r="O382" i="1"/>
  <c r="O414" i="1"/>
  <c r="F238" i="2"/>
  <c r="F232" i="2"/>
  <c r="F255" i="2"/>
  <c r="R214" i="2"/>
  <c r="O214" i="2"/>
  <c r="L214" i="2"/>
  <c r="C214" i="2"/>
  <c r="B266" i="2"/>
  <c r="B265" i="2"/>
  <c r="B264" i="2"/>
  <c r="B263" i="2"/>
  <c r="B262" i="2"/>
  <c r="B261" i="2"/>
  <c r="C266" i="2"/>
  <c r="C265" i="2"/>
  <c r="L255" i="2"/>
  <c r="C264" i="2"/>
  <c r="C261" i="2"/>
  <c r="C262" i="2"/>
  <c r="C263" i="2"/>
  <c r="F387" i="1"/>
  <c r="F383" i="1"/>
  <c r="F379" i="1"/>
  <c r="C309" i="2"/>
  <c r="B570" i="1"/>
  <c r="C482" i="1"/>
  <c r="F414" i="1"/>
  <c r="B500" i="1"/>
  <c r="C481" i="1"/>
  <c r="C267" i="2"/>
  <c r="F347" i="1"/>
  <c r="F346" i="1"/>
  <c r="B426" i="1"/>
  <c r="B425" i="1"/>
  <c r="B424" i="1"/>
  <c r="B423" i="1"/>
  <c r="B422" i="1"/>
  <c r="B421" i="1"/>
  <c r="R414" i="1"/>
  <c r="C426" i="1"/>
  <c r="C425" i="1"/>
  <c r="L414" i="1"/>
  <c r="C424" i="1"/>
  <c r="C421" i="1"/>
  <c r="I414" i="1"/>
  <c r="C423" i="1"/>
  <c r="C422" i="1"/>
  <c r="F199" i="2"/>
  <c r="I196" i="2"/>
  <c r="I214" i="2"/>
  <c r="R357" i="1"/>
  <c r="C369" i="1"/>
  <c r="O357" i="1"/>
  <c r="C368" i="1"/>
  <c r="L357" i="1"/>
  <c r="C367" i="1"/>
  <c r="C357" i="1"/>
  <c r="C364" i="1"/>
  <c r="F340" i="1"/>
  <c r="F336" i="1"/>
  <c r="F338" i="1"/>
  <c r="F335" i="1"/>
  <c r="F197" i="2"/>
  <c r="F214" i="2"/>
  <c r="I308" i="1"/>
  <c r="I357" i="1"/>
  <c r="C366" i="1"/>
  <c r="C223" i="2"/>
  <c r="C222" i="2"/>
  <c r="B225" i="2"/>
  <c r="B224" i="2"/>
  <c r="B223" i="2"/>
  <c r="B222" i="2"/>
  <c r="B221" i="2"/>
  <c r="B220" i="2"/>
  <c r="C221" i="2"/>
  <c r="C220" i="2"/>
  <c r="F317" i="1"/>
  <c r="F318" i="1"/>
  <c r="R176" i="2"/>
  <c r="O176" i="2"/>
  <c r="C176" i="2"/>
  <c r="R288" i="1"/>
  <c r="C300" i="1"/>
  <c r="L288" i="1"/>
  <c r="C298" i="1"/>
  <c r="F288" i="1"/>
  <c r="C296" i="1"/>
  <c r="C288" i="1"/>
  <c r="C295" i="1"/>
  <c r="B369" i="1"/>
  <c r="B368" i="1"/>
  <c r="B367" i="1"/>
  <c r="B366" i="1"/>
  <c r="B365" i="1"/>
  <c r="B364" i="1"/>
  <c r="F307" i="1"/>
  <c r="I250" i="1"/>
  <c r="C225" i="2"/>
  <c r="L176" i="2"/>
  <c r="C182" i="2"/>
  <c r="D148" i="2"/>
  <c r="D99" i="2"/>
  <c r="C12" i="2"/>
  <c r="D291" i="1"/>
  <c r="D131" i="1"/>
  <c r="D56" i="1"/>
  <c r="I243" i="1"/>
  <c r="C186" i="2"/>
  <c r="I240" i="1"/>
  <c r="O239" i="1"/>
  <c r="O288" i="1"/>
  <c r="C299" i="1"/>
  <c r="C187" i="2"/>
  <c r="F163" i="2"/>
  <c r="F176" i="2"/>
  <c r="C183" i="2"/>
  <c r="I176" i="2"/>
  <c r="C184" i="2"/>
  <c r="C185" i="2"/>
  <c r="C145" i="2"/>
  <c r="C151" i="2"/>
  <c r="D151" i="2"/>
  <c r="F116" i="2"/>
  <c r="F117" i="2"/>
  <c r="F118" i="2"/>
  <c r="F124" i="2"/>
  <c r="F128" i="2"/>
  <c r="F135" i="2"/>
  <c r="F138" i="2"/>
  <c r="F145" i="2"/>
  <c r="C152" i="2"/>
  <c r="D152" i="2"/>
  <c r="I117" i="2"/>
  <c r="I145" i="2"/>
  <c r="C153" i="2"/>
  <c r="D153" i="2"/>
  <c r="L145" i="2"/>
  <c r="C154" i="2"/>
  <c r="D154" i="2"/>
  <c r="O145" i="2"/>
  <c r="C155" i="2"/>
  <c r="D155" i="2"/>
  <c r="R145" i="2"/>
  <c r="C156" i="2"/>
  <c r="D156" i="2"/>
  <c r="C157" i="2"/>
  <c r="C180" i="2"/>
  <c r="D179" i="2"/>
  <c r="C202" i="1"/>
  <c r="B186" i="2"/>
  <c r="B187" i="2"/>
  <c r="B185" i="2"/>
  <c r="B184" i="2"/>
  <c r="B183" i="2"/>
  <c r="B182" i="2"/>
  <c r="C204" i="1"/>
  <c r="B300" i="1"/>
  <c r="B299" i="1"/>
  <c r="B298" i="1"/>
  <c r="B297" i="1"/>
  <c r="B296" i="1"/>
  <c r="B295" i="1"/>
  <c r="I222" i="1"/>
  <c r="C229" i="1"/>
  <c r="D229" i="1"/>
  <c r="F222" i="1"/>
  <c r="C228" i="1"/>
  <c r="D228" i="1"/>
  <c r="B3" i="3"/>
  <c r="R222" i="1"/>
  <c r="C232" i="1"/>
  <c r="D232" i="1"/>
  <c r="O222" i="1"/>
  <c r="C231" i="1"/>
  <c r="D231" i="1"/>
  <c r="L222" i="1"/>
  <c r="C230" i="1"/>
  <c r="D230" i="1"/>
  <c r="C201" i="1"/>
  <c r="B232" i="1"/>
  <c r="B231" i="1"/>
  <c r="B230" i="1"/>
  <c r="B229" i="1"/>
  <c r="B228" i="1"/>
  <c r="B227" i="1"/>
  <c r="F177" i="1"/>
  <c r="F175" i="1"/>
  <c r="C183" i="1"/>
  <c r="C189" i="1"/>
  <c r="F167" i="1"/>
  <c r="B156" i="2"/>
  <c r="B155" i="2"/>
  <c r="B154" i="2"/>
  <c r="B153" i="2"/>
  <c r="B152" i="2"/>
  <c r="B151" i="2"/>
  <c r="I151" i="1"/>
  <c r="R150" i="1"/>
  <c r="R183" i="1"/>
  <c r="C194" i="1"/>
  <c r="I150" i="1"/>
  <c r="I149" i="1"/>
  <c r="F151" i="1"/>
  <c r="L183" i="1"/>
  <c r="C192" i="1"/>
  <c r="F154" i="1"/>
  <c r="O148" i="1"/>
  <c r="O183" i="1"/>
  <c r="C193" i="1"/>
  <c r="C186" i="1"/>
  <c r="D186" i="1"/>
  <c r="F149" i="1"/>
  <c r="B194" i="1"/>
  <c r="B193" i="1"/>
  <c r="B192" i="1"/>
  <c r="B191" i="1"/>
  <c r="B190" i="1"/>
  <c r="B189" i="1"/>
  <c r="C142" i="1"/>
  <c r="F79" i="2"/>
  <c r="I85" i="1"/>
  <c r="F115" i="1"/>
  <c r="I73" i="2"/>
  <c r="R78" i="2"/>
  <c r="R96" i="2"/>
  <c r="O96" i="2"/>
  <c r="C106" i="2"/>
  <c r="D106" i="2"/>
  <c r="L96" i="2"/>
  <c r="C105" i="2"/>
  <c r="D105" i="2"/>
  <c r="I96" i="2"/>
  <c r="C104" i="2"/>
  <c r="D104" i="2"/>
  <c r="F71" i="2"/>
  <c r="F72" i="2"/>
  <c r="F96" i="2"/>
  <c r="C103" i="2"/>
  <c r="D103" i="2"/>
  <c r="C96" i="2"/>
  <c r="C102" i="2"/>
  <c r="D102" i="2"/>
  <c r="R128" i="1"/>
  <c r="C140" i="1"/>
  <c r="D140" i="1"/>
  <c r="O128" i="1"/>
  <c r="C139" i="1"/>
  <c r="L128" i="1"/>
  <c r="C138" i="1"/>
  <c r="C128" i="1"/>
  <c r="C135" i="1"/>
  <c r="I82" i="1"/>
  <c r="F108" i="1"/>
  <c r="F109" i="1"/>
  <c r="F96" i="1"/>
  <c r="F100" i="1"/>
  <c r="B107" i="2"/>
  <c r="B106" i="2"/>
  <c r="B105" i="2"/>
  <c r="B104" i="2"/>
  <c r="B103" i="2"/>
  <c r="B102" i="2"/>
  <c r="C107" i="2"/>
  <c r="D107" i="2"/>
  <c r="F91" i="1"/>
  <c r="F89" i="1"/>
  <c r="L54" i="2"/>
  <c r="C62" i="2"/>
  <c r="D62" i="2"/>
  <c r="I54" i="2"/>
  <c r="C54" i="2"/>
  <c r="F51" i="2"/>
  <c r="R34" i="2"/>
  <c r="R54" i="2"/>
  <c r="C64" i="2"/>
  <c r="D64" i="2"/>
  <c r="F84" i="1"/>
  <c r="F83" i="1"/>
  <c r="F47" i="2"/>
  <c r="F54" i="2"/>
  <c r="C60" i="2"/>
  <c r="D60" i="2"/>
  <c r="C61" i="2"/>
  <c r="D61" i="2"/>
  <c r="C59" i="2"/>
  <c r="D59" i="2"/>
  <c r="O54" i="2"/>
  <c r="C63" i="2"/>
  <c r="D63" i="2"/>
  <c r="C65" i="2"/>
  <c r="B140" i="1"/>
  <c r="B139" i="1"/>
  <c r="B138" i="1"/>
  <c r="B137" i="1"/>
  <c r="B136" i="1"/>
  <c r="B135" i="1"/>
  <c r="R53" i="1"/>
  <c r="C65" i="1"/>
  <c r="O53" i="1"/>
  <c r="C64" i="1"/>
  <c r="L53" i="1"/>
  <c r="C63" i="1"/>
  <c r="C53" i="1"/>
  <c r="C60" i="1"/>
  <c r="F44" i="1"/>
  <c r="F45" i="1"/>
  <c r="I16" i="1"/>
  <c r="B64" i="2"/>
  <c r="B63" i="2"/>
  <c r="B62" i="2"/>
  <c r="B61" i="2"/>
  <c r="B60" i="2"/>
  <c r="B59" i="2"/>
  <c r="F20" i="1"/>
  <c r="F21" i="1"/>
  <c r="F19" i="1"/>
  <c r="R12" i="2"/>
  <c r="C22" i="2"/>
  <c r="D22" i="2"/>
  <c r="L12" i="2"/>
  <c r="C20" i="2"/>
  <c r="D20" i="2"/>
  <c r="I12" i="2"/>
  <c r="C19" i="2"/>
  <c r="D19" i="2"/>
  <c r="F18" i="1"/>
  <c r="F6" i="2"/>
  <c r="F5" i="2"/>
  <c r="F12" i="2"/>
  <c r="C18" i="2"/>
  <c r="D18" i="2"/>
  <c r="B22" i="2"/>
  <c r="C21" i="2"/>
  <c r="D21" i="2"/>
  <c r="B21" i="2"/>
  <c r="B20" i="2"/>
  <c r="B19" i="2"/>
  <c r="B18" i="2"/>
  <c r="C17" i="2"/>
  <c r="D17" i="2"/>
  <c r="B17" i="2"/>
  <c r="I8" i="1"/>
  <c r="B60" i="1"/>
  <c r="B61" i="1"/>
  <c r="B62" i="1"/>
  <c r="B63" i="1"/>
  <c r="B64" i="1"/>
  <c r="B65" i="1"/>
  <c r="C23" i="2"/>
  <c r="C108" i="2"/>
  <c r="C110" i="2"/>
  <c r="D185" i="2"/>
  <c r="D184" i="2"/>
  <c r="D183" i="2"/>
  <c r="D182" i="2"/>
  <c r="D187" i="2"/>
  <c r="D186" i="2"/>
  <c r="C188" i="2"/>
  <c r="C224" i="2"/>
  <c r="D193" i="1"/>
  <c r="D65" i="1"/>
  <c r="D139" i="1"/>
  <c r="D296" i="1"/>
  <c r="F357" i="1"/>
  <c r="C365" i="1"/>
  <c r="C370" i="1"/>
  <c r="D192" i="1"/>
  <c r="D299" i="1"/>
  <c r="D194" i="1"/>
  <c r="D63" i="1"/>
  <c r="D64" i="1"/>
  <c r="D138" i="1"/>
  <c r="F183" i="1"/>
  <c r="C190" i="1"/>
  <c r="D190" i="1"/>
  <c r="I288" i="1"/>
  <c r="C297" i="1"/>
  <c r="D297" i="1"/>
  <c r="I53" i="1"/>
  <c r="C62" i="1"/>
  <c r="D62" i="1"/>
  <c r="D300" i="1"/>
  <c r="D298" i="1"/>
  <c r="C222" i="1"/>
  <c r="C227" i="1"/>
  <c r="D227" i="1"/>
  <c r="I183" i="1"/>
  <c r="C191" i="1"/>
  <c r="D191" i="1"/>
  <c r="F53" i="1"/>
  <c r="C61" i="1"/>
  <c r="D61" i="1"/>
  <c r="I128" i="1"/>
  <c r="C137" i="1"/>
  <c r="D137" i="1"/>
  <c r="F128" i="1"/>
  <c r="C136" i="1" s="1"/>
  <c r="D295" i="1"/>
  <c r="D189" i="1"/>
  <c r="D135" i="1"/>
  <c r="C427" i="1"/>
  <c r="C226" i="2"/>
  <c r="C483" i="1"/>
  <c r="C486" i="1"/>
  <c r="C233" i="1"/>
  <c r="C66" i="1"/>
  <c r="C301" i="1"/>
  <c r="C195" i="1"/>
  <c r="C501" i="1"/>
  <c r="C503" i="1"/>
  <c r="D136" i="1" l="1"/>
  <c r="C141" i="1"/>
  <c r="B571" i="1"/>
  <c r="B573" i="1" s="1"/>
</calcChain>
</file>

<file path=xl/sharedStrings.xml><?xml version="1.0" encoding="utf-8"?>
<sst xmlns="http://schemas.openxmlformats.org/spreadsheetml/2006/main" count="1434" uniqueCount="793">
  <si>
    <t>JANUARI - FEBRUARI 2022</t>
  </si>
  <si>
    <t>Tgl</t>
  </si>
  <si>
    <t>Kewajiban</t>
  </si>
  <si>
    <t>Pengeluaran</t>
  </si>
  <si>
    <t>Makan</t>
  </si>
  <si>
    <t>Sosial</t>
  </si>
  <si>
    <t>Sedekah</t>
  </si>
  <si>
    <t>Transport</t>
  </si>
  <si>
    <t>Sekunder</t>
  </si>
  <si>
    <t>Ayah</t>
  </si>
  <si>
    <t>Choi Pan</t>
  </si>
  <si>
    <t>Ka Dira</t>
  </si>
  <si>
    <t>Anak Yatim</t>
  </si>
  <si>
    <t>Bensin</t>
  </si>
  <si>
    <t>Cetaphil</t>
  </si>
  <si>
    <t>Arisan</t>
  </si>
  <si>
    <t>Ikan cakalang &amp; Perkedel</t>
  </si>
  <si>
    <t>Ultah Ira</t>
  </si>
  <si>
    <t>Cotton Bad</t>
  </si>
  <si>
    <t>Nabung</t>
  </si>
  <si>
    <t xml:space="preserve">Jus Alpukat </t>
  </si>
  <si>
    <t>Beliin Ibu CD</t>
  </si>
  <si>
    <t>Bio Oil</t>
  </si>
  <si>
    <t>Nabung Zico</t>
  </si>
  <si>
    <t>Es Krim</t>
  </si>
  <si>
    <t>Pia Eiji</t>
  </si>
  <si>
    <t>Parkir</t>
  </si>
  <si>
    <t>Alat Sipilis</t>
  </si>
  <si>
    <t xml:space="preserve">Hutang </t>
  </si>
  <si>
    <t>Permen</t>
  </si>
  <si>
    <t>Miazena &amp; Bubuk Cabe Mama</t>
  </si>
  <si>
    <t>Parkir Mobil</t>
  </si>
  <si>
    <t>Bunga Sedap Malam</t>
  </si>
  <si>
    <t>Nopal</t>
  </si>
  <si>
    <t>Sate Ayam</t>
  </si>
  <si>
    <t>Bola Bola Ubi</t>
  </si>
  <si>
    <t xml:space="preserve">Paket Data </t>
  </si>
  <si>
    <t>Netflix</t>
  </si>
  <si>
    <t>Soto &amp; Lemond Tea</t>
  </si>
  <si>
    <t>Es Indomaret</t>
  </si>
  <si>
    <t>Shampo</t>
  </si>
  <si>
    <t>Spotify</t>
  </si>
  <si>
    <t>Marugame Udon</t>
  </si>
  <si>
    <t xml:space="preserve">Pempers </t>
  </si>
  <si>
    <t xml:space="preserve">Kasih Mama Kekey </t>
  </si>
  <si>
    <t xml:space="preserve">Mie Ayam </t>
  </si>
  <si>
    <t>Nikahan Ka Putra</t>
  </si>
  <si>
    <t>Parkir Bakso</t>
  </si>
  <si>
    <t xml:space="preserve">Kasih Ahdan </t>
  </si>
  <si>
    <t>Es Lemon</t>
  </si>
  <si>
    <t>Kado Nikahan Ka Varez</t>
  </si>
  <si>
    <t>Air + Permen</t>
  </si>
  <si>
    <t>Kaka Didi Parfum</t>
  </si>
  <si>
    <t>Bakso</t>
  </si>
  <si>
    <t xml:space="preserve">Masker </t>
  </si>
  <si>
    <t>Es Campur</t>
  </si>
  <si>
    <t>Soto &amp; Es Jeruk</t>
  </si>
  <si>
    <t>Hokben</t>
  </si>
  <si>
    <t xml:space="preserve">Roti </t>
  </si>
  <si>
    <t>Starbucks+Lasagna</t>
  </si>
  <si>
    <t>Roti BreadTalk</t>
  </si>
  <si>
    <t>Vsoy</t>
  </si>
  <si>
    <t xml:space="preserve">Soto Poris </t>
  </si>
  <si>
    <t>Bakso Jeruk Rujak</t>
  </si>
  <si>
    <t>Bang Ucen Ayam &amp; Pindang</t>
  </si>
  <si>
    <t>Jus Mangga +. Ayam Asam Manis + Tahu GO</t>
  </si>
  <si>
    <t xml:space="preserve">Ka Dirs Nikahan </t>
  </si>
  <si>
    <t xml:space="preserve">Sawi Bakso Es Bangka </t>
  </si>
  <si>
    <t>Beli Aplikasi Zico</t>
  </si>
  <si>
    <t xml:space="preserve">Indomaret &amp; Wardah </t>
  </si>
  <si>
    <t>Beli Soto Buat Ibu</t>
  </si>
  <si>
    <t>Ayam &amp; Serabi</t>
  </si>
  <si>
    <t>Makan Bubur</t>
  </si>
  <si>
    <t>Suhe</t>
  </si>
  <si>
    <t>Telor</t>
  </si>
  <si>
    <t xml:space="preserve">Dcrepes </t>
  </si>
  <si>
    <t>Siomay + Thai Tea</t>
  </si>
  <si>
    <t>ST Pasta</t>
  </si>
  <si>
    <t xml:space="preserve">Bubur Ayam </t>
  </si>
  <si>
    <t>Kue, Sayur Asem Kentang</t>
  </si>
  <si>
    <t xml:space="preserve">Nasi Padang </t>
  </si>
  <si>
    <t>Es Jeruk</t>
  </si>
  <si>
    <t>Mie Tek Tek</t>
  </si>
  <si>
    <t xml:space="preserve">Nasi Goreng </t>
  </si>
  <si>
    <t>Ayam, Soto, Tekwan</t>
  </si>
  <si>
    <t>Risol</t>
  </si>
  <si>
    <t>Indomaret Susu &amp; Cikih</t>
  </si>
  <si>
    <t xml:space="preserve">Alpucok </t>
  </si>
  <si>
    <t>Sambel Bu Rudi</t>
  </si>
  <si>
    <t>Manggang</t>
  </si>
  <si>
    <t>Alpucok, Mie TekTek</t>
  </si>
  <si>
    <t>Bakso, Jus, Alpucok</t>
  </si>
  <si>
    <t>Ramen &amp; Gyoza</t>
  </si>
  <si>
    <t>Pengeluaran Kewajiban</t>
  </si>
  <si>
    <t>Pengeluaran Makan</t>
  </si>
  <si>
    <t>Pengeluaran Sosial</t>
  </si>
  <si>
    <t>Pengeluaran Sedekah</t>
  </si>
  <si>
    <t>Pengeluaran Transport</t>
  </si>
  <si>
    <t>Pengeluaran Sekunder</t>
  </si>
  <si>
    <t xml:space="preserve">Pendapatan </t>
  </si>
  <si>
    <t>Gaji</t>
  </si>
  <si>
    <t>Menafkahi Istri</t>
  </si>
  <si>
    <t>+</t>
  </si>
  <si>
    <t>FEBRUARI - MARET 2022</t>
  </si>
  <si>
    <t xml:space="preserve">Seblak </t>
  </si>
  <si>
    <t>Makan Isoman Mbabel</t>
  </si>
  <si>
    <t>Cang Zinul</t>
  </si>
  <si>
    <t>Parkir MCD</t>
  </si>
  <si>
    <t>Shampo Nature</t>
  </si>
  <si>
    <t>Sagu 1/2 Kilo</t>
  </si>
  <si>
    <t>Makan Isoman Adit &amp; Istri</t>
  </si>
  <si>
    <t>Dove, Permen, Freshcare &amp; Kamper</t>
  </si>
  <si>
    <t>Mama Kekey</t>
  </si>
  <si>
    <t>Teh Kotak</t>
  </si>
  <si>
    <t>Kondangan Nopil</t>
  </si>
  <si>
    <t>Adm Bank</t>
  </si>
  <si>
    <t>Yuni Cake Dirmh</t>
  </si>
  <si>
    <t>Sunblock</t>
  </si>
  <si>
    <t>Air Kelapa Ijo 2</t>
  </si>
  <si>
    <t>Parkir Aeon</t>
  </si>
  <si>
    <t>Amplop Idul Fitri 20pcs</t>
  </si>
  <si>
    <t>Minus Bulan Lalu</t>
  </si>
  <si>
    <t>Eskrim &amp; Popmie</t>
  </si>
  <si>
    <t>Beli Makan di Warteg Buat Ibu</t>
  </si>
  <si>
    <t>Ovo Hani</t>
  </si>
  <si>
    <t xml:space="preserve">Karet Kaka Didi </t>
  </si>
  <si>
    <t>Tabungan</t>
  </si>
  <si>
    <t>Alpucok</t>
  </si>
  <si>
    <t>Risol 4 Kap</t>
  </si>
  <si>
    <t>Parkir Sumen</t>
  </si>
  <si>
    <t>Nasi Padang + Kerupuk</t>
  </si>
  <si>
    <t>Adaptor TV</t>
  </si>
  <si>
    <t xml:space="preserve">Kasih Mbah </t>
  </si>
  <si>
    <t xml:space="preserve">Es Jeruk </t>
  </si>
  <si>
    <t>Mie Jawa 2</t>
  </si>
  <si>
    <t>Libur</t>
  </si>
  <si>
    <t>Ketoprak 2 &amp; es</t>
  </si>
  <si>
    <t>Kwetiaw+Es Jeruk+Kerupuk+Basreng</t>
  </si>
  <si>
    <t>Kondangan Bang Ulul</t>
  </si>
  <si>
    <t>Es Susu Kedelai</t>
  </si>
  <si>
    <t>Brownis Buat Cang Marni</t>
  </si>
  <si>
    <t>Bubur Nestle</t>
  </si>
  <si>
    <t>ST Pasta Nopal</t>
  </si>
  <si>
    <t xml:space="preserve">Nasi Padang  </t>
  </si>
  <si>
    <t xml:space="preserve">Pucok </t>
  </si>
  <si>
    <t xml:space="preserve">Nasi Toge &amp; Ayam + Es Jeruk </t>
  </si>
  <si>
    <t>Mie Sedap</t>
  </si>
  <si>
    <t>Pempek + Cikih + Eskrim</t>
  </si>
  <si>
    <t xml:space="preserve">Hokben </t>
  </si>
  <si>
    <t xml:space="preserve">Gorengan </t>
  </si>
  <si>
    <t>Confan</t>
  </si>
  <si>
    <t xml:space="preserve">Mie Aceh </t>
  </si>
  <si>
    <t>Es Teh</t>
  </si>
  <si>
    <t xml:space="preserve">Kangkung Lumpia </t>
  </si>
  <si>
    <t xml:space="preserve">Sushi </t>
  </si>
  <si>
    <t>Ayam Karage, BalaBala</t>
  </si>
  <si>
    <t>Es krim</t>
  </si>
  <si>
    <t xml:space="preserve">Congfan </t>
  </si>
  <si>
    <t>Telur Gulung</t>
  </si>
  <si>
    <t>Chatime</t>
  </si>
  <si>
    <t>Tiramisu</t>
  </si>
  <si>
    <t>Chitato</t>
  </si>
  <si>
    <t>Bakso Aci</t>
  </si>
  <si>
    <t xml:space="preserve">Yoshinoya Yakiniku Large Bayam </t>
  </si>
  <si>
    <t>Pepaya</t>
  </si>
  <si>
    <t>Ice Cream 3</t>
  </si>
  <si>
    <t>Nasi Padang Rujak CImol</t>
  </si>
  <si>
    <t>Pucok &amp; Gorengan</t>
  </si>
  <si>
    <t>KFC</t>
  </si>
  <si>
    <t>Sushi Mentai Munggahan</t>
  </si>
  <si>
    <t>Lele, Pakcoy, Makaroni</t>
  </si>
  <si>
    <t>Salbu Hani</t>
  </si>
  <si>
    <t>Yakiult</t>
  </si>
  <si>
    <t xml:space="preserve">Pengeluaran  </t>
  </si>
  <si>
    <t>BCA</t>
  </si>
  <si>
    <t>MARET - APRIL 2022</t>
  </si>
  <si>
    <t>(-) Bulan Lalu</t>
  </si>
  <si>
    <t>Beli Cemilan Paradise Park</t>
  </si>
  <si>
    <t xml:space="preserve">Beli Kue Lopis </t>
  </si>
  <si>
    <t xml:space="preserve">Tip Makanan </t>
  </si>
  <si>
    <t>Bayar Pajak SPT 2021</t>
  </si>
  <si>
    <t>Arisan Haphap</t>
  </si>
  <si>
    <t xml:space="preserve">Beli Es di Tukang Buah </t>
  </si>
  <si>
    <t>Mie Ayam Mas Min</t>
  </si>
  <si>
    <t xml:space="preserve">Folamil Genio </t>
  </si>
  <si>
    <t>Arisan Kantor</t>
  </si>
  <si>
    <t>Beli Es Teh Indonesia + Nopal</t>
  </si>
  <si>
    <t>Air &amp; Nasdang Sepatan</t>
  </si>
  <si>
    <t>Parkir MCD &amp; Parlan</t>
  </si>
  <si>
    <t>Sayuran Brokoli Terong</t>
  </si>
  <si>
    <t>Beli Dimsum &amp; Bakso Bakar</t>
  </si>
  <si>
    <t>Body Butter</t>
  </si>
  <si>
    <t>Ayam Bakar</t>
  </si>
  <si>
    <t xml:space="preserve">Beliin Candy Jar Kristal </t>
  </si>
  <si>
    <t>Gantiin Kartu Akses Rjwl</t>
  </si>
  <si>
    <t>Susu Anmum</t>
  </si>
  <si>
    <t>THR Mas Yanto</t>
  </si>
  <si>
    <t>Harazaki</t>
  </si>
  <si>
    <t>Nabung Novia</t>
  </si>
  <si>
    <t>Daging Kantor</t>
  </si>
  <si>
    <t xml:space="preserve">Kwetiaw Siram </t>
  </si>
  <si>
    <t>Kampas Motor &amp; Utang Ayah</t>
  </si>
  <si>
    <t>Bawang Bombai 3pcs</t>
  </si>
  <si>
    <t>Chattime</t>
  </si>
  <si>
    <t>Arabiata &amp; Creamy Chicken</t>
  </si>
  <si>
    <t xml:space="preserve">Sotomie &amp; Cakwe 2, Biskuit </t>
  </si>
  <si>
    <t xml:space="preserve">Pempek </t>
  </si>
  <si>
    <t>MyFla</t>
  </si>
  <si>
    <t>KylaFood</t>
  </si>
  <si>
    <t>Bakwan</t>
  </si>
  <si>
    <t>Risol &amp; Es Slendang Mayang</t>
  </si>
  <si>
    <t>Minum Frestea &amp; Air &amp; Biskuit</t>
  </si>
  <si>
    <t>Martabak</t>
  </si>
  <si>
    <t>Yogurd</t>
  </si>
  <si>
    <t>Fish Streat</t>
  </si>
  <si>
    <t>Nasi Kebuli Bukber</t>
  </si>
  <si>
    <t>Air Kelapa Ijo</t>
  </si>
  <si>
    <t>Cakalang Nasi Perkedel Jus</t>
  </si>
  <si>
    <t xml:space="preserve">Sutei </t>
  </si>
  <si>
    <t>Dimsum + Es Buah</t>
  </si>
  <si>
    <t>APRIL - MEI 2022 (THR)</t>
  </si>
  <si>
    <t xml:space="preserve">Kekurangan Bulan Sblmnya </t>
  </si>
  <si>
    <t>Thai Tea</t>
  </si>
  <si>
    <t>Mie Aceh Tumis Daging</t>
  </si>
  <si>
    <t>Bensin 2x</t>
  </si>
  <si>
    <t>Ban Motor Michelin</t>
  </si>
  <si>
    <t xml:space="preserve">THR Sepupu Ortu </t>
  </si>
  <si>
    <t>Susu Unmum Coklat</t>
  </si>
  <si>
    <t>Mie Aceh Kuah Biasa</t>
  </si>
  <si>
    <t>Beli Baju Lebaran</t>
  </si>
  <si>
    <t>Tabungan THR</t>
  </si>
  <si>
    <t>Jus Mangga</t>
  </si>
  <si>
    <t xml:space="preserve">TehTarik </t>
  </si>
  <si>
    <t>Vermak Baju</t>
  </si>
  <si>
    <t>Kasih Kripik &amp; Kue Sagu Keju</t>
  </si>
  <si>
    <t>Choipan</t>
  </si>
  <si>
    <t>Roti Holland &amp; Lemper</t>
  </si>
  <si>
    <t>Thai Tea Thailand</t>
  </si>
  <si>
    <t>Pringles, Eskrim</t>
  </si>
  <si>
    <t>Kwetiaw</t>
  </si>
  <si>
    <t>Gorengan</t>
  </si>
  <si>
    <t>THR</t>
  </si>
  <si>
    <t>APRIL - MEI 2022</t>
  </si>
  <si>
    <t>Es Bangka</t>
  </si>
  <si>
    <t>Holand Bakery Tante Yanti</t>
  </si>
  <si>
    <t>Parkir Ragusa Dll</t>
  </si>
  <si>
    <t>Otak Otak 10</t>
  </si>
  <si>
    <t>Peyek &amp; Nastar</t>
  </si>
  <si>
    <t>Beli Paket Data</t>
  </si>
  <si>
    <t>Soto Mie Bogor</t>
  </si>
  <si>
    <t xml:space="preserve">Cireng </t>
  </si>
  <si>
    <t>Parkir Kantor</t>
  </si>
  <si>
    <t xml:space="preserve">Daster </t>
  </si>
  <si>
    <t>Ayam Goreng &amp; Lele Goreng</t>
  </si>
  <si>
    <t>Dimsum kasih hani</t>
  </si>
  <si>
    <t>Parkir Motor</t>
  </si>
  <si>
    <t>Casing hp</t>
  </si>
  <si>
    <t>Sarden, Pringles, Eskrim</t>
  </si>
  <si>
    <t>Beli Nasgor buat org rmh &amp; Pepaya</t>
  </si>
  <si>
    <t>fish oil</t>
  </si>
  <si>
    <t>Bayar DP Kayu Kayu</t>
  </si>
  <si>
    <t>Roti Bread Talk</t>
  </si>
  <si>
    <t>Adm bank bca</t>
  </si>
  <si>
    <t>Dcrepes</t>
  </si>
  <si>
    <t>Burger Blenger Buat Gwel Nelo</t>
  </si>
  <si>
    <t>Parkir Tangcit</t>
  </si>
  <si>
    <t>Capucino cincau</t>
  </si>
  <si>
    <t>Parkir Motor &amp; Parkir BCA</t>
  </si>
  <si>
    <t>Es Ragusa Banana Split</t>
  </si>
  <si>
    <t>Teh Poci Susu (1) Teh Poci Es (2) Buat Mba sm mama</t>
  </si>
  <si>
    <t>(-)</t>
  </si>
  <si>
    <t>Ayam Geprek</t>
  </si>
  <si>
    <t xml:space="preserve">Dongkal </t>
  </si>
  <si>
    <t>(-) selisih</t>
  </si>
  <si>
    <t>Donat Kentang 4pcs</t>
  </si>
  <si>
    <t>Martabak Manis Ketan Item (2)</t>
  </si>
  <si>
    <t>Kopi Tuku</t>
  </si>
  <si>
    <t>Sate Ayam Gojek &amp; Tip</t>
  </si>
  <si>
    <t>Starbucks</t>
  </si>
  <si>
    <t>Starbucks w/ica</t>
  </si>
  <si>
    <t>Tuku</t>
  </si>
  <si>
    <t>Mie Ayam</t>
  </si>
  <si>
    <t>Es Potong</t>
  </si>
  <si>
    <t>Tiramisu Bread Talk</t>
  </si>
  <si>
    <t>Waffel</t>
  </si>
  <si>
    <t>Es Jasmine Tea</t>
  </si>
  <si>
    <t>Cream Soup KFC</t>
  </si>
  <si>
    <t>Jambu mangga</t>
  </si>
  <si>
    <t>Mcd</t>
  </si>
  <si>
    <t>Kue Ape</t>
  </si>
  <si>
    <t>Cilok Goank Tulang Taleng</t>
  </si>
  <si>
    <t>Dumdum Thai Tea</t>
  </si>
  <si>
    <t>Ketoprak</t>
  </si>
  <si>
    <t>Jus Alpukat</t>
  </si>
  <si>
    <t xml:space="preserve">Cimol &amp; Kentang </t>
  </si>
  <si>
    <t>Cimol &amp; Cakwe</t>
  </si>
  <si>
    <t>ST Pasta &amp; Minum</t>
  </si>
  <si>
    <t>Kwetiaw Goreng</t>
  </si>
  <si>
    <t>Makaroni &amp; Cimol</t>
  </si>
  <si>
    <t>Dimsum</t>
  </si>
  <si>
    <t>Bakso Gepeng</t>
  </si>
  <si>
    <t>Ramen &amp; Gyoza &amp; Teh Indonesia</t>
  </si>
  <si>
    <t>Marugame Udon 2</t>
  </si>
  <si>
    <t>Susu Mbo Dharmi</t>
  </si>
  <si>
    <t>Jcool Twist</t>
  </si>
  <si>
    <t>Gaji Istri</t>
  </si>
  <si>
    <t>MEI - JUNI 2022</t>
  </si>
  <si>
    <t>Saus Arrabiata, Eskrim, Sikat Gigi, Permen</t>
  </si>
  <si>
    <t>Sate Ayam Buat Dirmh</t>
  </si>
  <si>
    <t xml:space="preserve">Anak Yatim </t>
  </si>
  <si>
    <t>BioOil &amp; Minyak Angin</t>
  </si>
  <si>
    <t>Bubur Ayam &amp; Sate</t>
  </si>
  <si>
    <t>Vaseline</t>
  </si>
  <si>
    <t xml:space="preserve">Menabung </t>
  </si>
  <si>
    <t>Mie Jawa &amp; Teh Tawar</t>
  </si>
  <si>
    <t>Roti Tawar &amp; Roti Manis</t>
  </si>
  <si>
    <t>Parkir Pasar Lama</t>
  </si>
  <si>
    <t>Sabun Leivy 450ml</t>
  </si>
  <si>
    <t>Tabungan Zico</t>
  </si>
  <si>
    <t>Siomay 1 Porsi</t>
  </si>
  <si>
    <t>Pt pt ayu jco</t>
  </si>
  <si>
    <t>Parkir Lari Stadion</t>
  </si>
  <si>
    <t>3 Pax Paseo</t>
  </si>
  <si>
    <t xml:space="preserve">Kasih Ayah </t>
  </si>
  <si>
    <t>Wedang Jahe</t>
  </si>
  <si>
    <t>Sayuran Cabe, Kangkung, Bayam, Sawi, Jagung, Lumpia, Daun Bawang, Tahu, Pepaya</t>
  </si>
  <si>
    <t>Parkir Ikea</t>
  </si>
  <si>
    <t xml:space="preserve">Mitu Baby </t>
  </si>
  <si>
    <t>Kasih Nopal</t>
  </si>
  <si>
    <t>Daging Cincang, Susu &amp; Ciki</t>
  </si>
  <si>
    <t>Susu Anmum 400Gr Coklat</t>
  </si>
  <si>
    <t xml:space="preserve">Mama Kekey </t>
  </si>
  <si>
    <t xml:space="preserve">Kwetiaw Ayam </t>
  </si>
  <si>
    <t>TIP Seblak</t>
  </si>
  <si>
    <t>BH Ukuran 40 1</t>
  </si>
  <si>
    <t xml:space="preserve">Netflix </t>
  </si>
  <si>
    <t>Capcin (2)</t>
  </si>
  <si>
    <t>TIP Manggang</t>
  </si>
  <si>
    <t>Susu anmum, cusson baby, vsoy,ceres, mentega</t>
  </si>
  <si>
    <t>Susu Kedelai (2)</t>
  </si>
  <si>
    <t>Denda Parkir</t>
  </si>
  <si>
    <t>Parfum Glory</t>
  </si>
  <si>
    <t xml:space="preserve">Minus </t>
  </si>
  <si>
    <t>Seblak</t>
  </si>
  <si>
    <t>Parkir Tempat Baju Baby</t>
  </si>
  <si>
    <t>BH Sorex Uk. 40</t>
  </si>
  <si>
    <t>Adm BNI</t>
  </si>
  <si>
    <t>Roti, Ceres, Keju, Susu</t>
  </si>
  <si>
    <t>Adm BCA</t>
  </si>
  <si>
    <t>Ayam AW &amp; TIP</t>
  </si>
  <si>
    <t>Kasih Mama Kekey (Sakit)</t>
  </si>
  <si>
    <t>Combo Fire Chiken</t>
  </si>
  <si>
    <t>Parkir Seblak</t>
  </si>
  <si>
    <t xml:space="preserve">Makaroni Jiko </t>
  </si>
  <si>
    <t>Kelapa Ijo + Jajan Jiko</t>
  </si>
  <si>
    <t>Roti Tawar 1pax</t>
  </si>
  <si>
    <t>Kwetiaw Siram Seafood</t>
  </si>
  <si>
    <t xml:space="preserve">Makaroni  </t>
  </si>
  <si>
    <t>Roti &amp; Wafer</t>
  </si>
  <si>
    <t>Mie Gacoan &amp; Es Batu</t>
  </si>
  <si>
    <t>Green Tea Chocolate</t>
  </si>
  <si>
    <t>Pop Ice</t>
  </si>
  <si>
    <t>Martabak Telor Puyuh</t>
  </si>
  <si>
    <t>Es Teh Botol</t>
  </si>
  <si>
    <t>Dcrepes &amp; TIP</t>
  </si>
  <si>
    <t>Hot Dog 3 &amp; Eskrim 1</t>
  </si>
  <si>
    <t>Twister &amp; Ricoco</t>
  </si>
  <si>
    <t>Tempe Mendoan</t>
  </si>
  <si>
    <t>Lontong Sayur &amp; Lopis</t>
  </si>
  <si>
    <t>Ayam Bakar, Lemon Sirih, Es Krim MCD</t>
  </si>
  <si>
    <t>Kwetiaw Aho</t>
  </si>
  <si>
    <t>Chocolate</t>
  </si>
  <si>
    <t>HAKA Dimsum</t>
  </si>
  <si>
    <t>Chatime &amp; Pasta</t>
  </si>
  <si>
    <t>Yoshinoya &amp; Donut</t>
  </si>
  <si>
    <t>Lawson</t>
  </si>
  <si>
    <t xml:space="preserve">   </t>
  </si>
  <si>
    <t>Deposito</t>
  </si>
  <si>
    <t xml:space="preserve"> </t>
  </si>
  <si>
    <t>JUNI - JULI 2022</t>
  </si>
  <si>
    <t>Pengeluaran1</t>
  </si>
  <si>
    <t>Pengeluaran2</t>
  </si>
  <si>
    <t>Pengeluaran3</t>
  </si>
  <si>
    <t>Pengeluaran4</t>
  </si>
  <si>
    <t>Pengeluaran5</t>
  </si>
  <si>
    <t>Pukis &amp; Bikang</t>
  </si>
  <si>
    <t>Cabe, Bawang Bombai, Pisang</t>
  </si>
  <si>
    <t>Tas Kamera</t>
  </si>
  <si>
    <t>Lasagna</t>
  </si>
  <si>
    <t>Khitanan Anak Pak Hendra</t>
  </si>
  <si>
    <t>Parkir Pizza Hut</t>
  </si>
  <si>
    <t>Paket Data 2bln</t>
  </si>
  <si>
    <t>Siomay, Cimol, Es Teh, Pastaria</t>
  </si>
  <si>
    <t>Otak Otak 10pcs</t>
  </si>
  <si>
    <t>Parkir AY</t>
  </si>
  <si>
    <t xml:space="preserve">Sunblock </t>
  </si>
  <si>
    <t>Alpukat, Martabak, Kelapa Ijo, Es Krim</t>
  </si>
  <si>
    <t>Pukel Muda (3pcs)</t>
  </si>
  <si>
    <t>Tas Laptop</t>
  </si>
  <si>
    <t>Pempek &amp; Siomay</t>
  </si>
  <si>
    <t>Kondangan Tio</t>
  </si>
  <si>
    <t xml:space="preserve">Bensin </t>
  </si>
  <si>
    <t>Cetakan Es Batu</t>
  </si>
  <si>
    <t>Onde Telur Asin</t>
  </si>
  <si>
    <t>Mie Aceh &amp; Parkir</t>
  </si>
  <si>
    <t>Gojek Pukel Muda</t>
  </si>
  <si>
    <t xml:space="preserve">Pembersih Botol </t>
  </si>
  <si>
    <t>Kwetiaw Goreng Aho28 + Tip</t>
  </si>
  <si>
    <t>Nikahan Fitri</t>
  </si>
  <si>
    <t>Penjepit Kabel</t>
  </si>
  <si>
    <t>Es Teh Manis</t>
  </si>
  <si>
    <t>Sate buat teteh lulu</t>
  </si>
  <si>
    <t>Bensin Jiko</t>
  </si>
  <si>
    <t>Parfum Glory Mama</t>
  </si>
  <si>
    <t>Pepaya 1,5kg</t>
  </si>
  <si>
    <t>Risol Bakwan Roti Bantal</t>
  </si>
  <si>
    <t>Casing HP Iphone 5s</t>
  </si>
  <si>
    <t>Minus</t>
  </si>
  <si>
    <t xml:space="preserve">Sate Taichan </t>
  </si>
  <si>
    <t>Pecel &amp; Mie Goreng</t>
  </si>
  <si>
    <t xml:space="preserve">Sikat Gigi </t>
  </si>
  <si>
    <t>Mie Tek Tek, Milo, Stee</t>
  </si>
  <si>
    <t>Makaroni</t>
  </si>
  <si>
    <t>Nasi Padang</t>
  </si>
  <si>
    <t>Yogurd &amp; Permen</t>
  </si>
  <si>
    <t>Makan Kantor Grill</t>
  </si>
  <si>
    <t>Shopee</t>
  </si>
  <si>
    <t>Ramen Jigo</t>
  </si>
  <si>
    <t>Jamur Enoki, Beswok, Indomie</t>
  </si>
  <si>
    <t>Capcin &amp; Cireng</t>
  </si>
  <si>
    <t>Yogurd, Cerelac &amp; Samyang</t>
  </si>
  <si>
    <t xml:space="preserve">Seblak Bunda Nay </t>
  </si>
  <si>
    <t>Mixue</t>
  </si>
  <si>
    <t>Putu</t>
  </si>
  <si>
    <t>Crepes</t>
  </si>
  <si>
    <t>Nasi Kuning</t>
  </si>
  <si>
    <t>Haka Dimsum</t>
  </si>
  <si>
    <t xml:space="preserve">Cireng Isi </t>
  </si>
  <si>
    <t>Mr Botak Congfan</t>
  </si>
  <si>
    <t>Ice Bang Jen (3)</t>
  </si>
  <si>
    <t xml:space="preserve">Es Kelapa </t>
  </si>
  <si>
    <t>Odeng</t>
  </si>
  <si>
    <t>Gorengan &amp; Roti Bantal</t>
  </si>
  <si>
    <t>JULI - AGUSTUS 2022</t>
  </si>
  <si>
    <t>Pengeluaran.</t>
  </si>
  <si>
    <t>28/072022</t>
  </si>
  <si>
    <t>Mie Ayam Bakmi MJ 2</t>
  </si>
  <si>
    <t>Kondangan Mareta</t>
  </si>
  <si>
    <t xml:space="preserve">Sedekah </t>
  </si>
  <si>
    <t>Sedotan Stainles</t>
  </si>
  <si>
    <t>MCD Dirmh &amp; Zico</t>
  </si>
  <si>
    <t>Tip Abang Grab</t>
  </si>
  <si>
    <t>Tip Doner Kebab</t>
  </si>
  <si>
    <t>Cleansing Milk</t>
  </si>
  <si>
    <t xml:space="preserve">Bubur Ayam 2 Porsi </t>
  </si>
  <si>
    <t>Nasi Padang Mas Yanto</t>
  </si>
  <si>
    <t>Bensin Novia</t>
  </si>
  <si>
    <t>Cotton Bud</t>
  </si>
  <si>
    <t>Jco</t>
  </si>
  <si>
    <t>Bolu Amanda &amp; Cemilan Di rmh</t>
  </si>
  <si>
    <t>Deodorant</t>
  </si>
  <si>
    <t>Capcin 2</t>
  </si>
  <si>
    <t>Roti Kismis Buat Dirmh</t>
  </si>
  <si>
    <t xml:space="preserve">Parkir Bubur </t>
  </si>
  <si>
    <t>Celana Dalam 4x</t>
  </si>
  <si>
    <t>Doner Kebab</t>
  </si>
  <si>
    <t>RedVelvet Buat Mbabel</t>
  </si>
  <si>
    <t>14/0/2022</t>
  </si>
  <si>
    <t>Parkir Holland</t>
  </si>
  <si>
    <t>Gosend Congfan</t>
  </si>
  <si>
    <t>Album Foto</t>
  </si>
  <si>
    <t>Chocolate Green Tea</t>
  </si>
  <si>
    <t>Wedang Ronde (2)</t>
  </si>
  <si>
    <t>Grab</t>
  </si>
  <si>
    <t>Bantex Dokumen</t>
  </si>
  <si>
    <t>Nasi Goreng (2)</t>
  </si>
  <si>
    <t>Parkir Mie Ayam</t>
  </si>
  <si>
    <t>Leivy Shower Cream</t>
  </si>
  <si>
    <t xml:space="preserve">Bayar Pajak Motor </t>
  </si>
  <si>
    <t>Roti Coklat</t>
  </si>
  <si>
    <t>Beliin Ibu Bergo</t>
  </si>
  <si>
    <t>Masker Hijab (2) &amp; Earloop (1)</t>
  </si>
  <si>
    <t>Tambahan Buat Baby</t>
  </si>
  <si>
    <t>Bubur Ayam 2 porsi &amp; Sate</t>
  </si>
  <si>
    <t xml:space="preserve">Geco (2) </t>
  </si>
  <si>
    <t>Zipper Lock</t>
  </si>
  <si>
    <t>Kasih mama</t>
  </si>
  <si>
    <t>Es Krim Sundae Mcd</t>
  </si>
  <si>
    <t>Traktir Pempek 20bj &amp; Es The</t>
  </si>
  <si>
    <t>Pelindung Plat Motor</t>
  </si>
  <si>
    <t>Congfan + Mbamut</t>
  </si>
  <si>
    <t>Biscof Dapurku</t>
  </si>
  <si>
    <t>Cover duit di mama</t>
  </si>
  <si>
    <t>Siomay By rivaa</t>
  </si>
  <si>
    <t>Mie Ayam (3) + Pangsit (2)</t>
  </si>
  <si>
    <t>Pengeluaran lainlain</t>
  </si>
  <si>
    <t>Nasi Padang Putra Minang</t>
  </si>
  <si>
    <t>Bensin Nopal</t>
  </si>
  <si>
    <t>Beli Deodoran Nopal</t>
  </si>
  <si>
    <t>Sirsak Kocok</t>
  </si>
  <si>
    <t>Kwetiaw, Mie Rebus, Takoyaki &amp; Es Bangka</t>
  </si>
  <si>
    <t>Adm Bank BCA</t>
  </si>
  <si>
    <t>Cdc Caffe Carbonara &amp; Pizza</t>
  </si>
  <si>
    <t>Nasi Padang Mas Yanto + Buah Kristal</t>
  </si>
  <si>
    <t>Cimol</t>
  </si>
  <si>
    <t>Sate Ayam 4 Porsi</t>
  </si>
  <si>
    <t>Toge Goreng Geco</t>
  </si>
  <si>
    <t>Spageti Bolognese Pastaria</t>
  </si>
  <si>
    <t>Alpucok Sirsak</t>
  </si>
  <si>
    <t xml:space="preserve">Magnum </t>
  </si>
  <si>
    <t>Geprek Bensu</t>
  </si>
  <si>
    <t>Cimol &amp; Papeda</t>
  </si>
  <si>
    <t xml:space="preserve">Ayam Geprek </t>
  </si>
  <si>
    <t>Alpucok Cream Chesse Pudding</t>
  </si>
  <si>
    <t xml:space="preserve">Nasi Uduk </t>
  </si>
  <si>
    <t>Pastaria</t>
  </si>
  <si>
    <t>Kwetiaw &amp; Es Bangka</t>
  </si>
  <si>
    <t>Chitato Sapi Panggang</t>
  </si>
  <si>
    <t>Takoyaki</t>
  </si>
  <si>
    <t>Tahu</t>
  </si>
  <si>
    <t>Street Boba</t>
  </si>
  <si>
    <t>Bakso Kojek, Telor &amp; Milo</t>
  </si>
  <si>
    <t>Mentai Hero</t>
  </si>
  <si>
    <t xml:space="preserve">Gaji </t>
  </si>
  <si>
    <t>Deposito &amp; Tambahan Lain</t>
  </si>
  <si>
    <t>Reimburse Kantor</t>
  </si>
  <si>
    <t>Novia</t>
  </si>
  <si>
    <t>Cash</t>
  </si>
  <si>
    <t>Gopay</t>
  </si>
  <si>
    <t>Zico</t>
  </si>
  <si>
    <t>AGUSTUS-SEPTEMBER 2022</t>
  </si>
  <si>
    <t>Takoyaki &amp; makaroni</t>
  </si>
  <si>
    <t>Burger Blenger Keluarga Mama</t>
  </si>
  <si>
    <t>Pompa Asi</t>
  </si>
  <si>
    <t>Martabak Telor</t>
  </si>
  <si>
    <t>Sate Ayam 50 Tusuk Kantor &amp; Ibu</t>
  </si>
  <si>
    <t>Lontong 8Biji Kantor</t>
  </si>
  <si>
    <t>Frestea Teh Botol &amp; Susu Almond</t>
  </si>
  <si>
    <t>Pecel lele</t>
  </si>
  <si>
    <t>Anggaran Adik Zema &amp; Ibu</t>
  </si>
  <si>
    <t xml:space="preserve">Reimburse Kantor </t>
  </si>
  <si>
    <t xml:space="preserve">Ovo </t>
  </si>
  <si>
    <t xml:space="preserve">BCA </t>
  </si>
  <si>
    <t xml:space="preserve">Duit Aqiqah </t>
  </si>
  <si>
    <t>Anggaran Baby</t>
  </si>
  <si>
    <t>Bi ela</t>
  </si>
  <si>
    <t>Permen + Air</t>
  </si>
  <si>
    <t>Jeruk &amp; Pempek</t>
  </si>
  <si>
    <t>Vitamin Asam Folat &amp; Calcium Lactase</t>
  </si>
  <si>
    <t>Es Semangka</t>
  </si>
  <si>
    <t>Sogood &amp; Kentang</t>
  </si>
  <si>
    <t>Bayar Baju PNS</t>
  </si>
  <si>
    <t>AW &amp; Burger King</t>
  </si>
  <si>
    <t>Kondangan Arin</t>
  </si>
  <si>
    <t>Makan ZIco Renash</t>
  </si>
  <si>
    <t>Minus Bulan Kemarin</t>
  </si>
  <si>
    <t>Kulit Dimsum &amp; Knor</t>
  </si>
  <si>
    <t>Traktir Kel Novia</t>
  </si>
  <si>
    <t>Yatim Bekasi</t>
  </si>
  <si>
    <t>Tokopedia</t>
  </si>
  <si>
    <t>Nabung Gaji Pertama Zico</t>
  </si>
  <si>
    <t>Kacang Mete</t>
  </si>
  <si>
    <t>Ketok Pintu</t>
  </si>
  <si>
    <t xml:space="preserve">Vitamin Asam Folat &amp; Calcium </t>
  </si>
  <si>
    <t xml:space="preserve">Menafkahi Istri </t>
  </si>
  <si>
    <t>AW Shilin</t>
  </si>
  <si>
    <t>Susu Papa</t>
  </si>
  <si>
    <t>Jajan Jiko</t>
  </si>
  <si>
    <t>Bi Ela</t>
  </si>
  <si>
    <t>Es The</t>
  </si>
  <si>
    <t xml:space="preserve">Soto Soleh Ali 9 </t>
  </si>
  <si>
    <t>GS Supermarket Bahan Mac n Cheese</t>
  </si>
  <si>
    <t>Cemilan Zahra pergi ke jogja</t>
  </si>
  <si>
    <t xml:space="preserve">Batre Agya </t>
  </si>
  <si>
    <t>Chiclin</t>
  </si>
  <si>
    <t xml:space="preserve">Uang Duka </t>
  </si>
  <si>
    <t>Asam Folat</t>
  </si>
  <si>
    <t>Beli Ayam Dimsum 600gr + Kulit</t>
  </si>
  <si>
    <t>Kado Regia &amp; Fadly</t>
  </si>
  <si>
    <t xml:space="preserve">Alpukat &amp; Jeruk </t>
  </si>
  <si>
    <t>Kado Nida &amp; Jordy</t>
  </si>
  <si>
    <t>Sayuran Salad</t>
  </si>
  <si>
    <t>Air</t>
  </si>
  <si>
    <t>Mang Ujang, Pisang Bakar, Milo &amp; Omlet</t>
  </si>
  <si>
    <t>Cilok Goang</t>
  </si>
  <si>
    <t>Es Krim &amp; Lemond Tea Mcd</t>
  </si>
  <si>
    <t>Kewpie</t>
  </si>
  <si>
    <t>Susu Prenagen</t>
  </si>
  <si>
    <t>Tepung Shilin</t>
  </si>
  <si>
    <t>Ayam Sabar Subur</t>
  </si>
  <si>
    <t>Pempek</t>
  </si>
  <si>
    <t>Burger Blenger + Tea</t>
  </si>
  <si>
    <t xml:space="preserve">Es Bang Jen </t>
  </si>
  <si>
    <t>Ayam, Jeruk, Serabi, Susu, Limo</t>
  </si>
  <si>
    <t>Beli Jeruk 2kg Dirmh Jiko</t>
  </si>
  <si>
    <t>Parkir Seblak &amp; 88</t>
  </si>
  <si>
    <t>Masker</t>
  </si>
  <si>
    <t xml:space="preserve">Tabungan </t>
  </si>
  <si>
    <t>Rotbak 88 sm bito siska</t>
  </si>
  <si>
    <t>Beli MCD Buat Tukang</t>
  </si>
  <si>
    <t>Parkir Pempek</t>
  </si>
  <si>
    <t>Parfum</t>
  </si>
  <si>
    <t>Kasih Anak Yatim</t>
  </si>
  <si>
    <t>Pempek Warung Pojok 4 porsi</t>
  </si>
  <si>
    <t>Beli Tahu Go &amp; Susu Kedelai</t>
  </si>
  <si>
    <t>Parkir Pizza</t>
  </si>
  <si>
    <t>BH 3</t>
  </si>
  <si>
    <t>Pengajian 4bulan</t>
  </si>
  <si>
    <t>Pizza Hut</t>
  </si>
  <si>
    <t>Beli Susu Unmom Coklat</t>
  </si>
  <si>
    <t>Bi La</t>
  </si>
  <si>
    <t>Matcha Kaula Coffe</t>
  </si>
  <si>
    <t>Beliin Novia Baju</t>
  </si>
  <si>
    <t>Air Putih</t>
  </si>
  <si>
    <t>Sandal Crocs Putih Jiko</t>
  </si>
  <si>
    <t xml:space="preserve">Tahu </t>
  </si>
  <si>
    <t>Tas Bekal</t>
  </si>
  <si>
    <t xml:space="preserve">Jagung &amp; Wortel </t>
  </si>
  <si>
    <t>Potong Rambut+Tip</t>
  </si>
  <si>
    <t>Daging 1kg, Wortel, Cimol, Tahu, Roti Bantal, Jeruk Peres, Pewangi</t>
  </si>
  <si>
    <t>Reimburse Jiko</t>
  </si>
  <si>
    <t>Tahu Pedas Alda</t>
  </si>
  <si>
    <t>Charge &amp; Ongkir Crocs</t>
  </si>
  <si>
    <t>Kelebihan Bulan Lalu</t>
  </si>
  <si>
    <t>(-) Kelebihan Bulan Lalu</t>
  </si>
  <si>
    <t>Waroeng SS</t>
  </si>
  <si>
    <t>Pelan Bolde Buat Caca</t>
  </si>
  <si>
    <t>Tiket Masuk Ps anyar</t>
  </si>
  <si>
    <t>Vitamin Calcium 30kap</t>
  </si>
  <si>
    <t>SS Fried Chicken</t>
  </si>
  <si>
    <t>Beli Papa Zico Jeruk &amp; Bubur</t>
  </si>
  <si>
    <t>Beli Bensin Mobil Agya</t>
  </si>
  <si>
    <t>Fish Oil</t>
  </si>
  <si>
    <t xml:space="preserve">Jajan Janjiw &amp; Potato </t>
  </si>
  <si>
    <t>Martabak Buat Sahur</t>
  </si>
  <si>
    <t>Lampu Sepatan</t>
  </si>
  <si>
    <t>Tambahin SIP Jiko</t>
  </si>
  <si>
    <t>Tambahin Jiko Makan Sutei</t>
  </si>
  <si>
    <t>Celana Dalam Hamil (3Pcs)</t>
  </si>
  <si>
    <t>THR 2022</t>
  </si>
  <si>
    <t>Beli Dimsum Mpo Endang</t>
  </si>
  <si>
    <t>Fitbar 12pcs</t>
  </si>
  <si>
    <t>Sutei Bukber Kuiy</t>
  </si>
  <si>
    <t>Tahu Bandung</t>
  </si>
  <si>
    <t>Casing Ipad</t>
  </si>
  <si>
    <t>Risol Teteh Iin</t>
  </si>
  <si>
    <t>Tisu</t>
  </si>
  <si>
    <t>Thai Tea Munim &amp; Jus</t>
  </si>
  <si>
    <t>Saus Arrabiata</t>
  </si>
  <si>
    <t>Susu Ultra Milk &amp; Pronas</t>
  </si>
  <si>
    <t>Sawi</t>
  </si>
  <si>
    <t>Alpukat &amp; Mangga</t>
  </si>
  <si>
    <t>Susu Krimer Carnation</t>
  </si>
  <si>
    <t>Es Thai Tea &amp; Lemond Tea</t>
  </si>
  <si>
    <t>Mie Ayam Komplit (2)</t>
  </si>
  <si>
    <t>Es Bang Jen</t>
  </si>
  <si>
    <t>Ayam Geprek Buka Puasa Zico</t>
  </si>
  <si>
    <t>Ayam KFC Buka Puasa Berdua</t>
  </si>
  <si>
    <t>Marugame</t>
  </si>
  <si>
    <t>Ayam dada &amp; paha</t>
  </si>
  <si>
    <t>Jeruk Peras</t>
  </si>
  <si>
    <t>Bahan Salad wortel kentang selada jagung</t>
  </si>
  <si>
    <t xml:space="preserve">Pengeluaran </t>
  </si>
  <si>
    <t>Minyak wijen &amp; saos tiram &amp; Saos Sambel</t>
  </si>
  <si>
    <t xml:space="preserve">Anak yatim </t>
  </si>
  <si>
    <t>Folamil</t>
  </si>
  <si>
    <t>Kwepie</t>
  </si>
  <si>
    <t>Bensin Mobil Agya</t>
  </si>
  <si>
    <t>Vitamin b1000+salep</t>
  </si>
  <si>
    <t>Deposito Zico</t>
  </si>
  <si>
    <t>Kangkung</t>
  </si>
  <si>
    <t>Tol Parigi</t>
  </si>
  <si>
    <t>Sebamed</t>
  </si>
  <si>
    <t>Bayar IPL Paradise Park</t>
  </si>
  <si>
    <t>Kulit Lumpia</t>
  </si>
  <si>
    <t>Parkir Bintaro</t>
  </si>
  <si>
    <t xml:space="preserve">Barber </t>
  </si>
  <si>
    <t>Tahu Pedas (6pcs)</t>
  </si>
  <si>
    <t>Parkir Unggul</t>
  </si>
  <si>
    <t>Vitamin Formical B</t>
  </si>
  <si>
    <t xml:space="preserve">Cabe Rawit </t>
  </si>
  <si>
    <t>Parkir Nila</t>
  </si>
  <si>
    <t>Baju Uniqlo &amp; Jaket</t>
  </si>
  <si>
    <t>Bawang Bombai 2</t>
  </si>
  <si>
    <t>Parkir Burger Blenger</t>
  </si>
  <si>
    <t>Batik Seragam Korpri</t>
  </si>
  <si>
    <t>Bayam &amp; Jagung</t>
  </si>
  <si>
    <t>Parkir Parlan</t>
  </si>
  <si>
    <t>Bubur Ayam Otista</t>
  </si>
  <si>
    <t>Es teh indonesia</t>
  </si>
  <si>
    <t>Kelebihan sebelumnya</t>
  </si>
  <si>
    <t>JUNI-JULI 2022</t>
  </si>
  <si>
    <t>Beli Selada, Wortel, Jagung, Ayam, Serabi + Nambahin</t>
  </si>
  <si>
    <t>Mie Ayam 3</t>
  </si>
  <si>
    <t>Parkir Lippo</t>
  </si>
  <si>
    <t>Bahan Baju Jaga</t>
  </si>
  <si>
    <t>Makaroni 1 toples, Usus &amp; Bihun</t>
  </si>
  <si>
    <t>Nasi Goreng (3) Jiko Nopal</t>
  </si>
  <si>
    <t xml:space="preserve">Cek Kontrol </t>
  </si>
  <si>
    <t>Bakso &amp; Es Campur</t>
  </si>
  <si>
    <t>Nasi Goreng 2</t>
  </si>
  <si>
    <t>Folamil &amp; Formical</t>
  </si>
  <si>
    <t xml:space="preserve">Bayar IPL Juni </t>
  </si>
  <si>
    <t>Ramen Seirock Ya &amp; Gyoza</t>
  </si>
  <si>
    <t>Tahu Go 20pcs</t>
  </si>
  <si>
    <t>Bet Nama</t>
  </si>
  <si>
    <t>Mie Ayam Pondok Arum + Susu Kedelai</t>
  </si>
  <si>
    <t>Jahit Bet Nama</t>
  </si>
  <si>
    <t>Chocolate Green Tea (2)</t>
  </si>
  <si>
    <t>Nulacta</t>
  </si>
  <si>
    <t>Baju Korpri</t>
  </si>
  <si>
    <t xml:space="preserve">Ayam Fillet &amp; Sayur </t>
  </si>
  <si>
    <t>Seblak &amp; Es Jeruk</t>
  </si>
  <si>
    <t>Chat time Milk Tea</t>
  </si>
  <si>
    <t xml:space="preserve">Pizza Hut </t>
  </si>
  <si>
    <t>Nasi Goreng</t>
  </si>
  <si>
    <t xml:space="preserve">Pengeluaran Kewajiban </t>
  </si>
  <si>
    <t xml:space="preserve">Pengeluaran Makan </t>
  </si>
  <si>
    <t xml:space="preserve">Pengeluaran Sedekah </t>
  </si>
  <si>
    <t>JULI-AGUSTUS 2022</t>
  </si>
  <si>
    <t>Pisang, Kangkung, Oncom, Daun Bawang, Toge</t>
  </si>
  <si>
    <t>Parkir ST Pasta</t>
  </si>
  <si>
    <t>Bayar STNK</t>
  </si>
  <si>
    <t>Nuget, Sosis, OtakOtak, Saus Bolognese, Kwetiaw, Makaroni</t>
  </si>
  <si>
    <t>Beli Buah Buat Jasmin</t>
  </si>
  <si>
    <t>Parkir A Yani</t>
  </si>
  <si>
    <t>Potong Rambut</t>
  </si>
  <si>
    <t>Rama KTP</t>
  </si>
  <si>
    <t>Pepaya (2)</t>
  </si>
  <si>
    <t>Nasi Goreng &amp; Mie Goreng</t>
  </si>
  <si>
    <t>Vermak Baju &amp; Bikin Baju Jaga</t>
  </si>
  <si>
    <t>Buah Bude Wi</t>
  </si>
  <si>
    <t>Wortel (3), Jagung (2), Selada (2), Kunyit (2rb), Daun Jeruk (1rb)</t>
  </si>
  <si>
    <t xml:space="preserve">Pempek Tekwan </t>
  </si>
  <si>
    <t>Parkir Ayam Sabar Subur &amp; Mixue</t>
  </si>
  <si>
    <t xml:space="preserve">Bayar IPL Juli </t>
  </si>
  <si>
    <t>Kerupuk</t>
  </si>
  <si>
    <t>Vitamin D3 1000UI</t>
  </si>
  <si>
    <t>Kasih Bi La</t>
  </si>
  <si>
    <t>Oregano &amp; Bon Cabe</t>
  </si>
  <si>
    <t>Cek Kehamilan</t>
  </si>
  <si>
    <t>Vitamin Formical</t>
  </si>
  <si>
    <t>Cilok Goank</t>
  </si>
  <si>
    <t>Teh Botol</t>
  </si>
  <si>
    <t>Thai Tea (2)</t>
  </si>
  <si>
    <t>Jagung, Daun Bawang, Tempe</t>
  </si>
  <si>
    <t xml:space="preserve">Bayem </t>
  </si>
  <si>
    <t>Kangkung, Lumpia, Tempe</t>
  </si>
  <si>
    <t>Selada &amp; Jagung</t>
  </si>
  <si>
    <t xml:space="preserve">Pudding &amp; Ultra Milk (2) </t>
  </si>
  <si>
    <t>Telor 1kg (Deposit)</t>
  </si>
  <si>
    <t>Roku Bento</t>
  </si>
  <si>
    <t>Capcin &amp; Makaroni</t>
  </si>
  <si>
    <t>Cimol, Papeda, Cireng, Ketoprak</t>
  </si>
  <si>
    <t>Mixue &amp; Ayam Sabar Subur</t>
  </si>
  <si>
    <t xml:space="preserve">Thai Tea   </t>
  </si>
  <si>
    <t>Mie Ayam Banyumas + Air</t>
  </si>
  <si>
    <t>Roku Bento Shrimp Katsu &amp; Eikado</t>
  </si>
  <si>
    <t>Beli Bolu Tape, Pelangi, Bika</t>
  </si>
  <si>
    <t>Nulacta 2 Strip</t>
  </si>
  <si>
    <t>Mie Ayam Bakso (2), Minum (1), Es Batu &amp; Kerupuk (2)</t>
  </si>
  <si>
    <t>Oleh-Oleh Bolu Susu Bandung</t>
  </si>
  <si>
    <t>Beli Baju Putih Nasa &amp; Tas Pouch</t>
  </si>
  <si>
    <t xml:space="preserve">Bayar IPL Agustus </t>
  </si>
  <si>
    <t>Donat Kentang &amp; Coklat</t>
  </si>
  <si>
    <t>Kue Chocolate Holland</t>
  </si>
  <si>
    <t>Parkir Bubur</t>
  </si>
  <si>
    <t>Kontrol Kehamilan</t>
  </si>
  <si>
    <t>Minus Zico</t>
  </si>
  <si>
    <t xml:space="preserve">Thai Tea </t>
  </si>
  <si>
    <t>Folamil Genio</t>
  </si>
  <si>
    <t xml:space="preserve">Bayar Arisan </t>
  </si>
  <si>
    <t>Tahu Pedas</t>
  </si>
  <si>
    <t>Formical B</t>
  </si>
  <si>
    <t>Sayur Salad + Ayam Fillet</t>
  </si>
  <si>
    <t>Parkir Lipo</t>
  </si>
  <si>
    <t>Sprei</t>
  </si>
  <si>
    <t>Bubur Ayam (3) Sate (3)</t>
  </si>
  <si>
    <t>Bakso (2) Kerupuk (2)</t>
  </si>
  <si>
    <t>Makaroni &amp; Kacang Hijau</t>
  </si>
  <si>
    <t xml:space="preserve">Ultra Milk &amp; Keju </t>
  </si>
  <si>
    <t>Marugame Udon (2)</t>
  </si>
  <si>
    <t>Zakat Fitrah April 2022</t>
  </si>
  <si>
    <t>Biaya Konsultasi SPOG April 2022</t>
  </si>
  <si>
    <t>Fidyah Novia 6x6ons</t>
  </si>
  <si>
    <t xml:space="preserve">Jas Ujan Buat Zico </t>
  </si>
  <si>
    <t xml:space="preserve">Jas Ujan Buat Novia </t>
  </si>
  <si>
    <t xml:space="preserve">Ganti Ban Motor Depan </t>
  </si>
  <si>
    <t xml:space="preserve">Rumah Sepatan </t>
  </si>
  <si>
    <t>Kulkas</t>
  </si>
  <si>
    <t>Sofa Bed</t>
  </si>
  <si>
    <t xml:space="preserve">Lemari &amp; Tempat Tidur </t>
  </si>
  <si>
    <t xml:space="preserve">Taneman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</si>
</sst>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rgb="FF444444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23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1" fontId="0" fillId="0" borderId="0" xfId="1" applyFont="1"/>
    <xf numFmtId="0" fontId="2" fillId="0" borderId="0" xfId="0" applyFont="1"/>
    <xf numFmtId="41" fontId="2" fillId="2" borderId="2" xfId="0" applyNumberFormat="1" applyFont="1" applyFill="1" applyBorder="1"/>
    <xf numFmtId="41" fontId="2" fillId="3" borderId="2" xfId="0" applyNumberFormat="1" applyFont="1" applyFill="1" applyBorder="1"/>
    <xf numFmtId="41" fontId="0" fillId="4" borderId="2" xfId="0" applyNumberFormat="1" applyFill="1" applyBorder="1"/>
    <xf numFmtId="41" fontId="2" fillId="5" borderId="2" xfId="0" applyNumberFormat="1" applyFont="1" applyFill="1" applyBorder="1"/>
    <xf numFmtId="41" fontId="2" fillId="6" borderId="2" xfId="0" applyNumberFormat="1" applyFont="1" applyFill="1" applyBorder="1"/>
    <xf numFmtId="41" fontId="0" fillId="7" borderId="2" xfId="0" applyNumberFormat="1" applyFill="1" applyBorder="1"/>
    <xf numFmtId="0" fontId="0" fillId="7" borderId="2" xfId="0" applyFill="1" applyBorder="1"/>
    <xf numFmtId="15" fontId="0" fillId="7" borderId="2" xfId="0" applyNumberFormat="1" applyFill="1" applyBorder="1" applyAlignment="1">
      <alignment horizontal="left"/>
    </xf>
    <xf numFmtId="41" fontId="0" fillId="8" borderId="2" xfId="0" applyNumberFormat="1" applyFill="1" applyBorder="1"/>
    <xf numFmtId="0" fontId="0" fillId="8" borderId="2" xfId="0" applyFill="1" applyBorder="1"/>
    <xf numFmtId="15" fontId="0" fillId="8" borderId="2" xfId="0" applyNumberFormat="1" applyFill="1" applyBorder="1" applyAlignment="1">
      <alignment horizontal="left"/>
    </xf>
    <xf numFmtId="0" fontId="0" fillId="9" borderId="2" xfId="0" applyFill="1" applyBorder="1"/>
    <xf numFmtId="14" fontId="0" fillId="7" borderId="2" xfId="0" applyNumberFormat="1" applyFill="1" applyBorder="1" applyAlignment="1">
      <alignment horizontal="left"/>
    </xf>
    <xf numFmtId="41" fontId="0" fillId="10" borderId="2" xfId="0" applyNumberFormat="1" applyFill="1" applyBorder="1"/>
    <xf numFmtId="0" fontId="0" fillId="10" borderId="2" xfId="0" applyFill="1" applyBorder="1"/>
    <xf numFmtId="14" fontId="0" fillId="10" borderId="2" xfId="0" applyNumberFormat="1" applyFill="1" applyBorder="1" applyAlignment="1">
      <alignment horizontal="left"/>
    </xf>
    <xf numFmtId="0" fontId="0" fillId="11" borderId="2" xfId="0" applyFill="1" applyBorder="1"/>
    <xf numFmtId="41" fontId="0" fillId="11" borderId="2" xfId="0" applyNumberFormat="1" applyFill="1" applyBorder="1"/>
    <xf numFmtId="14" fontId="0" fillId="11" borderId="2" xfId="0" applyNumberFormat="1" applyFill="1" applyBorder="1"/>
    <xf numFmtId="14" fontId="0" fillId="11" borderId="2" xfId="0" applyNumberFormat="1" applyFill="1" applyBorder="1" applyAlignment="1">
      <alignment horizontal="left"/>
    </xf>
    <xf numFmtId="3" fontId="0" fillId="9" borderId="2" xfId="0" applyNumberFormat="1" applyFill="1" applyBorder="1"/>
    <xf numFmtId="3" fontId="0" fillId="7" borderId="2" xfId="0" applyNumberFormat="1" applyFill="1" applyBorder="1"/>
    <xf numFmtId="41" fontId="0" fillId="9" borderId="2" xfId="0" applyNumberFormat="1" applyFill="1" applyBorder="1"/>
    <xf numFmtId="14" fontId="0" fillId="8" borderId="2" xfId="0" applyNumberFormat="1" applyFill="1" applyBorder="1" applyAlignment="1">
      <alignment horizontal="left"/>
    </xf>
    <xf numFmtId="14" fontId="0" fillId="9" borderId="2" xfId="0" applyNumberFormat="1" applyFill="1" applyBorder="1"/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7" borderId="2" xfId="0" applyFill="1" applyBorder="1" applyAlignment="1">
      <alignment horizontal="left"/>
    </xf>
    <xf numFmtId="41" fontId="0" fillId="7" borderId="2" xfId="1" applyFont="1" applyFill="1" applyBorder="1" applyAlignment="1">
      <alignment horizontal="center"/>
    </xf>
    <xf numFmtId="41" fontId="0" fillId="7" borderId="2" xfId="0" applyNumberFormat="1" applyFill="1" applyBorder="1" applyAlignment="1">
      <alignment horizontal="center"/>
    </xf>
    <xf numFmtId="0" fontId="0" fillId="12" borderId="2" xfId="0" applyFill="1" applyBorder="1" applyAlignment="1">
      <alignment horizontal="left"/>
    </xf>
    <xf numFmtId="14" fontId="0" fillId="12" borderId="2" xfId="0" applyNumberFormat="1" applyFill="1" applyBorder="1" applyAlignment="1">
      <alignment horizontal="left"/>
    </xf>
    <xf numFmtId="41" fontId="0" fillId="12" borderId="2" xfId="0" applyNumberFormat="1" applyFill="1" applyBorder="1" applyAlignment="1">
      <alignment horizontal="center"/>
    </xf>
    <xf numFmtId="41" fontId="0" fillId="11" borderId="2" xfId="1" applyFont="1" applyFill="1" applyBorder="1" applyAlignment="1">
      <alignment horizontal="center"/>
    </xf>
    <xf numFmtId="0" fontId="0" fillId="11" borderId="2" xfId="0" applyFill="1" applyBorder="1" applyAlignment="1">
      <alignment horizontal="left"/>
    </xf>
    <xf numFmtId="15" fontId="0" fillId="11" borderId="2" xfId="0" applyNumberFormat="1" applyFill="1" applyBorder="1" applyAlignment="1">
      <alignment horizontal="center"/>
    </xf>
    <xf numFmtId="41" fontId="0" fillId="7" borderId="2" xfId="0" applyNumberFormat="1" applyFill="1" applyBorder="1" applyAlignment="1">
      <alignment horizontal="right"/>
    </xf>
    <xf numFmtId="14" fontId="0" fillId="7" borderId="2" xfId="0" applyNumberFormat="1" applyFill="1" applyBorder="1" applyAlignment="1">
      <alignment horizontal="left" wrapText="1"/>
    </xf>
    <xf numFmtId="41" fontId="0" fillId="8" borderId="2" xfId="1" applyFont="1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14" fontId="0" fillId="7" borderId="2" xfId="0" applyNumberFormat="1" applyFill="1" applyBorder="1" applyAlignment="1">
      <alignment horizontal="center"/>
    </xf>
    <xf numFmtId="41" fontId="0" fillId="8" borderId="2" xfId="0" applyNumberFormat="1" applyFill="1" applyBorder="1" applyAlignment="1">
      <alignment horizontal="center"/>
    </xf>
    <xf numFmtId="15" fontId="0" fillId="7" borderId="2" xfId="0" applyNumberFormat="1" applyFill="1" applyBorder="1" applyAlignment="1">
      <alignment horizontal="center"/>
    </xf>
    <xf numFmtId="41" fontId="0" fillId="9" borderId="2" xfId="1" applyFont="1" applyFill="1" applyBorder="1" applyAlignment="1">
      <alignment horizontal="center"/>
    </xf>
    <xf numFmtId="14" fontId="0" fillId="9" borderId="2" xfId="0" applyNumberFormat="1" applyFill="1" applyBorder="1" applyAlignment="1">
      <alignment horizontal="center"/>
    </xf>
    <xf numFmtId="41" fontId="0" fillId="10" borderId="2" xfId="0" applyNumberFormat="1" applyFill="1" applyBorder="1" applyAlignment="1">
      <alignment horizontal="center"/>
    </xf>
    <xf numFmtId="0" fontId="0" fillId="10" borderId="2" xfId="0" applyFill="1" applyBorder="1" applyAlignment="1">
      <alignment horizontal="left"/>
    </xf>
    <xf numFmtId="41" fontId="1" fillId="11" borderId="2" xfId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14" fontId="0" fillId="13" borderId="2" xfId="0" applyNumberFormat="1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41" fontId="0" fillId="13" borderId="2" xfId="0" applyNumberFormat="1" applyFill="1" applyBorder="1" applyAlignment="1">
      <alignment horizontal="center"/>
    </xf>
    <xf numFmtId="41" fontId="0" fillId="13" borderId="2" xfId="1" applyFont="1" applyFill="1" applyBorder="1" applyAlignment="1">
      <alignment horizontal="center"/>
    </xf>
    <xf numFmtId="1" fontId="2" fillId="5" borderId="2" xfId="0" applyNumberFormat="1" applyFont="1" applyFill="1" applyBorder="1"/>
    <xf numFmtId="14" fontId="0" fillId="11" borderId="2" xfId="0" applyNumberFormat="1" applyFill="1" applyBorder="1" applyAlignment="1">
      <alignment horizontal="center"/>
    </xf>
    <xf numFmtId="41" fontId="0" fillId="11" borderId="2" xfId="0" applyNumberForma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14" fontId="0" fillId="10" borderId="6" xfId="0" applyNumberFormat="1" applyFill="1" applyBorder="1" applyAlignment="1">
      <alignment horizontal="left"/>
    </xf>
    <xf numFmtId="0" fontId="0" fillId="10" borderId="6" xfId="0" applyFill="1" applyBorder="1" applyAlignment="1">
      <alignment horizontal="left"/>
    </xf>
    <xf numFmtId="41" fontId="0" fillId="10" borderId="6" xfId="0" applyNumberFormat="1" applyFill="1" applyBorder="1" applyAlignment="1">
      <alignment horizontal="right"/>
    </xf>
    <xf numFmtId="14" fontId="0" fillId="0" borderId="0" xfId="0" applyNumberFormat="1" applyAlignment="1">
      <alignment horizontal="left"/>
    </xf>
    <xf numFmtId="41" fontId="0" fillId="10" borderId="2" xfId="1" applyFont="1" applyFill="1" applyBorder="1" applyAlignment="1">
      <alignment horizontal="center"/>
    </xf>
    <xf numFmtId="0" fontId="0" fillId="10" borderId="3" xfId="0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14" fontId="0" fillId="10" borderId="3" xfId="0" applyNumberFormat="1" applyFill="1" applyBorder="1" applyAlignment="1">
      <alignment horizontal="left"/>
    </xf>
    <xf numFmtId="14" fontId="0" fillId="10" borderId="7" xfId="0" applyNumberFormat="1" applyFill="1" applyBorder="1" applyAlignment="1">
      <alignment horizontal="left"/>
    </xf>
    <xf numFmtId="41" fontId="0" fillId="10" borderId="3" xfId="1" applyFont="1" applyFill="1" applyBorder="1" applyAlignment="1">
      <alignment horizontal="center"/>
    </xf>
    <xf numFmtId="41" fontId="0" fillId="10" borderId="7" xfId="1" applyFont="1" applyFill="1" applyBorder="1" applyAlignment="1">
      <alignment horizontal="center"/>
    </xf>
    <xf numFmtId="41" fontId="0" fillId="10" borderId="2" xfId="1" applyFont="1" applyFill="1" applyBorder="1"/>
    <xf numFmtId="0" fontId="0" fillId="14" borderId="2" xfId="0" applyFill="1" applyBorder="1"/>
    <xf numFmtId="14" fontId="0" fillId="14" borderId="2" xfId="0" applyNumberFormat="1" applyFill="1" applyBorder="1" applyAlignment="1">
      <alignment horizontal="left"/>
    </xf>
    <xf numFmtId="41" fontId="0" fillId="14" borderId="2" xfId="1" applyFont="1" applyFill="1" applyBorder="1"/>
    <xf numFmtId="14" fontId="0" fillId="10" borderId="2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14" fontId="0" fillId="15" borderId="2" xfId="0" applyNumberForma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41" fontId="0" fillId="0" borderId="1" xfId="1" applyFont="1" applyBorder="1"/>
    <xf numFmtId="41" fontId="2" fillId="4" borderId="2" xfId="0" applyNumberFormat="1" applyFont="1" applyFill="1" applyBorder="1"/>
    <xf numFmtId="41" fontId="0" fillId="7" borderId="2" xfId="1" applyFont="1" applyFill="1" applyBorder="1" applyAlignment="1">
      <alignment horizontal="right"/>
    </xf>
    <xf numFmtId="41" fontId="0" fillId="13" borderId="2" xfId="1" applyFont="1" applyFill="1" applyBorder="1" applyAlignment="1">
      <alignment horizontal="right"/>
    </xf>
    <xf numFmtId="14" fontId="0" fillId="7" borderId="5" xfId="0" applyNumberFormat="1" applyFill="1" applyBorder="1" applyAlignment="1">
      <alignment horizontal="left"/>
    </xf>
    <xf numFmtId="14" fontId="0" fillId="16" borderId="2" xfId="0" applyNumberFormat="1" applyFill="1" applyBorder="1" applyAlignment="1">
      <alignment horizontal="center"/>
    </xf>
    <xf numFmtId="0" fontId="0" fillId="2" borderId="3" xfId="0" applyFill="1" applyBorder="1"/>
    <xf numFmtId="41" fontId="0" fillId="10" borderId="4" xfId="1" applyFont="1" applyFill="1" applyBorder="1"/>
    <xf numFmtId="0" fontId="0" fillId="9" borderId="5" xfId="0" applyFill="1" applyBorder="1" applyAlignment="1">
      <alignment horizontal="center"/>
    </xf>
    <xf numFmtId="14" fontId="0" fillId="7" borderId="6" xfId="0" applyNumberFormat="1" applyFill="1" applyBorder="1" applyAlignment="1">
      <alignment horizontal="left"/>
    </xf>
    <xf numFmtId="0" fontId="0" fillId="7" borderId="6" xfId="0" applyFill="1" applyBorder="1" applyAlignment="1">
      <alignment horizontal="left"/>
    </xf>
    <xf numFmtId="41" fontId="0" fillId="7" borderId="6" xfId="0" applyNumberFormat="1" applyFill="1" applyBorder="1" applyAlignment="1">
      <alignment horizontal="center"/>
    </xf>
    <xf numFmtId="14" fontId="0" fillId="7" borderId="7" xfId="0" applyNumberFormat="1" applyFill="1" applyBorder="1" applyAlignment="1">
      <alignment horizontal="left"/>
    </xf>
    <xf numFmtId="0" fontId="0" fillId="7" borderId="7" xfId="0" applyFill="1" applyBorder="1"/>
    <xf numFmtId="41" fontId="0" fillId="7" borderId="7" xfId="0" applyNumberFormat="1" applyFill="1" applyBorder="1"/>
    <xf numFmtId="41" fontId="0" fillId="0" borderId="8" xfId="0" applyNumberFormat="1" applyBorder="1"/>
    <xf numFmtId="15" fontId="4" fillId="11" borderId="2" xfId="0" applyNumberFormat="1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41" fontId="4" fillId="11" borderId="2" xfId="0" applyNumberFormat="1" applyFont="1" applyFill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left"/>
    </xf>
    <xf numFmtId="41" fontId="0" fillId="5" borderId="2" xfId="1" applyFont="1" applyFill="1" applyBorder="1" applyAlignment="1">
      <alignment horizontal="center"/>
    </xf>
    <xf numFmtId="41" fontId="1" fillId="10" borderId="4" xfId="1" applyFont="1" applyFill="1" applyBorder="1" applyAlignment="1">
      <alignment horizontal="center"/>
    </xf>
    <xf numFmtId="41" fontId="0" fillId="5" borderId="4" xfId="0" applyNumberFormat="1" applyFill="1" applyBorder="1"/>
    <xf numFmtId="41" fontId="0" fillId="5" borderId="4" xfId="1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14" fontId="0" fillId="9" borderId="5" xfId="0" applyNumberFormat="1" applyFill="1" applyBorder="1" applyAlignment="1">
      <alignment horizontal="center"/>
    </xf>
    <xf numFmtId="0" fontId="0" fillId="16" borderId="6" xfId="0" applyFill="1" applyBorder="1"/>
    <xf numFmtId="0" fontId="0" fillId="7" borderId="7" xfId="0" applyFill="1" applyBorder="1" applyAlignment="1">
      <alignment horizontal="left"/>
    </xf>
    <xf numFmtId="41" fontId="0" fillId="7" borderId="7" xfId="1" applyFont="1" applyFill="1" applyBorder="1" applyAlignment="1">
      <alignment horizontal="center"/>
    </xf>
    <xf numFmtId="14" fontId="0" fillId="5" borderId="2" xfId="0" applyNumberFormat="1" applyFill="1" applyBorder="1" applyAlignment="1">
      <alignment horizontal="left"/>
    </xf>
    <xf numFmtId="0" fontId="0" fillId="9" borderId="4" xfId="0" applyFill="1" applyBorder="1" applyAlignment="1">
      <alignment horizontal="center"/>
    </xf>
    <xf numFmtId="14" fontId="0" fillId="15" borderId="6" xfId="0" applyNumberFormat="1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41" fontId="0" fillId="15" borderId="6" xfId="1" applyFont="1" applyFill="1" applyBorder="1" applyAlignment="1">
      <alignment horizontal="center"/>
    </xf>
    <xf numFmtId="14" fontId="0" fillId="8" borderId="7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1" fontId="0" fillId="5" borderId="2" xfId="1" applyFont="1" applyFill="1" applyBorder="1" applyAlignment="1">
      <alignment horizontal="right"/>
    </xf>
    <xf numFmtId="41" fontId="0" fillId="5" borderId="2" xfId="0" applyNumberFormat="1" applyFill="1" applyBorder="1" applyAlignment="1">
      <alignment horizontal="center"/>
    </xf>
    <xf numFmtId="15" fontId="0" fillId="5" borderId="2" xfId="0" applyNumberFormat="1" applyFill="1" applyBorder="1" applyAlignment="1">
      <alignment horizontal="left"/>
    </xf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41" fontId="0" fillId="2" borderId="3" xfId="1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41" fontId="0" fillId="8" borderId="4" xfId="0" applyNumberFormat="1" applyFill="1" applyBorder="1" applyAlignment="1">
      <alignment horizontal="center"/>
    </xf>
    <xf numFmtId="41" fontId="0" fillId="7" borderId="6" xfId="1" applyFont="1" applyFill="1" applyBorder="1" applyAlignment="1">
      <alignment horizontal="center"/>
    </xf>
    <xf numFmtId="15" fontId="0" fillId="7" borderId="7" xfId="0" applyNumberFormat="1" applyFill="1" applyBorder="1" applyAlignment="1">
      <alignment horizontal="left"/>
    </xf>
    <xf numFmtId="0" fontId="0" fillId="2" borderId="9" xfId="0" applyFill="1" applyBorder="1"/>
    <xf numFmtId="15" fontId="0" fillId="2" borderId="3" xfId="0" applyNumberFormat="1" applyFill="1" applyBorder="1" applyAlignment="1">
      <alignment horizontal="left"/>
    </xf>
    <xf numFmtId="41" fontId="0" fillId="2" borderId="3" xfId="0" applyNumberFormat="1" applyFill="1" applyBorder="1"/>
    <xf numFmtId="0" fontId="0" fillId="7" borderId="2" xfId="0" applyFill="1" applyBorder="1" applyAlignment="1">
      <alignment horizontal="left" wrapText="1"/>
    </xf>
    <xf numFmtId="14" fontId="0" fillId="8" borderId="2" xfId="0" applyNumberFormat="1" applyFill="1" applyBorder="1" applyAlignment="1">
      <alignment horizontal="center"/>
    </xf>
    <xf numFmtId="41" fontId="0" fillId="9" borderId="2" xfId="0" applyNumberFormat="1" applyFill="1" applyBorder="1" applyAlignment="1">
      <alignment horizontal="center"/>
    </xf>
    <xf numFmtId="15" fontId="4" fillId="9" borderId="2" xfId="0" applyNumberFormat="1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41" fontId="4" fillId="9" borderId="2" xfId="0" applyNumberFormat="1" applyFont="1" applyFill="1" applyBorder="1" applyAlignment="1">
      <alignment horizontal="center"/>
    </xf>
    <xf numFmtId="0" fontId="4" fillId="11" borderId="2" xfId="0" applyFont="1" applyFill="1" applyBorder="1" applyAlignment="1">
      <alignment horizontal="left"/>
    </xf>
    <xf numFmtId="14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1" fontId="0" fillId="3" borderId="3" xfId="1" applyFont="1" applyFill="1" applyBorder="1"/>
    <xf numFmtId="41" fontId="0" fillId="2" borderId="3" xfId="1" applyFont="1" applyFill="1" applyBorder="1"/>
    <xf numFmtId="41" fontId="1" fillId="7" borderId="2" xfId="1" applyFont="1" applyFill="1" applyBorder="1" applyAlignment="1">
      <alignment horizontal="center"/>
    </xf>
    <xf numFmtId="14" fontId="0" fillId="16" borderId="6" xfId="0" applyNumberFormat="1" applyFill="1" applyBorder="1" applyAlignment="1">
      <alignment horizontal="left"/>
    </xf>
    <xf numFmtId="14" fontId="0" fillId="16" borderId="7" xfId="0" applyNumberFormat="1" applyFill="1" applyBorder="1" applyAlignment="1">
      <alignment horizontal="left"/>
    </xf>
    <xf numFmtId="41" fontId="0" fillId="16" borderId="6" xfId="0" applyNumberFormat="1" applyFill="1" applyBorder="1" applyAlignment="1">
      <alignment horizontal="right"/>
    </xf>
    <xf numFmtId="41" fontId="0" fillId="2" borderId="3" xfId="1" applyFont="1" applyFill="1" applyBorder="1" applyAlignment="1">
      <alignment horizontal="right"/>
    </xf>
    <xf numFmtId="41" fontId="0" fillId="2" borderId="3" xfId="0" applyNumberFormat="1" applyFill="1" applyBorder="1" applyAlignment="1">
      <alignment horizontal="right"/>
    </xf>
    <xf numFmtId="41" fontId="0" fillId="7" borderId="7" xfId="1" applyFont="1" applyFill="1" applyBorder="1" applyAlignment="1">
      <alignment horizontal="right"/>
    </xf>
    <xf numFmtId="14" fontId="0" fillId="5" borderId="2" xfId="0" applyNumberFormat="1" applyFill="1" applyBorder="1" applyAlignment="1">
      <alignment horizontal="center"/>
    </xf>
    <xf numFmtId="14" fontId="0" fillId="5" borderId="0" xfId="0" applyNumberFormat="1" applyFill="1" applyAlignment="1">
      <alignment horizontal="center"/>
    </xf>
    <xf numFmtId="41" fontId="0" fillId="5" borderId="0" xfId="0" applyNumberFormat="1" applyFill="1"/>
    <xf numFmtId="0" fontId="0" fillId="5" borderId="3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3" xfId="0" applyFill="1" applyBorder="1"/>
    <xf numFmtId="0" fontId="0" fillId="10" borderId="10" xfId="0" applyFill="1" applyBorder="1" applyAlignment="1">
      <alignment horizontal="left"/>
    </xf>
    <xf numFmtId="41" fontId="1" fillId="8" borderId="2" xfId="1" applyFont="1" applyFill="1" applyBorder="1" applyAlignment="1">
      <alignment horizontal="center"/>
    </xf>
    <xf numFmtId="0" fontId="0" fillId="14" borderId="0" xfId="0" applyFill="1"/>
    <xf numFmtId="14" fontId="0" fillId="14" borderId="2" xfId="0" applyNumberFormat="1" applyFill="1" applyBorder="1" applyAlignment="1">
      <alignment horizontal="center"/>
    </xf>
    <xf numFmtId="41" fontId="0" fillId="14" borderId="0" xfId="1" applyFont="1" applyFill="1"/>
    <xf numFmtId="41" fontId="0" fillId="5" borderId="3" xfId="0" applyNumberFormat="1" applyFill="1" applyBorder="1"/>
    <xf numFmtId="14" fontId="0" fillId="5" borderId="3" xfId="0" applyNumberFormat="1" applyFill="1" applyBorder="1" applyAlignment="1">
      <alignment horizontal="center"/>
    </xf>
    <xf numFmtId="41" fontId="2" fillId="0" borderId="0" xfId="0" applyNumberFormat="1" applyFont="1"/>
    <xf numFmtId="0" fontId="0" fillId="15" borderId="6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41" fontId="0" fillId="8" borderId="7" xfId="0" applyNumberFormat="1" applyFill="1" applyBorder="1" applyAlignment="1">
      <alignment horizontal="center"/>
    </xf>
    <xf numFmtId="14" fontId="0" fillId="2" borderId="9" xfId="0" applyNumberFormat="1" applyFill="1" applyBorder="1" applyAlignment="1">
      <alignment horizontal="left"/>
    </xf>
    <xf numFmtId="41" fontId="0" fillId="2" borderId="9" xfId="0" applyNumberFormat="1" applyFill="1" applyBorder="1"/>
    <xf numFmtId="14" fontId="5" fillId="7" borderId="2" xfId="0" applyNumberFormat="1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41" fontId="5" fillId="7" borderId="2" xfId="1" applyFont="1" applyFill="1" applyBorder="1" applyAlignment="1">
      <alignment horizontal="center"/>
    </xf>
    <xf numFmtId="14" fontId="5" fillId="8" borderId="2" xfId="0" applyNumberFormat="1" applyFont="1" applyFill="1" applyBorder="1" applyAlignment="1">
      <alignment horizontal="center"/>
    </xf>
    <xf numFmtId="0" fontId="5" fillId="8" borderId="2" xfId="0" applyFont="1" applyFill="1" applyBorder="1" applyAlignment="1">
      <alignment horizontal="left"/>
    </xf>
    <xf numFmtId="41" fontId="5" fillId="8" borderId="2" xfId="1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14" fontId="5" fillId="10" borderId="2" xfId="0" applyNumberFormat="1" applyFont="1" applyFill="1" applyBorder="1" applyAlignment="1">
      <alignment horizontal="center"/>
    </xf>
    <xf numFmtId="0" fontId="5" fillId="10" borderId="2" xfId="0" applyFont="1" applyFill="1" applyBorder="1" applyAlignment="1">
      <alignment horizontal="left"/>
    </xf>
    <xf numFmtId="41" fontId="5" fillId="10" borderId="2" xfId="0" applyNumberFormat="1" applyFont="1" applyFill="1" applyBorder="1" applyAlignment="1">
      <alignment horizontal="center"/>
    </xf>
    <xf numFmtId="41" fontId="5" fillId="7" borderId="2" xfId="1" applyFont="1" applyFill="1" applyBorder="1" applyAlignment="1">
      <alignment horizontal="right"/>
    </xf>
    <xf numFmtId="0" fontId="5" fillId="7" borderId="2" xfId="0" applyFont="1" applyFill="1" applyBorder="1" applyAlignment="1">
      <alignment horizontal="center"/>
    </xf>
    <xf numFmtId="0" fontId="0" fillId="14" borderId="6" xfId="0" applyFill="1" applyBorder="1"/>
    <xf numFmtId="41" fontId="0" fillId="14" borderId="6" xfId="0" applyNumberFormat="1" applyFill="1" applyBorder="1" applyAlignment="1">
      <alignment horizontal="right"/>
    </xf>
    <xf numFmtId="14" fontId="0" fillId="2" borderId="11" xfId="0" applyNumberFormat="1" applyFill="1" applyBorder="1" applyAlignment="1">
      <alignment horizontal="left"/>
    </xf>
    <xf numFmtId="0" fontId="0" fillId="2" borderId="11" xfId="0" applyFill="1" applyBorder="1"/>
    <xf numFmtId="41" fontId="0" fillId="2" borderId="11" xfId="1" applyFont="1" applyFill="1" applyBorder="1" applyAlignment="1">
      <alignment horizontal="right"/>
    </xf>
    <xf numFmtId="0" fontId="0" fillId="16" borderId="2" xfId="0" applyFill="1" applyBorder="1"/>
    <xf numFmtId="41" fontId="2" fillId="17" borderId="2" xfId="0" applyNumberFormat="1" applyFont="1" applyFill="1" applyBorder="1"/>
    <xf numFmtId="41" fontId="0" fillId="11" borderId="2" xfId="1" applyFont="1" applyFill="1" applyBorder="1" applyAlignment="1">
      <alignment horizontal="right"/>
    </xf>
    <xf numFmtId="0" fontId="0" fillId="6" borderId="0" xfId="0" applyFill="1"/>
    <xf numFmtId="0" fontId="0" fillId="0" borderId="1" xfId="0" applyBorder="1"/>
    <xf numFmtId="0" fontId="0" fillId="18" borderId="0" xfId="0" applyFill="1"/>
    <xf numFmtId="41" fontId="0" fillId="18" borderId="0" xfId="0" applyNumberFormat="1" applyFill="1"/>
    <xf numFmtId="41" fontId="0" fillId="10" borderId="2" xfId="0" applyNumberFormat="1" applyFill="1" applyBorder="1" applyAlignment="1">
      <alignment horizontal="right"/>
    </xf>
    <xf numFmtId="0" fontId="0" fillId="13" borderId="6" xfId="0" applyFill="1" applyBorder="1" applyAlignment="1">
      <alignment horizontal="left"/>
    </xf>
    <xf numFmtId="41" fontId="0" fillId="13" borderId="6" xfId="1" applyFont="1" applyFill="1" applyBorder="1" applyAlignment="1">
      <alignment horizontal="right"/>
    </xf>
    <xf numFmtId="14" fontId="0" fillId="0" borderId="0" xfId="0" applyNumberFormat="1"/>
    <xf numFmtId="9" fontId="0" fillId="0" borderId="0" xfId="0" applyNumberFormat="1"/>
    <xf numFmtId="41" fontId="0" fillId="8" borderId="4" xfId="1" applyFont="1" applyFill="1" applyBorder="1" applyAlignment="1">
      <alignment horizontal="right"/>
    </xf>
    <xf numFmtId="41" fontId="1" fillId="8" borderId="2" xfId="1" applyFont="1" applyFill="1" applyBorder="1" applyAlignment="1">
      <alignment horizontal="left"/>
    </xf>
    <xf numFmtId="0" fontId="2" fillId="8" borderId="6" xfId="0" applyFont="1" applyFill="1" applyBorder="1" applyAlignment="1">
      <alignment horizontal="center"/>
    </xf>
    <xf numFmtId="41" fontId="2" fillId="11" borderId="2" xfId="1" applyFont="1" applyFill="1" applyBorder="1" applyAlignment="1">
      <alignment horizontal="center"/>
    </xf>
    <xf numFmtId="41" fontId="2" fillId="10" borderId="2" xfId="0" applyNumberFormat="1" applyFont="1" applyFill="1" applyBorder="1" applyAlignment="1">
      <alignment horizontal="center"/>
    </xf>
    <xf numFmtId="41" fontId="2" fillId="7" borderId="2" xfId="1" applyFont="1" applyFill="1" applyBorder="1" applyAlignment="1">
      <alignment horizontal="center"/>
    </xf>
    <xf numFmtId="41" fontId="2" fillId="8" borderId="2" xfId="0" applyNumberFormat="1" applyFont="1" applyFill="1" applyBorder="1" applyAlignment="1">
      <alignment horizontal="center"/>
    </xf>
    <xf numFmtId="41" fontId="0" fillId="11" borderId="4" xfId="1" applyFont="1" applyFill="1" applyBorder="1" applyAlignment="1">
      <alignment horizontal="center"/>
    </xf>
    <xf numFmtId="14" fontId="0" fillId="7" borderId="5" xfId="0" applyNumberFormat="1" applyFill="1" applyBorder="1" applyAlignment="1">
      <alignment horizontal="center"/>
    </xf>
    <xf numFmtId="14" fontId="0" fillId="10" borderId="6" xfId="0" applyNumberFormat="1" applyFill="1" applyBorder="1" applyAlignment="1">
      <alignment horizontal="center"/>
    </xf>
    <xf numFmtId="41" fontId="0" fillId="10" borderId="6" xfId="0" applyNumberFormat="1" applyFill="1" applyBorder="1" applyAlignment="1">
      <alignment horizontal="center"/>
    </xf>
    <xf numFmtId="14" fontId="0" fillId="5" borderId="12" xfId="0" applyNumberFormat="1" applyFill="1" applyBorder="1" applyAlignment="1">
      <alignment horizontal="center"/>
    </xf>
    <xf numFmtId="0" fontId="0" fillId="5" borderId="11" xfId="0" applyFill="1" applyBorder="1"/>
    <xf numFmtId="41" fontId="2" fillId="11" borderId="2" xfId="0" applyNumberFormat="1" applyFont="1" applyFill="1" applyBorder="1" applyAlignment="1">
      <alignment horizontal="center"/>
    </xf>
    <xf numFmtId="41" fontId="2" fillId="13" borderId="2" xfId="1" applyFont="1" applyFill="1" applyBorder="1" applyAlignment="1">
      <alignment horizontal="center"/>
    </xf>
    <xf numFmtId="41" fontId="2" fillId="9" borderId="2" xfId="0" applyNumberFormat="1" applyFont="1" applyFill="1" applyBorder="1" applyAlignment="1">
      <alignment horizontal="center"/>
    </xf>
    <xf numFmtId="0" fontId="2" fillId="15" borderId="13" xfId="1" applyNumberFormat="1" applyFont="1" applyFill="1" applyBorder="1" applyAlignment="1">
      <alignment horizontal="center"/>
    </xf>
    <xf numFmtId="14" fontId="4" fillId="7" borderId="2" xfId="0" applyNumberFormat="1" applyFont="1" applyFill="1" applyBorder="1" applyAlignment="1">
      <alignment horizontal="center"/>
    </xf>
    <xf numFmtId="0" fontId="4" fillId="7" borderId="2" xfId="0" applyFont="1" applyFill="1" applyBorder="1" applyAlignment="1">
      <alignment horizontal="left"/>
    </xf>
    <xf numFmtId="41" fontId="4" fillId="7" borderId="2" xfId="1" applyFont="1" applyFill="1" applyBorder="1" applyAlignment="1">
      <alignment horizontal="center"/>
    </xf>
    <xf numFmtId="14" fontId="0" fillId="8" borderId="6" xfId="0" applyNumberForma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14" fontId="4" fillId="11" borderId="2" xfId="0" applyNumberFormat="1" applyFont="1" applyFill="1" applyBorder="1" applyAlignment="1">
      <alignment horizontal="center"/>
    </xf>
    <xf numFmtId="41" fontId="4" fillId="11" borderId="2" xfId="1" applyFont="1" applyFill="1" applyBorder="1" applyAlignment="1">
      <alignment horizontal="center"/>
    </xf>
    <xf numFmtId="14" fontId="0" fillId="10" borderId="7" xfId="0" applyNumberFormat="1" applyFill="1" applyBorder="1" applyAlignment="1">
      <alignment horizontal="center"/>
    </xf>
    <xf numFmtId="41" fontId="0" fillId="10" borderId="7" xfId="0" applyNumberFormat="1" applyFill="1" applyBorder="1" applyAlignment="1">
      <alignment horizontal="center"/>
    </xf>
    <xf numFmtId="41" fontId="0" fillId="18" borderId="0" xfId="1" applyFont="1" applyFill="1"/>
    <xf numFmtId="41" fontId="6" fillId="5" borderId="0" xfId="0" quotePrefix="1" applyNumberFormat="1" applyFont="1" applyFill="1"/>
    <xf numFmtId="0" fontId="0" fillId="8" borderId="2" xfId="0" applyFill="1" applyBorder="1" applyAlignment="1">
      <alignment horizontal="left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1" fontId="0" fillId="0" borderId="0" xfId="0" applyNumberFormat="1" applyAlignment="1">
      <alignment horizontal="center"/>
    </xf>
    <xf numFmtId="41" fontId="0" fillId="0" borderId="0" xfId="0" applyNumberFormat="1" applyAlignment="1">
      <alignment horizontal="right"/>
    </xf>
    <xf numFmtId="41" fontId="0" fillId="8" borderId="6" xfId="0" applyNumberFormat="1" applyFill="1" applyBorder="1" applyAlignment="1">
      <alignment horizontal="center"/>
    </xf>
    <xf numFmtId="14" fontId="2" fillId="11" borderId="2" xfId="0" applyNumberFormat="1" applyFont="1" applyFill="1" applyBorder="1" applyAlignment="1">
      <alignment horizontal="center"/>
    </xf>
    <xf numFmtId="0" fontId="2" fillId="11" borderId="2" xfId="0" applyFont="1" applyFill="1" applyBorder="1" applyAlignment="1">
      <alignment horizontal="left"/>
    </xf>
    <xf numFmtId="41" fontId="0" fillId="10" borderId="3" xfId="0" applyNumberFormat="1" applyFill="1" applyBorder="1" applyAlignment="1">
      <alignment horizontal="center"/>
    </xf>
    <xf numFmtId="14" fontId="0" fillId="7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left"/>
    </xf>
    <xf numFmtId="41" fontId="0" fillId="7" borderId="3" xfId="1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14" fontId="0" fillId="8" borderId="3" xfId="0" applyNumberForma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1" fontId="0" fillId="8" borderId="3" xfId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4" fontId="0" fillId="7" borderId="6" xfId="0" applyNumberForma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41" fontId="0" fillId="8" borderId="6" xfId="1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0" borderId="9" xfId="0" applyFill="1" applyBorder="1" applyAlignment="1">
      <alignment horizontal="left"/>
    </xf>
    <xf numFmtId="41" fontId="0" fillId="10" borderId="9" xfId="0" applyNumberFormat="1" applyFill="1" applyBorder="1" applyAlignment="1">
      <alignment horizontal="center"/>
    </xf>
    <xf numFmtId="14" fontId="0" fillId="7" borderId="9" xfId="0" applyNumberFormat="1" applyFill="1" applyBorder="1" applyAlignment="1">
      <alignment horizontal="center"/>
    </xf>
    <xf numFmtId="0" fontId="0" fillId="7" borderId="9" xfId="0" applyFill="1" applyBorder="1" applyAlignment="1">
      <alignment horizontal="left"/>
    </xf>
    <xf numFmtId="41" fontId="0" fillId="7" borderId="9" xfId="1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14" fontId="0" fillId="8" borderId="9" xfId="0" applyNumberForma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41" fontId="0" fillId="8" borderId="9" xfId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41" fontId="2" fillId="17" borderId="2" xfId="0" applyNumberFormat="1" applyFont="1" applyFill="1" applyBorder="1" applyAlignment="1">
      <alignment horizontal="center"/>
    </xf>
    <xf numFmtId="41" fontId="1" fillId="11" borderId="4" xfId="1" applyFont="1" applyFill="1" applyBorder="1" applyAlignment="1">
      <alignment horizontal="center"/>
    </xf>
    <xf numFmtId="14" fontId="0" fillId="11" borderId="6" xfId="0" applyNumberFormat="1" applyFill="1" applyBorder="1" applyAlignment="1">
      <alignment horizontal="center"/>
    </xf>
    <xf numFmtId="0" fontId="0" fillId="11" borderId="6" xfId="0" applyFill="1" applyBorder="1" applyAlignment="1">
      <alignment horizontal="left"/>
    </xf>
    <xf numFmtId="41" fontId="1" fillId="11" borderId="6" xfId="1" applyFont="1" applyFill="1" applyBorder="1" applyAlignment="1">
      <alignment horizontal="center"/>
    </xf>
    <xf numFmtId="14" fontId="0" fillId="11" borderId="3" xfId="0" applyNumberFormat="1" applyFill="1" applyBorder="1" applyAlignment="1">
      <alignment horizontal="center"/>
    </xf>
    <xf numFmtId="0" fontId="0" fillId="11" borderId="3" xfId="0" applyFill="1" applyBorder="1" applyAlignment="1">
      <alignment horizontal="left"/>
    </xf>
    <xf numFmtId="41" fontId="1" fillId="11" borderId="3" xfId="1" applyFont="1" applyFill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0" fontId="0" fillId="11" borderId="9" xfId="0" applyFill="1" applyBorder="1" applyAlignment="1">
      <alignment horizontal="left"/>
    </xf>
    <xf numFmtId="41" fontId="1" fillId="11" borderId="9" xfId="1" applyFont="1" applyFill="1" applyBorder="1" applyAlignment="1">
      <alignment horizontal="center"/>
    </xf>
    <xf numFmtId="42" fontId="0" fillId="0" borderId="0" xfId="0" applyNumberFormat="1"/>
    <xf numFmtId="42" fontId="0" fillId="0" borderId="8" xfId="0" applyNumberFormat="1" applyBorder="1"/>
    <xf numFmtId="41" fontId="2" fillId="15" borderId="13" xfId="1" applyFont="1" applyFill="1" applyBorder="1" applyAlignment="1">
      <alignment horizontal="center"/>
    </xf>
    <xf numFmtId="41" fontId="5" fillId="0" borderId="0" xfId="0" applyNumberFormat="1" applyFont="1"/>
    <xf numFmtId="0" fontId="0" fillId="6" borderId="3" xfId="0" applyFill="1" applyBorder="1"/>
    <xf numFmtId="0" fontId="0" fillId="11" borderId="3" xfId="0" applyFill="1" applyBorder="1"/>
    <xf numFmtId="14" fontId="4" fillId="11" borderId="3" xfId="0" applyNumberFormat="1" applyFont="1" applyFill="1" applyBorder="1" applyAlignment="1">
      <alignment horizontal="center"/>
    </xf>
    <xf numFmtId="0" fontId="4" fillId="11" borderId="3" xfId="0" applyFont="1" applyFill="1" applyBorder="1" applyAlignment="1">
      <alignment horizontal="left"/>
    </xf>
    <xf numFmtId="41" fontId="4" fillId="11" borderId="3" xfId="1" applyFont="1" applyFill="1" applyBorder="1" applyAlignment="1">
      <alignment horizontal="center"/>
    </xf>
    <xf numFmtId="14" fontId="0" fillId="5" borderId="14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10" borderId="5" xfId="0" applyNumberFormat="1" applyFill="1" applyBorder="1" applyAlignment="1">
      <alignment horizontal="center"/>
    </xf>
    <xf numFmtId="14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left"/>
    </xf>
    <xf numFmtId="41" fontId="1" fillId="11" borderId="7" xfId="1" applyFont="1" applyFill="1" applyBorder="1" applyAlignment="1">
      <alignment horizontal="center"/>
    </xf>
    <xf numFmtId="14" fontId="0" fillId="6" borderId="3" xfId="0" applyNumberFormat="1" applyFill="1" applyBorder="1" applyAlignment="1">
      <alignment horizontal="center"/>
    </xf>
    <xf numFmtId="41" fontId="0" fillId="6" borderId="3" xfId="0" applyNumberFormat="1" applyFill="1" applyBorder="1"/>
    <xf numFmtId="0" fontId="0" fillId="0" borderId="0" xfId="0" applyAlignment="1">
      <alignment horizontal="center"/>
    </xf>
    <xf numFmtId="0" fontId="0" fillId="0" borderId="8" xfId="0" applyBorder="1"/>
    <xf numFmtId="0" fontId="3" fillId="0" borderId="0" xfId="0" applyFont="1" applyAlignment="1">
      <alignment horizontal="center"/>
    </xf>
    <xf numFmtId="14" fontId="2" fillId="11" borderId="2" xfId="0" applyNumberFormat="1" applyFont="1" applyFill="1" applyBorder="1" applyAlignment="1">
      <alignment horizontal="center"/>
    </xf>
    <xf numFmtId="14" fontId="2" fillId="10" borderId="2" xfId="0" applyNumberFormat="1" applyFont="1" applyFill="1" applyBorder="1" applyAlignment="1">
      <alignment horizontal="center"/>
    </xf>
    <xf numFmtId="14" fontId="2" fillId="7" borderId="2" xfId="0" applyNumberFormat="1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14" fontId="2" fillId="8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1" fontId="0" fillId="0" borderId="0" xfId="0" applyNumberFormat="1" applyAlignment="1">
      <alignment horizontal="center" vertical="center"/>
    </xf>
    <xf numFmtId="14" fontId="2" fillId="11" borderId="4" xfId="0" applyNumberFormat="1" applyFont="1" applyFill="1" applyBorder="1" applyAlignment="1">
      <alignment horizontal="center"/>
    </xf>
    <xf numFmtId="14" fontId="2" fillId="11" borderId="5" xfId="0" applyNumberFormat="1" applyFont="1" applyFill="1" applyBorder="1" applyAlignment="1">
      <alignment horizontal="center"/>
    </xf>
    <xf numFmtId="14" fontId="2" fillId="10" borderId="4" xfId="0" applyNumberFormat="1" applyFont="1" applyFill="1" applyBorder="1" applyAlignment="1">
      <alignment horizontal="center"/>
    </xf>
    <xf numFmtId="14" fontId="2" fillId="10" borderId="5" xfId="0" applyNumberFormat="1" applyFont="1" applyFill="1" applyBorder="1" applyAlignment="1">
      <alignment horizontal="center"/>
    </xf>
    <xf numFmtId="14" fontId="2" fillId="7" borderId="4" xfId="0" applyNumberFormat="1" applyFont="1" applyFill="1" applyBorder="1" applyAlignment="1">
      <alignment horizontal="center"/>
    </xf>
    <xf numFmtId="14" fontId="2" fillId="7" borderId="5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14" fontId="2" fillId="8" borderId="4" xfId="0" applyNumberFormat="1" applyFont="1" applyFill="1" applyBorder="1" applyAlignment="1">
      <alignment horizontal="center"/>
    </xf>
    <xf numFmtId="14" fontId="2" fillId="8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" fillId="13" borderId="4" xfId="0" applyNumberFormat="1" applyFont="1" applyFill="1" applyBorder="1" applyAlignment="1">
      <alignment horizontal="center"/>
    </xf>
    <xf numFmtId="14" fontId="2" fillId="13" borderId="5" xfId="0" applyNumberFormat="1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14" fontId="2" fillId="9" borderId="5" xfId="0" applyNumberFormat="1" applyFont="1" applyFill="1" applyBorder="1" applyAlignment="1">
      <alignment horizontal="center"/>
    </xf>
    <xf numFmtId="14" fontId="2" fillId="15" borderId="4" xfId="0" applyNumberFormat="1" applyFont="1" applyFill="1" applyBorder="1" applyAlignment="1">
      <alignment horizontal="center"/>
    </xf>
    <xf numFmtId="14" fontId="2" fillId="15" borderId="5" xfId="0" applyNumberFormat="1" applyFon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0C5C-EDD4-4347-9A70-5B5E6549ED7C}">
  <dimension ref="A1:R575"/>
  <sheetViews>
    <sheetView tabSelected="1" topLeftCell="A70" workbookViewId="0">
      <selection activeCell="H97" sqref="H97"/>
    </sheetView>
  </sheetViews>
  <sheetFormatPr defaultColWidth="11.42578125" defaultRowHeight="12.75" x14ac:dyDescent="0.2"/>
  <cols>
    <col min="1" max="1" width="20" customWidth="1"/>
    <col min="2" max="2" width="23.7109375" customWidth="1"/>
    <col min="3" max="3" width="16.140625" customWidth="1"/>
    <col min="5" max="5" width="25.85546875" customWidth="1"/>
    <col min="6" max="6" width="13" customWidth="1"/>
    <col min="8" max="8" width="28" customWidth="1"/>
    <col min="9" max="9" width="13.42578125" customWidth="1"/>
    <col min="14" max="14" width="20.140625" customWidth="1"/>
    <col min="15" max="15" width="14" customWidth="1"/>
    <col min="17" max="17" width="21.140625" customWidth="1"/>
    <col min="18" max="18" width="15.28515625" customWidth="1"/>
  </cols>
  <sheetData>
    <row r="1" spans="1:18" x14ac:dyDescent="0.2">
      <c r="A1" s="294" t="s">
        <v>0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</row>
    <row r="2" spans="1:18" x14ac:dyDescent="0.2">
      <c r="A2" s="294"/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</row>
    <row r="3" spans="1:18" x14ac:dyDescent="0.2">
      <c r="A3" s="59" t="s">
        <v>1</v>
      </c>
      <c r="B3" s="59" t="s">
        <v>2</v>
      </c>
      <c r="C3" s="59" t="s">
        <v>3</v>
      </c>
      <c r="D3" s="58" t="s">
        <v>1</v>
      </c>
      <c r="E3" s="58" t="s">
        <v>4</v>
      </c>
      <c r="F3" s="58" t="s">
        <v>3</v>
      </c>
      <c r="G3" s="55" t="s">
        <v>1</v>
      </c>
      <c r="H3" s="55" t="s">
        <v>5</v>
      </c>
      <c r="I3" s="55" t="s">
        <v>3</v>
      </c>
      <c r="J3" s="57" t="s">
        <v>1</v>
      </c>
      <c r="K3" s="57" t="s">
        <v>6</v>
      </c>
      <c r="L3" s="57" t="s">
        <v>3</v>
      </c>
      <c r="M3" s="56" t="s">
        <v>1</v>
      </c>
      <c r="N3" s="56" t="s">
        <v>7</v>
      </c>
      <c r="O3" s="56" t="s">
        <v>3</v>
      </c>
      <c r="P3" s="55" t="s">
        <v>1</v>
      </c>
      <c r="Q3" s="55" t="s">
        <v>8</v>
      </c>
      <c r="R3" s="55" t="s">
        <v>3</v>
      </c>
    </row>
    <row r="4" spans="1:18" x14ac:dyDescent="0.2">
      <c r="A4" s="42">
        <v>44589</v>
      </c>
      <c r="B4" s="41" t="s">
        <v>9</v>
      </c>
      <c r="C4" s="54">
        <v>500000</v>
      </c>
      <c r="D4" s="20">
        <v>44586</v>
      </c>
      <c r="E4" s="53" t="s">
        <v>10</v>
      </c>
      <c r="F4" s="52">
        <v>19000</v>
      </c>
      <c r="G4" s="17">
        <v>44606</v>
      </c>
      <c r="H4" s="34" t="s">
        <v>11</v>
      </c>
      <c r="I4" s="35">
        <v>600000</v>
      </c>
      <c r="J4" s="51">
        <v>44589</v>
      </c>
      <c r="K4" s="32" t="s">
        <v>12</v>
      </c>
      <c r="L4" s="50">
        <v>150000</v>
      </c>
      <c r="M4" s="28">
        <v>44586</v>
      </c>
      <c r="N4" s="46" t="s">
        <v>13</v>
      </c>
      <c r="O4" s="48">
        <v>10000</v>
      </c>
      <c r="P4" s="49">
        <v>44589</v>
      </c>
      <c r="Q4" s="30" t="s">
        <v>14</v>
      </c>
      <c r="R4" s="35">
        <v>75000</v>
      </c>
    </row>
    <row r="5" spans="1:18" x14ac:dyDescent="0.2">
      <c r="A5" s="42">
        <v>44589</v>
      </c>
      <c r="B5" s="41" t="s">
        <v>15</v>
      </c>
      <c r="C5" s="40">
        <v>150000</v>
      </c>
      <c r="D5" s="60">
        <v>44587</v>
      </c>
      <c r="E5" s="61" t="s">
        <v>16</v>
      </c>
      <c r="F5" s="62">
        <v>10000</v>
      </c>
      <c r="G5" s="17">
        <v>44589</v>
      </c>
      <c r="H5" s="34" t="s">
        <v>17</v>
      </c>
      <c r="I5" s="35">
        <v>102000</v>
      </c>
      <c r="J5" s="32"/>
      <c r="K5" s="32"/>
      <c r="L5" s="32"/>
      <c r="M5" s="28">
        <v>44586</v>
      </c>
      <c r="N5" s="46" t="s">
        <v>13</v>
      </c>
      <c r="O5" s="48">
        <v>10000</v>
      </c>
      <c r="P5" s="47">
        <v>44588</v>
      </c>
      <c r="Q5" s="30" t="s">
        <v>18</v>
      </c>
      <c r="R5" s="35">
        <v>19000</v>
      </c>
    </row>
    <row r="6" spans="1:18" x14ac:dyDescent="0.2">
      <c r="A6" s="42">
        <v>44589</v>
      </c>
      <c r="B6" s="41" t="s">
        <v>19</v>
      </c>
      <c r="C6" s="40">
        <v>1000000</v>
      </c>
      <c r="D6" s="60">
        <v>44587</v>
      </c>
      <c r="E6" s="61" t="s">
        <v>20</v>
      </c>
      <c r="F6" s="62">
        <v>12000</v>
      </c>
      <c r="G6" s="17">
        <v>44589</v>
      </c>
      <c r="H6" s="34" t="s">
        <v>21</v>
      </c>
      <c r="I6" s="43">
        <v>136430</v>
      </c>
      <c r="J6" s="32"/>
      <c r="K6" s="32"/>
      <c r="L6" s="32"/>
      <c r="M6" s="28">
        <v>44619</v>
      </c>
      <c r="N6" s="46" t="s">
        <v>13</v>
      </c>
      <c r="O6" s="45">
        <v>20000</v>
      </c>
      <c r="P6" s="47">
        <v>44606</v>
      </c>
      <c r="Q6" s="30" t="s">
        <v>22</v>
      </c>
      <c r="R6" s="35">
        <v>44916</v>
      </c>
    </row>
    <row r="7" spans="1:18" x14ac:dyDescent="0.2">
      <c r="A7" s="42">
        <v>44589</v>
      </c>
      <c r="B7" s="41" t="s">
        <v>23</v>
      </c>
      <c r="C7" s="40">
        <v>500000</v>
      </c>
      <c r="D7" s="60">
        <v>44587</v>
      </c>
      <c r="E7" s="61" t="s">
        <v>24</v>
      </c>
      <c r="F7" s="62">
        <v>5000</v>
      </c>
      <c r="G7" s="44">
        <v>44586</v>
      </c>
      <c r="H7" s="34" t="s">
        <v>25</v>
      </c>
      <c r="I7" s="36">
        <v>70000</v>
      </c>
      <c r="J7" s="32"/>
      <c r="K7" s="32"/>
      <c r="L7" s="32"/>
      <c r="M7" s="28">
        <v>44592</v>
      </c>
      <c r="N7" s="46" t="s">
        <v>26</v>
      </c>
      <c r="O7" s="48">
        <v>4000</v>
      </c>
      <c r="P7" s="47">
        <v>44606</v>
      </c>
      <c r="Q7" s="30" t="s">
        <v>27</v>
      </c>
      <c r="R7" s="35">
        <v>61000</v>
      </c>
    </row>
    <row r="8" spans="1:18" x14ac:dyDescent="0.2">
      <c r="A8" s="42">
        <v>44589</v>
      </c>
      <c r="B8" s="41" t="s">
        <v>28</v>
      </c>
      <c r="C8" s="40">
        <v>100000</v>
      </c>
      <c r="D8" s="60">
        <v>44587</v>
      </c>
      <c r="E8" s="61" t="s">
        <v>29</v>
      </c>
      <c r="F8" s="62">
        <v>10000</v>
      </c>
      <c r="G8" s="17">
        <v>44586</v>
      </c>
      <c r="H8" s="34" t="s">
        <v>30</v>
      </c>
      <c r="I8" s="43">
        <f>8000+11000</f>
        <v>19000</v>
      </c>
      <c r="J8" s="32"/>
      <c r="K8" s="32"/>
      <c r="L8" s="32"/>
      <c r="M8" s="28">
        <v>44597</v>
      </c>
      <c r="N8" s="46" t="s">
        <v>31</v>
      </c>
      <c r="O8" s="45">
        <v>4000</v>
      </c>
      <c r="P8" s="47">
        <v>44610</v>
      </c>
      <c r="Q8" s="30" t="s">
        <v>32</v>
      </c>
      <c r="R8" s="35">
        <v>15000</v>
      </c>
    </row>
    <row r="9" spans="1:18" x14ac:dyDescent="0.2">
      <c r="A9" s="42">
        <v>44589</v>
      </c>
      <c r="B9" s="41" t="s">
        <v>33</v>
      </c>
      <c r="C9" s="40">
        <v>100000</v>
      </c>
      <c r="D9" s="60">
        <v>44587</v>
      </c>
      <c r="E9" s="61" t="s">
        <v>34</v>
      </c>
      <c r="F9" s="62">
        <v>25000</v>
      </c>
      <c r="G9" s="17">
        <v>44591</v>
      </c>
      <c r="H9" s="34" t="s">
        <v>35</v>
      </c>
      <c r="I9" s="36">
        <v>20000</v>
      </c>
      <c r="J9" s="32"/>
      <c r="K9" s="32"/>
      <c r="L9" s="32"/>
      <c r="M9" s="28">
        <v>44595</v>
      </c>
      <c r="N9" s="46" t="s">
        <v>13</v>
      </c>
      <c r="O9" s="45">
        <v>20000</v>
      </c>
      <c r="P9" s="47">
        <v>44617</v>
      </c>
      <c r="Q9" s="30" t="s">
        <v>36</v>
      </c>
      <c r="R9" s="36">
        <v>49750</v>
      </c>
    </row>
    <row r="10" spans="1:18" x14ac:dyDescent="0.2">
      <c r="A10" s="65">
        <v>44592</v>
      </c>
      <c r="B10" s="41" t="s">
        <v>37</v>
      </c>
      <c r="C10" s="66">
        <v>25000</v>
      </c>
      <c r="D10" s="60">
        <v>44588</v>
      </c>
      <c r="E10" s="61" t="s">
        <v>38</v>
      </c>
      <c r="F10" s="63">
        <v>30000</v>
      </c>
      <c r="G10" s="17">
        <v>44592</v>
      </c>
      <c r="H10" s="34" t="s">
        <v>39</v>
      </c>
      <c r="I10" s="36">
        <v>45000</v>
      </c>
      <c r="J10" s="32"/>
      <c r="K10" s="32"/>
      <c r="L10" s="32"/>
      <c r="M10" s="28">
        <v>44599</v>
      </c>
      <c r="N10" s="46" t="s">
        <v>13</v>
      </c>
      <c r="O10" s="45">
        <v>20000</v>
      </c>
      <c r="P10" s="47">
        <v>44617</v>
      </c>
      <c r="Q10" s="30" t="s">
        <v>40</v>
      </c>
      <c r="R10" s="36">
        <v>24000</v>
      </c>
    </row>
    <row r="11" spans="1:18" x14ac:dyDescent="0.2">
      <c r="A11" s="65">
        <v>44592</v>
      </c>
      <c r="B11" s="41" t="s">
        <v>41</v>
      </c>
      <c r="C11" s="66">
        <v>15000</v>
      </c>
      <c r="D11" s="60">
        <v>44588</v>
      </c>
      <c r="E11" s="61" t="s">
        <v>42</v>
      </c>
      <c r="F11" s="63">
        <v>74000</v>
      </c>
      <c r="G11" s="17">
        <v>44593</v>
      </c>
      <c r="H11" s="34" t="s">
        <v>43</v>
      </c>
      <c r="I11" s="36">
        <v>3000</v>
      </c>
      <c r="J11" s="32"/>
      <c r="K11" s="32"/>
      <c r="L11" s="32"/>
      <c r="M11" s="28">
        <v>44615</v>
      </c>
      <c r="N11" s="46" t="s">
        <v>13</v>
      </c>
      <c r="O11" s="48">
        <v>20000</v>
      </c>
      <c r="P11" s="30"/>
      <c r="Q11" s="30"/>
      <c r="R11" s="30"/>
    </row>
    <row r="12" spans="1:18" x14ac:dyDescent="0.2">
      <c r="A12" s="65">
        <v>44596</v>
      </c>
      <c r="B12" s="41" t="s">
        <v>44</v>
      </c>
      <c r="C12" s="66">
        <v>100000</v>
      </c>
      <c r="D12" s="20">
        <v>44589</v>
      </c>
      <c r="E12" s="53" t="s">
        <v>45</v>
      </c>
      <c r="F12" s="52">
        <v>20000</v>
      </c>
      <c r="G12" s="17">
        <v>44593</v>
      </c>
      <c r="H12" s="34" t="s">
        <v>46</v>
      </c>
      <c r="I12" s="36">
        <v>100000</v>
      </c>
      <c r="J12" s="32"/>
      <c r="K12" s="32"/>
      <c r="L12" s="32"/>
      <c r="M12" s="28">
        <v>44615</v>
      </c>
      <c r="N12" s="31" t="s">
        <v>47</v>
      </c>
      <c r="O12" s="48">
        <v>2000</v>
      </c>
      <c r="P12" s="30"/>
      <c r="Q12" s="30"/>
      <c r="R12" s="30"/>
    </row>
    <row r="13" spans="1:18" x14ac:dyDescent="0.2">
      <c r="A13" s="65">
        <v>44598</v>
      </c>
      <c r="B13" s="41" t="s">
        <v>48</v>
      </c>
      <c r="C13" s="40">
        <v>100000</v>
      </c>
      <c r="D13" s="20">
        <v>44589</v>
      </c>
      <c r="E13" s="19" t="s">
        <v>49</v>
      </c>
      <c r="F13" s="52">
        <v>10000</v>
      </c>
      <c r="G13" s="17">
        <v>44594</v>
      </c>
      <c r="H13" s="34" t="s">
        <v>50</v>
      </c>
      <c r="I13" s="36">
        <v>105000</v>
      </c>
      <c r="J13" s="32"/>
      <c r="K13" s="32"/>
      <c r="L13" s="32"/>
      <c r="M13" s="31"/>
      <c r="N13" s="31"/>
      <c r="O13" s="31"/>
      <c r="P13" s="30"/>
      <c r="Q13" s="30"/>
      <c r="R13" s="30"/>
    </row>
    <row r="14" spans="1:18" x14ac:dyDescent="0.2">
      <c r="A14" s="33"/>
      <c r="B14" s="33"/>
      <c r="C14" s="33"/>
      <c r="D14" s="20">
        <v>44590</v>
      </c>
      <c r="E14" s="19" t="s">
        <v>51</v>
      </c>
      <c r="F14" s="52">
        <v>5000</v>
      </c>
      <c r="G14" s="17">
        <v>44599</v>
      </c>
      <c r="H14" s="34" t="s">
        <v>52</v>
      </c>
      <c r="I14" s="35">
        <v>24000</v>
      </c>
      <c r="J14" s="32"/>
      <c r="K14" s="32"/>
      <c r="L14" s="32"/>
      <c r="M14" s="31"/>
      <c r="N14" s="31"/>
      <c r="O14" s="31"/>
      <c r="P14" s="30"/>
      <c r="Q14" s="30"/>
      <c r="R14" s="30"/>
    </row>
    <row r="15" spans="1:18" x14ac:dyDescent="0.2">
      <c r="A15" s="33"/>
      <c r="B15" s="33"/>
      <c r="C15" s="33"/>
      <c r="D15" s="20">
        <v>44592</v>
      </c>
      <c r="E15" s="19" t="s">
        <v>53</v>
      </c>
      <c r="F15" s="52">
        <v>18000</v>
      </c>
      <c r="G15" s="17">
        <v>44594</v>
      </c>
      <c r="H15" s="34" t="s">
        <v>54</v>
      </c>
      <c r="I15" s="35">
        <v>43200</v>
      </c>
      <c r="J15" s="32"/>
      <c r="K15" s="32"/>
      <c r="L15" s="32"/>
      <c r="M15" s="31"/>
      <c r="N15" s="31"/>
      <c r="O15" s="31"/>
      <c r="P15" s="30"/>
      <c r="Q15" s="30"/>
      <c r="R15" s="30"/>
    </row>
    <row r="16" spans="1:18" x14ac:dyDescent="0.2">
      <c r="A16" s="33"/>
      <c r="B16" s="33"/>
      <c r="C16" s="33"/>
      <c r="D16" s="20">
        <v>44592</v>
      </c>
      <c r="E16" s="19" t="s">
        <v>55</v>
      </c>
      <c r="F16" s="52">
        <v>15000</v>
      </c>
      <c r="G16" s="17">
        <v>44607</v>
      </c>
      <c r="H16" s="34" t="s">
        <v>56</v>
      </c>
      <c r="I16" s="89">
        <f>35000+10000+5000</f>
        <v>50000</v>
      </c>
      <c r="J16" s="32"/>
      <c r="K16" s="32"/>
      <c r="L16" s="32"/>
      <c r="M16" s="31"/>
      <c r="N16" s="31"/>
      <c r="O16" s="31"/>
      <c r="P16" s="30"/>
      <c r="Q16" s="30"/>
      <c r="R16" s="30"/>
    </row>
    <row r="17" spans="1:18" x14ac:dyDescent="0.2">
      <c r="A17" s="33"/>
      <c r="B17" s="33"/>
      <c r="C17" s="33"/>
      <c r="D17" s="20">
        <v>44592</v>
      </c>
      <c r="E17" s="19" t="s">
        <v>57</v>
      </c>
      <c r="F17" s="52">
        <v>53000</v>
      </c>
      <c r="G17" s="17">
        <v>44608</v>
      </c>
      <c r="H17" s="34" t="s">
        <v>58</v>
      </c>
      <c r="I17" s="35">
        <v>28000</v>
      </c>
      <c r="J17" s="32"/>
      <c r="K17" s="32"/>
      <c r="L17" s="32"/>
      <c r="M17" s="31"/>
      <c r="N17" s="31"/>
      <c r="O17" s="31"/>
      <c r="P17" s="30"/>
      <c r="Q17" s="30"/>
      <c r="R17" s="30"/>
    </row>
    <row r="18" spans="1:18" x14ac:dyDescent="0.2">
      <c r="A18" s="33"/>
      <c r="B18" s="33"/>
      <c r="C18" s="33"/>
      <c r="D18" s="20">
        <v>44593</v>
      </c>
      <c r="E18" s="53" t="s">
        <v>59</v>
      </c>
      <c r="F18" s="52">
        <f>84000</f>
        <v>84000</v>
      </c>
      <c r="G18" s="17">
        <v>44609</v>
      </c>
      <c r="H18" s="34" t="s">
        <v>60</v>
      </c>
      <c r="I18" s="35">
        <v>17000</v>
      </c>
      <c r="J18" s="32"/>
      <c r="K18" s="32"/>
      <c r="L18" s="32"/>
      <c r="M18" s="31"/>
      <c r="N18" s="31"/>
      <c r="O18" s="31"/>
      <c r="P18" s="30"/>
      <c r="Q18" s="30"/>
      <c r="R18" s="30"/>
    </row>
    <row r="19" spans="1:18" x14ac:dyDescent="0.2">
      <c r="A19" s="33"/>
      <c r="B19" s="33"/>
      <c r="C19" s="33"/>
      <c r="D19" s="68">
        <v>44592</v>
      </c>
      <c r="E19" s="69" t="s">
        <v>61</v>
      </c>
      <c r="F19" s="70">
        <f>13000+13000</f>
        <v>26000</v>
      </c>
      <c r="G19" s="91">
        <v>44609</v>
      </c>
      <c r="H19" s="34" t="s">
        <v>62</v>
      </c>
      <c r="I19" s="35">
        <v>35000</v>
      </c>
      <c r="J19" s="32"/>
      <c r="K19" s="32"/>
      <c r="L19" s="32"/>
      <c r="M19" s="31"/>
      <c r="N19" s="31"/>
      <c r="O19" s="31"/>
      <c r="P19" s="30"/>
      <c r="Q19" s="30"/>
      <c r="R19" s="30"/>
    </row>
    <row r="20" spans="1:18" x14ac:dyDescent="0.2">
      <c r="A20" s="33"/>
      <c r="B20" s="33"/>
      <c r="C20" s="67"/>
      <c r="D20" s="75">
        <v>44595</v>
      </c>
      <c r="E20" s="73" t="s">
        <v>63</v>
      </c>
      <c r="F20" s="77">
        <f>12000+5000+13000</f>
        <v>30000</v>
      </c>
      <c r="G20" s="91">
        <v>44610</v>
      </c>
      <c r="H20" s="34" t="s">
        <v>64</v>
      </c>
      <c r="I20" s="35">
        <v>45000</v>
      </c>
      <c r="J20" s="32"/>
      <c r="K20" s="32"/>
      <c r="L20" s="32"/>
      <c r="M20" s="31"/>
      <c r="N20" s="31"/>
      <c r="O20" s="31"/>
      <c r="P20" s="30"/>
      <c r="Q20" s="30"/>
      <c r="R20" s="30"/>
    </row>
    <row r="21" spans="1:18" x14ac:dyDescent="0.2">
      <c r="A21" s="33"/>
      <c r="B21" s="33"/>
      <c r="C21" s="67"/>
      <c r="D21" s="76">
        <v>44596</v>
      </c>
      <c r="E21" s="74" t="s">
        <v>65</v>
      </c>
      <c r="F21" s="78">
        <f>12000+11000+26000</f>
        <v>49000</v>
      </c>
      <c r="G21" s="17">
        <v>44606</v>
      </c>
      <c r="H21" s="34" t="s">
        <v>66</v>
      </c>
      <c r="I21" s="35">
        <v>100000</v>
      </c>
      <c r="J21" s="32"/>
      <c r="K21" s="32"/>
      <c r="L21" s="32"/>
      <c r="M21" s="31"/>
      <c r="N21" s="31"/>
      <c r="O21" s="31"/>
      <c r="P21" s="30"/>
      <c r="Q21" s="30"/>
      <c r="R21" s="30"/>
    </row>
    <row r="22" spans="1:18" x14ac:dyDescent="0.2">
      <c r="A22" s="33"/>
      <c r="B22" s="33"/>
      <c r="C22" s="33"/>
      <c r="D22" s="20">
        <v>44597</v>
      </c>
      <c r="E22" s="53" t="s">
        <v>67</v>
      </c>
      <c r="F22" s="72">
        <v>40000</v>
      </c>
      <c r="G22" s="17">
        <v>44607</v>
      </c>
      <c r="H22" s="34" t="s">
        <v>68</v>
      </c>
      <c r="I22" s="35">
        <v>50000</v>
      </c>
      <c r="J22" s="32"/>
      <c r="K22" s="32"/>
      <c r="L22" s="32"/>
      <c r="M22" s="31"/>
      <c r="N22" s="31"/>
      <c r="O22" s="31"/>
      <c r="P22" s="30"/>
      <c r="Q22" s="30"/>
      <c r="R22" s="30"/>
    </row>
    <row r="23" spans="1:18" x14ac:dyDescent="0.2">
      <c r="A23" s="33"/>
      <c r="B23" s="33"/>
      <c r="C23" s="33"/>
      <c r="D23" s="20">
        <v>44598</v>
      </c>
      <c r="E23" s="53" t="s">
        <v>69</v>
      </c>
      <c r="F23" s="72">
        <v>100000</v>
      </c>
      <c r="G23" s="96">
        <v>44616</v>
      </c>
      <c r="H23" s="97" t="s">
        <v>70</v>
      </c>
      <c r="I23" s="98">
        <v>45000</v>
      </c>
      <c r="J23" s="32"/>
      <c r="K23" s="32"/>
      <c r="L23" s="32"/>
      <c r="M23" s="31"/>
      <c r="N23" s="31"/>
      <c r="O23" s="31"/>
      <c r="P23" s="30"/>
      <c r="Q23" s="30"/>
      <c r="R23" s="30"/>
    </row>
    <row r="24" spans="1:18" x14ac:dyDescent="0.2">
      <c r="A24" s="33"/>
      <c r="B24" s="33"/>
      <c r="C24" s="33"/>
      <c r="D24" s="20">
        <v>44598</v>
      </c>
      <c r="E24" s="53" t="s">
        <v>71</v>
      </c>
      <c r="F24" s="94">
        <v>50000</v>
      </c>
      <c r="G24" s="93"/>
      <c r="H24" s="93"/>
      <c r="I24" s="93"/>
      <c r="J24" s="95"/>
      <c r="K24" s="32"/>
      <c r="L24" s="32"/>
      <c r="M24" s="31"/>
      <c r="N24" s="31"/>
      <c r="O24" s="31"/>
      <c r="P24" s="30"/>
      <c r="Q24" s="30"/>
      <c r="R24" s="30"/>
    </row>
    <row r="25" spans="1:18" x14ac:dyDescent="0.2">
      <c r="A25" s="24"/>
      <c r="B25" s="21"/>
      <c r="C25" s="22"/>
      <c r="D25" s="20">
        <v>44596</v>
      </c>
      <c r="E25" s="53" t="s">
        <v>72</v>
      </c>
      <c r="F25" s="79">
        <v>26000</v>
      </c>
      <c r="G25" s="99"/>
      <c r="H25" s="100"/>
      <c r="I25" s="101"/>
      <c r="J25" s="29"/>
      <c r="K25" s="16"/>
      <c r="L25" s="27"/>
      <c r="M25" s="28"/>
      <c r="N25" s="14"/>
      <c r="O25" s="13"/>
      <c r="P25" s="17"/>
      <c r="Q25" s="11"/>
      <c r="R25" s="10"/>
    </row>
    <row r="26" spans="1:18" x14ac:dyDescent="0.2">
      <c r="A26" s="24"/>
      <c r="B26" s="21"/>
      <c r="C26" s="22"/>
      <c r="D26" s="81">
        <v>44596</v>
      </c>
      <c r="E26" s="80" t="s">
        <v>73</v>
      </c>
      <c r="F26" s="82">
        <v>8000</v>
      </c>
      <c r="G26" s="17"/>
      <c r="H26" s="11"/>
      <c r="I26" s="10"/>
      <c r="J26" s="27"/>
      <c r="K26" s="16"/>
      <c r="L26" s="16"/>
      <c r="M26" s="28"/>
      <c r="N26" s="14"/>
      <c r="O26" s="13"/>
      <c r="P26" s="17"/>
      <c r="Q26" s="11"/>
      <c r="R26" s="10"/>
    </row>
    <row r="27" spans="1:18" x14ac:dyDescent="0.2">
      <c r="A27" s="24"/>
      <c r="B27" s="21"/>
      <c r="C27" s="22"/>
      <c r="D27" s="20">
        <v>44599</v>
      </c>
      <c r="E27" s="53" t="s">
        <v>74</v>
      </c>
      <c r="F27" s="18">
        <v>6000</v>
      </c>
      <c r="G27" s="17"/>
      <c r="H27" s="11"/>
      <c r="I27" s="10"/>
      <c r="J27" s="27"/>
      <c r="K27" s="16"/>
      <c r="L27" s="16"/>
      <c r="M27" s="15"/>
      <c r="N27" s="14"/>
      <c r="O27" s="13"/>
      <c r="P27" s="17"/>
      <c r="Q27" s="11"/>
      <c r="R27" s="10"/>
    </row>
    <row r="28" spans="1:18" x14ac:dyDescent="0.2">
      <c r="A28" s="24"/>
      <c r="B28" s="21"/>
      <c r="C28" s="22"/>
      <c r="D28" s="20">
        <v>44599</v>
      </c>
      <c r="E28" s="19" t="s">
        <v>75</v>
      </c>
      <c r="F28" s="18">
        <v>8000</v>
      </c>
      <c r="G28" s="17"/>
      <c r="H28" s="11"/>
      <c r="I28" s="26"/>
      <c r="J28" s="25"/>
      <c r="K28" s="16"/>
      <c r="L28" s="16"/>
      <c r="M28" s="15"/>
      <c r="N28" s="14"/>
      <c r="O28" s="13"/>
      <c r="P28" s="17"/>
      <c r="Q28" s="11"/>
      <c r="R28" s="10"/>
    </row>
    <row r="29" spans="1:18" x14ac:dyDescent="0.2">
      <c r="A29" s="24"/>
      <c r="B29" s="21"/>
      <c r="C29" s="22"/>
      <c r="D29" s="20">
        <v>44599</v>
      </c>
      <c r="E29" s="19" t="s">
        <v>76</v>
      </c>
      <c r="F29" s="18">
        <v>20000</v>
      </c>
      <c r="G29" s="17"/>
      <c r="H29" s="11"/>
      <c r="I29" s="10"/>
      <c r="J29" s="16"/>
      <c r="K29" s="16"/>
      <c r="L29" s="16"/>
      <c r="M29" s="15"/>
      <c r="N29" s="14"/>
      <c r="O29" s="13"/>
      <c r="P29" s="12"/>
      <c r="Q29" s="11"/>
      <c r="R29" s="10"/>
    </row>
    <row r="30" spans="1:18" x14ac:dyDescent="0.2">
      <c r="A30" s="24"/>
      <c r="B30" s="21"/>
      <c r="C30" s="22"/>
      <c r="D30" s="20">
        <v>44600</v>
      </c>
      <c r="E30" s="19" t="s">
        <v>77</v>
      </c>
      <c r="F30" s="18">
        <v>40000</v>
      </c>
      <c r="G30" s="17"/>
      <c r="H30" s="11"/>
      <c r="I30" s="10"/>
      <c r="J30" s="16"/>
      <c r="K30" s="16"/>
      <c r="L30" s="16"/>
      <c r="M30" s="15"/>
      <c r="N30" s="14"/>
      <c r="O30" s="13"/>
      <c r="P30" s="11"/>
      <c r="Q30" s="11"/>
      <c r="R30" s="10"/>
    </row>
    <row r="31" spans="1:18" x14ac:dyDescent="0.2">
      <c r="A31" s="23"/>
      <c r="B31" s="22"/>
      <c r="C31" s="21"/>
      <c r="D31" s="20">
        <v>44600</v>
      </c>
      <c r="E31" s="19" t="s">
        <v>78</v>
      </c>
      <c r="F31" s="18">
        <v>12000</v>
      </c>
      <c r="G31" s="17"/>
      <c r="H31" s="11"/>
      <c r="I31" s="10"/>
      <c r="J31" s="16"/>
      <c r="K31" s="16"/>
      <c r="L31" s="16"/>
      <c r="M31" s="15"/>
      <c r="N31" s="14"/>
      <c r="O31" s="13"/>
      <c r="P31" s="12"/>
      <c r="Q31" s="11"/>
      <c r="R31" s="10"/>
    </row>
    <row r="32" spans="1:18" x14ac:dyDescent="0.2">
      <c r="A32" s="23"/>
      <c r="B32" s="22"/>
      <c r="C32" s="21"/>
      <c r="D32" s="20">
        <v>44601</v>
      </c>
      <c r="E32" s="19" t="s">
        <v>79</v>
      </c>
      <c r="F32" s="18">
        <v>25000</v>
      </c>
      <c r="G32" s="17"/>
      <c r="H32" s="11"/>
      <c r="I32" s="10"/>
      <c r="J32" s="16"/>
      <c r="K32" s="16"/>
      <c r="L32" s="16"/>
      <c r="M32" s="15"/>
      <c r="N32" s="14"/>
      <c r="O32" s="13"/>
      <c r="P32" s="12"/>
      <c r="Q32" s="11"/>
      <c r="R32" s="10"/>
    </row>
    <row r="33" spans="1:18" x14ac:dyDescent="0.2">
      <c r="A33" s="23"/>
      <c r="B33" s="22"/>
      <c r="C33" s="21"/>
      <c r="D33" s="20">
        <v>44601</v>
      </c>
      <c r="E33" s="19" t="s">
        <v>80</v>
      </c>
      <c r="F33" s="18">
        <v>20000</v>
      </c>
      <c r="G33" s="17"/>
      <c r="H33" s="11"/>
      <c r="I33" s="10"/>
      <c r="J33" s="16"/>
      <c r="K33" s="16"/>
      <c r="L33" s="16"/>
      <c r="M33" s="15"/>
      <c r="N33" s="14"/>
      <c r="O33" s="13"/>
      <c r="P33" s="12"/>
      <c r="Q33" s="11"/>
      <c r="R33" s="10"/>
    </row>
    <row r="34" spans="1:18" x14ac:dyDescent="0.2">
      <c r="A34" s="23"/>
      <c r="B34" s="22"/>
      <c r="C34" s="21"/>
      <c r="D34" s="20">
        <v>44601</v>
      </c>
      <c r="E34" s="19" t="s">
        <v>75</v>
      </c>
      <c r="F34" s="18">
        <v>15000</v>
      </c>
      <c r="G34" s="17"/>
      <c r="H34" s="11"/>
      <c r="I34" s="10"/>
      <c r="J34" s="16"/>
      <c r="K34" s="16"/>
      <c r="L34" s="16"/>
      <c r="M34" s="15"/>
      <c r="N34" s="14"/>
      <c r="O34" s="13"/>
      <c r="P34" s="12"/>
      <c r="Q34" s="11"/>
      <c r="R34" s="10"/>
    </row>
    <row r="35" spans="1:18" x14ac:dyDescent="0.2">
      <c r="A35" s="23"/>
      <c r="B35" s="22"/>
      <c r="C35" s="21"/>
      <c r="D35" s="20">
        <v>44602</v>
      </c>
      <c r="E35" s="19" t="s">
        <v>81</v>
      </c>
      <c r="F35" s="18">
        <v>5000</v>
      </c>
      <c r="G35" s="17"/>
      <c r="H35" s="11"/>
      <c r="I35" s="10"/>
      <c r="J35" s="16"/>
      <c r="K35" s="16"/>
      <c r="L35" s="16"/>
      <c r="M35" s="15"/>
      <c r="N35" s="14"/>
      <c r="O35" s="13"/>
      <c r="P35" s="12"/>
      <c r="Q35" s="11"/>
      <c r="R35" s="10"/>
    </row>
    <row r="36" spans="1:18" x14ac:dyDescent="0.2">
      <c r="A36" s="23"/>
      <c r="B36" s="22"/>
      <c r="C36" s="21"/>
      <c r="D36" s="20">
        <v>44602</v>
      </c>
      <c r="E36" s="19" t="s">
        <v>82</v>
      </c>
      <c r="F36" s="18">
        <v>17000</v>
      </c>
      <c r="G36" s="17"/>
      <c r="H36" s="11"/>
      <c r="I36" s="10"/>
      <c r="J36" s="16"/>
      <c r="K36" s="16"/>
      <c r="L36" s="16"/>
      <c r="M36" s="15"/>
      <c r="N36" s="14"/>
      <c r="O36" s="13"/>
      <c r="P36" s="12"/>
      <c r="Q36" s="11"/>
      <c r="R36" s="10"/>
    </row>
    <row r="37" spans="1:18" x14ac:dyDescent="0.2">
      <c r="A37" s="23"/>
      <c r="B37" s="22"/>
      <c r="C37" s="21"/>
      <c r="D37" s="20">
        <v>44602</v>
      </c>
      <c r="E37" s="19" t="s">
        <v>83</v>
      </c>
      <c r="F37" s="18">
        <v>16000</v>
      </c>
      <c r="G37" s="17"/>
      <c r="H37" s="11"/>
      <c r="I37" s="10"/>
      <c r="J37" s="16"/>
      <c r="K37" s="16"/>
      <c r="L37" s="16"/>
      <c r="M37" s="15"/>
      <c r="N37" s="14"/>
      <c r="O37" s="13"/>
      <c r="P37" s="12"/>
      <c r="Q37" s="11"/>
      <c r="R37" s="10"/>
    </row>
    <row r="38" spans="1:18" x14ac:dyDescent="0.2">
      <c r="A38" s="23"/>
      <c r="B38" s="22"/>
      <c r="C38" s="21"/>
      <c r="D38" s="20">
        <v>44603</v>
      </c>
      <c r="E38" s="19" t="s">
        <v>84</v>
      </c>
      <c r="F38" s="18">
        <v>100000</v>
      </c>
      <c r="G38" s="17"/>
      <c r="H38" s="11"/>
      <c r="I38" s="10"/>
      <c r="J38" s="16"/>
      <c r="K38" s="16"/>
      <c r="L38" s="16"/>
      <c r="M38" s="15"/>
      <c r="N38" s="14"/>
      <c r="O38" s="13"/>
      <c r="P38" s="12"/>
      <c r="Q38" s="11"/>
      <c r="R38" s="10"/>
    </row>
    <row r="39" spans="1:18" x14ac:dyDescent="0.2">
      <c r="A39" s="23"/>
      <c r="B39" s="22"/>
      <c r="C39" s="21"/>
      <c r="D39" s="20">
        <v>44610</v>
      </c>
      <c r="E39" s="19" t="s">
        <v>85</v>
      </c>
      <c r="F39" s="18">
        <v>5000</v>
      </c>
      <c r="G39" s="17"/>
      <c r="H39" s="11"/>
      <c r="I39" s="10"/>
      <c r="J39" s="16"/>
      <c r="K39" s="16"/>
      <c r="L39" s="16"/>
      <c r="M39" s="15"/>
      <c r="N39" s="14"/>
      <c r="O39" s="13"/>
      <c r="P39" s="12"/>
      <c r="Q39" s="11"/>
      <c r="R39" s="10"/>
    </row>
    <row r="40" spans="1:18" x14ac:dyDescent="0.2">
      <c r="A40" s="23"/>
      <c r="B40" s="22"/>
      <c r="C40" s="21"/>
      <c r="D40" s="20">
        <v>44604</v>
      </c>
      <c r="E40" s="19" t="s">
        <v>86</v>
      </c>
      <c r="F40" s="18">
        <v>65000</v>
      </c>
      <c r="G40" s="17"/>
      <c r="H40" s="11"/>
      <c r="I40" s="10"/>
      <c r="J40" s="16"/>
      <c r="K40" s="16"/>
      <c r="L40" s="16"/>
      <c r="M40" s="15"/>
      <c r="N40" s="14"/>
      <c r="O40" s="13"/>
      <c r="P40" s="12"/>
      <c r="Q40" s="11"/>
      <c r="R40" s="10"/>
    </row>
    <row r="41" spans="1:18" x14ac:dyDescent="0.2">
      <c r="A41" s="23"/>
      <c r="B41" s="22"/>
      <c r="C41" s="21"/>
      <c r="D41" s="20">
        <v>44613</v>
      </c>
      <c r="E41" s="19" t="s">
        <v>87</v>
      </c>
      <c r="F41" s="18">
        <v>10000</v>
      </c>
      <c r="G41" s="17"/>
      <c r="H41" s="11"/>
      <c r="I41" s="10"/>
      <c r="J41" s="16"/>
      <c r="K41" s="16"/>
      <c r="L41" s="16"/>
      <c r="M41" s="15"/>
      <c r="N41" s="14"/>
      <c r="O41" s="13"/>
      <c r="P41" s="12"/>
      <c r="Q41" s="11"/>
      <c r="R41" s="10"/>
    </row>
    <row r="42" spans="1:18" x14ac:dyDescent="0.2">
      <c r="A42" s="23"/>
      <c r="B42" s="22"/>
      <c r="C42" s="21"/>
      <c r="D42" s="20">
        <v>44613</v>
      </c>
      <c r="E42" s="19" t="s">
        <v>88</v>
      </c>
      <c r="F42" s="18">
        <v>28000</v>
      </c>
      <c r="G42" s="17"/>
      <c r="H42" s="11"/>
      <c r="I42" s="10"/>
      <c r="J42" s="16"/>
      <c r="K42" s="16"/>
      <c r="L42" s="16"/>
      <c r="M42" s="15"/>
      <c r="N42" s="14"/>
      <c r="O42" s="13"/>
      <c r="P42" s="12"/>
      <c r="Q42" s="11"/>
      <c r="R42" s="10"/>
    </row>
    <row r="43" spans="1:18" x14ac:dyDescent="0.2">
      <c r="A43" s="23"/>
      <c r="B43" s="22"/>
      <c r="C43" s="21"/>
      <c r="D43" s="20">
        <v>44614</v>
      </c>
      <c r="E43" s="19" t="s">
        <v>89</v>
      </c>
      <c r="F43" s="18">
        <v>26000</v>
      </c>
      <c r="G43" s="17"/>
      <c r="H43" s="11"/>
      <c r="I43" s="10"/>
      <c r="J43" s="16"/>
      <c r="K43" s="16"/>
      <c r="L43" s="16"/>
      <c r="M43" s="15"/>
      <c r="N43" s="14"/>
      <c r="O43" s="13"/>
      <c r="P43" s="12"/>
      <c r="Q43" s="11"/>
      <c r="R43" s="10"/>
    </row>
    <row r="44" spans="1:18" x14ac:dyDescent="0.2">
      <c r="A44" s="23"/>
      <c r="B44" s="22"/>
      <c r="C44" s="21"/>
      <c r="D44" s="20">
        <v>44615</v>
      </c>
      <c r="E44" s="19" t="s">
        <v>90</v>
      </c>
      <c r="F44" s="18">
        <f>10000+17000</f>
        <v>27000</v>
      </c>
      <c r="G44" s="17"/>
      <c r="H44" s="11"/>
      <c r="I44" s="10"/>
      <c r="J44" s="16"/>
      <c r="K44" s="16"/>
      <c r="L44" s="16"/>
      <c r="M44" s="15"/>
      <c r="N44" s="14"/>
      <c r="O44" s="13"/>
      <c r="P44" s="12"/>
      <c r="Q44" s="11"/>
      <c r="R44" s="10"/>
    </row>
    <row r="45" spans="1:18" x14ac:dyDescent="0.2">
      <c r="A45" s="23"/>
      <c r="B45" s="22"/>
      <c r="C45" s="21"/>
      <c r="D45" s="20">
        <v>44616</v>
      </c>
      <c r="E45" s="19" t="s">
        <v>91</v>
      </c>
      <c r="F45" s="18">
        <f>23000+15000+10000</f>
        <v>48000</v>
      </c>
      <c r="G45" s="17"/>
      <c r="H45" s="11"/>
      <c r="I45" s="10"/>
      <c r="J45" s="16"/>
      <c r="K45" s="16"/>
      <c r="L45" s="16"/>
      <c r="M45" s="15"/>
      <c r="N45" s="14"/>
      <c r="O45" s="13"/>
      <c r="P45" s="12"/>
      <c r="Q45" s="11"/>
      <c r="R45" s="10"/>
    </row>
    <row r="46" spans="1:18" x14ac:dyDescent="0.2">
      <c r="A46" s="23"/>
      <c r="B46" s="22"/>
      <c r="C46" s="21"/>
      <c r="D46" s="20">
        <v>44617</v>
      </c>
      <c r="E46" s="19" t="s">
        <v>92</v>
      </c>
      <c r="F46" s="18">
        <v>72000</v>
      </c>
      <c r="G46" s="17"/>
      <c r="H46" s="11"/>
      <c r="I46" s="10"/>
      <c r="J46" s="16"/>
      <c r="K46" s="16"/>
      <c r="L46" s="16"/>
      <c r="M46" s="15"/>
      <c r="N46" s="14"/>
      <c r="O46" s="13"/>
      <c r="P46" s="12"/>
      <c r="Q46" s="11"/>
      <c r="R46" s="10"/>
    </row>
    <row r="47" spans="1:18" x14ac:dyDescent="0.2">
      <c r="A47" s="23"/>
      <c r="B47" s="22"/>
      <c r="C47" s="21"/>
      <c r="D47" s="20"/>
      <c r="E47" s="19"/>
      <c r="F47" s="18"/>
      <c r="G47" s="17"/>
      <c r="H47" s="11"/>
      <c r="I47" s="10"/>
      <c r="J47" s="16"/>
      <c r="K47" s="16"/>
      <c r="L47" s="16"/>
      <c r="M47" s="15"/>
      <c r="N47" s="14"/>
      <c r="O47" s="13"/>
      <c r="P47" s="12"/>
      <c r="Q47" s="11"/>
      <c r="R47" s="10"/>
    </row>
    <row r="48" spans="1:18" x14ac:dyDescent="0.2">
      <c r="A48" s="23"/>
      <c r="B48" s="22"/>
      <c r="C48" s="21"/>
      <c r="D48" s="20"/>
      <c r="E48" s="19"/>
      <c r="F48" s="18"/>
      <c r="G48" s="17"/>
      <c r="H48" s="11"/>
      <c r="I48" s="10"/>
      <c r="J48" s="16"/>
      <c r="K48" s="16"/>
      <c r="L48" s="16"/>
      <c r="M48" s="15"/>
      <c r="N48" s="14"/>
      <c r="O48" s="13"/>
      <c r="P48" s="12"/>
      <c r="Q48" s="11"/>
      <c r="R48" s="10"/>
    </row>
    <row r="49" spans="1:18" x14ac:dyDescent="0.2">
      <c r="A49" s="23"/>
      <c r="B49" s="22"/>
      <c r="C49" s="21"/>
      <c r="D49" s="20"/>
      <c r="E49" s="19"/>
      <c r="F49" s="18"/>
      <c r="G49" s="17"/>
      <c r="H49" s="11"/>
      <c r="I49" s="10"/>
      <c r="J49" s="16"/>
      <c r="K49" s="16"/>
      <c r="L49" s="16"/>
      <c r="M49" s="15"/>
      <c r="N49" s="14"/>
      <c r="O49" s="13"/>
      <c r="P49" s="12"/>
      <c r="Q49" s="11"/>
      <c r="R49" s="10"/>
    </row>
    <row r="50" spans="1:18" x14ac:dyDescent="0.2">
      <c r="A50" s="23"/>
      <c r="B50" s="22"/>
      <c r="C50" s="21"/>
      <c r="D50" s="20"/>
      <c r="E50" s="19"/>
      <c r="F50" s="18"/>
      <c r="G50" s="17"/>
      <c r="H50" s="11"/>
      <c r="I50" s="10"/>
      <c r="J50" s="16"/>
      <c r="K50" s="16"/>
      <c r="L50" s="16"/>
      <c r="M50" s="15"/>
      <c r="N50" s="14"/>
      <c r="O50" s="13"/>
      <c r="P50" s="12"/>
      <c r="Q50" s="11"/>
      <c r="R50" s="10"/>
    </row>
    <row r="51" spans="1:18" x14ac:dyDescent="0.2">
      <c r="A51" s="23"/>
      <c r="B51" s="22"/>
      <c r="C51" s="21"/>
      <c r="D51" s="20"/>
      <c r="E51" s="19"/>
      <c r="F51" s="18"/>
      <c r="G51" s="17"/>
      <c r="H51" s="11"/>
      <c r="I51" s="10"/>
      <c r="J51" s="16"/>
      <c r="K51" s="16"/>
      <c r="L51" s="16"/>
      <c r="M51" s="15"/>
      <c r="N51" s="14"/>
      <c r="O51" s="13"/>
      <c r="P51" s="12"/>
      <c r="Q51" s="11"/>
      <c r="R51" s="10"/>
    </row>
    <row r="52" spans="1:18" x14ac:dyDescent="0.2">
      <c r="A52" s="23"/>
      <c r="B52" s="22"/>
      <c r="C52" s="21"/>
      <c r="D52" s="20"/>
      <c r="E52" s="19"/>
      <c r="F52" s="18"/>
      <c r="G52" s="17"/>
      <c r="H52" s="11"/>
      <c r="I52" s="10"/>
      <c r="J52" s="16"/>
      <c r="K52" s="16"/>
      <c r="L52" s="16"/>
      <c r="M52" s="15"/>
      <c r="N52" s="14"/>
      <c r="O52" s="13"/>
      <c r="P52" s="12"/>
      <c r="Q52" s="11"/>
      <c r="R52" s="10"/>
    </row>
    <row r="53" spans="1:18" s="4" customFormat="1" x14ac:dyDescent="0.2">
      <c r="A53" s="302" t="s">
        <v>93</v>
      </c>
      <c r="B53" s="302"/>
      <c r="C53" s="9">
        <f>SUM(C4:C31)</f>
        <v>2590000</v>
      </c>
      <c r="D53" s="303" t="s">
        <v>94</v>
      </c>
      <c r="E53" s="303"/>
      <c r="F53" s="8">
        <f>SUM(F4:F52)</f>
        <v>1284000</v>
      </c>
      <c r="G53" s="304" t="s">
        <v>95</v>
      </c>
      <c r="H53" s="304"/>
      <c r="I53" s="5">
        <f>SUM(I4:I31)</f>
        <v>1637630</v>
      </c>
      <c r="J53" s="300" t="s">
        <v>96</v>
      </c>
      <c r="K53" s="300"/>
      <c r="L53" s="88">
        <f>SUM(L4:L31)</f>
        <v>150000</v>
      </c>
      <c r="M53" s="301" t="s">
        <v>97</v>
      </c>
      <c r="N53" s="301"/>
      <c r="O53" s="6">
        <f>SUM(O4:O31)</f>
        <v>110000</v>
      </c>
      <c r="P53" s="304" t="s">
        <v>98</v>
      </c>
      <c r="Q53" s="304"/>
      <c r="R53" s="5">
        <f>SUM(R4:R31)</f>
        <v>288666</v>
      </c>
    </row>
    <row r="56" spans="1:18" x14ac:dyDescent="0.2">
      <c r="A56" t="s">
        <v>99</v>
      </c>
      <c r="B56" t="s">
        <v>100</v>
      </c>
      <c r="C56" s="3">
        <v>4950000</v>
      </c>
      <c r="D56" s="305">
        <f>SUM(C56:C59)</f>
        <v>6050000</v>
      </c>
      <c r="E56" s="1"/>
      <c r="F56" s="3"/>
      <c r="G56" s="1"/>
      <c r="I56" s="1"/>
      <c r="O56" s="1"/>
      <c r="R56" s="1"/>
    </row>
    <row r="57" spans="1:18" x14ac:dyDescent="0.2">
      <c r="B57" t="s">
        <v>101</v>
      </c>
      <c r="C57" s="3">
        <v>500000</v>
      </c>
      <c r="D57" s="305"/>
      <c r="R57" s="1"/>
    </row>
    <row r="58" spans="1:18" x14ac:dyDescent="0.2">
      <c r="B58" t="s">
        <v>102</v>
      </c>
      <c r="C58" s="3">
        <v>350000</v>
      </c>
      <c r="D58" s="305"/>
      <c r="R58" s="1"/>
    </row>
    <row r="59" spans="1:18" x14ac:dyDescent="0.2">
      <c r="B59" t="s">
        <v>102</v>
      </c>
      <c r="C59" s="3">
        <v>250000</v>
      </c>
      <c r="D59" s="305"/>
      <c r="R59" s="1"/>
    </row>
    <row r="60" spans="1:18" x14ac:dyDescent="0.2">
      <c r="A60" t="s">
        <v>3</v>
      </c>
      <c r="B60" t="str">
        <f>A53</f>
        <v>Pengeluaran Kewajiban</v>
      </c>
      <c r="C60" s="1">
        <f>C53</f>
        <v>2590000</v>
      </c>
      <c r="D60" s="204">
        <f>C60/D56</f>
        <v>0.42809917355371901</v>
      </c>
    </row>
    <row r="61" spans="1:18" x14ac:dyDescent="0.2">
      <c r="B61" t="str">
        <f>D53</f>
        <v>Pengeluaran Makan</v>
      </c>
      <c r="C61" s="1">
        <f>F53</f>
        <v>1284000</v>
      </c>
      <c r="D61" s="204">
        <f>C61/D56</f>
        <v>0.21223140495867768</v>
      </c>
    </row>
    <row r="62" spans="1:18" x14ac:dyDescent="0.2">
      <c r="B62" t="str">
        <f>G53</f>
        <v>Pengeluaran Sosial</v>
      </c>
      <c r="C62" s="1">
        <f>I53</f>
        <v>1637630</v>
      </c>
      <c r="D62" s="204">
        <f>C62/D56</f>
        <v>0.27068264462809916</v>
      </c>
    </row>
    <row r="63" spans="1:18" x14ac:dyDescent="0.2">
      <c r="B63" t="str">
        <f>J53</f>
        <v>Pengeluaran Sedekah</v>
      </c>
      <c r="C63" s="1">
        <f>L53</f>
        <v>150000</v>
      </c>
      <c r="D63" s="204">
        <f>C63/D56</f>
        <v>2.4793388429752067E-2</v>
      </c>
      <c r="E63" s="71"/>
      <c r="F63" s="1"/>
      <c r="G63" s="1"/>
    </row>
    <row r="64" spans="1:18" x14ac:dyDescent="0.2">
      <c r="B64" t="str">
        <f>M53</f>
        <v>Pengeluaran Transport</v>
      </c>
      <c r="C64" s="1">
        <f>O53</f>
        <v>110000</v>
      </c>
      <c r="D64" s="204">
        <f>C64/D56</f>
        <v>1.8181818181818181E-2</v>
      </c>
    </row>
    <row r="65" spans="1:18" x14ac:dyDescent="0.2">
      <c r="B65" t="str">
        <f>P53</f>
        <v>Pengeluaran Sekunder</v>
      </c>
      <c r="C65" s="2">
        <f>R53</f>
        <v>288666</v>
      </c>
      <c r="D65" s="204">
        <f>C65/D56</f>
        <v>4.7713388429752063E-2</v>
      </c>
    </row>
    <row r="66" spans="1:18" x14ac:dyDescent="0.2">
      <c r="C66" s="1">
        <f>C56+C57-C60-C61-C62-C63-C64-C65+C58+C59</f>
        <v>-10296</v>
      </c>
    </row>
    <row r="67" spans="1:18" x14ac:dyDescent="0.2">
      <c r="C67" s="1"/>
    </row>
    <row r="69" spans="1:18" x14ac:dyDescent="0.2">
      <c r="A69" s="294" t="s">
        <v>103</v>
      </c>
      <c r="B69" s="294"/>
      <c r="C69" s="294"/>
      <c r="D69" s="294"/>
      <c r="E69" s="294"/>
      <c r="F69" s="294"/>
      <c r="G69" s="294"/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</row>
    <row r="70" spans="1:18" x14ac:dyDescent="0.2">
      <c r="A70" s="294"/>
      <c r="B70" s="294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4"/>
      <c r="N70" s="294"/>
      <c r="O70" s="294"/>
      <c r="P70" s="294"/>
      <c r="Q70" s="294"/>
      <c r="R70" s="294"/>
    </row>
    <row r="71" spans="1:18" x14ac:dyDescent="0.2">
      <c r="A71" s="59" t="s">
        <v>1</v>
      </c>
      <c r="B71" s="59" t="s">
        <v>2</v>
      </c>
      <c r="C71" s="59" t="s">
        <v>3</v>
      </c>
      <c r="D71" s="58" t="s">
        <v>1</v>
      </c>
      <c r="E71" s="58" t="s">
        <v>4</v>
      </c>
      <c r="F71" s="58" t="s">
        <v>3</v>
      </c>
      <c r="G71" s="55" t="s">
        <v>1</v>
      </c>
      <c r="H71" s="55" t="s">
        <v>5</v>
      </c>
      <c r="I71" s="55" t="s">
        <v>3</v>
      </c>
      <c r="J71" s="57" t="s">
        <v>1</v>
      </c>
      <c r="K71" s="57" t="s">
        <v>6</v>
      </c>
      <c r="L71" s="57" t="s">
        <v>3</v>
      </c>
      <c r="M71" s="56" t="s">
        <v>1</v>
      </c>
      <c r="N71" s="56" t="s">
        <v>7</v>
      </c>
      <c r="O71" s="56" t="s">
        <v>3</v>
      </c>
      <c r="P71" s="55" t="s">
        <v>1</v>
      </c>
      <c r="Q71" s="55" t="s">
        <v>8</v>
      </c>
      <c r="R71" s="55" t="s">
        <v>3</v>
      </c>
    </row>
    <row r="72" spans="1:18" x14ac:dyDescent="0.2">
      <c r="A72" s="103">
        <v>44617</v>
      </c>
      <c r="B72" s="144" t="s">
        <v>9</v>
      </c>
      <c r="C72" s="105">
        <v>500000</v>
      </c>
      <c r="D72" s="83">
        <v>44618</v>
      </c>
      <c r="E72" s="53" t="s">
        <v>104</v>
      </c>
      <c r="F72" s="52">
        <v>13000</v>
      </c>
      <c r="G72" s="47">
        <v>44617</v>
      </c>
      <c r="H72" s="34" t="s">
        <v>105</v>
      </c>
      <c r="I72" s="36">
        <v>100000</v>
      </c>
      <c r="J72" s="141">
        <v>44620</v>
      </c>
      <c r="K72" s="142" t="s">
        <v>106</v>
      </c>
      <c r="L72" s="143">
        <v>300000</v>
      </c>
      <c r="M72" s="139">
        <v>44617</v>
      </c>
      <c r="N72" s="46" t="s">
        <v>107</v>
      </c>
      <c r="O72" s="48">
        <v>2000</v>
      </c>
      <c r="P72" s="47">
        <v>44618</v>
      </c>
      <c r="Q72" s="34" t="s">
        <v>108</v>
      </c>
      <c r="R72" s="35">
        <v>24000</v>
      </c>
    </row>
    <row r="73" spans="1:18" x14ac:dyDescent="0.2">
      <c r="A73" s="103">
        <v>44617</v>
      </c>
      <c r="B73" s="144" t="s">
        <v>33</v>
      </c>
      <c r="C73" s="105">
        <v>100000</v>
      </c>
      <c r="D73" s="83">
        <v>44619</v>
      </c>
      <c r="E73" s="53" t="s">
        <v>109</v>
      </c>
      <c r="F73" s="52">
        <v>12000</v>
      </c>
      <c r="G73" s="47">
        <v>44617</v>
      </c>
      <c r="H73" s="34" t="s">
        <v>110</v>
      </c>
      <c r="I73" s="36">
        <v>83000</v>
      </c>
      <c r="J73" s="57"/>
      <c r="K73" s="57"/>
      <c r="L73" s="57"/>
      <c r="M73" s="139">
        <v>44621</v>
      </c>
      <c r="N73" s="46" t="s">
        <v>13</v>
      </c>
      <c r="O73" s="48">
        <v>20000</v>
      </c>
      <c r="P73" s="47">
        <v>44629</v>
      </c>
      <c r="Q73" s="34" t="s">
        <v>111</v>
      </c>
      <c r="R73" s="36">
        <v>68300</v>
      </c>
    </row>
    <row r="74" spans="1:18" x14ac:dyDescent="0.2">
      <c r="A74" s="103">
        <v>44617</v>
      </c>
      <c r="B74" s="144" t="s">
        <v>112</v>
      </c>
      <c r="C74" s="105">
        <v>100000</v>
      </c>
      <c r="D74" s="83">
        <v>44619</v>
      </c>
      <c r="E74" s="53" t="s">
        <v>113</v>
      </c>
      <c r="F74" s="52">
        <v>3000</v>
      </c>
      <c r="G74" s="47">
        <v>44618</v>
      </c>
      <c r="H74" s="138" t="s">
        <v>114</v>
      </c>
      <c r="I74" s="36">
        <v>150000</v>
      </c>
      <c r="J74" s="57"/>
      <c r="K74" s="57"/>
      <c r="L74" s="57"/>
      <c r="M74" s="139">
        <v>44626</v>
      </c>
      <c r="N74" s="46" t="s">
        <v>13</v>
      </c>
      <c r="O74" s="48">
        <v>20000</v>
      </c>
      <c r="P74" s="47">
        <v>44641</v>
      </c>
      <c r="Q74" s="34" t="s">
        <v>115</v>
      </c>
      <c r="R74" s="36">
        <v>7500</v>
      </c>
    </row>
    <row r="75" spans="1:18" x14ac:dyDescent="0.2">
      <c r="A75" s="103">
        <v>44617</v>
      </c>
      <c r="B75" s="144" t="s">
        <v>37</v>
      </c>
      <c r="C75" s="105">
        <v>25000</v>
      </c>
      <c r="D75" s="83">
        <v>44617</v>
      </c>
      <c r="E75" s="53" t="s">
        <v>24</v>
      </c>
      <c r="F75" s="52">
        <v>7000</v>
      </c>
      <c r="G75" s="47">
        <v>44618</v>
      </c>
      <c r="H75" s="34" t="s">
        <v>116</v>
      </c>
      <c r="I75" s="36">
        <v>44000</v>
      </c>
      <c r="J75" s="57"/>
      <c r="K75" s="57"/>
      <c r="L75" s="57"/>
      <c r="M75" s="139">
        <v>44630</v>
      </c>
      <c r="N75" s="46" t="s">
        <v>13</v>
      </c>
      <c r="O75" s="48">
        <v>20000</v>
      </c>
      <c r="P75" s="176">
        <v>44645</v>
      </c>
      <c r="Q75" s="177" t="s">
        <v>117</v>
      </c>
      <c r="R75" s="178">
        <v>100000</v>
      </c>
    </row>
    <row r="76" spans="1:18" x14ac:dyDescent="0.2">
      <c r="A76" s="103">
        <v>44617</v>
      </c>
      <c r="B76" s="144" t="s">
        <v>41</v>
      </c>
      <c r="C76" s="105">
        <v>15000</v>
      </c>
      <c r="D76" s="83">
        <v>44620</v>
      </c>
      <c r="E76" s="53" t="s">
        <v>104</v>
      </c>
      <c r="F76" s="52">
        <v>20000</v>
      </c>
      <c r="G76" s="47">
        <v>44620</v>
      </c>
      <c r="H76" s="34" t="s">
        <v>118</v>
      </c>
      <c r="I76" s="36">
        <v>28000</v>
      </c>
      <c r="J76" s="57"/>
      <c r="K76" s="57"/>
      <c r="L76" s="57"/>
      <c r="M76" s="139">
        <v>44632</v>
      </c>
      <c r="N76" s="46" t="s">
        <v>119</v>
      </c>
      <c r="O76" s="163">
        <v>8000</v>
      </c>
      <c r="P76" s="176">
        <v>44645</v>
      </c>
      <c r="Q76" s="177" t="s">
        <v>120</v>
      </c>
      <c r="R76" s="178">
        <v>40000</v>
      </c>
    </row>
    <row r="77" spans="1:18" x14ac:dyDescent="0.2">
      <c r="A77" s="103">
        <v>44617</v>
      </c>
      <c r="B77" s="144" t="s">
        <v>121</v>
      </c>
      <c r="C77" s="105">
        <v>439739</v>
      </c>
      <c r="D77" s="83">
        <v>44621</v>
      </c>
      <c r="E77" s="53" t="s">
        <v>122</v>
      </c>
      <c r="F77" s="52">
        <v>11500</v>
      </c>
      <c r="G77" s="47">
        <v>44620</v>
      </c>
      <c r="H77" s="34" t="s">
        <v>123</v>
      </c>
      <c r="I77" s="36">
        <v>21000</v>
      </c>
      <c r="J77" s="57"/>
      <c r="K77" s="57"/>
      <c r="L77" s="57"/>
      <c r="M77" s="139">
        <v>44636</v>
      </c>
      <c r="N77" s="46" t="s">
        <v>13</v>
      </c>
      <c r="O77" s="48">
        <v>20000</v>
      </c>
      <c r="P77" s="30"/>
      <c r="Q77" s="30"/>
      <c r="R77" s="30"/>
    </row>
    <row r="78" spans="1:18" x14ac:dyDescent="0.2">
      <c r="A78" s="103">
        <v>44617</v>
      </c>
      <c r="B78" s="144" t="s">
        <v>23</v>
      </c>
      <c r="C78" s="105">
        <v>500000</v>
      </c>
      <c r="D78" s="83">
        <v>44621</v>
      </c>
      <c r="E78" s="53" t="s">
        <v>124</v>
      </c>
      <c r="F78" s="52">
        <v>10000</v>
      </c>
      <c r="G78" s="47">
        <v>44625</v>
      </c>
      <c r="H78" s="34" t="s">
        <v>125</v>
      </c>
      <c r="I78" s="149">
        <v>7000</v>
      </c>
      <c r="J78" s="57"/>
      <c r="K78" s="57"/>
      <c r="L78" s="57"/>
      <c r="M78" s="179">
        <v>44645</v>
      </c>
      <c r="N78" s="180" t="s">
        <v>13</v>
      </c>
      <c r="O78" s="181">
        <v>10000</v>
      </c>
      <c r="P78" s="55"/>
      <c r="Q78" s="55"/>
      <c r="R78" s="55"/>
    </row>
    <row r="79" spans="1:18" x14ac:dyDescent="0.2">
      <c r="A79" s="103">
        <v>44617</v>
      </c>
      <c r="B79" s="144" t="s">
        <v>126</v>
      </c>
      <c r="C79" s="105">
        <v>1100000</v>
      </c>
      <c r="D79" s="83">
        <v>44621</v>
      </c>
      <c r="E79" s="53" t="s">
        <v>127</v>
      </c>
      <c r="F79" s="52">
        <v>10000</v>
      </c>
      <c r="G79" s="47">
        <v>44634</v>
      </c>
      <c r="H79" s="34" t="s">
        <v>128</v>
      </c>
      <c r="I79" s="36">
        <v>96000</v>
      </c>
      <c r="J79" s="57"/>
      <c r="K79" s="57"/>
      <c r="L79" s="57"/>
      <c r="M79" s="179">
        <v>44645</v>
      </c>
      <c r="N79" s="182" t="s">
        <v>129</v>
      </c>
      <c r="O79" s="181">
        <v>2000</v>
      </c>
      <c r="P79" s="55"/>
      <c r="Q79" s="55"/>
      <c r="R79" s="55"/>
    </row>
    <row r="80" spans="1:18" x14ac:dyDescent="0.2">
      <c r="A80" s="103">
        <v>44617</v>
      </c>
      <c r="B80" s="144" t="s">
        <v>15</v>
      </c>
      <c r="C80" s="105">
        <v>150000</v>
      </c>
      <c r="D80" s="83">
        <v>44622</v>
      </c>
      <c r="E80" s="53" t="s">
        <v>130</v>
      </c>
      <c r="F80" s="52">
        <v>18000</v>
      </c>
      <c r="G80" s="47">
        <v>44636</v>
      </c>
      <c r="H80" s="34" t="s">
        <v>131</v>
      </c>
      <c r="I80" s="43">
        <v>22500</v>
      </c>
      <c r="J80" s="57"/>
      <c r="K80" s="57"/>
      <c r="L80" s="57"/>
      <c r="M80" s="56"/>
      <c r="N80" s="56"/>
      <c r="O80" s="56"/>
      <c r="P80" s="55"/>
      <c r="Q80" s="55"/>
      <c r="R80" s="55"/>
    </row>
    <row r="81" spans="1:18" x14ac:dyDescent="0.2">
      <c r="A81" s="103">
        <v>44622</v>
      </c>
      <c r="B81" s="144" t="s">
        <v>132</v>
      </c>
      <c r="C81" s="105">
        <v>200000</v>
      </c>
      <c r="D81" s="83">
        <v>44622</v>
      </c>
      <c r="E81" s="53" t="s">
        <v>133</v>
      </c>
      <c r="F81" s="52">
        <v>5000</v>
      </c>
      <c r="G81" s="47">
        <v>44638</v>
      </c>
      <c r="H81" s="34" t="s">
        <v>134</v>
      </c>
      <c r="I81" s="35">
        <v>36000</v>
      </c>
      <c r="J81" s="57"/>
      <c r="K81" s="57"/>
      <c r="L81" s="57"/>
      <c r="M81" s="56"/>
      <c r="N81" s="56"/>
      <c r="O81" s="56"/>
      <c r="P81" s="55"/>
      <c r="Q81" s="55"/>
      <c r="R81" s="55"/>
    </row>
    <row r="82" spans="1:18" x14ac:dyDescent="0.2">
      <c r="A82" s="103"/>
      <c r="B82" s="144"/>
      <c r="C82" s="105"/>
      <c r="D82" s="83">
        <v>44623</v>
      </c>
      <c r="E82" s="53" t="s">
        <v>135</v>
      </c>
      <c r="F82" s="52"/>
      <c r="G82" s="47">
        <v>44639</v>
      </c>
      <c r="H82" s="34" t="s">
        <v>136</v>
      </c>
      <c r="I82" s="35">
        <f>26000+11000</f>
        <v>37000</v>
      </c>
      <c r="J82" s="57"/>
      <c r="K82" s="57"/>
      <c r="L82" s="57"/>
      <c r="M82" s="56"/>
      <c r="N82" s="56"/>
      <c r="O82" s="56"/>
      <c r="P82" s="55"/>
      <c r="Q82" s="55"/>
      <c r="R82" s="55"/>
    </row>
    <row r="83" spans="1:18" x14ac:dyDescent="0.2">
      <c r="A83" s="103"/>
      <c r="B83" s="144"/>
      <c r="C83" s="105"/>
      <c r="D83" s="83">
        <v>44624</v>
      </c>
      <c r="E83" s="53" t="s">
        <v>137</v>
      </c>
      <c r="F83" s="52">
        <f>20000+5000+2000+5000</f>
        <v>32000</v>
      </c>
      <c r="G83" s="47">
        <v>44640</v>
      </c>
      <c r="H83" s="34" t="s">
        <v>138</v>
      </c>
      <c r="I83" s="36">
        <v>250000</v>
      </c>
      <c r="J83" s="57"/>
      <c r="K83" s="57"/>
      <c r="L83" s="57"/>
      <c r="M83" s="56"/>
      <c r="N83" s="56"/>
      <c r="O83" s="56"/>
      <c r="P83" s="55"/>
      <c r="Q83" s="55"/>
      <c r="R83" s="55"/>
    </row>
    <row r="84" spans="1:18" x14ac:dyDescent="0.2">
      <c r="A84" s="103"/>
      <c r="B84" s="144"/>
      <c r="C84" s="105"/>
      <c r="D84" s="83">
        <v>44624</v>
      </c>
      <c r="E84" s="53" t="s">
        <v>139</v>
      </c>
      <c r="F84" s="52">
        <f>18000</f>
        <v>18000</v>
      </c>
      <c r="G84" s="176">
        <v>44645</v>
      </c>
      <c r="H84" s="177" t="s">
        <v>140</v>
      </c>
      <c r="I84" s="178">
        <v>72000</v>
      </c>
      <c r="J84" s="57"/>
      <c r="K84" s="57"/>
      <c r="L84" s="57"/>
      <c r="M84" s="56"/>
      <c r="N84" s="56"/>
      <c r="O84" s="56"/>
      <c r="P84" s="55"/>
      <c r="Q84" s="55"/>
      <c r="R84" s="55"/>
    </row>
    <row r="85" spans="1:18" x14ac:dyDescent="0.2">
      <c r="A85" s="103"/>
      <c r="B85" s="144"/>
      <c r="C85" s="105"/>
      <c r="D85" s="83">
        <v>44624</v>
      </c>
      <c r="E85" s="53" t="s">
        <v>141</v>
      </c>
      <c r="F85" s="52">
        <v>10000</v>
      </c>
      <c r="G85" s="176">
        <v>44646</v>
      </c>
      <c r="H85" s="177" t="s">
        <v>142</v>
      </c>
      <c r="I85" s="186">
        <f>92000+19000+17000+17000</f>
        <v>145000</v>
      </c>
      <c r="J85" s="57"/>
      <c r="K85" s="57"/>
      <c r="L85" s="57"/>
      <c r="M85" s="56"/>
      <c r="N85" s="56"/>
      <c r="O85" s="56"/>
      <c r="P85" s="55"/>
      <c r="Q85" s="55"/>
      <c r="R85" s="55"/>
    </row>
    <row r="86" spans="1:18" x14ac:dyDescent="0.2">
      <c r="A86" s="103"/>
      <c r="B86" s="144"/>
      <c r="C86" s="105"/>
      <c r="D86" s="83">
        <v>44627</v>
      </c>
      <c r="E86" s="53" t="s">
        <v>78</v>
      </c>
      <c r="F86" s="52">
        <v>16000</v>
      </c>
      <c r="G86" s="187"/>
      <c r="H86" s="187"/>
      <c r="I86" s="187"/>
      <c r="J86" s="57"/>
      <c r="K86" s="57"/>
      <c r="L86" s="57"/>
      <c r="M86" s="56"/>
      <c r="N86" s="56"/>
      <c r="O86" s="56"/>
      <c r="P86" s="55"/>
      <c r="Q86" s="55"/>
      <c r="R86" s="55"/>
    </row>
    <row r="87" spans="1:18" x14ac:dyDescent="0.2">
      <c r="A87" s="103"/>
      <c r="B87" s="144"/>
      <c r="C87" s="105"/>
      <c r="D87" s="83">
        <v>44627</v>
      </c>
      <c r="E87" s="53" t="s">
        <v>143</v>
      </c>
      <c r="F87" s="52">
        <v>18000</v>
      </c>
      <c r="G87" s="55"/>
      <c r="H87" s="55"/>
      <c r="I87" s="55"/>
      <c r="J87" s="57"/>
      <c r="K87" s="57"/>
      <c r="L87" s="57"/>
      <c r="M87" s="56"/>
      <c r="N87" s="56"/>
      <c r="O87" s="56"/>
      <c r="P87" s="55"/>
      <c r="Q87" s="55"/>
      <c r="R87" s="55"/>
    </row>
    <row r="88" spans="1:18" x14ac:dyDescent="0.2">
      <c r="A88" s="103"/>
      <c r="B88" s="144"/>
      <c r="C88" s="105"/>
      <c r="D88" s="83">
        <v>44627</v>
      </c>
      <c r="E88" s="53" t="s">
        <v>144</v>
      </c>
      <c r="F88" s="52">
        <v>10000</v>
      </c>
      <c r="G88" s="55"/>
      <c r="H88" s="55"/>
      <c r="I88" s="55"/>
      <c r="J88" s="57"/>
      <c r="K88" s="57"/>
      <c r="L88" s="57"/>
      <c r="M88" s="56"/>
      <c r="N88" s="56"/>
      <c r="O88" s="56"/>
      <c r="P88" s="55"/>
      <c r="Q88" s="55"/>
      <c r="R88" s="55"/>
    </row>
    <row r="89" spans="1:18" x14ac:dyDescent="0.2">
      <c r="A89" s="103"/>
      <c r="B89" s="144"/>
      <c r="C89" s="105"/>
      <c r="D89" s="83">
        <v>44628</v>
      </c>
      <c r="E89" s="53" t="s">
        <v>145</v>
      </c>
      <c r="F89" s="52">
        <f>15000+3000</f>
        <v>18000</v>
      </c>
      <c r="G89" s="55"/>
      <c r="H89" s="55"/>
      <c r="I89" s="55"/>
      <c r="J89" s="57"/>
      <c r="K89" s="57"/>
      <c r="L89" s="57"/>
      <c r="M89" s="56"/>
      <c r="N89" s="56"/>
      <c r="O89" s="56"/>
      <c r="P89" s="55"/>
      <c r="Q89" s="55"/>
      <c r="R89" s="55"/>
    </row>
    <row r="90" spans="1:18" x14ac:dyDescent="0.2">
      <c r="A90" s="103"/>
      <c r="B90" s="144"/>
      <c r="C90" s="105"/>
      <c r="D90" s="83">
        <v>44629</v>
      </c>
      <c r="E90" s="69" t="s">
        <v>146</v>
      </c>
      <c r="F90" s="52">
        <v>5000</v>
      </c>
      <c r="G90" s="55"/>
      <c r="H90" s="55"/>
      <c r="I90" s="55"/>
      <c r="J90" s="57"/>
      <c r="K90" s="57"/>
      <c r="L90" s="57"/>
      <c r="M90" s="56"/>
      <c r="N90" s="56"/>
      <c r="O90" s="56"/>
      <c r="P90" s="55"/>
      <c r="Q90" s="55"/>
      <c r="R90" s="55"/>
    </row>
    <row r="91" spans="1:18" x14ac:dyDescent="0.2">
      <c r="A91" s="103"/>
      <c r="B91" s="104"/>
      <c r="C91" s="105"/>
      <c r="D91" s="157">
        <v>44629</v>
      </c>
      <c r="E91" s="161" t="s">
        <v>147</v>
      </c>
      <c r="F91" s="158">
        <f>10000+10000+5000</f>
        <v>25000</v>
      </c>
      <c r="G91" s="55"/>
      <c r="H91" s="55"/>
      <c r="I91" s="55"/>
      <c r="J91" s="57"/>
      <c r="K91" s="57"/>
      <c r="L91" s="57"/>
      <c r="M91" s="56"/>
      <c r="N91" s="56"/>
      <c r="O91" s="56"/>
      <c r="P91" s="55"/>
      <c r="Q91" s="55"/>
      <c r="R91" s="55"/>
    </row>
    <row r="92" spans="1:18" x14ac:dyDescent="0.2">
      <c r="A92" s="103"/>
      <c r="B92" s="104"/>
      <c r="C92" s="105"/>
      <c r="D92" s="83">
        <v>44630</v>
      </c>
      <c r="E92" s="162" t="s">
        <v>78</v>
      </c>
      <c r="F92" s="52">
        <v>14000</v>
      </c>
      <c r="G92" s="55"/>
      <c r="H92" s="55"/>
      <c r="I92" s="55"/>
      <c r="J92" s="57"/>
      <c r="K92" s="57"/>
      <c r="L92" s="57"/>
      <c r="M92" s="56"/>
      <c r="N92" s="56"/>
      <c r="O92" s="56"/>
      <c r="P92" s="55"/>
      <c r="Q92" s="55"/>
      <c r="R92" s="55"/>
    </row>
    <row r="93" spans="1:18" x14ac:dyDescent="0.2">
      <c r="A93" s="103"/>
      <c r="B93" s="104"/>
      <c r="C93" s="105"/>
      <c r="D93" s="157">
        <v>44630</v>
      </c>
      <c r="E93" s="159" t="s">
        <v>148</v>
      </c>
      <c r="F93" s="158">
        <v>30000</v>
      </c>
      <c r="G93" s="55"/>
      <c r="H93" s="55"/>
      <c r="I93" s="55"/>
      <c r="J93" s="57"/>
      <c r="K93" s="57"/>
      <c r="L93" s="57"/>
      <c r="M93" s="56"/>
      <c r="N93" s="56"/>
      <c r="O93" s="56"/>
      <c r="P93" s="55"/>
      <c r="Q93" s="55"/>
      <c r="R93" s="55"/>
    </row>
    <row r="94" spans="1:18" x14ac:dyDescent="0.2">
      <c r="A94" s="103"/>
      <c r="B94" s="104"/>
      <c r="C94" s="105"/>
      <c r="D94" s="156">
        <v>44631</v>
      </c>
      <c r="E94" s="160" t="s">
        <v>149</v>
      </c>
      <c r="F94" s="125">
        <v>5000</v>
      </c>
      <c r="G94" s="55"/>
      <c r="H94" s="55"/>
      <c r="I94" s="55"/>
      <c r="J94" s="57"/>
      <c r="K94" s="57"/>
      <c r="L94" s="57"/>
      <c r="M94" s="56"/>
      <c r="N94" s="56"/>
      <c r="O94" s="56"/>
      <c r="P94" s="55"/>
      <c r="Q94" s="55"/>
      <c r="R94" s="55"/>
    </row>
    <row r="95" spans="1:18" x14ac:dyDescent="0.2">
      <c r="A95" s="103"/>
      <c r="B95" s="104"/>
      <c r="C95" s="105"/>
      <c r="D95" s="165">
        <v>44631</v>
      </c>
      <c r="E95" s="80" t="s">
        <v>150</v>
      </c>
      <c r="F95" s="82">
        <v>21000</v>
      </c>
      <c r="G95" s="55"/>
      <c r="H95" s="55"/>
      <c r="I95" s="55"/>
      <c r="J95" s="57"/>
      <c r="K95" s="57"/>
      <c r="L95" s="57"/>
      <c r="M95" s="56"/>
      <c r="N95" s="56"/>
      <c r="O95" s="56"/>
      <c r="P95" s="55"/>
      <c r="Q95" s="55"/>
      <c r="R95" s="55"/>
    </row>
    <row r="96" spans="1:18" x14ac:dyDescent="0.2">
      <c r="A96" s="103"/>
      <c r="B96" s="104"/>
      <c r="C96" s="105"/>
      <c r="D96" s="165">
        <v>44631</v>
      </c>
      <c r="E96" s="80" t="s">
        <v>151</v>
      </c>
      <c r="F96" s="82">
        <f>23000*2</f>
        <v>46000</v>
      </c>
      <c r="G96" s="55"/>
      <c r="H96" s="55"/>
      <c r="I96" s="55"/>
      <c r="J96" s="57"/>
      <c r="K96" s="57"/>
      <c r="L96" s="57"/>
      <c r="M96" s="56"/>
      <c r="N96" s="56"/>
      <c r="O96" s="56"/>
      <c r="P96" s="55"/>
      <c r="Q96" s="55"/>
      <c r="R96" s="55"/>
    </row>
    <row r="97" spans="1:18" x14ac:dyDescent="0.2">
      <c r="A97" s="103"/>
      <c r="B97" s="104"/>
      <c r="C97" s="105"/>
      <c r="D97" s="165">
        <v>44631</v>
      </c>
      <c r="E97" s="164" t="s">
        <v>152</v>
      </c>
      <c r="F97" s="166">
        <v>10000</v>
      </c>
      <c r="G97" s="55"/>
      <c r="H97" s="55"/>
      <c r="I97" s="55"/>
      <c r="J97" s="57"/>
      <c r="K97" s="57"/>
      <c r="L97" s="57"/>
      <c r="M97" s="56"/>
      <c r="N97" s="56"/>
      <c r="O97" s="56"/>
      <c r="P97" s="55"/>
      <c r="Q97" s="55"/>
      <c r="R97" s="55"/>
    </row>
    <row r="98" spans="1:18" x14ac:dyDescent="0.2">
      <c r="A98" s="103"/>
      <c r="B98" s="104"/>
      <c r="C98" s="105"/>
      <c r="D98" s="83">
        <v>44630</v>
      </c>
      <c r="E98" s="53" t="s">
        <v>153</v>
      </c>
      <c r="F98" s="52">
        <v>15000</v>
      </c>
      <c r="G98" s="55"/>
      <c r="H98" s="55"/>
      <c r="I98" s="55"/>
      <c r="J98" s="57"/>
      <c r="K98" s="57"/>
      <c r="L98" s="57"/>
      <c r="M98" s="56"/>
      <c r="N98" s="56"/>
      <c r="O98" s="56"/>
      <c r="P98" s="55"/>
      <c r="Q98" s="55"/>
      <c r="R98" s="55"/>
    </row>
    <row r="99" spans="1:18" x14ac:dyDescent="0.2">
      <c r="A99" s="103"/>
      <c r="B99" s="104"/>
      <c r="C99" s="105"/>
      <c r="D99" s="83">
        <v>44632</v>
      </c>
      <c r="E99" s="53" t="s">
        <v>154</v>
      </c>
      <c r="F99" s="52">
        <v>9000</v>
      </c>
      <c r="G99" s="55"/>
      <c r="H99" s="55"/>
      <c r="I99" s="55"/>
      <c r="J99" s="57"/>
      <c r="K99" s="57"/>
      <c r="L99" s="57"/>
      <c r="M99" s="56"/>
      <c r="N99" s="56"/>
      <c r="O99" s="56"/>
      <c r="P99" s="55"/>
      <c r="Q99" s="55"/>
      <c r="R99" s="55"/>
    </row>
    <row r="100" spans="1:18" x14ac:dyDescent="0.2">
      <c r="A100" s="103"/>
      <c r="B100" s="104"/>
      <c r="C100" s="105"/>
      <c r="D100" s="83">
        <v>44632</v>
      </c>
      <c r="E100" s="53" t="s">
        <v>155</v>
      </c>
      <c r="F100" s="52">
        <f>10000+12000+1000</f>
        <v>23000</v>
      </c>
      <c r="G100" s="55"/>
      <c r="H100" s="55"/>
      <c r="I100" s="55"/>
      <c r="J100" s="57"/>
      <c r="K100" s="57"/>
      <c r="L100" s="57"/>
      <c r="M100" s="56"/>
      <c r="N100" s="56"/>
      <c r="O100" s="56"/>
      <c r="P100" s="55"/>
      <c r="Q100" s="55"/>
      <c r="R100" s="55"/>
    </row>
    <row r="101" spans="1:18" x14ac:dyDescent="0.2">
      <c r="A101" s="103"/>
      <c r="B101" s="104"/>
      <c r="C101" s="105"/>
      <c r="D101" s="83">
        <v>44632</v>
      </c>
      <c r="E101" s="53" t="s">
        <v>156</v>
      </c>
      <c r="F101" s="52">
        <v>15000</v>
      </c>
      <c r="G101" s="55"/>
      <c r="H101" s="55"/>
      <c r="I101" s="55"/>
      <c r="J101" s="57"/>
      <c r="K101" s="57"/>
      <c r="L101" s="57"/>
      <c r="M101" s="56"/>
      <c r="N101" s="56"/>
      <c r="O101" s="56"/>
      <c r="P101" s="55"/>
      <c r="Q101" s="55"/>
      <c r="R101" s="55"/>
    </row>
    <row r="102" spans="1:18" x14ac:dyDescent="0.2">
      <c r="A102" s="103"/>
      <c r="B102" s="104"/>
      <c r="C102" s="105"/>
      <c r="D102" s="83">
        <v>44634</v>
      </c>
      <c r="E102" s="53" t="s">
        <v>157</v>
      </c>
      <c r="F102" s="52">
        <v>25000</v>
      </c>
      <c r="G102" s="55"/>
      <c r="H102" s="55"/>
      <c r="I102" s="55"/>
      <c r="J102" s="57"/>
      <c r="K102" s="57"/>
      <c r="L102" s="57"/>
      <c r="M102" s="56"/>
      <c r="N102" s="56"/>
      <c r="O102" s="56"/>
      <c r="P102" s="55"/>
      <c r="Q102" s="55"/>
      <c r="R102" s="55"/>
    </row>
    <row r="103" spans="1:18" x14ac:dyDescent="0.2">
      <c r="A103" s="103"/>
      <c r="B103" s="104"/>
      <c r="C103" s="105"/>
      <c r="D103" s="83">
        <v>44634</v>
      </c>
      <c r="E103" s="53" t="s">
        <v>127</v>
      </c>
      <c r="F103" s="52">
        <v>5000</v>
      </c>
      <c r="G103" s="55"/>
      <c r="H103" s="55"/>
      <c r="I103" s="55"/>
      <c r="J103" s="57"/>
      <c r="K103" s="57"/>
      <c r="L103" s="57"/>
      <c r="M103" s="56"/>
      <c r="N103" s="56"/>
      <c r="O103" s="56"/>
      <c r="P103" s="55"/>
      <c r="Q103" s="55"/>
      <c r="R103" s="55"/>
    </row>
    <row r="104" spans="1:18" x14ac:dyDescent="0.2">
      <c r="A104" s="103"/>
      <c r="B104" s="104"/>
      <c r="C104" s="105"/>
      <c r="D104" s="83">
        <v>44635</v>
      </c>
      <c r="E104" s="53" t="s">
        <v>158</v>
      </c>
      <c r="F104" s="52">
        <v>5000</v>
      </c>
      <c r="G104" s="55"/>
      <c r="H104" s="55"/>
      <c r="I104" s="55"/>
      <c r="J104" s="57"/>
      <c r="K104" s="57"/>
      <c r="L104" s="57"/>
      <c r="M104" s="56"/>
      <c r="N104" s="56"/>
      <c r="O104" s="56"/>
      <c r="P104" s="55"/>
      <c r="Q104" s="55"/>
      <c r="R104" s="55"/>
    </row>
    <row r="105" spans="1:18" x14ac:dyDescent="0.2">
      <c r="A105" s="103"/>
      <c r="B105" s="104"/>
      <c r="C105" s="105"/>
      <c r="D105" s="83">
        <v>44635</v>
      </c>
      <c r="E105" s="53" t="s">
        <v>159</v>
      </c>
      <c r="F105" s="52">
        <v>13000</v>
      </c>
      <c r="G105" s="55"/>
      <c r="H105" s="55"/>
      <c r="I105" s="55"/>
      <c r="J105" s="57"/>
      <c r="K105" s="57"/>
      <c r="L105" s="57"/>
      <c r="M105" s="56"/>
      <c r="N105" s="56"/>
      <c r="O105" s="56"/>
      <c r="P105" s="55"/>
      <c r="Q105" s="55"/>
      <c r="R105" s="55"/>
    </row>
    <row r="106" spans="1:18" x14ac:dyDescent="0.2">
      <c r="A106" s="103"/>
      <c r="B106" s="104"/>
      <c r="C106" s="105"/>
      <c r="D106" s="83">
        <v>44636</v>
      </c>
      <c r="E106" s="53" t="s">
        <v>160</v>
      </c>
      <c r="F106" s="52">
        <v>19000</v>
      </c>
      <c r="G106" s="55"/>
      <c r="H106" s="55"/>
      <c r="I106" s="55"/>
      <c r="J106" s="57"/>
      <c r="K106" s="57"/>
      <c r="L106" s="57"/>
      <c r="M106" s="56"/>
      <c r="N106" s="56"/>
      <c r="O106" s="56"/>
      <c r="P106" s="55"/>
      <c r="Q106" s="55"/>
      <c r="R106" s="55"/>
    </row>
    <row r="107" spans="1:18" x14ac:dyDescent="0.2">
      <c r="A107" s="103"/>
      <c r="B107" s="104"/>
      <c r="C107" s="105"/>
      <c r="D107" s="83">
        <v>44636</v>
      </c>
      <c r="E107" s="53" t="s">
        <v>161</v>
      </c>
      <c r="F107" s="52">
        <v>11500</v>
      </c>
      <c r="G107" s="55"/>
      <c r="H107" s="55"/>
      <c r="I107" s="55"/>
      <c r="J107" s="57"/>
      <c r="K107" s="57"/>
      <c r="L107" s="57"/>
      <c r="M107" s="56"/>
      <c r="N107" s="56"/>
      <c r="O107" s="56"/>
      <c r="P107" s="55"/>
      <c r="Q107" s="55"/>
      <c r="R107" s="55"/>
    </row>
    <row r="108" spans="1:18" x14ac:dyDescent="0.2">
      <c r="A108" s="103"/>
      <c r="B108" s="104"/>
      <c r="C108" s="105"/>
      <c r="D108" s="168">
        <v>44636</v>
      </c>
      <c r="E108" s="161" t="s">
        <v>104</v>
      </c>
      <c r="F108" s="167">
        <f>10000+2500+5000</f>
        <v>17500</v>
      </c>
      <c r="G108" s="55"/>
      <c r="H108" s="55"/>
      <c r="I108" s="55"/>
      <c r="J108" s="57"/>
      <c r="K108" s="57"/>
      <c r="L108" s="57"/>
      <c r="M108" s="56"/>
      <c r="N108" s="56"/>
      <c r="O108" s="56"/>
      <c r="P108" s="55"/>
      <c r="Q108" s="55"/>
      <c r="R108" s="55"/>
    </row>
    <row r="109" spans="1:18" x14ac:dyDescent="0.2">
      <c r="A109" s="103"/>
      <c r="B109" s="104"/>
      <c r="C109" s="105"/>
      <c r="D109" s="83">
        <v>44637</v>
      </c>
      <c r="E109" s="53" t="s">
        <v>162</v>
      </c>
      <c r="F109" s="52">
        <f>27000/2</f>
        <v>13500</v>
      </c>
      <c r="G109" s="55"/>
      <c r="H109" s="55"/>
      <c r="I109" s="55"/>
      <c r="J109" s="57"/>
      <c r="K109" s="57"/>
      <c r="L109" s="57"/>
      <c r="M109" s="56"/>
      <c r="N109" s="56"/>
      <c r="O109" s="56"/>
      <c r="P109" s="55"/>
      <c r="Q109" s="55"/>
      <c r="R109" s="55"/>
    </row>
    <row r="110" spans="1:18" x14ac:dyDescent="0.2">
      <c r="A110" s="103"/>
      <c r="B110" s="104"/>
      <c r="C110" s="105"/>
      <c r="D110" s="83">
        <v>44637</v>
      </c>
      <c r="E110" s="53" t="s">
        <v>163</v>
      </c>
      <c r="F110" s="52">
        <v>46000</v>
      </c>
      <c r="G110" s="55"/>
      <c r="H110" s="55"/>
      <c r="I110" s="55"/>
      <c r="J110" s="57"/>
      <c r="K110" s="57"/>
      <c r="L110" s="57"/>
      <c r="M110" s="56"/>
      <c r="N110" s="56"/>
      <c r="O110" s="56"/>
      <c r="P110" s="55"/>
      <c r="Q110" s="55"/>
      <c r="R110" s="55"/>
    </row>
    <row r="111" spans="1:18" x14ac:dyDescent="0.2">
      <c r="A111" s="103"/>
      <c r="B111" s="104"/>
      <c r="C111" s="105"/>
      <c r="D111" s="83">
        <v>44638</v>
      </c>
      <c r="E111" s="53" t="s">
        <v>130</v>
      </c>
      <c r="F111" s="52">
        <v>18000</v>
      </c>
      <c r="G111" s="55"/>
      <c r="H111" s="55"/>
      <c r="I111" s="55"/>
      <c r="J111" s="57"/>
      <c r="K111" s="57"/>
      <c r="L111" s="57"/>
      <c r="M111" s="56"/>
      <c r="N111" s="56"/>
      <c r="O111" s="56"/>
      <c r="P111" s="55"/>
      <c r="Q111" s="55"/>
      <c r="R111" s="55"/>
    </row>
    <row r="112" spans="1:18" x14ac:dyDescent="0.2">
      <c r="A112" s="103"/>
      <c r="B112" s="104"/>
      <c r="C112" s="105"/>
      <c r="D112" s="83">
        <v>44638</v>
      </c>
      <c r="E112" s="53" t="s">
        <v>164</v>
      </c>
      <c r="F112" s="52">
        <v>3000</v>
      </c>
      <c r="G112" s="55"/>
      <c r="H112" s="55"/>
      <c r="I112" s="55"/>
      <c r="J112" s="57"/>
      <c r="K112" s="57"/>
      <c r="L112" s="57"/>
      <c r="M112" s="56"/>
      <c r="N112" s="56"/>
      <c r="O112" s="56"/>
      <c r="P112" s="55"/>
      <c r="Q112" s="55"/>
      <c r="R112" s="55"/>
    </row>
    <row r="113" spans="1:18" x14ac:dyDescent="0.2">
      <c r="A113" s="103"/>
      <c r="B113" s="104"/>
      <c r="C113" s="105"/>
      <c r="D113" s="83">
        <v>44639</v>
      </c>
      <c r="E113" s="53" t="s">
        <v>165</v>
      </c>
      <c r="F113" s="52">
        <v>10000</v>
      </c>
      <c r="G113" s="55"/>
      <c r="H113" s="55"/>
      <c r="I113" s="55"/>
      <c r="J113" s="57"/>
      <c r="K113" s="57"/>
      <c r="L113" s="57"/>
      <c r="M113" s="56"/>
      <c r="N113" s="56"/>
      <c r="O113" s="56"/>
      <c r="P113" s="55"/>
      <c r="Q113" s="55"/>
      <c r="R113" s="55"/>
    </row>
    <row r="114" spans="1:18" x14ac:dyDescent="0.2">
      <c r="A114" s="103"/>
      <c r="B114" s="104"/>
      <c r="C114" s="105"/>
      <c r="D114" s="83">
        <v>44641</v>
      </c>
      <c r="E114" s="53" t="s">
        <v>144</v>
      </c>
      <c r="F114" s="52">
        <v>5000</v>
      </c>
      <c r="G114" s="55"/>
      <c r="H114" s="55"/>
      <c r="I114" s="55"/>
      <c r="J114" s="57"/>
      <c r="K114" s="57"/>
      <c r="L114" s="57"/>
      <c r="M114" s="56"/>
      <c r="N114" s="56"/>
      <c r="O114" s="56"/>
      <c r="P114" s="55"/>
      <c r="Q114" s="55"/>
      <c r="R114" s="55"/>
    </row>
    <row r="115" spans="1:18" x14ac:dyDescent="0.2">
      <c r="A115" s="103"/>
      <c r="B115" s="104"/>
      <c r="C115" s="105"/>
      <c r="D115" s="83">
        <v>44642</v>
      </c>
      <c r="E115" s="53" t="s">
        <v>166</v>
      </c>
      <c r="F115" s="52">
        <f>16000+13000+5000</f>
        <v>34000</v>
      </c>
      <c r="G115" s="55"/>
      <c r="H115" s="55"/>
      <c r="I115" s="55"/>
      <c r="J115" s="57"/>
      <c r="K115" s="57"/>
      <c r="L115" s="57"/>
      <c r="M115" s="56"/>
      <c r="N115" s="56"/>
      <c r="O115" s="56"/>
      <c r="P115" s="55"/>
      <c r="Q115" s="55"/>
      <c r="R115" s="55"/>
    </row>
    <row r="116" spans="1:18" x14ac:dyDescent="0.2">
      <c r="A116" s="103"/>
      <c r="B116" s="104"/>
      <c r="C116" s="105"/>
      <c r="D116" s="83">
        <v>44642</v>
      </c>
      <c r="E116" s="53" t="s">
        <v>78</v>
      </c>
      <c r="F116" s="52">
        <v>10000</v>
      </c>
      <c r="G116" s="55"/>
      <c r="H116" s="55"/>
      <c r="I116" s="55"/>
      <c r="J116" s="57"/>
      <c r="K116" s="57"/>
      <c r="L116" s="57"/>
      <c r="M116" s="56"/>
      <c r="N116" s="56"/>
      <c r="O116" s="56"/>
      <c r="P116" s="55"/>
      <c r="Q116" s="55"/>
      <c r="R116" s="55"/>
    </row>
    <row r="117" spans="1:18" x14ac:dyDescent="0.2">
      <c r="A117" s="59"/>
      <c r="B117" s="59"/>
      <c r="C117" s="59"/>
      <c r="D117" s="83">
        <v>44642</v>
      </c>
      <c r="E117" s="53" t="s">
        <v>133</v>
      </c>
      <c r="F117" s="52">
        <v>8000</v>
      </c>
      <c r="G117" s="55"/>
      <c r="H117" s="55"/>
      <c r="I117" s="55"/>
      <c r="J117" s="57"/>
      <c r="K117" s="57"/>
      <c r="L117" s="57"/>
      <c r="M117" s="56"/>
      <c r="N117" s="56"/>
      <c r="O117" s="56"/>
      <c r="P117" s="55"/>
      <c r="Q117" s="55"/>
      <c r="R117" s="55"/>
    </row>
    <row r="118" spans="1:18" x14ac:dyDescent="0.2">
      <c r="A118" s="59"/>
      <c r="B118" s="59"/>
      <c r="C118" s="59"/>
      <c r="D118" s="183">
        <v>44643</v>
      </c>
      <c r="E118" s="184" t="s">
        <v>167</v>
      </c>
      <c r="F118" s="185">
        <v>10000</v>
      </c>
      <c r="G118" s="55"/>
      <c r="H118" s="55"/>
      <c r="I118" s="55"/>
      <c r="J118" s="57"/>
      <c r="K118" s="57"/>
      <c r="L118" s="57"/>
      <c r="M118" s="56"/>
      <c r="N118" s="56"/>
      <c r="O118" s="56"/>
      <c r="P118" s="55"/>
      <c r="Q118" s="55"/>
      <c r="R118" s="55"/>
    </row>
    <row r="119" spans="1:18" x14ac:dyDescent="0.2">
      <c r="A119" s="59"/>
      <c r="B119" s="59"/>
      <c r="C119" s="59"/>
      <c r="D119" s="183">
        <v>44644</v>
      </c>
      <c r="E119" s="184" t="s">
        <v>168</v>
      </c>
      <c r="F119" s="185">
        <v>37000</v>
      </c>
      <c r="G119" s="55"/>
      <c r="H119" s="55"/>
      <c r="I119" s="55"/>
      <c r="J119" s="57"/>
      <c r="K119" s="57"/>
      <c r="L119" s="57"/>
      <c r="M119" s="56"/>
      <c r="N119" s="56"/>
      <c r="O119" s="56"/>
      <c r="P119" s="55"/>
      <c r="Q119" s="55"/>
      <c r="R119" s="55"/>
    </row>
    <row r="120" spans="1:18" x14ac:dyDescent="0.2">
      <c r="A120" s="59"/>
      <c r="B120" s="59"/>
      <c r="C120" s="59"/>
      <c r="D120" s="183">
        <v>44644</v>
      </c>
      <c r="E120" s="184" t="s">
        <v>169</v>
      </c>
      <c r="F120" s="185">
        <v>131000</v>
      </c>
      <c r="G120" s="55"/>
      <c r="H120" s="55"/>
      <c r="I120" s="55"/>
      <c r="J120" s="57"/>
      <c r="K120" s="57"/>
      <c r="L120" s="57"/>
      <c r="M120" s="56"/>
      <c r="N120" s="56"/>
      <c r="O120" s="56"/>
      <c r="P120" s="55"/>
      <c r="Q120" s="55"/>
      <c r="R120" s="55"/>
    </row>
    <row r="121" spans="1:18" x14ac:dyDescent="0.2">
      <c r="A121" s="59"/>
      <c r="B121" s="59"/>
      <c r="C121" s="59"/>
      <c r="D121" s="183">
        <v>44645</v>
      </c>
      <c r="E121" s="184" t="s">
        <v>170</v>
      </c>
      <c r="F121" s="185">
        <v>20000</v>
      </c>
      <c r="G121" s="55"/>
      <c r="H121" s="55"/>
      <c r="I121" s="55"/>
      <c r="J121" s="57"/>
      <c r="K121" s="57"/>
      <c r="L121" s="57"/>
      <c r="M121" s="56"/>
      <c r="N121" s="56"/>
      <c r="O121" s="56"/>
      <c r="P121" s="55"/>
      <c r="Q121" s="55"/>
      <c r="R121" s="55"/>
    </row>
    <row r="122" spans="1:18" x14ac:dyDescent="0.2">
      <c r="A122" s="59"/>
      <c r="B122" s="59"/>
      <c r="C122" s="59"/>
      <c r="D122" s="183">
        <v>44645</v>
      </c>
      <c r="E122" s="184" t="s">
        <v>171</v>
      </c>
      <c r="F122" s="185">
        <v>42000</v>
      </c>
      <c r="G122" s="55"/>
      <c r="H122" s="55"/>
      <c r="I122" s="55"/>
      <c r="J122" s="57"/>
      <c r="K122" s="57"/>
      <c r="L122" s="57"/>
      <c r="M122" s="56"/>
      <c r="N122" s="56"/>
      <c r="O122" s="56"/>
      <c r="P122" s="55"/>
      <c r="Q122" s="55"/>
      <c r="R122" s="55"/>
    </row>
    <row r="123" spans="1:18" x14ac:dyDescent="0.2">
      <c r="A123" s="59"/>
      <c r="B123" s="59"/>
      <c r="C123" s="59"/>
      <c r="D123" s="183">
        <v>44645</v>
      </c>
      <c r="E123" s="184" t="s">
        <v>172</v>
      </c>
      <c r="F123" s="185">
        <v>2500</v>
      </c>
      <c r="G123" s="55"/>
      <c r="H123" s="55"/>
      <c r="I123" s="55"/>
      <c r="J123" s="57"/>
      <c r="K123" s="57"/>
      <c r="L123" s="57"/>
      <c r="M123" s="56"/>
      <c r="N123" s="56"/>
      <c r="O123" s="56"/>
      <c r="P123" s="55"/>
      <c r="Q123" s="55"/>
      <c r="R123" s="55"/>
    </row>
    <row r="124" spans="1:18" x14ac:dyDescent="0.2">
      <c r="A124" s="59"/>
      <c r="B124" s="59"/>
      <c r="C124" s="59"/>
      <c r="D124" s="183"/>
      <c r="E124" s="53"/>
      <c r="F124" s="52"/>
      <c r="G124" s="55"/>
      <c r="H124" s="55"/>
      <c r="I124" s="55"/>
      <c r="J124" s="57"/>
      <c r="K124" s="57"/>
      <c r="L124" s="57"/>
      <c r="M124" s="56"/>
      <c r="N124" s="56"/>
      <c r="O124" s="56"/>
      <c r="P124" s="55"/>
      <c r="Q124" s="55"/>
      <c r="R124" s="55"/>
    </row>
    <row r="125" spans="1:18" x14ac:dyDescent="0.2">
      <c r="A125" s="59"/>
      <c r="B125" s="59"/>
      <c r="C125" s="59"/>
      <c r="D125" s="83"/>
      <c r="E125" s="53"/>
      <c r="F125" s="52"/>
      <c r="G125" s="55"/>
      <c r="H125" s="55"/>
      <c r="I125" s="55"/>
      <c r="J125" s="57"/>
      <c r="K125" s="57"/>
      <c r="L125" s="57"/>
      <c r="M125" s="56"/>
      <c r="N125" s="56"/>
      <c r="O125" s="56"/>
      <c r="P125" s="55"/>
      <c r="Q125" s="55"/>
      <c r="R125" s="55"/>
    </row>
    <row r="126" spans="1:18" x14ac:dyDescent="0.2">
      <c r="A126" s="59"/>
      <c r="B126" s="59"/>
      <c r="C126" s="59"/>
      <c r="D126" s="83"/>
      <c r="E126" s="58"/>
      <c r="F126" s="58"/>
      <c r="G126" s="55"/>
      <c r="H126" s="55"/>
      <c r="I126" s="55"/>
      <c r="J126" s="57"/>
      <c r="K126" s="57"/>
      <c r="L126" s="57"/>
      <c r="M126" s="56"/>
      <c r="N126" s="56"/>
      <c r="O126" s="56"/>
      <c r="P126" s="55"/>
      <c r="Q126" s="55"/>
      <c r="R126" s="55"/>
    </row>
    <row r="127" spans="1:18" x14ac:dyDescent="0.2">
      <c r="A127" s="59"/>
      <c r="B127" s="59"/>
      <c r="C127" s="59"/>
      <c r="D127" s="83"/>
      <c r="E127" s="58"/>
      <c r="F127" s="58"/>
      <c r="G127" s="55"/>
      <c r="H127" s="55"/>
      <c r="I127" s="55"/>
      <c r="J127" s="57"/>
      <c r="K127" s="57"/>
      <c r="L127" s="57"/>
      <c r="M127" s="56"/>
      <c r="N127" s="56"/>
      <c r="O127" s="56"/>
      <c r="P127" s="55"/>
      <c r="Q127" s="55"/>
      <c r="R127" s="55"/>
    </row>
    <row r="128" spans="1:18" s="4" customFormat="1" x14ac:dyDescent="0.2">
      <c r="A128" s="302" t="s">
        <v>93</v>
      </c>
      <c r="B128" s="302"/>
      <c r="C128" s="9">
        <f>SUM(C72:C117)</f>
        <v>3129739</v>
      </c>
      <c r="D128" s="303" t="s">
        <v>94</v>
      </c>
      <c r="E128" s="303"/>
      <c r="F128" s="8">
        <f>SUM(F72:F123)</f>
        <v>935500</v>
      </c>
      <c r="G128" s="304" t="s">
        <v>95</v>
      </c>
      <c r="H128" s="304"/>
      <c r="I128" s="5">
        <f>SUM(I72:I117)</f>
        <v>1091500</v>
      </c>
      <c r="J128" s="300" t="s">
        <v>96</v>
      </c>
      <c r="K128" s="300"/>
      <c r="L128" s="88">
        <f>SUM(L72:L117)</f>
        <v>300000</v>
      </c>
      <c r="M128" s="301" t="s">
        <v>97</v>
      </c>
      <c r="N128" s="301"/>
      <c r="O128" s="6">
        <f>SUM(O72:O117)</f>
        <v>102000</v>
      </c>
      <c r="P128" s="304" t="s">
        <v>98</v>
      </c>
      <c r="Q128" s="304"/>
      <c r="R128" s="5">
        <f>SUM(R72:R117)</f>
        <v>239800</v>
      </c>
    </row>
    <row r="131" spans="1:6" x14ac:dyDescent="0.2">
      <c r="A131" t="s">
        <v>99</v>
      </c>
      <c r="B131" t="s">
        <v>100</v>
      </c>
      <c r="C131" s="3">
        <v>4473000</v>
      </c>
      <c r="D131" s="305">
        <f>SUM(C131:C133)</f>
        <v>5142000</v>
      </c>
    </row>
    <row r="132" spans="1:6" x14ac:dyDescent="0.2">
      <c r="B132" t="s">
        <v>101</v>
      </c>
      <c r="C132" s="1">
        <v>500000</v>
      </c>
      <c r="D132" s="316"/>
    </row>
    <row r="133" spans="1:6" x14ac:dyDescent="0.2">
      <c r="B133" t="s">
        <v>102</v>
      </c>
      <c r="C133" s="1">
        <v>169000</v>
      </c>
      <c r="D133" s="316"/>
    </row>
    <row r="134" spans="1:6" x14ac:dyDescent="0.2">
      <c r="C134" s="1"/>
    </row>
    <row r="135" spans="1:6" x14ac:dyDescent="0.2">
      <c r="A135" t="s">
        <v>173</v>
      </c>
      <c r="B135" t="str">
        <f>A128</f>
        <v>Pengeluaran Kewajiban</v>
      </c>
      <c r="C135" s="1">
        <f>C128</f>
        <v>3129739</v>
      </c>
      <c r="D135" s="204">
        <f>C135/$D$131</f>
        <v>0.60866180474523535</v>
      </c>
      <c r="F135" s="1"/>
    </row>
    <row r="136" spans="1:6" x14ac:dyDescent="0.2">
      <c r="B136" t="str">
        <f>D128</f>
        <v>Pengeluaran Makan</v>
      </c>
      <c r="C136" s="1">
        <f>F128</f>
        <v>935500</v>
      </c>
      <c r="D136" s="204">
        <f t="shared" ref="D136:D140" si="0">C136/$D$131</f>
        <v>0.18193309996110463</v>
      </c>
      <c r="F136" s="1"/>
    </row>
    <row r="137" spans="1:6" x14ac:dyDescent="0.2">
      <c r="B137" t="str">
        <f>G128</f>
        <v>Pengeluaran Sosial</v>
      </c>
      <c r="C137" s="1">
        <f>I128</f>
        <v>1091500</v>
      </c>
      <c r="D137" s="204">
        <f t="shared" si="0"/>
        <v>0.21227148969272658</v>
      </c>
      <c r="F137" s="1"/>
    </row>
    <row r="138" spans="1:6" x14ac:dyDescent="0.2">
      <c r="B138" t="str">
        <f>J128</f>
        <v>Pengeluaran Sedekah</v>
      </c>
      <c r="C138" s="1">
        <f>L128</f>
        <v>300000</v>
      </c>
      <c r="D138" s="204">
        <f t="shared" si="0"/>
        <v>5.8343057176196034E-2</v>
      </c>
      <c r="F138" s="1"/>
    </row>
    <row r="139" spans="1:6" x14ac:dyDescent="0.2">
      <c r="B139" t="str">
        <f>M128</f>
        <v>Pengeluaran Transport</v>
      </c>
      <c r="C139" s="1">
        <f>O128</f>
        <v>102000</v>
      </c>
      <c r="D139" s="204">
        <f t="shared" si="0"/>
        <v>1.9836639439906652E-2</v>
      </c>
      <c r="F139" s="1"/>
    </row>
    <row r="140" spans="1:6" x14ac:dyDescent="0.2">
      <c r="B140" t="str">
        <f>P128</f>
        <v>Pengeluaran Sekunder</v>
      </c>
      <c r="C140" s="102">
        <f>R128</f>
        <v>239800</v>
      </c>
      <c r="D140" s="204">
        <f t="shared" si="0"/>
        <v>4.6635550369506028E-2</v>
      </c>
    </row>
    <row r="141" spans="1:6" x14ac:dyDescent="0.2">
      <c r="C141" s="1">
        <f>C131-C135-C137-C138-C136-C139-C140+C132+C133</f>
        <v>-656539</v>
      </c>
      <c r="D141" t="s">
        <v>174</v>
      </c>
      <c r="E141" s="3">
        <v>210000</v>
      </c>
    </row>
    <row r="142" spans="1:6" x14ac:dyDescent="0.2">
      <c r="C142" s="3">
        <f>656539+210000</f>
        <v>866539</v>
      </c>
      <c r="D142" s="1"/>
      <c r="E142" s="1"/>
    </row>
    <row r="143" spans="1:6" x14ac:dyDescent="0.2">
      <c r="C143" s="1"/>
    </row>
    <row r="145" spans="1:18" x14ac:dyDescent="0.2">
      <c r="A145" s="294" t="s">
        <v>175</v>
      </c>
      <c r="B145" s="294"/>
      <c r="C145" s="294"/>
      <c r="D145" s="294"/>
      <c r="E145" s="294"/>
      <c r="F145" s="294"/>
      <c r="G145" s="294"/>
      <c r="H145" s="294"/>
      <c r="I145" s="294"/>
      <c r="J145" s="294"/>
      <c r="K145" s="294"/>
      <c r="L145" s="294"/>
      <c r="M145" s="294"/>
      <c r="N145" s="294"/>
      <c r="O145" s="294"/>
      <c r="P145" s="294"/>
      <c r="Q145" s="294"/>
      <c r="R145" s="294"/>
    </row>
    <row r="146" spans="1:18" x14ac:dyDescent="0.2">
      <c r="A146" s="294"/>
      <c r="B146" s="294"/>
      <c r="C146" s="294"/>
      <c r="D146" s="294"/>
      <c r="E146" s="294"/>
      <c r="F146" s="294"/>
      <c r="G146" s="294"/>
      <c r="H146" s="294"/>
      <c r="I146" s="294"/>
      <c r="J146" s="294"/>
      <c r="K146" s="294"/>
      <c r="L146" s="294"/>
      <c r="M146" s="294"/>
      <c r="N146" s="294"/>
      <c r="O146" s="294"/>
      <c r="P146" s="294"/>
      <c r="Q146" s="294"/>
      <c r="R146" s="294"/>
    </row>
    <row r="147" spans="1:18" x14ac:dyDescent="0.2">
      <c r="A147" s="59" t="s">
        <v>1</v>
      </c>
      <c r="B147" s="59" t="s">
        <v>2</v>
      </c>
      <c r="C147" s="59" t="s">
        <v>3</v>
      </c>
      <c r="D147" s="58" t="s">
        <v>1</v>
      </c>
      <c r="E147" s="58" t="s">
        <v>4</v>
      </c>
      <c r="F147" s="58" t="s">
        <v>3</v>
      </c>
      <c r="G147" s="55" t="s">
        <v>1</v>
      </c>
      <c r="H147" s="55" t="s">
        <v>5</v>
      </c>
      <c r="I147" s="55" t="s">
        <v>3</v>
      </c>
      <c r="J147" s="57" t="s">
        <v>1</v>
      </c>
      <c r="K147" s="57" t="s">
        <v>6</v>
      </c>
      <c r="L147" s="57" t="s">
        <v>3</v>
      </c>
      <c r="M147" s="56" t="s">
        <v>1</v>
      </c>
      <c r="N147" s="56" t="s">
        <v>7</v>
      </c>
      <c r="O147" s="56" t="s">
        <v>3</v>
      </c>
      <c r="P147" s="55" t="s">
        <v>1</v>
      </c>
      <c r="Q147" s="55" t="s">
        <v>8</v>
      </c>
      <c r="R147" s="55" t="s">
        <v>3</v>
      </c>
    </row>
    <row r="148" spans="1:18" x14ac:dyDescent="0.2">
      <c r="A148" s="65">
        <v>44648</v>
      </c>
      <c r="B148" s="41" t="s">
        <v>176</v>
      </c>
      <c r="C148" s="40">
        <v>656539</v>
      </c>
      <c r="D148" s="83">
        <v>44647</v>
      </c>
      <c r="E148" s="53" t="s">
        <v>177</v>
      </c>
      <c r="F148" s="52">
        <v>15000</v>
      </c>
      <c r="G148" s="47">
        <v>44651</v>
      </c>
      <c r="H148" s="34" t="s">
        <v>178</v>
      </c>
      <c r="I148" s="36">
        <v>30000</v>
      </c>
      <c r="J148" s="51"/>
      <c r="K148" s="32"/>
      <c r="L148" s="32"/>
      <c r="M148" s="139">
        <v>44650</v>
      </c>
      <c r="N148" s="46" t="s">
        <v>179</v>
      </c>
      <c r="O148" s="48">
        <f>2000+2000</f>
        <v>4000</v>
      </c>
      <c r="P148" s="47">
        <v>44650</v>
      </c>
      <c r="Q148" s="30" t="s">
        <v>180</v>
      </c>
      <c r="R148" s="36">
        <v>82000</v>
      </c>
    </row>
    <row r="149" spans="1:18" x14ac:dyDescent="0.2">
      <c r="A149" s="65">
        <v>44648</v>
      </c>
      <c r="B149" s="41" t="s">
        <v>181</v>
      </c>
      <c r="C149" s="40">
        <v>150000</v>
      </c>
      <c r="D149" s="83">
        <v>44647</v>
      </c>
      <c r="E149" s="53" t="s">
        <v>182</v>
      </c>
      <c r="F149" s="52">
        <f>3000+3000+5000</f>
        <v>11000</v>
      </c>
      <c r="G149" s="47">
        <v>44652</v>
      </c>
      <c r="H149" s="34" t="s">
        <v>183</v>
      </c>
      <c r="I149" s="36">
        <f>20000*4+5000</f>
        <v>85000</v>
      </c>
      <c r="J149" s="32"/>
      <c r="K149" s="32"/>
      <c r="L149" s="32"/>
      <c r="M149" s="139">
        <v>44648</v>
      </c>
      <c r="N149" s="46" t="s">
        <v>13</v>
      </c>
      <c r="O149" s="48">
        <v>20000</v>
      </c>
      <c r="P149" s="47">
        <v>44653</v>
      </c>
      <c r="Q149" s="34" t="s">
        <v>184</v>
      </c>
      <c r="R149" s="36">
        <v>129000</v>
      </c>
    </row>
    <row r="150" spans="1:18" x14ac:dyDescent="0.2">
      <c r="A150" s="65">
        <v>44648</v>
      </c>
      <c r="B150" s="41" t="s">
        <v>185</v>
      </c>
      <c r="C150" s="40">
        <v>500000</v>
      </c>
      <c r="D150" s="83">
        <v>44647</v>
      </c>
      <c r="E150" s="53" t="s">
        <v>186</v>
      </c>
      <c r="F150" s="52">
        <v>25000</v>
      </c>
      <c r="G150" s="47">
        <v>44653</v>
      </c>
      <c r="H150" s="34" t="s">
        <v>187</v>
      </c>
      <c r="I150" s="36">
        <f>28000+17000</f>
        <v>45000</v>
      </c>
      <c r="J150" s="32"/>
      <c r="K150" s="32"/>
      <c r="L150" s="32"/>
      <c r="M150" s="139">
        <v>44651</v>
      </c>
      <c r="N150" s="46" t="s">
        <v>188</v>
      </c>
      <c r="O150" s="48">
        <v>4000</v>
      </c>
      <c r="P150" s="47">
        <v>44652</v>
      </c>
      <c r="Q150" s="34" t="s">
        <v>36</v>
      </c>
      <c r="R150" s="36">
        <f>49000+34000</f>
        <v>83000</v>
      </c>
    </row>
    <row r="151" spans="1:18" x14ac:dyDescent="0.2">
      <c r="A151" s="65">
        <v>44648</v>
      </c>
      <c r="B151" s="41" t="s">
        <v>9</v>
      </c>
      <c r="C151" s="40">
        <v>500000</v>
      </c>
      <c r="D151" s="83">
        <v>44648</v>
      </c>
      <c r="E151" s="53" t="s">
        <v>189</v>
      </c>
      <c r="F151" s="52">
        <f>13000+12000+2000</f>
        <v>27000</v>
      </c>
      <c r="G151" s="47">
        <v>44648</v>
      </c>
      <c r="H151" s="34" t="s">
        <v>190</v>
      </c>
      <c r="I151" s="36">
        <f>121000+30000</f>
        <v>151000</v>
      </c>
      <c r="J151" s="32"/>
      <c r="K151" s="32"/>
      <c r="L151" s="32"/>
      <c r="M151" s="139">
        <v>44652</v>
      </c>
      <c r="N151" s="46" t="s">
        <v>13</v>
      </c>
      <c r="O151" s="48">
        <v>20000</v>
      </c>
      <c r="P151" s="47">
        <v>44662</v>
      </c>
      <c r="Q151" s="34" t="s">
        <v>191</v>
      </c>
      <c r="R151" s="36">
        <v>34000</v>
      </c>
    </row>
    <row r="152" spans="1:18" x14ac:dyDescent="0.2">
      <c r="A152" s="65">
        <v>44648</v>
      </c>
      <c r="B152" s="41" t="s">
        <v>33</v>
      </c>
      <c r="C152" s="40">
        <v>200000</v>
      </c>
      <c r="D152" s="83">
        <v>44648</v>
      </c>
      <c r="E152" s="53" t="s">
        <v>192</v>
      </c>
      <c r="F152" s="52">
        <v>18000</v>
      </c>
      <c r="G152" s="47">
        <v>44661</v>
      </c>
      <c r="H152" s="34" t="s">
        <v>193</v>
      </c>
      <c r="I152" s="36">
        <v>70000</v>
      </c>
      <c r="J152" s="32"/>
      <c r="K152" s="32"/>
      <c r="L152" s="32"/>
      <c r="M152" s="139">
        <v>44655</v>
      </c>
      <c r="N152" s="46" t="s">
        <v>13</v>
      </c>
      <c r="O152" s="48">
        <v>25000</v>
      </c>
      <c r="P152" s="47">
        <v>44663</v>
      </c>
      <c r="Q152" s="30" t="s">
        <v>194</v>
      </c>
      <c r="R152" s="36">
        <v>65000</v>
      </c>
    </row>
    <row r="153" spans="1:18" x14ac:dyDescent="0.2">
      <c r="A153" s="65">
        <v>44648</v>
      </c>
      <c r="B153" s="41" t="s">
        <v>112</v>
      </c>
      <c r="C153" s="40">
        <v>100000</v>
      </c>
      <c r="D153" s="83">
        <v>44649</v>
      </c>
      <c r="E153" s="53" t="s">
        <v>195</v>
      </c>
      <c r="F153" s="52">
        <v>38000</v>
      </c>
      <c r="G153" s="47">
        <v>44665</v>
      </c>
      <c r="H153" s="34" t="s">
        <v>196</v>
      </c>
      <c r="I153" s="36">
        <v>46000</v>
      </c>
      <c r="J153" s="32"/>
      <c r="K153" s="32"/>
      <c r="L153" s="32"/>
      <c r="M153" s="139">
        <v>44659</v>
      </c>
      <c r="N153" s="46" t="s">
        <v>13</v>
      </c>
      <c r="O153" s="48">
        <v>20000</v>
      </c>
      <c r="P153" s="30"/>
      <c r="Q153" s="30"/>
      <c r="R153" s="30"/>
    </row>
    <row r="154" spans="1:18" x14ac:dyDescent="0.2">
      <c r="A154" s="65">
        <v>44648</v>
      </c>
      <c r="B154" s="41" t="s">
        <v>23</v>
      </c>
      <c r="C154" s="40">
        <v>500000</v>
      </c>
      <c r="D154" s="83">
        <v>44649</v>
      </c>
      <c r="E154" s="53" t="s">
        <v>197</v>
      </c>
      <c r="F154" s="52">
        <f>20000+8000</f>
        <v>28000</v>
      </c>
      <c r="G154" s="30"/>
      <c r="H154" s="30"/>
      <c r="I154" s="30"/>
      <c r="J154" s="32"/>
      <c r="K154" s="32"/>
      <c r="L154" s="32"/>
      <c r="M154" s="139">
        <v>44664</v>
      </c>
      <c r="N154" s="46" t="s">
        <v>13</v>
      </c>
      <c r="O154" s="48">
        <v>20000</v>
      </c>
      <c r="P154" s="30"/>
      <c r="Q154" s="30"/>
      <c r="R154" s="30"/>
    </row>
    <row r="155" spans="1:18" x14ac:dyDescent="0.2">
      <c r="A155" s="65">
        <v>44648</v>
      </c>
      <c r="B155" s="41" t="s">
        <v>198</v>
      </c>
      <c r="C155" s="40">
        <v>1000000</v>
      </c>
      <c r="D155" s="83">
        <v>44650</v>
      </c>
      <c r="E155" s="53" t="s">
        <v>199</v>
      </c>
      <c r="F155" s="52">
        <v>75000</v>
      </c>
      <c r="G155" s="30"/>
      <c r="H155" s="30"/>
      <c r="I155" s="30"/>
      <c r="J155" s="32"/>
      <c r="K155" s="32"/>
      <c r="L155" s="32"/>
      <c r="M155" s="31"/>
      <c r="N155" s="31"/>
      <c r="O155" s="31"/>
      <c r="P155" s="30"/>
      <c r="Q155" s="30"/>
      <c r="R155" s="30"/>
    </row>
    <row r="156" spans="1:18" x14ac:dyDescent="0.2">
      <c r="A156" s="65">
        <v>44648</v>
      </c>
      <c r="B156" s="41" t="s">
        <v>37</v>
      </c>
      <c r="C156" s="40">
        <v>25000</v>
      </c>
      <c r="D156" s="83">
        <v>44650</v>
      </c>
      <c r="E156" s="53" t="s">
        <v>87</v>
      </c>
      <c r="F156" s="52">
        <v>10000</v>
      </c>
      <c r="G156" s="30"/>
      <c r="H156" s="30"/>
      <c r="I156" s="30"/>
      <c r="J156" s="32"/>
      <c r="K156" s="32"/>
      <c r="L156" s="32"/>
      <c r="M156" s="31"/>
      <c r="N156" s="31"/>
      <c r="O156" s="31"/>
      <c r="P156" s="30"/>
      <c r="Q156" s="30"/>
      <c r="R156" s="30"/>
    </row>
    <row r="157" spans="1:18" x14ac:dyDescent="0.2">
      <c r="A157" s="65">
        <v>44648</v>
      </c>
      <c r="B157" s="41" t="s">
        <v>41</v>
      </c>
      <c r="C157" s="195">
        <v>15000</v>
      </c>
      <c r="D157" s="83">
        <v>44650</v>
      </c>
      <c r="E157" s="53" t="s">
        <v>200</v>
      </c>
      <c r="F157" s="52">
        <v>35000</v>
      </c>
      <c r="G157" s="55"/>
      <c r="H157" s="55"/>
      <c r="I157" s="55"/>
      <c r="J157" s="57"/>
      <c r="K157" s="57"/>
      <c r="L157" s="57"/>
      <c r="M157" s="56"/>
      <c r="N157" s="56"/>
      <c r="O157" s="56"/>
      <c r="P157" s="55"/>
      <c r="Q157" s="55"/>
      <c r="R157" s="55"/>
    </row>
    <row r="158" spans="1:18" x14ac:dyDescent="0.2">
      <c r="A158" s="103">
        <v>44662</v>
      </c>
      <c r="B158" s="144" t="s">
        <v>201</v>
      </c>
      <c r="C158" s="105">
        <v>100000</v>
      </c>
      <c r="D158" s="83">
        <v>44650</v>
      </c>
      <c r="E158" s="53" t="s">
        <v>202</v>
      </c>
      <c r="F158" s="52">
        <v>7500</v>
      </c>
      <c r="G158" s="47"/>
      <c r="H158" s="34"/>
      <c r="I158" s="36"/>
      <c r="J158" s="141"/>
      <c r="K158" s="142"/>
      <c r="L158" s="143"/>
      <c r="M158" s="139"/>
      <c r="N158" s="46"/>
      <c r="O158" s="48"/>
      <c r="P158" s="47"/>
      <c r="Q158" s="34"/>
      <c r="R158" s="35"/>
    </row>
    <row r="159" spans="1:18" x14ac:dyDescent="0.2">
      <c r="A159" s="103"/>
      <c r="B159" s="144"/>
      <c r="C159" s="105"/>
      <c r="D159" s="83">
        <v>44651</v>
      </c>
      <c r="E159" s="53" t="s">
        <v>203</v>
      </c>
      <c r="F159" s="52">
        <v>10000</v>
      </c>
      <c r="G159" s="47"/>
      <c r="H159" s="34"/>
      <c r="I159" s="36"/>
      <c r="J159" s="141"/>
      <c r="K159" s="142"/>
      <c r="L159" s="143"/>
      <c r="M159" s="139"/>
      <c r="N159" s="46"/>
      <c r="O159" s="48"/>
      <c r="P159" s="47"/>
      <c r="Q159" s="34"/>
      <c r="R159" s="35"/>
    </row>
    <row r="160" spans="1:18" x14ac:dyDescent="0.2">
      <c r="A160" s="103"/>
      <c r="B160" s="144"/>
      <c r="C160" s="105"/>
      <c r="D160" s="83">
        <v>44651</v>
      </c>
      <c r="E160" s="53" t="s">
        <v>204</v>
      </c>
      <c r="F160" s="52">
        <v>75000</v>
      </c>
      <c r="G160" s="47"/>
      <c r="H160" s="34"/>
      <c r="I160" s="36"/>
      <c r="J160" s="141"/>
      <c r="K160" s="142"/>
      <c r="L160" s="143"/>
      <c r="M160" s="139"/>
      <c r="N160" s="46"/>
      <c r="O160" s="48"/>
      <c r="P160" s="47"/>
      <c r="Q160" s="34"/>
      <c r="R160" s="35"/>
    </row>
    <row r="161" spans="1:18" x14ac:dyDescent="0.2">
      <c r="A161" s="103"/>
      <c r="B161" s="144"/>
      <c r="C161" s="105"/>
      <c r="D161" s="83">
        <v>44651</v>
      </c>
      <c r="E161" s="53" t="s">
        <v>24</v>
      </c>
      <c r="F161" s="52">
        <v>7500</v>
      </c>
      <c r="G161" s="47"/>
      <c r="H161" s="34"/>
      <c r="I161" s="36"/>
      <c r="J161" s="141"/>
      <c r="K161" s="142"/>
      <c r="L161" s="143"/>
      <c r="M161" s="139"/>
      <c r="N161" s="46"/>
      <c r="O161" s="48"/>
      <c r="P161" s="47"/>
      <c r="Q161" s="34"/>
      <c r="R161" s="35"/>
    </row>
    <row r="162" spans="1:18" x14ac:dyDescent="0.2">
      <c r="A162" s="103"/>
      <c r="B162" s="144"/>
      <c r="C162" s="105"/>
      <c r="D162" s="83">
        <v>44652</v>
      </c>
      <c r="E162" s="53" t="s">
        <v>205</v>
      </c>
      <c r="F162" s="52">
        <v>30000</v>
      </c>
      <c r="G162" s="47"/>
      <c r="H162" s="34"/>
      <c r="I162" s="36"/>
      <c r="J162" s="141"/>
      <c r="K162" s="142"/>
      <c r="L162" s="143"/>
      <c r="M162" s="139"/>
      <c r="N162" s="46"/>
      <c r="O162" s="48"/>
      <c r="P162" s="47"/>
      <c r="Q162" s="34"/>
      <c r="R162" s="35"/>
    </row>
    <row r="163" spans="1:18" x14ac:dyDescent="0.2">
      <c r="A163" s="103"/>
      <c r="B163" s="144"/>
      <c r="C163" s="105"/>
      <c r="D163" s="83">
        <v>44653</v>
      </c>
      <c r="E163" s="53" t="s">
        <v>206</v>
      </c>
      <c r="F163" s="52">
        <v>57000</v>
      </c>
      <c r="G163" s="47"/>
      <c r="H163" s="34"/>
      <c r="I163" s="36"/>
      <c r="J163" s="141"/>
      <c r="K163" s="142"/>
      <c r="L163" s="143"/>
      <c r="M163" s="139"/>
      <c r="N163" s="46"/>
      <c r="O163" s="48"/>
      <c r="P163" s="47"/>
      <c r="Q163" s="34"/>
      <c r="R163" s="35"/>
    </row>
    <row r="164" spans="1:18" x14ac:dyDescent="0.2">
      <c r="A164" s="103"/>
      <c r="B164" s="144"/>
      <c r="C164" s="105"/>
      <c r="D164" s="83">
        <v>44654</v>
      </c>
      <c r="E164" s="53" t="s">
        <v>207</v>
      </c>
      <c r="F164" s="52">
        <v>10000</v>
      </c>
      <c r="G164" s="47"/>
      <c r="H164" s="34"/>
      <c r="I164" s="36"/>
      <c r="J164" s="141"/>
      <c r="K164" s="142"/>
      <c r="L164" s="143"/>
      <c r="M164" s="139"/>
      <c r="N164" s="46"/>
      <c r="O164" s="48"/>
      <c r="P164" s="47"/>
      <c r="Q164" s="34"/>
      <c r="R164" s="35"/>
    </row>
    <row r="165" spans="1:18" x14ac:dyDescent="0.2">
      <c r="A165" s="103"/>
      <c r="B165" s="144"/>
      <c r="C165" s="105"/>
      <c r="D165" s="83">
        <v>44654</v>
      </c>
      <c r="E165" s="53" t="s">
        <v>208</v>
      </c>
      <c r="F165" s="52">
        <v>34000</v>
      </c>
      <c r="G165" s="47"/>
      <c r="H165" s="34"/>
      <c r="I165" s="36"/>
      <c r="J165" s="141"/>
      <c r="K165" s="142"/>
      <c r="L165" s="143"/>
      <c r="M165" s="139"/>
      <c r="N165" s="46"/>
      <c r="O165" s="48"/>
      <c r="P165" s="47"/>
      <c r="Q165" s="34"/>
      <c r="R165" s="35"/>
    </row>
    <row r="166" spans="1:18" x14ac:dyDescent="0.2">
      <c r="A166" s="103"/>
      <c r="B166" s="144"/>
      <c r="C166" s="105"/>
      <c r="D166" s="83">
        <v>44655</v>
      </c>
      <c r="E166" s="53" t="s">
        <v>209</v>
      </c>
      <c r="F166" s="52">
        <v>5000</v>
      </c>
      <c r="G166" s="47"/>
      <c r="H166" s="34"/>
      <c r="I166" s="36"/>
      <c r="J166" s="141"/>
      <c r="K166" s="142"/>
      <c r="L166" s="143"/>
      <c r="M166" s="139"/>
      <c r="N166" s="46"/>
      <c r="O166" s="48"/>
      <c r="P166" s="47"/>
      <c r="Q166" s="34"/>
      <c r="R166" s="35"/>
    </row>
    <row r="167" spans="1:18" x14ac:dyDescent="0.2">
      <c r="A167" s="103"/>
      <c r="B167" s="144"/>
      <c r="C167" s="105"/>
      <c r="D167" s="83">
        <v>44656</v>
      </c>
      <c r="E167" s="53" t="s">
        <v>210</v>
      </c>
      <c r="F167" s="52">
        <f>5000+8000</f>
        <v>13000</v>
      </c>
      <c r="G167" s="47"/>
      <c r="H167" s="34"/>
      <c r="I167" s="36"/>
      <c r="J167" s="141"/>
      <c r="K167" s="142"/>
      <c r="L167" s="143"/>
      <c r="M167" s="139"/>
      <c r="N167" s="46"/>
      <c r="O167" s="48"/>
      <c r="P167" s="47"/>
      <c r="Q167" s="34"/>
      <c r="R167" s="35"/>
    </row>
    <row r="168" spans="1:18" x14ac:dyDescent="0.2">
      <c r="A168" s="103"/>
      <c r="B168" s="144"/>
      <c r="C168" s="105"/>
      <c r="D168" s="83">
        <v>44660</v>
      </c>
      <c r="E168" s="53" t="s">
        <v>211</v>
      </c>
      <c r="F168" s="52">
        <v>7000</v>
      </c>
      <c r="G168" s="47"/>
      <c r="H168" s="34"/>
      <c r="I168" s="36"/>
      <c r="J168" s="141"/>
      <c r="K168" s="142"/>
      <c r="L168" s="143"/>
      <c r="M168" s="139"/>
      <c r="N168" s="46"/>
      <c r="O168" s="48"/>
      <c r="P168" s="47"/>
      <c r="Q168" s="34"/>
      <c r="R168" s="35"/>
    </row>
    <row r="169" spans="1:18" x14ac:dyDescent="0.2">
      <c r="A169" s="103"/>
      <c r="B169" s="144"/>
      <c r="C169" s="105"/>
      <c r="D169" s="83">
        <v>44658</v>
      </c>
      <c r="E169" s="53" t="s">
        <v>157</v>
      </c>
      <c r="F169" s="52">
        <v>25000</v>
      </c>
      <c r="G169" s="47"/>
      <c r="H169" s="34"/>
      <c r="I169" s="36"/>
      <c r="J169" s="141"/>
      <c r="K169" s="142"/>
      <c r="L169" s="143"/>
      <c r="M169" s="139"/>
      <c r="N169" s="46"/>
      <c r="O169" s="48"/>
      <c r="P169" s="47"/>
      <c r="Q169" s="34"/>
      <c r="R169" s="35"/>
    </row>
    <row r="170" spans="1:18" x14ac:dyDescent="0.2">
      <c r="A170" s="103"/>
      <c r="B170" s="144"/>
      <c r="C170" s="105"/>
      <c r="D170" s="83">
        <v>44657</v>
      </c>
      <c r="E170" s="53" t="s">
        <v>212</v>
      </c>
      <c r="F170" s="52">
        <v>20000</v>
      </c>
      <c r="G170" s="47"/>
      <c r="H170" s="34"/>
      <c r="I170" s="36"/>
      <c r="J170" s="141"/>
      <c r="K170" s="142"/>
      <c r="L170" s="143"/>
      <c r="M170" s="139"/>
      <c r="N170" s="46"/>
      <c r="O170" s="48"/>
      <c r="P170" s="47"/>
      <c r="Q170" s="34"/>
      <c r="R170" s="35"/>
    </row>
    <row r="171" spans="1:18" x14ac:dyDescent="0.2">
      <c r="A171" s="103"/>
      <c r="B171" s="144"/>
      <c r="C171" s="105"/>
      <c r="D171" s="83">
        <v>44663</v>
      </c>
      <c r="E171" s="53" t="s">
        <v>213</v>
      </c>
      <c r="F171" s="52">
        <v>9000</v>
      </c>
      <c r="G171" s="47"/>
      <c r="H171" s="34"/>
      <c r="I171" s="36"/>
      <c r="J171" s="141"/>
      <c r="K171" s="142"/>
      <c r="L171" s="143"/>
      <c r="M171" s="139"/>
      <c r="N171" s="46"/>
      <c r="O171" s="48"/>
      <c r="P171" s="47"/>
      <c r="Q171" s="34"/>
      <c r="R171" s="35"/>
    </row>
    <row r="172" spans="1:18" x14ac:dyDescent="0.2">
      <c r="A172" s="103"/>
      <c r="B172" s="144"/>
      <c r="C172" s="105"/>
      <c r="D172" s="83">
        <v>44664</v>
      </c>
      <c r="E172" s="53" t="s">
        <v>214</v>
      </c>
      <c r="F172" s="52">
        <v>48000</v>
      </c>
      <c r="G172" s="47"/>
      <c r="H172" s="34"/>
      <c r="I172" s="36"/>
      <c r="J172" s="141"/>
      <c r="K172" s="142"/>
      <c r="L172" s="143"/>
      <c r="M172" s="139"/>
      <c r="N172" s="46"/>
      <c r="O172" s="48"/>
      <c r="P172" s="47"/>
      <c r="Q172" s="34"/>
      <c r="R172" s="35"/>
    </row>
    <row r="173" spans="1:18" x14ac:dyDescent="0.2">
      <c r="A173" s="103"/>
      <c r="B173" s="144"/>
      <c r="C173" s="105"/>
      <c r="D173" s="83">
        <v>44663</v>
      </c>
      <c r="E173" s="53" t="s">
        <v>215</v>
      </c>
      <c r="F173" s="52">
        <v>31000</v>
      </c>
      <c r="G173" s="47"/>
      <c r="H173" s="34"/>
      <c r="I173" s="36"/>
      <c r="J173" s="141"/>
      <c r="K173" s="142"/>
      <c r="L173" s="143"/>
      <c r="M173" s="139"/>
      <c r="N173" s="46"/>
      <c r="O173" s="48"/>
      <c r="P173" s="47"/>
      <c r="Q173" s="34"/>
      <c r="R173" s="35"/>
    </row>
    <row r="174" spans="1:18" x14ac:dyDescent="0.2">
      <c r="A174" s="103"/>
      <c r="B174" s="144"/>
      <c r="C174" s="105"/>
      <c r="D174" s="83">
        <v>44664</v>
      </c>
      <c r="E174" s="53" t="s">
        <v>216</v>
      </c>
      <c r="F174" s="52">
        <v>15000</v>
      </c>
      <c r="G174" s="47"/>
      <c r="H174" s="34"/>
      <c r="I174" s="36"/>
      <c r="J174" s="141"/>
      <c r="K174" s="142"/>
      <c r="L174" s="143"/>
      <c r="M174" s="139"/>
      <c r="N174" s="46"/>
      <c r="O174" s="48"/>
      <c r="P174" s="47"/>
      <c r="Q174" s="34"/>
      <c r="R174" s="35"/>
    </row>
    <row r="175" spans="1:18" x14ac:dyDescent="0.2">
      <c r="A175" s="103"/>
      <c r="B175" s="144"/>
      <c r="C175" s="105"/>
      <c r="D175" s="83">
        <v>44665</v>
      </c>
      <c r="E175" s="53" t="s">
        <v>217</v>
      </c>
      <c r="F175" s="52">
        <f>15000+12000</f>
        <v>27000</v>
      </c>
      <c r="G175" s="47"/>
      <c r="H175" s="34"/>
      <c r="I175" s="36"/>
      <c r="J175" s="141"/>
      <c r="K175" s="142"/>
      <c r="L175" s="143"/>
      <c r="M175" s="139"/>
      <c r="N175" s="46"/>
      <c r="O175" s="48"/>
      <c r="P175" s="47"/>
      <c r="Q175" s="34"/>
      <c r="R175" s="35"/>
    </row>
    <row r="176" spans="1:18" x14ac:dyDescent="0.2">
      <c r="A176" s="103"/>
      <c r="B176" s="144"/>
      <c r="C176" s="105"/>
      <c r="D176" s="83">
        <v>44665</v>
      </c>
      <c r="E176" s="53" t="s">
        <v>218</v>
      </c>
      <c r="F176" s="52">
        <v>54000</v>
      </c>
      <c r="G176" s="47"/>
      <c r="H176" s="34"/>
      <c r="I176" s="36"/>
      <c r="J176" s="141"/>
      <c r="K176" s="142"/>
      <c r="L176" s="143"/>
      <c r="M176" s="139"/>
      <c r="N176" s="46"/>
      <c r="O176" s="48"/>
      <c r="P176" s="47"/>
      <c r="Q176" s="34"/>
      <c r="R176" s="35"/>
    </row>
    <row r="177" spans="1:18" x14ac:dyDescent="0.2">
      <c r="A177" s="103"/>
      <c r="B177" s="144"/>
      <c r="C177" s="196"/>
      <c r="D177" s="83">
        <v>44667</v>
      </c>
      <c r="E177" s="53" t="s">
        <v>219</v>
      </c>
      <c r="F177" s="52">
        <f>15000+10000</f>
        <v>25000</v>
      </c>
      <c r="G177" s="47"/>
      <c r="H177" s="34"/>
      <c r="I177" s="36"/>
      <c r="J177" s="141"/>
      <c r="K177" s="142"/>
      <c r="L177" s="143"/>
      <c r="M177" s="139"/>
      <c r="N177" s="46"/>
      <c r="O177" s="48"/>
      <c r="P177" s="47"/>
      <c r="Q177" s="34"/>
      <c r="R177" s="35"/>
    </row>
    <row r="178" spans="1:18" x14ac:dyDescent="0.2">
      <c r="A178" s="103"/>
      <c r="B178" s="144"/>
      <c r="C178" s="105"/>
      <c r="D178" s="83">
        <v>44666</v>
      </c>
      <c r="E178" s="53" t="s">
        <v>24</v>
      </c>
      <c r="F178" s="52">
        <v>12000</v>
      </c>
      <c r="G178" s="47"/>
      <c r="H178" s="34"/>
      <c r="I178" s="36"/>
      <c r="J178" s="141"/>
      <c r="K178" s="142"/>
      <c r="L178" s="143"/>
      <c r="M178" s="139"/>
      <c r="N178" s="46"/>
      <c r="O178" s="48"/>
      <c r="P178" s="47"/>
      <c r="Q178" s="34"/>
      <c r="R178" s="35"/>
    </row>
    <row r="179" spans="1:18" x14ac:dyDescent="0.2">
      <c r="A179" s="103"/>
      <c r="B179" s="144"/>
      <c r="C179" s="105"/>
      <c r="D179" s="83">
        <v>44666</v>
      </c>
      <c r="E179" s="53" t="s">
        <v>216</v>
      </c>
      <c r="F179" s="52">
        <v>15000</v>
      </c>
      <c r="G179" s="47"/>
      <c r="H179" s="34"/>
      <c r="I179" s="36"/>
      <c r="J179" s="141"/>
      <c r="K179" s="142"/>
      <c r="L179" s="143"/>
      <c r="M179" s="139"/>
      <c r="N179" s="46"/>
      <c r="O179" s="48"/>
      <c r="P179" s="47"/>
      <c r="Q179" s="34"/>
      <c r="R179" s="35"/>
    </row>
    <row r="180" spans="1:18" x14ac:dyDescent="0.2">
      <c r="A180" s="103"/>
      <c r="B180" s="144"/>
      <c r="C180" s="105"/>
      <c r="D180" s="83"/>
      <c r="E180" s="53"/>
      <c r="F180" s="52"/>
      <c r="G180" s="47"/>
      <c r="H180" s="34"/>
      <c r="I180" s="36"/>
      <c r="J180" s="141"/>
      <c r="K180" s="142"/>
      <c r="L180" s="143"/>
      <c r="M180" s="139"/>
      <c r="N180" s="46"/>
      <c r="O180" s="48"/>
      <c r="P180" s="47"/>
      <c r="Q180" s="34"/>
      <c r="R180" s="35"/>
    </row>
    <row r="181" spans="1:18" x14ac:dyDescent="0.2">
      <c r="A181" s="103"/>
      <c r="B181" s="144"/>
      <c r="C181" s="105"/>
      <c r="D181" s="83"/>
      <c r="E181" s="53"/>
      <c r="F181" s="52"/>
      <c r="G181" s="47"/>
      <c r="H181" s="34"/>
      <c r="I181" s="36"/>
      <c r="J181" s="141"/>
      <c r="K181" s="142"/>
      <c r="L181" s="143"/>
      <c r="M181" s="139"/>
      <c r="N181" s="46"/>
      <c r="O181" s="48"/>
      <c r="P181" s="47"/>
      <c r="Q181" s="34"/>
      <c r="R181" s="35"/>
    </row>
    <row r="182" spans="1:18" x14ac:dyDescent="0.2">
      <c r="A182" s="103"/>
      <c r="B182" s="144"/>
      <c r="C182" s="105"/>
      <c r="D182" s="83"/>
      <c r="E182" s="53"/>
      <c r="F182" s="52"/>
      <c r="G182" s="47"/>
      <c r="H182" s="34"/>
      <c r="I182" s="36"/>
      <c r="J182" s="57"/>
      <c r="K182" s="57"/>
      <c r="L182" s="57"/>
      <c r="M182" s="139"/>
      <c r="N182" s="46"/>
      <c r="O182" s="48"/>
      <c r="P182" s="47"/>
      <c r="Q182" s="34"/>
      <c r="R182" s="36"/>
    </row>
    <row r="183" spans="1:18" s="4" customFormat="1" x14ac:dyDescent="0.2">
      <c r="A183" s="302" t="s">
        <v>93</v>
      </c>
      <c r="B183" s="302"/>
      <c r="C183" s="9">
        <f>SUM(C148:C182)</f>
        <v>3746539</v>
      </c>
      <c r="D183" s="303" t="s">
        <v>94</v>
      </c>
      <c r="E183" s="303"/>
      <c r="F183" s="8">
        <f>SUM(F148:F182)</f>
        <v>819000</v>
      </c>
      <c r="G183" s="304" t="s">
        <v>95</v>
      </c>
      <c r="H183" s="304"/>
      <c r="I183" s="5">
        <f>SUM(I148:I182)</f>
        <v>427000</v>
      </c>
      <c r="J183" s="300" t="s">
        <v>96</v>
      </c>
      <c r="K183" s="300"/>
      <c r="L183" s="194">
        <f>SUM(L148:L182)</f>
        <v>0</v>
      </c>
      <c r="M183" s="301" t="s">
        <v>97</v>
      </c>
      <c r="N183" s="301"/>
      <c r="O183" s="6">
        <f>SUM(O148:O182)</f>
        <v>113000</v>
      </c>
      <c r="P183" s="304" t="s">
        <v>98</v>
      </c>
      <c r="Q183" s="304"/>
      <c r="R183" s="5">
        <f>SUM(R148:R182)</f>
        <v>393000</v>
      </c>
    </row>
    <row r="186" spans="1:18" x14ac:dyDescent="0.2">
      <c r="A186" t="s">
        <v>99</v>
      </c>
      <c r="B186" t="s">
        <v>100</v>
      </c>
      <c r="C186" s="3">
        <f>3060000+153000+(90000*18)</f>
        <v>4833000</v>
      </c>
      <c r="D186" s="305">
        <f>SUM(C186:C187)</f>
        <v>5333000</v>
      </c>
    </row>
    <row r="187" spans="1:18" x14ac:dyDescent="0.2">
      <c r="B187" t="s">
        <v>101</v>
      </c>
      <c r="C187" s="1">
        <v>500000</v>
      </c>
      <c r="D187" s="316"/>
    </row>
    <row r="189" spans="1:18" x14ac:dyDescent="0.2">
      <c r="A189" t="s">
        <v>173</v>
      </c>
      <c r="B189" t="str">
        <f>A183</f>
        <v>Pengeluaran Kewajiban</v>
      </c>
      <c r="C189" s="1">
        <f>C183</f>
        <v>3746539</v>
      </c>
      <c r="D189" s="204">
        <f>C189/$D$186</f>
        <v>0.70251996999812494</v>
      </c>
    </row>
    <row r="190" spans="1:18" x14ac:dyDescent="0.2">
      <c r="B190" t="str">
        <f>D183</f>
        <v>Pengeluaran Makan</v>
      </c>
      <c r="C190" s="1">
        <f>F183</f>
        <v>819000</v>
      </c>
      <c r="D190" s="204">
        <f t="shared" ref="D190:D194" si="1">C190/$D$186</f>
        <v>0.15357209825614102</v>
      </c>
    </row>
    <row r="191" spans="1:18" x14ac:dyDescent="0.2">
      <c r="B191" t="str">
        <f>G183</f>
        <v>Pengeluaran Sosial</v>
      </c>
      <c r="C191" s="1">
        <f>I183</f>
        <v>427000</v>
      </c>
      <c r="D191" s="204">
        <f t="shared" si="1"/>
        <v>8.0067504219013694E-2</v>
      </c>
    </row>
    <row r="192" spans="1:18" x14ac:dyDescent="0.2">
      <c r="B192" t="str">
        <f>J183</f>
        <v>Pengeluaran Sedekah</v>
      </c>
      <c r="C192" s="1">
        <f>L183</f>
        <v>0</v>
      </c>
      <c r="D192" s="204">
        <f t="shared" si="1"/>
        <v>0</v>
      </c>
    </row>
    <row r="193" spans="1:18" x14ac:dyDescent="0.2">
      <c r="B193" t="str">
        <f>M183</f>
        <v>Pengeluaran Transport</v>
      </c>
      <c r="C193" s="1">
        <f>O183</f>
        <v>113000</v>
      </c>
      <c r="D193" s="204">
        <f t="shared" si="1"/>
        <v>2.1188824301518847E-2</v>
      </c>
    </row>
    <row r="194" spans="1:18" x14ac:dyDescent="0.2">
      <c r="B194" t="str">
        <f>P183</f>
        <v>Pengeluaran Sekunder</v>
      </c>
      <c r="C194" s="2">
        <f>R183</f>
        <v>393000</v>
      </c>
      <c r="D194" s="204">
        <f t="shared" si="1"/>
        <v>7.3692105756609783E-2</v>
      </c>
    </row>
    <row r="195" spans="1:18" x14ac:dyDescent="0.2">
      <c r="C195" s="1">
        <f>C186-C189-C190-C191-C192-C194-C193+C187</f>
        <v>-165539</v>
      </c>
    </row>
    <row r="198" spans="1:18" x14ac:dyDescent="0.2">
      <c r="A198" s="294" t="s">
        <v>220</v>
      </c>
      <c r="B198" s="294"/>
      <c r="C198" s="294"/>
      <c r="D198" s="294"/>
      <c r="E198" s="294"/>
      <c r="F198" s="294"/>
      <c r="G198" s="294"/>
      <c r="H198" s="294"/>
      <c r="I198" s="294"/>
      <c r="J198" s="294"/>
      <c r="K198" s="294"/>
      <c r="L198" s="294"/>
      <c r="M198" s="294"/>
      <c r="N198" s="294"/>
      <c r="O198" s="294"/>
      <c r="P198" s="294"/>
      <c r="Q198" s="294"/>
      <c r="R198" s="294"/>
    </row>
    <row r="199" spans="1:18" x14ac:dyDescent="0.2">
      <c r="A199" s="294"/>
      <c r="B199" s="294"/>
      <c r="C199" s="294"/>
      <c r="D199" s="294"/>
      <c r="E199" s="294"/>
      <c r="F199" s="294"/>
      <c r="G199" s="294"/>
      <c r="H199" s="294"/>
      <c r="I199" s="294"/>
      <c r="J199" s="294"/>
      <c r="K199" s="294"/>
      <c r="L199" s="294"/>
      <c r="M199" s="294"/>
      <c r="N199" s="294"/>
      <c r="O199" s="294"/>
      <c r="P199" s="294"/>
      <c r="Q199" s="294"/>
      <c r="R199" s="294"/>
    </row>
    <row r="200" spans="1:18" x14ac:dyDescent="0.2">
      <c r="A200" s="59" t="s">
        <v>1</v>
      </c>
      <c r="B200" s="59" t="s">
        <v>2</v>
      </c>
      <c r="C200" s="59" t="s">
        <v>3</v>
      </c>
      <c r="D200" s="58" t="s">
        <v>1</v>
      </c>
      <c r="E200" s="58" t="s">
        <v>4</v>
      </c>
      <c r="F200" s="58" t="s">
        <v>3</v>
      </c>
      <c r="G200" s="55" t="s">
        <v>1</v>
      </c>
      <c r="H200" s="55" t="s">
        <v>5</v>
      </c>
      <c r="I200" s="55" t="s">
        <v>3</v>
      </c>
      <c r="J200" s="57" t="s">
        <v>1</v>
      </c>
      <c r="K200" s="57" t="s">
        <v>6</v>
      </c>
      <c r="L200" s="57" t="s">
        <v>3</v>
      </c>
      <c r="M200" s="56" t="s">
        <v>1</v>
      </c>
      <c r="N200" s="56" t="s">
        <v>7</v>
      </c>
      <c r="O200" s="56" t="s">
        <v>3</v>
      </c>
      <c r="P200" s="55" t="s">
        <v>1</v>
      </c>
      <c r="Q200" s="55" t="s">
        <v>8</v>
      </c>
      <c r="R200" s="55" t="s">
        <v>3</v>
      </c>
    </row>
    <row r="201" spans="1:18" x14ac:dyDescent="0.2">
      <c r="A201" s="65">
        <v>44669</v>
      </c>
      <c r="B201" s="33" t="s">
        <v>221</v>
      </c>
      <c r="C201" s="66">
        <f>165539+57361</f>
        <v>222900</v>
      </c>
      <c r="D201" s="83">
        <v>44669</v>
      </c>
      <c r="E201" s="53" t="s">
        <v>222</v>
      </c>
      <c r="F201" s="52">
        <v>10000</v>
      </c>
      <c r="G201" s="47">
        <v>44670</v>
      </c>
      <c r="H201" s="34" t="s">
        <v>223</v>
      </c>
      <c r="I201" s="35">
        <v>23000</v>
      </c>
      <c r="J201" s="32"/>
      <c r="K201" s="32"/>
      <c r="L201" s="32"/>
      <c r="M201" s="139">
        <v>44680</v>
      </c>
      <c r="N201" s="31" t="s">
        <v>224</v>
      </c>
      <c r="O201" s="45">
        <v>46000</v>
      </c>
      <c r="P201" s="47">
        <v>44672</v>
      </c>
      <c r="Q201" s="30" t="s">
        <v>225</v>
      </c>
      <c r="R201" s="35">
        <v>360000</v>
      </c>
    </row>
    <row r="202" spans="1:18" x14ac:dyDescent="0.2">
      <c r="A202" s="65">
        <v>44669</v>
      </c>
      <c r="B202" s="33" t="s">
        <v>226</v>
      </c>
      <c r="C202" s="66">
        <f>1995000+95000</f>
        <v>2090000</v>
      </c>
      <c r="D202" s="83">
        <v>44671</v>
      </c>
      <c r="E202" s="53" t="s">
        <v>227</v>
      </c>
      <c r="F202" s="52">
        <v>62000</v>
      </c>
      <c r="G202" s="47">
        <v>44670</v>
      </c>
      <c r="H202" s="34" t="s">
        <v>228</v>
      </c>
      <c r="I202" s="35">
        <v>17000</v>
      </c>
      <c r="J202" s="32"/>
      <c r="K202" s="32"/>
      <c r="L202" s="32"/>
      <c r="M202" s="31"/>
      <c r="N202" s="31"/>
      <c r="O202" s="31"/>
      <c r="P202" s="47">
        <v>44674</v>
      </c>
      <c r="Q202" s="30" t="s">
        <v>229</v>
      </c>
      <c r="R202" s="35">
        <v>670000</v>
      </c>
    </row>
    <row r="203" spans="1:18" x14ac:dyDescent="0.2">
      <c r="A203" s="65">
        <v>44669</v>
      </c>
      <c r="B203" s="33" t="s">
        <v>230</v>
      </c>
      <c r="C203" s="66">
        <v>500000</v>
      </c>
      <c r="D203" s="83">
        <v>44671</v>
      </c>
      <c r="E203" s="53" t="s">
        <v>231</v>
      </c>
      <c r="F203" s="52">
        <v>8000</v>
      </c>
      <c r="G203" s="47">
        <v>44670</v>
      </c>
      <c r="H203" s="34" t="s">
        <v>232</v>
      </c>
      <c r="I203" s="35">
        <v>10000</v>
      </c>
      <c r="J203" s="32"/>
      <c r="K203" s="32"/>
      <c r="L203" s="32"/>
      <c r="M203" s="31"/>
      <c r="N203" s="31"/>
      <c r="O203" s="31"/>
      <c r="P203" s="47">
        <v>44801</v>
      </c>
      <c r="Q203" s="30" t="s">
        <v>233</v>
      </c>
      <c r="R203" s="35">
        <v>30000</v>
      </c>
    </row>
    <row r="204" spans="1:18" x14ac:dyDescent="0.2">
      <c r="A204" s="65">
        <v>44675</v>
      </c>
      <c r="B204" s="33" t="s">
        <v>234</v>
      </c>
      <c r="C204" s="40">
        <f>100000+65000+65000+65000</f>
        <v>295000</v>
      </c>
      <c r="D204" s="83">
        <v>44672</v>
      </c>
      <c r="E204" s="53" t="s">
        <v>235</v>
      </c>
      <c r="F204" s="72">
        <v>30000</v>
      </c>
      <c r="G204" s="47">
        <v>44672</v>
      </c>
      <c r="H204" s="34" t="s">
        <v>236</v>
      </c>
      <c r="I204" s="35">
        <v>78000</v>
      </c>
      <c r="J204" s="32"/>
      <c r="K204" s="32"/>
      <c r="L204" s="32"/>
      <c r="M204" s="31"/>
      <c r="N204" s="31"/>
      <c r="O204" s="31"/>
      <c r="P204" s="30"/>
      <c r="Q204" s="30"/>
      <c r="R204" s="30"/>
    </row>
    <row r="205" spans="1:18" x14ac:dyDescent="0.2">
      <c r="A205" s="65">
        <v>44675</v>
      </c>
      <c r="B205" s="33" t="s">
        <v>132</v>
      </c>
      <c r="C205" s="40">
        <v>100000</v>
      </c>
      <c r="D205" s="83">
        <v>44673</v>
      </c>
      <c r="E205" s="53" t="s">
        <v>237</v>
      </c>
      <c r="F205" s="72">
        <v>17000</v>
      </c>
      <c r="G205" s="30"/>
      <c r="H205" s="30"/>
      <c r="I205" s="30"/>
      <c r="J205" s="32"/>
      <c r="K205" s="32"/>
      <c r="L205" s="32"/>
      <c r="M205" s="31"/>
      <c r="N205" s="31"/>
      <c r="O205" s="31"/>
      <c r="P205" s="30"/>
      <c r="Q205" s="30"/>
      <c r="R205" s="30"/>
    </row>
    <row r="206" spans="1:18" x14ac:dyDescent="0.2">
      <c r="A206" s="33"/>
      <c r="B206" s="33"/>
      <c r="C206" s="33"/>
      <c r="D206" s="83">
        <v>44675</v>
      </c>
      <c r="E206" s="53" t="s">
        <v>238</v>
      </c>
      <c r="F206" s="72">
        <v>26000</v>
      </c>
      <c r="G206" s="30"/>
      <c r="H206" s="30"/>
      <c r="I206" s="30"/>
      <c r="J206" s="32"/>
      <c r="K206" s="32"/>
      <c r="L206" s="32"/>
      <c r="M206" s="31"/>
      <c r="N206" s="31"/>
      <c r="O206" s="31"/>
      <c r="P206" s="30"/>
      <c r="Q206" s="30"/>
      <c r="R206" s="30"/>
    </row>
    <row r="207" spans="1:18" x14ac:dyDescent="0.2">
      <c r="A207" s="33"/>
      <c r="B207" s="33"/>
      <c r="C207" s="33"/>
      <c r="D207" s="83">
        <v>44800</v>
      </c>
      <c r="E207" s="53" t="s">
        <v>239</v>
      </c>
      <c r="F207" s="72">
        <v>13000</v>
      </c>
      <c r="G207" s="30"/>
      <c r="H207" s="30"/>
      <c r="I207" s="30"/>
      <c r="J207" s="32"/>
      <c r="K207" s="32"/>
      <c r="L207" s="32"/>
      <c r="M207" s="31"/>
      <c r="N207" s="31"/>
      <c r="O207" s="31"/>
      <c r="P207" s="30"/>
      <c r="Q207" s="30"/>
      <c r="R207" s="30"/>
    </row>
    <row r="208" spans="1:18" x14ac:dyDescent="0.2">
      <c r="A208" s="33"/>
      <c r="B208" s="33"/>
      <c r="C208" s="33"/>
      <c r="D208" s="83">
        <v>44798</v>
      </c>
      <c r="E208" s="53" t="s">
        <v>239</v>
      </c>
      <c r="F208" s="72">
        <v>13000</v>
      </c>
      <c r="G208" s="30"/>
      <c r="H208" s="30"/>
      <c r="I208" s="30"/>
      <c r="J208" s="32"/>
      <c r="K208" s="32"/>
      <c r="L208" s="32"/>
      <c r="M208" s="31"/>
      <c r="N208" s="31"/>
      <c r="O208" s="31"/>
      <c r="P208" s="30"/>
      <c r="Q208" s="30"/>
      <c r="R208" s="30"/>
    </row>
    <row r="209" spans="1:18" x14ac:dyDescent="0.2">
      <c r="A209" s="33"/>
      <c r="B209" s="33"/>
      <c r="C209" s="33"/>
      <c r="D209" s="83">
        <v>44801</v>
      </c>
      <c r="E209" s="53" t="s">
        <v>240</v>
      </c>
      <c r="F209" s="72">
        <v>5000</v>
      </c>
      <c r="G209" s="30"/>
      <c r="H209" s="30"/>
      <c r="I209" s="30"/>
      <c r="J209" s="32"/>
      <c r="K209" s="32"/>
      <c r="L209" s="32"/>
      <c r="M209" s="31"/>
      <c r="N209" s="31"/>
      <c r="O209" s="31"/>
      <c r="P209" s="30"/>
      <c r="Q209" s="30"/>
      <c r="R209" s="30"/>
    </row>
    <row r="210" spans="1:18" x14ac:dyDescent="0.2">
      <c r="A210" s="33"/>
      <c r="B210" s="33"/>
      <c r="C210" s="33"/>
      <c r="D210" s="84"/>
      <c r="E210" s="84"/>
      <c r="F210" s="84"/>
      <c r="G210" s="30"/>
      <c r="H210" s="30"/>
      <c r="I210" s="30"/>
      <c r="J210" s="32"/>
      <c r="K210" s="32"/>
      <c r="L210" s="32"/>
      <c r="M210" s="31"/>
      <c r="N210" s="31"/>
      <c r="O210" s="31"/>
      <c r="P210" s="30"/>
      <c r="Q210" s="30"/>
      <c r="R210" s="30"/>
    </row>
    <row r="211" spans="1:18" x14ac:dyDescent="0.2">
      <c r="A211" s="33"/>
      <c r="B211" s="33"/>
      <c r="C211" s="33"/>
      <c r="D211" s="84"/>
      <c r="E211" s="84"/>
      <c r="F211" s="84"/>
      <c r="G211" s="30"/>
      <c r="H211" s="30"/>
      <c r="I211" s="30"/>
      <c r="J211" s="32"/>
      <c r="K211" s="32"/>
      <c r="L211" s="32"/>
      <c r="M211" s="31"/>
      <c r="N211" s="31"/>
      <c r="O211" s="31"/>
      <c r="P211" s="30"/>
      <c r="Q211" s="30"/>
      <c r="R211" s="30"/>
    </row>
    <row r="212" spans="1:18" x14ac:dyDescent="0.2">
      <c r="A212" s="33"/>
      <c r="B212" s="33"/>
      <c r="C212" s="33"/>
      <c r="D212" s="84"/>
      <c r="E212" s="84"/>
      <c r="F212" s="84"/>
      <c r="G212" s="30"/>
      <c r="H212" s="30"/>
      <c r="I212" s="30"/>
      <c r="J212" s="32"/>
      <c r="K212" s="32"/>
      <c r="L212" s="32"/>
      <c r="M212" s="31"/>
      <c r="N212" s="31"/>
      <c r="O212" s="31"/>
      <c r="P212" s="30"/>
      <c r="Q212" s="30"/>
      <c r="R212" s="30"/>
    </row>
    <row r="213" spans="1:18" x14ac:dyDescent="0.2">
      <c r="A213" s="33"/>
      <c r="B213" s="33"/>
      <c r="C213" s="33"/>
      <c r="D213" s="84"/>
      <c r="E213" s="84"/>
      <c r="F213" s="84"/>
      <c r="G213" s="30"/>
      <c r="H213" s="30"/>
      <c r="I213" s="30"/>
      <c r="J213" s="32"/>
      <c r="K213" s="32"/>
      <c r="L213" s="32"/>
      <c r="M213" s="31"/>
      <c r="N213" s="31"/>
      <c r="O213" s="31"/>
      <c r="P213" s="30"/>
      <c r="Q213" s="30"/>
      <c r="R213" s="30"/>
    </row>
    <row r="214" spans="1:18" x14ac:dyDescent="0.2">
      <c r="A214" s="33"/>
      <c r="B214" s="33"/>
      <c r="C214" s="33"/>
      <c r="D214" s="84"/>
      <c r="E214" s="84"/>
      <c r="F214" s="84"/>
      <c r="G214" s="30"/>
      <c r="H214" s="30"/>
      <c r="I214" s="30"/>
      <c r="J214" s="32"/>
      <c r="K214" s="32"/>
      <c r="L214" s="32"/>
      <c r="M214" s="31"/>
      <c r="N214" s="31"/>
      <c r="O214" s="31"/>
      <c r="P214" s="30"/>
      <c r="Q214" s="30"/>
      <c r="R214" s="30"/>
    </row>
    <row r="215" spans="1:18" x14ac:dyDescent="0.2">
      <c r="A215" s="33"/>
      <c r="B215" s="33"/>
      <c r="C215" s="33"/>
      <c r="D215" s="84"/>
      <c r="E215" s="84"/>
      <c r="F215" s="84"/>
      <c r="G215" s="30"/>
      <c r="H215" s="30"/>
      <c r="I215" s="30"/>
      <c r="J215" s="32"/>
      <c r="K215" s="32"/>
      <c r="L215" s="32"/>
      <c r="M215" s="31"/>
      <c r="N215" s="31"/>
      <c r="O215" s="31"/>
      <c r="P215" s="30"/>
      <c r="Q215" s="30"/>
      <c r="R215" s="30"/>
    </row>
    <row r="216" spans="1:18" x14ac:dyDescent="0.2">
      <c r="A216" s="33"/>
      <c r="B216" s="33"/>
      <c r="C216" s="33"/>
      <c r="D216" s="84"/>
      <c r="E216" s="84"/>
      <c r="F216" s="84"/>
      <c r="G216" s="30"/>
      <c r="H216" s="30"/>
      <c r="I216" s="30"/>
      <c r="J216" s="32"/>
      <c r="K216" s="32"/>
      <c r="L216" s="32"/>
      <c r="M216" s="31"/>
      <c r="N216" s="31"/>
      <c r="O216" s="31"/>
      <c r="P216" s="30"/>
      <c r="Q216" s="30"/>
      <c r="R216" s="30"/>
    </row>
    <row r="217" spans="1:18" x14ac:dyDescent="0.2">
      <c r="A217" s="33"/>
      <c r="B217" s="33"/>
      <c r="C217" s="33"/>
      <c r="D217" s="84"/>
      <c r="E217" s="84"/>
      <c r="F217" s="84"/>
      <c r="G217" s="30"/>
      <c r="H217" s="30"/>
      <c r="I217" s="30"/>
      <c r="J217" s="32"/>
      <c r="K217" s="32"/>
      <c r="L217" s="32"/>
      <c r="M217" s="31"/>
      <c r="N217" s="31"/>
      <c r="O217" s="31"/>
      <c r="P217" s="30"/>
      <c r="Q217" s="30"/>
      <c r="R217" s="30"/>
    </row>
    <row r="218" spans="1:18" x14ac:dyDescent="0.2">
      <c r="A218" s="33"/>
      <c r="B218" s="33"/>
      <c r="C218" s="33"/>
      <c r="D218" s="84"/>
      <c r="E218" s="84"/>
      <c r="F218" s="84"/>
      <c r="G218" s="30"/>
      <c r="H218" s="30"/>
      <c r="I218" s="30"/>
      <c r="J218" s="32"/>
      <c r="K218" s="32"/>
      <c r="L218" s="32"/>
      <c r="M218" s="31"/>
      <c r="N218" s="31"/>
      <c r="O218" s="31"/>
      <c r="P218" s="30"/>
      <c r="Q218" s="30"/>
      <c r="R218" s="30"/>
    </row>
    <row r="219" spans="1:18" x14ac:dyDescent="0.2">
      <c r="A219" s="33"/>
      <c r="B219" s="33"/>
      <c r="C219" s="33"/>
      <c r="D219" s="84"/>
      <c r="E219" s="84"/>
      <c r="F219" s="84"/>
      <c r="G219" s="30"/>
      <c r="H219" s="30"/>
      <c r="I219" s="30"/>
      <c r="J219" s="32"/>
      <c r="K219" s="32"/>
      <c r="L219" s="32"/>
      <c r="M219" s="31"/>
      <c r="N219" s="31"/>
      <c r="O219" s="31"/>
      <c r="P219" s="30"/>
      <c r="Q219" s="30"/>
      <c r="R219" s="30"/>
    </row>
    <row r="220" spans="1:18" x14ac:dyDescent="0.2">
      <c r="A220" s="33"/>
      <c r="B220" s="33"/>
      <c r="C220" s="33"/>
      <c r="D220" s="84"/>
      <c r="E220" s="84"/>
      <c r="F220" s="84"/>
      <c r="G220" s="30"/>
      <c r="H220" s="30"/>
      <c r="I220" s="30"/>
      <c r="J220" s="32"/>
      <c r="K220" s="32"/>
      <c r="L220" s="32"/>
      <c r="M220" s="31"/>
      <c r="N220" s="31"/>
      <c r="O220" s="31"/>
      <c r="P220" s="30"/>
      <c r="Q220" s="30"/>
      <c r="R220" s="30"/>
    </row>
    <row r="221" spans="1:18" x14ac:dyDescent="0.2">
      <c r="A221" s="65"/>
      <c r="B221" s="41"/>
      <c r="C221" s="40"/>
      <c r="D221" s="83"/>
      <c r="E221" s="53"/>
      <c r="F221" s="52"/>
      <c r="G221" s="47"/>
      <c r="H221" s="34"/>
      <c r="I221" s="36"/>
      <c r="J221" s="51"/>
      <c r="K221" s="32"/>
      <c r="L221" s="32"/>
      <c r="M221" s="139"/>
      <c r="N221" s="46"/>
      <c r="O221" s="48"/>
      <c r="P221" s="47"/>
      <c r="Q221" s="30"/>
      <c r="R221" s="36"/>
    </row>
    <row r="222" spans="1:18" s="4" customFormat="1" x14ac:dyDescent="0.2">
      <c r="A222" s="302" t="s">
        <v>93</v>
      </c>
      <c r="B222" s="302"/>
      <c r="C222" s="9">
        <f>SUM(C201:C221)</f>
        <v>3207900</v>
      </c>
      <c r="D222" s="303" t="s">
        <v>94</v>
      </c>
      <c r="E222" s="303"/>
      <c r="F222" s="8">
        <f>SUM(F201:F221)</f>
        <v>184000</v>
      </c>
      <c r="G222" s="304" t="s">
        <v>95</v>
      </c>
      <c r="H222" s="304"/>
      <c r="I222" s="5">
        <f>SUM(I201:I221)</f>
        <v>128000</v>
      </c>
      <c r="J222" s="300" t="s">
        <v>96</v>
      </c>
      <c r="K222" s="300"/>
      <c r="L222" s="194">
        <f>SUM(L201:L221)</f>
        <v>0</v>
      </c>
      <c r="M222" s="301" t="s">
        <v>97</v>
      </c>
      <c r="N222" s="301"/>
      <c r="O222" s="6">
        <f>SUM(O201:O221)</f>
        <v>46000</v>
      </c>
      <c r="P222" s="304" t="s">
        <v>98</v>
      </c>
      <c r="Q222" s="304"/>
      <c r="R222" s="5">
        <f>SUM(R201:R221)</f>
        <v>1060000</v>
      </c>
    </row>
    <row r="225" spans="1:18" x14ac:dyDescent="0.2">
      <c r="A225" t="s">
        <v>99</v>
      </c>
      <c r="B225" t="s">
        <v>241</v>
      </c>
      <c r="C225" s="1">
        <v>3585000</v>
      </c>
    </row>
    <row r="227" spans="1:18" x14ac:dyDescent="0.2">
      <c r="A227" t="s">
        <v>173</v>
      </c>
      <c r="B227" t="str">
        <f>A222</f>
        <v>Pengeluaran Kewajiban</v>
      </c>
      <c r="C227" s="1">
        <f>C222</f>
        <v>3207900</v>
      </c>
      <c r="D227" s="204">
        <f>C227/$C$225</f>
        <v>0.89481171548117155</v>
      </c>
    </row>
    <row r="228" spans="1:18" x14ac:dyDescent="0.2">
      <c r="B228" t="str">
        <f>D222</f>
        <v>Pengeluaran Makan</v>
      </c>
      <c r="C228" s="1">
        <f>F222</f>
        <v>184000</v>
      </c>
      <c r="D228" s="204">
        <f t="shared" ref="D228:D232" si="2">C228/$C$225</f>
        <v>5.1324965132496514E-2</v>
      </c>
    </row>
    <row r="229" spans="1:18" x14ac:dyDescent="0.2">
      <c r="B229" t="str">
        <f>G222</f>
        <v>Pengeluaran Sosial</v>
      </c>
      <c r="C229" s="1">
        <f>I222</f>
        <v>128000</v>
      </c>
      <c r="D229" s="204">
        <f t="shared" si="2"/>
        <v>3.5704323570432357E-2</v>
      </c>
    </row>
    <row r="230" spans="1:18" x14ac:dyDescent="0.2">
      <c r="B230" t="str">
        <f>J222</f>
        <v>Pengeluaran Sedekah</v>
      </c>
      <c r="C230" s="1">
        <f>L222</f>
        <v>0</v>
      </c>
      <c r="D230" s="204">
        <f t="shared" si="2"/>
        <v>0</v>
      </c>
    </row>
    <row r="231" spans="1:18" x14ac:dyDescent="0.2">
      <c r="B231" t="str">
        <f>M222</f>
        <v>Pengeluaran Transport</v>
      </c>
      <c r="C231" s="1">
        <f>O222</f>
        <v>46000</v>
      </c>
      <c r="D231" s="204">
        <f t="shared" si="2"/>
        <v>1.2831241283124128E-2</v>
      </c>
    </row>
    <row r="232" spans="1:18" x14ac:dyDescent="0.2">
      <c r="B232" t="str">
        <f>P222</f>
        <v>Pengeluaran Sekunder</v>
      </c>
      <c r="C232" s="102">
        <f>R222</f>
        <v>1060000</v>
      </c>
      <c r="D232" s="204">
        <f t="shared" si="2"/>
        <v>0.29567642956764295</v>
      </c>
    </row>
    <row r="233" spans="1:18" x14ac:dyDescent="0.2">
      <c r="C233" s="1">
        <f>C225-C227-C228-C229-C232</f>
        <v>-994900</v>
      </c>
    </row>
    <row r="235" spans="1:18" x14ac:dyDescent="0.2">
      <c r="B235" s="1"/>
    </row>
    <row r="236" spans="1:18" x14ac:dyDescent="0.2">
      <c r="A236" s="294" t="s">
        <v>242</v>
      </c>
      <c r="B236" s="294"/>
      <c r="C236" s="294"/>
      <c r="D236" s="294"/>
      <c r="E236" s="294"/>
      <c r="F236" s="294"/>
      <c r="G236" s="294"/>
      <c r="H236" s="294"/>
      <c r="I236" s="294"/>
      <c r="J236" s="294"/>
      <c r="K236" s="294"/>
      <c r="L236" s="294"/>
      <c r="M236" s="294"/>
      <c r="N236" s="294"/>
      <c r="O236" s="294"/>
      <c r="P236" s="294"/>
      <c r="Q236" s="294"/>
      <c r="R236" s="294"/>
    </row>
    <row r="237" spans="1:18" x14ac:dyDescent="0.2">
      <c r="A237" s="294"/>
      <c r="B237" s="294"/>
      <c r="C237" s="294"/>
      <c r="D237" s="294"/>
      <c r="E237" s="294"/>
      <c r="F237" s="294"/>
      <c r="G237" s="294"/>
      <c r="H237" s="294"/>
      <c r="I237" s="294"/>
      <c r="J237" s="294"/>
      <c r="K237" s="294"/>
      <c r="L237" s="294"/>
      <c r="M237" s="294"/>
      <c r="N237" s="294"/>
      <c r="O237" s="294"/>
      <c r="P237" s="294"/>
      <c r="Q237" s="294"/>
      <c r="R237" s="294"/>
    </row>
    <row r="238" spans="1:18" x14ac:dyDescent="0.2">
      <c r="A238" s="59" t="s">
        <v>1</v>
      </c>
      <c r="B238" s="59" t="s">
        <v>2</v>
      </c>
      <c r="C238" s="59" t="s">
        <v>3</v>
      </c>
      <c r="D238" s="58" t="s">
        <v>1</v>
      </c>
      <c r="E238" s="58" t="s">
        <v>4</v>
      </c>
      <c r="F238" s="58" t="s">
        <v>3</v>
      </c>
      <c r="G238" s="55" t="s">
        <v>1</v>
      </c>
      <c r="H238" s="55" t="s">
        <v>5</v>
      </c>
      <c r="I238" s="55" t="s">
        <v>3</v>
      </c>
      <c r="J238" s="57" t="s">
        <v>1</v>
      </c>
      <c r="K238" s="57" t="s">
        <v>6</v>
      </c>
      <c r="L238" s="57" t="s">
        <v>3</v>
      </c>
      <c r="M238" s="56" t="s">
        <v>1</v>
      </c>
      <c r="N238" s="56" t="s">
        <v>7</v>
      </c>
      <c r="O238" s="56" t="s">
        <v>3</v>
      </c>
      <c r="P238" s="55" t="s">
        <v>1</v>
      </c>
      <c r="Q238" s="55" t="s">
        <v>8</v>
      </c>
      <c r="R238" s="55" t="s">
        <v>3</v>
      </c>
    </row>
    <row r="239" spans="1:18" x14ac:dyDescent="0.2">
      <c r="A239" s="65">
        <v>44679</v>
      </c>
      <c r="B239" s="41" t="s">
        <v>181</v>
      </c>
      <c r="C239" s="40">
        <v>150000</v>
      </c>
      <c r="D239" s="83">
        <v>44681</v>
      </c>
      <c r="E239" s="53" t="s">
        <v>243</v>
      </c>
      <c r="F239" s="52">
        <v>12000</v>
      </c>
      <c r="G239" s="47">
        <v>44654</v>
      </c>
      <c r="H239" s="34" t="s">
        <v>244</v>
      </c>
      <c r="I239" s="35">
        <v>74000</v>
      </c>
      <c r="J239" s="32"/>
      <c r="K239" s="32"/>
      <c r="L239" s="32"/>
      <c r="M239" s="139">
        <v>44685</v>
      </c>
      <c r="N239" s="31" t="s">
        <v>245</v>
      </c>
      <c r="O239" s="45">
        <f>5000+2000+2000+2000+5000</f>
        <v>16000</v>
      </c>
      <c r="P239" s="47">
        <v>44680</v>
      </c>
      <c r="Q239" s="30" t="s">
        <v>233</v>
      </c>
      <c r="R239" s="35">
        <v>30000</v>
      </c>
    </row>
    <row r="240" spans="1:18" x14ac:dyDescent="0.2">
      <c r="A240" s="65">
        <v>44679</v>
      </c>
      <c r="B240" s="41" t="s">
        <v>185</v>
      </c>
      <c r="C240" s="40">
        <v>500000</v>
      </c>
      <c r="D240" s="83">
        <v>44681</v>
      </c>
      <c r="E240" s="53" t="s">
        <v>246</v>
      </c>
      <c r="F240" s="52">
        <v>10000</v>
      </c>
      <c r="G240" s="47">
        <v>44655</v>
      </c>
      <c r="H240" s="34" t="s">
        <v>247</v>
      </c>
      <c r="I240" s="35">
        <f>100000+65000</f>
        <v>165000</v>
      </c>
      <c r="J240" s="32"/>
      <c r="K240" s="32"/>
      <c r="L240" s="32"/>
      <c r="M240" s="139">
        <v>44692</v>
      </c>
      <c r="N240" s="31" t="s">
        <v>13</v>
      </c>
      <c r="O240" s="48">
        <v>22000</v>
      </c>
      <c r="P240" s="47">
        <v>44652</v>
      </c>
      <c r="Q240" s="30" t="s">
        <v>248</v>
      </c>
      <c r="R240" s="35">
        <v>50000</v>
      </c>
    </row>
    <row r="241" spans="1:18" x14ac:dyDescent="0.2">
      <c r="A241" s="65">
        <v>44679</v>
      </c>
      <c r="B241" s="41" t="s">
        <v>9</v>
      </c>
      <c r="C241" s="40">
        <v>500000</v>
      </c>
      <c r="D241" s="83">
        <v>44681</v>
      </c>
      <c r="E241" s="53" t="s">
        <v>249</v>
      </c>
      <c r="F241" s="52">
        <v>15000</v>
      </c>
      <c r="G241" s="47">
        <v>44686</v>
      </c>
      <c r="H241" s="34" t="s">
        <v>250</v>
      </c>
      <c r="I241" s="35">
        <v>50000</v>
      </c>
      <c r="J241" s="32"/>
      <c r="K241" s="32"/>
      <c r="L241" s="32"/>
      <c r="M241" s="139">
        <v>44692</v>
      </c>
      <c r="N241" s="31" t="s">
        <v>251</v>
      </c>
      <c r="O241" s="48">
        <v>6000</v>
      </c>
      <c r="P241" s="47">
        <v>44690</v>
      </c>
      <c r="Q241" s="30" t="s">
        <v>252</v>
      </c>
      <c r="R241" s="35">
        <v>80000</v>
      </c>
    </row>
    <row r="242" spans="1:18" x14ac:dyDescent="0.2">
      <c r="A242" s="65">
        <v>44679</v>
      </c>
      <c r="B242" s="41" t="s">
        <v>33</v>
      </c>
      <c r="C242" s="40">
        <v>200000</v>
      </c>
      <c r="D242" s="83">
        <v>44681</v>
      </c>
      <c r="E242" s="53" t="s">
        <v>253</v>
      </c>
      <c r="F242" s="72">
        <v>27000</v>
      </c>
      <c r="G242" s="47">
        <v>44694</v>
      </c>
      <c r="H242" s="34" t="s">
        <v>254</v>
      </c>
      <c r="I242" s="35">
        <v>34000</v>
      </c>
      <c r="J242" s="32"/>
      <c r="K242" s="32"/>
      <c r="L242" s="32"/>
      <c r="M242" s="139">
        <v>44697</v>
      </c>
      <c r="N242" s="31" t="s">
        <v>255</v>
      </c>
      <c r="O242" s="48">
        <v>2000</v>
      </c>
      <c r="P242" s="47">
        <v>44696</v>
      </c>
      <c r="Q242" s="30" t="s">
        <v>256</v>
      </c>
      <c r="R242" s="35">
        <v>35000</v>
      </c>
    </row>
    <row r="243" spans="1:18" x14ac:dyDescent="0.2">
      <c r="A243" s="65">
        <v>44679</v>
      </c>
      <c r="B243" s="41" t="s">
        <v>112</v>
      </c>
      <c r="C243" s="40">
        <v>100000</v>
      </c>
      <c r="D243" s="83">
        <v>44681</v>
      </c>
      <c r="E243" s="53" t="s">
        <v>257</v>
      </c>
      <c r="F243" s="72">
        <v>28000</v>
      </c>
      <c r="G243" s="47">
        <v>44698</v>
      </c>
      <c r="H243" s="34" t="s">
        <v>258</v>
      </c>
      <c r="I243" s="43">
        <f>14000*4+18000</f>
        <v>74000</v>
      </c>
      <c r="J243" s="32"/>
      <c r="K243" s="32"/>
      <c r="L243" s="32"/>
      <c r="M243" s="139">
        <v>44699</v>
      </c>
      <c r="N243" s="31" t="s">
        <v>13</v>
      </c>
      <c r="O243" s="48">
        <v>22000</v>
      </c>
      <c r="P243" s="47">
        <v>44697</v>
      </c>
      <c r="Q243" s="30" t="s">
        <v>259</v>
      </c>
      <c r="R243" s="35">
        <v>132000</v>
      </c>
    </row>
    <row r="244" spans="1:18" x14ac:dyDescent="0.2">
      <c r="A244" s="65">
        <v>44679</v>
      </c>
      <c r="B244" s="41" t="s">
        <v>23</v>
      </c>
      <c r="C244" s="40">
        <v>500000</v>
      </c>
      <c r="D244" s="83">
        <v>44681</v>
      </c>
      <c r="E244" s="53" t="s">
        <v>260</v>
      </c>
      <c r="F244" s="72">
        <v>56000</v>
      </c>
      <c r="G244" s="47">
        <v>44699</v>
      </c>
      <c r="H244" s="34" t="s">
        <v>261</v>
      </c>
      <c r="I244" s="36">
        <v>25000</v>
      </c>
      <c r="J244" s="32"/>
      <c r="K244" s="32"/>
      <c r="L244" s="32"/>
      <c r="M244" s="139">
        <v>44709</v>
      </c>
      <c r="N244" s="31" t="s">
        <v>13</v>
      </c>
      <c r="O244" s="45">
        <v>21000</v>
      </c>
      <c r="P244" s="47">
        <v>44703</v>
      </c>
      <c r="Q244" s="30" t="s">
        <v>262</v>
      </c>
      <c r="R244" s="35">
        <v>7500</v>
      </c>
    </row>
    <row r="245" spans="1:18" x14ac:dyDescent="0.2">
      <c r="A245" s="65">
        <v>44679</v>
      </c>
      <c r="B245" s="41" t="s">
        <v>198</v>
      </c>
      <c r="C245" s="40">
        <v>1000000</v>
      </c>
      <c r="D245" s="83">
        <v>44684</v>
      </c>
      <c r="E245" s="53" t="s">
        <v>263</v>
      </c>
      <c r="F245" s="72">
        <v>20000</v>
      </c>
      <c r="G245" s="47">
        <v>44702</v>
      </c>
      <c r="H245" s="34" t="s">
        <v>264</v>
      </c>
      <c r="I245" s="36">
        <v>84000</v>
      </c>
      <c r="J245" s="32"/>
      <c r="K245" s="32"/>
      <c r="L245" s="32"/>
      <c r="M245" s="139">
        <v>44709</v>
      </c>
      <c r="N245" s="31" t="s">
        <v>265</v>
      </c>
      <c r="O245" s="45">
        <v>5000</v>
      </c>
      <c r="P245" s="30"/>
      <c r="Q245" s="30"/>
      <c r="R245" s="30"/>
    </row>
    <row r="246" spans="1:18" x14ac:dyDescent="0.2">
      <c r="A246" s="65">
        <v>44679</v>
      </c>
      <c r="B246" s="41" t="s">
        <v>37</v>
      </c>
      <c r="C246" s="40">
        <v>25000</v>
      </c>
      <c r="D246" s="83">
        <v>44685</v>
      </c>
      <c r="E246" s="53" t="s">
        <v>53</v>
      </c>
      <c r="F246" s="72">
        <v>50000</v>
      </c>
      <c r="G246" s="47">
        <v>44702</v>
      </c>
      <c r="H246" s="34" t="s">
        <v>266</v>
      </c>
      <c r="I246" s="36">
        <v>5000</v>
      </c>
      <c r="J246" s="32"/>
      <c r="K246" s="32"/>
      <c r="L246" s="32"/>
      <c r="M246" s="139">
        <v>44710</v>
      </c>
      <c r="N246" s="31" t="s">
        <v>267</v>
      </c>
      <c r="O246" s="48">
        <v>3000</v>
      </c>
      <c r="P246" s="30"/>
      <c r="Q246" s="30"/>
      <c r="R246" s="30"/>
    </row>
    <row r="247" spans="1:18" x14ac:dyDescent="0.2">
      <c r="A247" s="65">
        <v>44679</v>
      </c>
      <c r="B247" s="41" t="s">
        <v>41</v>
      </c>
      <c r="C247" s="195">
        <v>15000</v>
      </c>
      <c r="D247" s="83">
        <v>44685</v>
      </c>
      <c r="E247" s="53" t="s">
        <v>268</v>
      </c>
      <c r="F247" s="72">
        <v>40000</v>
      </c>
      <c r="G247" s="47">
        <v>44702</v>
      </c>
      <c r="H247" s="30" t="s">
        <v>269</v>
      </c>
      <c r="I247" s="36">
        <v>16000</v>
      </c>
      <c r="J247" s="32"/>
      <c r="K247" s="32"/>
      <c r="L247" s="32"/>
      <c r="M247" s="31"/>
      <c r="N247" s="31"/>
      <c r="O247" s="31"/>
      <c r="P247" s="30"/>
      <c r="Q247" s="30"/>
      <c r="R247" s="30"/>
    </row>
    <row r="248" spans="1:18" x14ac:dyDescent="0.2">
      <c r="A248" s="65">
        <v>44679</v>
      </c>
      <c r="B248" s="21" t="s">
        <v>270</v>
      </c>
      <c r="C248" s="40">
        <v>994900</v>
      </c>
      <c r="D248" s="83">
        <v>44685</v>
      </c>
      <c r="E248" s="53" t="s">
        <v>271</v>
      </c>
      <c r="F248" s="72">
        <v>18000</v>
      </c>
      <c r="G248" s="47">
        <v>44703</v>
      </c>
      <c r="H248" s="34" t="s">
        <v>272</v>
      </c>
      <c r="I248" s="36">
        <v>10000</v>
      </c>
      <c r="J248" s="32"/>
      <c r="K248" s="32"/>
      <c r="L248" s="32"/>
      <c r="M248" s="31"/>
      <c r="N248" s="31"/>
      <c r="O248" s="31"/>
      <c r="P248" s="30"/>
      <c r="Q248" s="30"/>
      <c r="R248" s="30"/>
    </row>
    <row r="249" spans="1:18" x14ac:dyDescent="0.2">
      <c r="A249" s="65">
        <v>44696</v>
      </c>
      <c r="B249" s="41" t="s">
        <v>273</v>
      </c>
      <c r="C249" s="66">
        <v>3000</v>
      </c>
      <c r="D249" s="83">
        <v>44685</v>
      </c>
      <c r="E249" s="53" t="s">
        <v>274</v>
      </c>
      <c r="F249" s="72">
        <v>10000</v>
      </c>
      <c r="G249" s="47">
        <v>44707</v>
      </c>
      <c r="H249" s="34" t="s">
        <v>275</v>
      </c>
      <c r="I249" s="35">
        <v>20000</v>
      </c>
      <c r="J249" s="32"/>
      <c r="K249" s="32"/>
      <c r="L249" s="32"/>
      <c r="M249" s="31"/>
      <c r="N249" s="31"/>
      <c r="O249" s="31"/>
      <c r="P249" s="30"/>
      <c r="Q249" s="30"/>
      <c r="R249" s="30"/>
    </row>
    <row r="250" spans="1:18" x14ac:dyDescent="0.2">
      <c r="A250" s="33"/>
      <c r="B250" s="33"/>
      <c r="C250" s="33"/>
      <c r="D250" s="83">
        <v>44685</v>
      </c>
      <c r="E250" s="53" t="s">
        <v>276</v>
      </c>
      <c r="F250" s="72">
        <v>20000</v>
      </c>
      <c r="G250" s="47">
        <v>44709</v>
      </c>
      <c r="H250" s="34" t="s">
        <v>277</v>
      </c>
      <c r="I250" s="35">
        <f>56000+2500</f>
        <v>58500</v>
      </c>
      <c r="J250" s="32"/>
      <c r="K250" s="32"/>
      <c r="L250" s="32"/>
      <c r="M250" s="31"/>
      <c r="N250" s="31"/>
      <c r="O250" s="31"/>
      <c r="P250" s="30"/>
      <c r="Q250" s="30"/>
      <c r="R250" s="30"/>
    </row>
    <row r="251" spans="1:18" x14ac:dyDescent="0.2">
      <c r="A251" s="33"/>
      <c r="B251" s="33"/>
      <c r="C251" s="33"/>
      <c r="D251" s="83">
        <v>44686</v>
      </c>
      <c r="E251" s="53" t="s">
        <v>278</v>
      </c>
      <c r="F251" s="200">
        <v>35000</v>
      </c>
      <c r="G251" s="47">
        <v>44710</v>
      </c>
      <c r="H251" s="34" t="s">
        <v>279</v>
      </c>
      <c r="I251" s="36">
        <v>104000</v>
      </c>
      <c r="J251" s="32"/>
      <c r="K251" s="32"/>
      <c r="L251" s="32"/>
      <c r="M251" s="31"/>
      <c r="N251" s="31"/>
      <c r="O251" s="31"/>
      <c r="P251" s="30"/>
      <c r="Q251" s="30"/>
      <c r="R251" s="30"/>
    </row>
    <row r="252" spans="1:18" x14ac:dyDescent="0.2">
      <c r="A252" s="33"/>
      <c r="B252" s="33"/>
      <c r="C252" s="33"/>
      <c r="D252" s="83">
        <v>44690</v>
      </c>
      <c r="E252" s="53" t="s">
        <v>280</v>
      </c>
      <c r="F252" s="200">
        <v>20000</v>
      </c>
      <c r="G252" s="30"/>
      <c r="H252" s="30"/>
      <c r="I252" s="30"/>
      <c r="J252" s="32"/>
      <c r="K252" s="32"/>
      <c r="L252" s="32"/>
      <c r="M252" s="31"/>
      <c r="N252" s="31"/>
      <c r="O252" s="31"/>
      <c r="P252" s="30"/>
      <c r="Q252" s="30"/>
      <c r="R252" s="30"/>
    </row>
    <row r="253" spans="1:18" x14ac:dyDescent="0.2">
      <c r="A253" s="33"/>
      <c r="B253" s="33"/>
      <c r="C253" s="33"/>
      <c r="D253" s="83">
        <v>44690</v>
      </c>
      <c r="E253" s="53" t="s">
        <v>281</v>
      </c>
      <c r="F253" s="200">
        <v>19000</v>
      </c>
      <c r="G253" s="30"/>
      <c r="H253" s="30"/>
      <c r="I253" s="30"/>
      <c r="J253" s="32"/>
      <c r="K253" s="32"/>
      <c r="L253" s="32"/>
      <c r="M253" s="31"/>
      <c r="N253" s="31"/>
      <c r="O253" s="31"/>
      <c r="P253" s="30"/>
      <c r="Q253" s="30"/>
      <c r="R253" s="30"/>
    </row>
    <row r="254" spans="1:18" x14ac:dyDescent="0.2">
      <c r="A254" s="33"/>
      <c r="B254" s="33"/>
      <c r="C254" s="33"/>
      <c r="D254" s="83">
        <v>44690</v>
      </c>
      <c r="E254" s="53" t="s">
        <v>271</v>
      </c>
      <c r="F254" s="200">
        <v>16000</v>
      </c>
      <c r="G254" s="30"/>
      <c r="H254" s="30"/>
      <c r="I254" s="30"/>
      <c r="J254" s="32"/>
      <c r="K254" s="32"/>
      <c r="L254" s="32"/>
      <c r="M254" s="31"/>
      <c r="N254" s="31"/>
      <c r="O254" s="31"/>
      <c r="P254" s="30"/>
      <c r="Q254" s="30"/>
      <c r="R254" s="30"/>
    </row>
    <row r="255" spans="1:18" x14ac:dyDescent="0.2">
      <c r="A255" s="33"/>
      <c r="B255" s="33"/>
      <c r="C255" s="33"/>
      <c r="D255" s="83">
        <v>44690</v>
      </c>
      <c r="E255" s="19" t="s">
        <v>282</v>
      </c>
      <c r="F255" s="200">
        <v>6000</v>
      </c>
      <c r="G255" s="30"/>
      <c r="H255" s="30"/>
      <c r="I255" s="30"/>
      <c r="J255" s="32"/>
      <c r="K255" s="32"/>
      <c r="L255" s="32"/>
      <c r="M255" s="31"/>
      <c r="N255" s="31"/>
      <c r="O255" s="31"/>
      <c r="P255" s="30"/>
      <c r="Q255" s="30"/>
      <c r="R255" s="30"/>
    </row>
    <row r="256" spans="1:18" x14ac:dyDescent="0.2">
      <c r="A256" s="33"/>
      <c r="B256" s="33"/>
      <c r="C256" s="33"/>
      <c r="D256" s="83">
        <v>44691</v>
      </c>
      <c r="E256" s="19" t="s">
        <v>283</v>
      </c>
      <c r="F256" s="52">
        <v>20000</v>
      </c>
      <c r="G256" s="30"/>
      <c r="H256" s="30"/>
      <c r="I256" s="30"/>
      <c r="J256" s="32"/>
      <c r="K256" s="32"/>
      <c r="L256" s="32"/>
      <c r="M256" s="31"/>
      <c r="N256" s="31"/>
      <c r="O256" s="31"/>
      <c r="P256" s="30"/>
      <c r="Q256" s="30"/>
      <c r="R256" s="30"/>
    </row>
    <row r="257" spans="1:18" x14ac:dyDescent="0.2">
      <c r="A257" s="33"/>
      <c r="B257" s="33"/>
      <c r="C257" s="33"/>
      <c r="D257" s="83">
        <v>44692</v>
      </c>
      <c r="E257" s="19" t="s">
        <v>284</v>
      </c>
      <c r="F257" s="52">
        <v>28000</v>
      </c>
      <c r="G257" s="30"/>
      <c r="H257" s="30"/>
      <c r="I257" s="30"/>
      <c r="J257" s="32"/>
      <c r="K257" s="32"/>
      <c r="L257" s="32"/>
      <c r="M257" s="31"/>
      <c r="N257" s="31"/>
      <c r="O257" s="31"/>
      <c r="P257" s="30"/>
      <c r="Q257" s="30"/>
      <c r="R257" s="30"/>
    </row>
    <row r="258" spans="1:18" x14ac:dyDescent="0.2">
      <c r="A258" s="33"/>
      <c r="B258" s="33"/>
      <c r="C258" s="33"/>
      <c r="D258" s="83">
        <v>44692</v>
      </c>
      <c r="E258" s="19" t="s">
        <v>285</v>
      </c>
      <c r="F258" s="52">
        <v>12000</v>
      </c>
      <c r="G258" s="30"/>
      <c r="H258" s="30"/>
      <c r="I258" s="30"/>
      <c r="J258" s="32"/>
      <c r="K258" s="32"/>
      <c r="L258" s="32"/>
      <c r="M258" s="31"/>
      <c r="N258" s="31"/>
      <c r="O258" s="31"/>
      <c r="P258" s="30"/>
      <c r="Q258" s="30"/>
      <c r="R258" s="30"/>
    </row>
    <row r="259" spans="1:18" x14ac:dyDescent="0.2">
      <c r="A259" s="33"/>
      <c r="B259" s="33"/>
      <c r="C259" s="33"/>
      <c r="D259" s="83">
        <v>44692</v>
      </c>
      <c r="E259" s="19" t="s">
        <v>286</v>
      </c>
      <c r="F259" s="52">
        <v>11000</v>
      </c>
      <c r="G259" s="30"/>
      <c r="H259" s="30"/>
      <c r="I259" s="30"/>
      <c r="J259" s="32"/>
      <c r="K259" s="32"/>
      <c r="L259" s="32"/>
      <c r="M259" s="31"/>
      <c r="N259" s="31"/>
      <c r="O259" s="31"/>
      <c r="P259" s="30"/>
      <c r="Q259" s="30"/>
      <c r="R259" s="30"/>
    </row>
    <row r="260" spans="1:18" x14ac:dyDescent="0.2">
      <c r="A260" s="33"/>
      <c r="B260" s="33"/>
      <c r="C260" s="33"/>
      <c r="D260" s="83">
        <v>44693</v>
      </c>
      <c r="E260" s="53" t="s">
        <v>284</v>
      </c>
      <c r="F260" s="52">
        <v>33000</v>
      </c>
      <c r="G260" s="30"/>
      <c r="H260" s="30"/>
      <c r="I260" s="30"/>
      <c r="J260" s="32"/>
      <c r="K260" s="32"/>
      <c r="L260" s="32"/>
      <c r="M260" s="31"/>
      <c r="N260" s="31"/>
      <c r="O260" s="31"/>
      <c r="P260" s="30"/>
      <c r="Q260" s="30"/>
      <c r="R260" s="30"/>
    </row>
    <row r="261" spans="1:18" x14ac:dyDescent="0.2">
      <c r="A261" s="33"/>
      <c r="B261" s="33"/>
      <c r="C261" s="33"/>
      <c r="D261" s="83">
        <v>44694</v>
      </c>
      <c r="E261" s="53" t="s">
        <v>80</v>
      </c>
      <c r="F261" s="52">
        <v>16000</v>
      </c>
      <c r="G261" s="30"/>
      <c r="H261" s="30"/>
      <c r="I261" s="30"/>
      <c r="J261" s="32"/>
      <c r="K261" s="32"/>
      <c r="L261" s="32"/>
      <c r="M261" s="31"/>
      <c r="N261" s="31"/>
      <c r="O261" s="31"/>
      <c r="P261" s="30"/>
      <c r="Q261" s="30"/>
      <c r="R261" s="30"/>
    </row>
    <row r="262" spans="1:18" x14ac:dyDescent="0.2">
      <c r="A262" s="33"/>
      <c r="B262" s="33"/>
      <c r="C262" s="33"/>
      <c r="D262" s="83">
        <v>44694</v>
      </c>
      <c r="E262" s="53" t="s">
        <v>287</v>
      </c>
      <c r="F262" s="52">
        <v>13000</v>
      </c>
      <c r="G262" s="30"/>
      <c r="H262" s="30"/>
      <c r="I262" s="30"/>
      <c r="J262" s="32"/>
      <c r="K262" s="32"/>
      <c r="L262" s="32"/>
      <c r="M262" s="31"/>
      <c r="N262" s="31"/>
      <c r="O262" s="31"/>
      <c r="P262" s="30"/>
      <c r="Q262" s="30"/>
      <c r="R262" s="30"/>
    </row>
    <row r="263" spans="1:18" x14ac:dyDescent="0.2">
      <c r="A263" s="33"/>
      <c r="B263" s="33"/>
      <c r="C263" s="33"/>
      <c r="D263" s="83">
        <v>44694</v>
      </c>
      <c r="E263" s="53" t="s">
        <v>81</v>
      </c>
      <c r="F263" s="52">
        <v>5000</v>
      </c>
      <c r="G263" s="30"/>
      <c r="H263" s="30"/>
      <c r="I263" s="30"/>
      <c r="J263" s="32"/>
      <c r="K263" s="32"/>
      <c r="L263" s="32"/>
      <c r="M263" s="31"/>
      <c r="N263" s="31"/>
      <c r="O263" s="31"/>
      <c r="P263" s="30"/>
      <c r="Q263" s="30"/>
      <c r="R263" s="30"/>
    </row>
    <row r="264" spans="1:18" x14ac:dyDescent="0.2">
      <c r="A264" s="33"/>
      <c r="B264" s="33"/>
      <c r="C264" s="33"/>
      <c r="D264" s="83">
        <v>44696</v>
      </c>
      <c r="E264" s="53" t="s">
        <v>288</v>
      </c>
      <c r="F264" s="52">
        <v>70000</v>
      </c>
      <c r="G264" s="30"/>
      <c r="H264" s="30"/>
      <c r="I264" s="30"/>
      <c r="J264" s="32"/>
      <c r="K264" s="32"/>
      <c r="L264" s="32"/>
      <c r="M264" s="31"/>
      <c r="N264" s="31"/>
      <c r="O264" s="31"/>
      <c r="P264" s="30"/>
      <c r="Q264" s="30"/>
      <c r="R264" s="30"/>
    </row>
    <row r="265" spans="1:18" x14ac:dyDescent="0.2">
      <c r="A265" s="33"/>
      <c r="B265" s="33"/>
      <c r="C265" s="33"/>
      <c r="D265" s="83">
        <v>44697</v>
      </c>
      <c r="E265" s="53" t="s">
        <v>289</v>
      </c>
      <c r="F265" s="52">
        <v>5000</v>
      </c>
      <c r="G265" s="30"/>
      <c r="H265" s="30"/>
      <c r="I265" s="30"/>
      <c r="J265" s="32"/>
      <c r="K265" s="32"/>
      <c r="L265" s="32"/>
      <c r="M265" s="31"/>
      <c r="N265" s="31"/>
      <c r="O265" s="31"/>
      <c r="P265" s="30"/>
      <c r="Q265" s="30"/>
      <c r="R265" s="30"/>
    </row>
    <row r="266" spans="1:18" x14ac:dyDescent="0.2">
      <c r="A266" s="33"/>
      <c r="B266" s="33"/>
      <c r="C266" s="33"/>
      <c r="D266" s="83">
        <v>44697</v>
      </c>
      <c r="E266" s="53" t="s">
        <v>290</v>
      </c>
      <c r="F266" s="52">
        <v>15000</v>
      </c>
      <c r="G266" s="30"/>
      <c r="H266" s="30"/>
      <c r="I266" s="30"/>
      <c r="J266" s="32"/>
      <c r="K266" s="32"/>
      <c r="L266" s="32"/>
      <c r="M266" s="31"/>
      <c r="N266" s="31"/>
      <c r="O266" s="31"/>
      <c r="P266" s="30"/>
      <c r="Q266" s="30"/>
      <c r="R266" s="30"/>
    </row>
    <row r="267" spans="1:18" x14ac:dyDescent="0.2">
      <c r="A267" s="33"/>
      <c r="B267" s="33"/>
      <c r="C267" s="33"/>
      <c r="D267" s="83">
        <v>44697</v>
      </c>
      <c r="E267" s="53" t="s">
        <v>291</v>
      </c>
      <c r="F267" s="52">
        <v>24000</v>
      </c>
      <c r="G267" s="30"/>
      <c r="H267" s="30"/>
      <c r="I267" s="30"/>
      <c r="J267" s="32"/>
      <c r="K267" s="32"/>
      <c r="L267" s="32"/>
      <c r="M267" s="31"/>
      <c r="N267" s="31"/>
      <c r="O267" s="31"/>
      <c r="P267" s="30"/>
      <c r="Q267" s="30"/>
      <c r="R267" s="30"/>
    </row>
    <row r="268" spans="1:18" x14ac:dyDescent="0.2">
      <c r="A268" s="33"/>
      <c r="B268" s="33"/>
      <c r="C268" s="33"/>
      <c r="D268" s="83">
        <v>44699</v>
      </c>
      <c r="E268" s="53" t="s">
        <v>292</v>
      </c>
      <c r="F268" s="52">
        <v>13000</v>
      </c>
      <c r="G268" s="30"/>
      <c r="H268" s="30"/>
      <c r="I268" s="30"/>
      <c r="J268" s="32"/>
      <c r="K268" s="32"/>
      <c r="L268" s="32"/>
      <c r="M268" s="31"/>
      <c r="N268" s="31"/>
      <c r="O268" s="31"/>
      <c r="P268" s="30"/>
      <c r="Q268" s="30"/>
      <c r="R268" s="30"/>
    </row>
    <row r="269" spans="1:18" x14ac:dyDescent="0.2">
      <c r="A269" s="33"/>
      <c r="B269" s="33"/>
      <c r="C269" s="33"/>
      <c r="D269" s="83">
        <v>44699</v>
      </c>
      <c r="E269" s="53" t="s">
        <v>284</v>
      </c>
      <c r="F269" s="200">
        <v>28000</v>
      </c>
      <c r="G269" s="30"/>
      <c r="H269" s="30"/>
      <c r="I269" s="30"/>
      <c r="J269" s="32"/>
      <c r="K269" s="32"/>
      <c r="L269" s="32"/>
      <c r="M269" s="31"/>
      <c r="N269" s="31"/>
      <c r="O269" s="31"/>
      <c r="P269" s="30"/>
      <c r="Q269" s="30"/>
      <c r="R269" s="30"/>
    </row>
    <row r="270" spans="1:18" x14ac:dyDescent="0.2">
      <c r="A270" s="33"/>
      <c r="B270" s="33"/>
      <c r="C270" s="33"/>
      <c r="D270" s="83">
        <v>44701</v>
      </c>
      <c r="E270" s="53" t="s">
        <v>80</v>
      </c>
      <c r="F270" s="200">
        <v>17000</v>
      </c>
      <c r="G270" s="30"/>
      <c r="H270" s="30"/>
      <c r="I270" s="30"/>
      <c r="J270" s="32"/>
      <c r="K270" s="32"/>
      <c r="L270" s="32"/>
      <c r="M270" s="31"/>
      <c r="N270" s="31"/>
      <c r="O270" s="31"/>
      <c r="P270" s="30"/>
      <c r="Q270" s="30"/>
      <c r="R270" s="30"/>
    </row>
    <row r="271" spans="1:18" x14ac:dyDescent="0.2">
      <c r="A271" s="33"/>
      <c r="B271" s="33"/>
      <c r="C271" s="33"/>
      <c r="D271" s="83">
        <v>44701</v>
      </c>
      <c r="E271" s="53" t="s">
        <v>293</v>
      </c>
      <c r="F271" s="200">
        <v>7500</v>
      </c>
      <c r="G271" s="30"/>
      <c r="H271" s="30"/>
      <c r="I271" s="30"/>
      <c r="J271" s="32"/>
      <c r="K271" s="32"/>
      <c r="L271" s="32"/>
      <c r="M271" s="31"/>
      <c r="N271" s="31"/>
      <c r="O271" s="31"/>
      <c r="P271" s="30"/>
      <c r="Q271" s="30"/>
      <c r="R271" s="30"/>
    </row>
    <row r="272" spans="1:18" x14ac:dyDescent="0.2">
      <c r="A272" s="33"/>
      <c r="B272" s="33"/>
      <c r="C272" s="33"/>
      <c r="D272" s="83">
        <v>44703</v>
      </c>
      <c r="E272" s="53" t="s">
        <v>294</v>
      </c>
      <c r="F272" s="200">
        <v>20000</v>
      </c>
      <c r="G272" s="30"/>
      <c r="H272" s="30"/>
      <c r="I272" s="30"/>
      <c r="J272" s="32"/>
      <c r="K272" s="32"/>
      <c r="L272" s="32"/>
      <c r="M272" s="31"/>
      <c r="N272" s="31"/>
      <c r="O272" s="31"/>
      <c r="P272" s="30"/>
      <c r="Q272" s="30"/>
      <c r="R272" s="30"/>
    </row>
    <row r="273" spans="1:18" x14ac:dyDescent="0.2">
      <c r="A273" s="33"/>
      <c r="B273" s="33"/>
      <c r="C273" s="33"/>
      <c r="D273" s="83">
        <v>44704</v>
      </c>
      <c r="E273" s="53" t="s">
        <v>295</v>
      </c>
      <c r="F273" s="200">
        <v>15000</v>
      </c>
      <c r="G273" s="30"/>
      <c r="H273" s="30"/>
      <c r="I273" s="30"/>
      <c r="J273" s="32"/>
      <c r="K273" s="32"/>
      <c r="L273" s="32"/>
      <c r="M273" s="31"/>
      <c r="N273" s="31"/>
      <c r="O273" s="31"/>
      <c r="P273" s="30"/>
      <c r="Q273" s="30"/>
      <c r="R273" s="30"/>
    </row>
    <row r="274" spans="1:18" x14ac:dyDescent="0.2">
      <c r="A274" s="33"/>
      <c r="B274" s="33"/>
      <c r="C274" s="33"/>
      <c r="D274" s="83">
        <v>44704</v>
      </c>
      <c r="E274" s="53" t="s">
        <v>222</v>
      </c>
      <c r="F274" s="200">
        <v>10000</v>
      </c>
      <c r="G274" s="30"/>
      <c r="H274" s="30"/>
      <c r="I274" s="30"/>
      <c r="J274" s="32"/>
      <c r="K274" s="32"/>
      <c r="L274" s="32"/>
      <c r="M274" s="31"/>
      <c r="N274" s="31"/>
      <c r="O274" s="31"/>
      <c r="P274" s="30"/>
      <c r="Q274" s="30"/>
      <c r="R274" s="30"/>
    </row>
    <row r="275" spans="1:18" x14ac:dyDescent="0.2">
      <c r="A275" s="33"/>
      <c r="B275" s="33"/>
      <c r="C275" s="33"/>
      <c r="D275" s="83">
        <v>44704</v>
      </c>
      <c r="E275" s="53" t="s">
        <v>296</v>
      </c>
      <c r="F275" s="200">
        <v>30500</v>
      </c>
      <c r="G275" s="30"/>
      <c r="H275" s="30"/>
      <c r="I275" s="30"/>
      <c r="J275" s="32"/>
      <c r="K275" s="32"/>
      <c r="L275" s="32"/>
      <c r="M275" s="31"/>
      <c r="N275" s="31"/>
      <c r="O275" s="31"/>
      <c r="P275" s="30"/>
      <c r="Q275" s="30"/>
      <c r="R275" s="30"/>
    </row>
    <row r="276" spans="1:18" x14ac:dyDescent="0.2">
      <c r="A276" s="33"/>
      <c r="B276" s="33"/>
      <c r="C276" s="33"/>
      <c r="D276" s="83">
        <v>44704</v>
      </c>
      <c r="E276" s="53" t="s">
        <v>297</v>
      </c>
      <c r="F276" s="200">
        <v>14000</v>
      </c>
      <c r="G276" s="30"/>
      <c r="H276" s="30"/>
      <c r="I276" s="30"/>
      <c r="J276" s="32"/>
      <c r="K276" s="32"/>
      <c r="L276" s="32"/>
      <c r="M276" s="31"/>
      <c r="N276" s="31"/>
      <c r="O276" s="31"/>
      <c r="P276" s="30"/>
      <c r="Q276" s="30"/>
      <c r="R276" s="30"/>
    </row>
    <row r="277" spans="1:18" x14ac:dyDescent="0.2">
      <c r="A277" s="33"/>
      <c r="B277" s="33"/>
      <c r="C277" s="33"/>
      <c r="D277" s="83">
        <v>44705</v>
      </c>
      <c r="E277" s="53" t="s">
        <v>159</v>
      </c>
      <c r="F277" s="52">
        <v>28000</v>
      </c>
      <c r="G277" s="30"/>
      <c r="H277" s="30"/>
      <c r="I277" s="30"/>
      <c r="J277" s="32"/>
      <c r="K277" s="32"/>
      <c r="L277" s="32"/>
      <c r="M277" s="31"/>
      <c r="N277" s="31"/>
      <c r="O277" s="31"/>
      <c r="P277" s="30"/>
      <c r="Q277" s="30"/>
      <c r="R277" s="30"/>
    </row>
    <row r="278" spans="1:18" x14ac:dyDescent="0.2">
      <c r="A278" s="33"/>
      <c r="B278" s="33"/>
      <c r="C278" s="33"/>
      <c r="D278" s="83">
        <v>44707</v>
      </c>
      <c r="E278" s="53" t="s">
        <v>298</v>
      </c>
      <c r="F278" s="52">
        <v>10000</v>
      </c>
      <c r="G278" s="30"/>
      <c r="H278" s="30"/>
      <c r="I278" s="30"/>
      <c r="J278" s="32"/>
      <c r="K278" s="32"/>
      <c r="L278" s="32"/>
      <c r="M278" s="31"/>
      <c r="N278" s="31"/>
      <c r="O278" s="31"/>
      <c r="P278" s="30"/>
      <c r="Q278" s="30"/>
      <c r="R278" s="30"/>
    </row>
    <row r="279" spans="1:18" x14ac:dyDescent="0.2">
      <c r="A279" s="33"/>
      <c r="B279" s="33"/>
      <c r="C279" s="33"/>
      <c r="D279" s="83">
        <v>44707</v>
      </c>
      <c r="E279" s="53" t="s">
        <v>299</v>
      </c>
      <c r="F279" s="52">
        <v>15000</v>
      </c>
      <c r="G279" s="30"/>
      <c r="H279" s="30"/>
      <c r="I279" s="30"/>
      <c r="J279" s="32"/>
      <c r="K279" s="32"/>
      <c r="L279" s="32"/>
      <c r="M279" s="31"/>
      <c r="N279" s="31"/>
      <c r="O279" s="31"/>
      <c r="P279" s="30"/>
      <c r="Q279" s="30"/>
      <c r="R279" s="30"/>
    </row>
    <row r="280" spans="1:18" ht="14.1" customHeight="1" x14ac:dyDescent="0.2">
      <c r="A280" s="33"/>
      <c r="B280" s="33"/>
      <c r="C280" s="33"/>
      <c r="D280" s="83">
        <v>44707</v>
      </c>
      <c r="E280" s="53" t="s">
        <v>300</v>
      </c>
      <c r="F280" s="52">
        <v>10000</v>
      </c>
      <c r="G280" s="30"/>
      <c r="H280" s="30"/>
      <c r="I280" s="30"/>
      <c r="J280" s="32"/>
      <c r="K280" s="32"/>
      <c r="L280" s="32"/>
      <c r="M280" s="31"/>
      <c r="N280" s="31"/>
      <c r="O280" s="31"/>
      <c r="P280" s="30"/>
      <c r="Q280" s="30"/>
      <c r="R280" s="30"/>
    </row>
    <row r="281" spans="1:18" ht="14.1" customHeight="1" x14ac:dyDescent="0.2">
      <c r="A281" s="33"/>
      <c r="B281" s="33"/>
      <c r="C281" s="33"/>
      <c r="D281" s="83">
        <v>44708</v>
      </c>
      <c r="E281" s="53" t="s">
        <v>301</v>
      </c>
      <c r="F281" s="52">
        <v>103000</v>
      </c>
      <c r="G281" s="30"/>
      <c r="H281" s="30"/>
      <c r="I281" s="30"/>
      <c r="J281" s="32"/>
      <c r="K281" s="32"/>
      <c r="L281" s="32"/>
      <c r="M281" s="31"/>
      <c r="N281" s="31"/>
      <c r="O281" s="31"/>
      <c r="P281" s="30"/>
      <c r="Q281" s="30"/>
      <c r="R281" s="30"/>
    </row>
    <row r="282" spans="1:18" ht="14.1" customHeight="1" x14ac:dyDescent="0.2">
      <c r="A282" s="33"/>
      <c r="B282" s="33"/>
      <c r="C282" s="33"/>
      <c r="D282" s="83">
        <v>44709</v>
      </c>
      <c r="E282" s="53" t="s">
        <v>302</v>
      </c>
      <c r="F282" s="52">
        <v>146000</v>
      </c>
      <c r="G282" s="30"/>
      <c r="H282" s="30"/>
      <c r="I282" s="30"/>
      <c r="J282" s="32"/>
      <c r="K282" s="32"/>
      <c r="L282" s="32"/>
      <c r="M282" s="31"/>
      <c r="N282" s="31"/>
      <c r="O282" s="31"/>
      <c r="P282" s="30"/>
      <c r="Q282" s="30"/>
      <c r="R282" s="30"/>
    </row>
    <row r="283" spans="1:18" ht="14.1" customHeight="1" x14ac:dyDescent="0.2">
      <c r="A283" s="33"/>
      <c r="B283" s="33"/>
      <c r="C283" s="33"/>
      <c r="D283" s="83">
        <v>44709</v>
      </c>
      <c r="E283" s="53" t="s">
        <v>303</v>
      </c>
      <c r="F283" s="52">
        <v>14000</v>
      </c>
      <c r="G283" s="30"/>
      <c r="H283" s="30"/>
      <c r="I283" s="30"/>
      <c r="J283" s="32"/>
      <c r="K283" s="32"/>
      <c r="L283" s="32"/>
      <c r="M283" s="31"/>
      <c r="N283" s="31"/>
      <c r="O283" s="31"/>
      <c r="P283" s="30"/>
      <c r="Q283" s="30"/>
      <c r="R283" s="30"/>
    </row>
    <row r="284" spans="1:18" ht="14.1" customHeight="1" x14ac:dyDescent="0.2">
      <c r="A284" s="33"/>
      <c r="B284" s="33"/>
      <c r="C284" s="33"/>
      <c r="D284" s="83">
        <v>44709</v>
      </c>
      <c r="E284" s="53" t="s">
        <v>304</v>
      </c>
      <c r="F284" s="52">
        <v>27000</v>
      </c>
      <c r="G284" s="30"/>
      <c r="H284" s="30"/>
      <c r="I284" s="30"/>
      <c r="J284" s="32"/>
      <c r="K284" s="32"/>
      <c r="L284" s="32"/>
      <c r="M284" s="31"/>
      <c r="N284" s="31"/>
      <c r="O284" s="31"/>
      <c r="P284" s="30"/>
      <c r="Q284" s="30"/>
      <c r="R284" s="30"/>
    </row>
    <row r="285" spans="1:18" ht="14.1" customHeight="1" x14ac:dyDescent="0.2">
      <c r="A285" s="33"/>
      <c r="B285" s="33"/>
      <c r="C285" s="33"/>
      <c r="D285" s="83">
        <v>44709</v>
      </c>
      <c r="E285" s="53" t="s">
        <v>295</v>
      </c>
      <c r="F285" s="52">
        <v>20000</v>
      </c>
      <c r="G285" s="30"/>
      <c r="H285" s="30"/>
      <c r="I285" s="30"/>
      <c r="J285" s="32"/>
      <c r="K285" s="32"/>
      <c r="L285" s="32"/>
      <c r="M285" s="31"/>
      <c r="N285" s="31"/>
      <c r="O285" s="31"/>
      <c r="P285" s="30"/>
      <c r="Q285" s="30"/>
      <c r="R285" s="30"/>
    </row>
    <row r="286" spans="1:18" ht="14.1" customHeight="1" x14ac:dyDescent="0.2">
      <c r="A286" s="33"/>
      <c r="B286" s="33"/>
      <c r="C286" s="33"/>
      <c r="D286" s="83"/>
      <c r="E286" s="53"/>
      <c r="F286" s="52"/>
      <c r="G286" s="30"/>
      <c r="H286" s="30"/>
      <c r="I286" s="30"/>
      <c r="J286" s="32"/>
      <c r="K286" s="32"/>
      <c r="L286" s="32"/>
      <c r="M286" s="31"/>
      <c r="N286" s="31"/>
      <c r="O286" s="31"/>
      <c r="P286" s="30"/>
      <c r="Q286" s="30"/>
      <c r="R286" s="30"/>
    </row>
    <row r="287" spans="1:18" x14ac:dyDescent="0.2">
      <c r="A287" s="65"/>
      <c r="B287" s="41"/>
      <c r="C287" s="40"/>
      <c r="D287" s="83"/>
      <c r="E287" s="53"/>
      <c r="F287" s="52"/>
      <c r="G287" s="47"/>
      <c r="H287" s="34"/>
      <c r="I287" s="36"/>
      <c r="J287" s="51"/>
      <c r="K287" s="32"/>
      <c r="L287" s="32"/>
      <c r="M287" s="139"/>
      <c r="N287" s="46"/>
      <c r="O287" s="48"/>
      <c r="P287" s="47"/>
      <c r="Q287" s="30"/>
      <c r="R287" s="36"/>
    </row>
    <row r="288" spans="1:18" x14ac:dyDescent="0.2">
      <c r="A288" s="302" t="s">
        <v>93</v>
      </c>
      <c r="B288" s="302"/>
      <c r="C288" s="9">
        <f>SUM(C239:C287)</f>
        <v>3987900</v>
      </c>
      <c r="D288" s="303" t="s">
        <v>94</v>
      </c>
      <c r="E288" s="303"/>
      <c r="F288" s="8">
        <f>SUM(F239:F287)</f>
        <v>1182000</v>
      </c>
      <c r="G288" s="304" t="s">
        <v>95</v>
      </c>
      <c r="H288" s="304"/>
      <c r="I288" s="5">
        <f>SUM(I239:I287)</f>
        <v>719500</v>
      </c>
      <c r="J288" s="300" t="s">
        <v>96</v>
      </c>
      <c r="K288" s="300"/>
      <c r="L288" s="194">
        <f>SUM(L239:L287)</f>
        <v>0</v>
      </c>
      <c r="M288" s="301" t="s">
        <v>97</v>
      </c>
      <c r="N288" s="301"/>
      <c r="O288" s="6">
        <f>SUM(O239:O287)</f>
        <v>97000</v>
      </c>
      <c r="P288" s="304" t="s">
        <v>98</v>
      </c>
      <c r="Q288" s="304"/>
      <c r="R288" s="5">
        <f>SUM(R239:R287)</f>
        <v>334500</v>
      </c>
    </row>
    <row r="291" spans="1:18" x14ac:dyDescent="0.2">
      <c r="A291" t="s">
        <v>99</v>
      </c>
      <c r="B291" t="s">
        <v>100</v>
      </c>
      <c r="C291" s="3">
        <v>4900000</v>
      </c>
      <c r="D291" s="305">
        <f>SUM(C291:C292)</f>
        <v>5400000</v>
      </c>
    </row>
    <row r="292" spans="1:18" x14ac:dyDescent="0.2">
      <c r="B292" t="s">
        <v>305</v>
      </c>
      <c r="C292" s="3">
        <v>500000</v>
      </c>
      <c r="D292" s="316"/>
    </row>
    <row r="295" spans="1:18" x14ac:dyDescent="0.2">
      <c r="A295" t="s">
        <v>173</v>
      </c>
      <c r="B295" t="str">
        <f>A288</f>
        <v>Pengeluaran Kewajiban</v>
      </c>
      <c r="C295" s="1">
        <f>C288</f>
        <v>3987900</v>
      </c>
      <c r="D295" s="204">
        <f>C295/$D$291</f>
        <v>0.73850000000000005</v>
      </c>
    </row>
    <row r="296" spans="1:18" x14ac:dyDescent="0.2">
      <c r="B296" t="str">
        <f>D288</f>
        <v>Pengeluaran Makan</v>
      </c>
      <c r="C296" s="1">
        <f>F288</f>
        <v>1182000</v>
      </c>
      <c r="D296" s="204">
        <f t="shared" ref="D296:D300" si="3">C296/$D$291</f>
        <v>0.21888888888888888</v>
      </c>
    </row>
    <row r="297" spans="1:18" x14ac:dyDescent="0.2">
      <c r="B297" t="str">
        <f>G288</f>
        <v>Pengeluaran Sosial</v>
      </c>
      <c r="C297" s="1">
        <f>I288</f>
        <v>719500</v>
      </c>
      <c r="D297" s="204">
        <f t="shared" si="3"/>
        <v>0.13324074074074074</v>
      </c>
    </row>
    <row r="298" spans="1:18" x14ac:dyDescent="0.2">
      <c r="B298" t="str">
        <f>J288</f>
        <v>Pengeluaran Sedekah</v>
      </c>
      <c r="C298" s="1">
        <f>L288</f>
        <v>0</v>
      </c>
      <c r="D298" s="204">
        <f t="shared" si="3"/>
        <v>0</v>
      </c>
    </row>
    <row r="299" spans="1:18" x14ac:dyDescent="0.2">
      <c r="B299" t="str">
        <f>M288</f>
        <v>Pengeluaran Transport</v>
      </c>
      <c r="C299" s="1">
        <f>O288</f>
        <v>97000</v>
      </c>
      <c r="D299" s="204">
        <f t="shared" si="3"/>
        <v>1.7962962962962962E-2</v>
      </c>
    </row>
    <row r="300" spans="1:18" x14ac:dyDescent="0.2">
      <c r="B300" t="str">
        <f>P288</f>
        <v>Pengeluaran Sekunder</v>
      </c>
      <c r="C300" s="2">
        <f>R288</f>
        <v>334500</v>
      </c>
      <c r="D300" s="204">
        <f t="shared" si="3"/>
        <v>6.1944444444444448E-2</v>
      </c>
    </row>
    <row r="301" spans="1:18" x14ac:dyDescent="0.2">
      <c r="C301" s="1">
        <f>C291-C295-C296-C297-C298-C299-C300+C292</f>
        <v>-920900</v>
      </c>
    </row>
    <row r="304" spans="1:18" x14ac:dyDescent="0.2">
      <c r="A304" s="294" t="s">
        <v>306</v>
      </c>
      <c r="B304" s="294"/>
      <c r="C304" s="294"/>
      <c r="D304" s="294"/>
      <c r="E304" s="294"/>
      <c r="F304" s="294"/>
      <c r="G304" s="294"/>
      <c r="H304" s="294"/>
      <c r="I304" s="294"/>
      <c r="J304" s="294"/>
      <c r="K304" s="294"/>
      <c r="L304" s="294"/>
      <c r="M304" s="294"/>
      <c r="N304" s="294"/>
      <c r="O304" s="294"/>
      <c r="P304" s="294"/>
      <c r="Q304" s="294"/>
      <c r="R304" s="294"/>
    </row>
    <row r="305" spans="1:18" x14ac:dyDescent="0.2">
      <c r="A305" s="294"/>
      <c r="B305" s="294"/>
      <c r="C305" s="294"/>
      <c r="D305" s="294"/>
      <c r="E305" s="294"/>
      <c r="F305" s="294"/>
      <c r="G305" s="294"/>
      <c r="H305" s="294"/>
      <c r="I305" s="294"/>
      <c r="J305" s="294"/>
      <c r="K305" s="294"/>
      <c r="L305" s="294"/>
      <c r="M305" s="294"/>
      <c r="N305" s="294"/>
      <c r="O305" s="294"/>
      <c r="P305" s="294"/>
      <c r="Q305" s="294"/>
      <c r="R305" s="294"/>
    </row>
    <row r="306" spans="1:18" x14ac:dyDescent="0.2">
      <c r="A306" s="59" t="s">
        <v>1</v>
      </c>
      <c r="B306" s="59" t="s">
        <v>2</v>
      </c>
      <c r="C306" s="59" t="s">
        <v>3</v>
      </c>
      <c r="D306" s="58" t="s">
        <v>1</v>
      </c>
      <c r="E306" s="58" t="s">
        <v>4</v>
      </c>
      <c r="F306" s="58" t="s">
        <v>3</v>
      </c>
      <c r="G306" s="55" t="s">
        <v>1</v>
      </c>
      <c r="H306" s="55" t="s">
        <v>5</v>
      </c>
      <c r="I306" s="55" t="s">
        <v>3</v>
      </c>
      <c r="J306" s="57" t="s">
        <v>1</v>
      </c>
      <c r="K306" s="57" t="s">
        <v>6</v>
      </c>
      <c r="L306" s="57" t="s">
        <v>3</v>
      </c>
      <c r="M306" s="56" t="s">
        <v>1</v>
      </c>
      <c r="N306" s="56" t="s">
        <v>7</v>
      </c>
      <c r="O306" s="56" t="s">
        <v>3</v>
      </c>
      <c r="P306" s="55" t="s">
        <v>1</v>
      </c>
      <c r="Q306" s="55" t="s">
        <v>8</v>
      </c>
      <c r="R306" s="55" t="s">
        <v>3</v>
      </c>
    </row>
    <row r="307" spans="1:18" x14ac:dyDescent="0.2">
      <c r="A307" s="65">
        <v>44709</v>
      </c>
      <c r="B307" s="41" t="s">
        <v>185</v>
      </c>
      <c r="C307" s="40">
        <v>500000</v>
      </c>
      <c r="D307" s="83">
        <v>44711</v>
      </c>
      <c r="E307" s="53" t="s">
        <v>307</v>
      </c>
      <c r="F307" s="52">
        <f>11600+6200+9200+17700</f>
        <v>44700</v>
      </c>
      <c r="G307" s="47">
        <v>44716</v>
      </c>
      <c r="H307" s="34" t="s">
        <v>308</v>
      </c>
      <c r="I307" s="35">
        <v>41000</v>
      </c>
      <c r="J307" s="51">
        <v>44720</v>
      </c>
      <c r="K307" s="32" t="s">
        <v>309</v>
      </c>
      <c r="L307" s="140">
        <v>100000</v>
      </c>
      <c r="M307" s="139">
        <v>44717</v>
      </c>
      <c r="N307" s="31" t="s">
        <v>13</v>
      </c>
      <c r="O307" s="45">
        <v>22000</v>
      </c>
      <c r="P307" s="47">
        <v>44706</v>
      </c>
      <c r="Q307" s="11" t="s">
        <v>310</v>
      </c>
      <c r="R307" s="35">
        <v>77125</v>
      </c>
    </row>
    <row r="308" spans="1:18" x14ac:dyDescent="0.2">
      <c r="A308" s="65">
        <v>44709</v>
      </c>
      <c r="B308" s="41" t="s">
        <v>181</v>
      </c>
      <c r="C308" s="40">
        <v>150000</v>
      </c>
      <c r="D308" s="83">
        <v>44711</v>
      </c>
      <c r="E308" s="53" t="s">
        <v>311</v>
      </c>
      <c r="F308" s="52">
        <v>19000</v>
      </c>
      <c r="G308" s="47">
        <v>44722</v>
      </c>
      <c r="H308" s="34" t="s">
        <v>308</v>
      </c>
      <c r="I308" s="35">
        <f>34000</f>
        <v>34000</v>
      </c>
      <c r="J308" s="51">
        <v>44721</v>
      </c>
      <c r="K308" s="32" t="s">
        <v>309</v>
      </c>
      <c r="L308" s="140">
        <v>5000</v>
      </c>
      <c r="M308" s="139">
        <v>44721</v>
      </c>
      <c r="N308" s="31" t="s">
        <v>13</v>
      </c>
      <c r="O308" s="45">
        <v>21000</v>
      </c>
      <c r="P308" s="47">
        <v>44706</v>
      </c>
      <c r="Q308" s="11" t="s">
        <v>312</v>
      </c>
      <c r="R308" s="35">
        <v>24100</v>
      </c>
    </row>
    <row r="309" spans="1:18" x14ac:dyDescent="0.2">
      <c r="A309" s="65">
        <v>44709</v>
      </c>
      <c r="B309" s="41" t="s">
        <v>313</v>
      </c>
      <c r="C309" s="40">
        <v>670000</v>
      </c>
      <c r="D309" s="83">
        <v>44711</v>
      </c>
      <c r="E309" s="53" t="s">
        <v>314</v>
      </c>
      <c r="F309" s="52">
        <v>15000</v>
      </c>
      <c r="G309" s="47">
        <v>44723</v>
      </c>
      <c r="H309" s="34" t="s">
        <v>315</v>
      </c>
      <c r="I309" s="35">
        <v>28000</v>
      </c>
      <c r="J309" s="32"/>
      <c r="K309" s="32"/>
      <c r="L309" s="32"/>
      <c r="M309" s="139">
        <v>44723</v>
      </c>
      <c r="N309" s="31" t="s">
        <v>316</v>
      </c>
      <c r="O309" s="45">
        <v>2000</v>
      </c>
      <c r="P309" s="47">
        <v>44706</v>
      </c>
      <c r="Q309" s="11" t="s">
        <v>317</v>
      </c>
      <c r="R309" s="35">
        <v>31000</v>
      </c>
    </row>
    <row r="310" spans="1:18" x14ac:dyDescent="0.2">
      <c r="A310" s="65">
        <v>44709</v>
      </c>
      <c r="B310" s="41" t="s">
        <v>318</v>
      </c>
      <c r="C310" s="40">
        <v>500000</v>
      </c>
      <c r="D310" s="83">
        <v>44711</v>
      </c>
      <c r="E310" s="53" t="s">
        <v>319</v>
      </c>
      <c r="F310" s="52">
        <v>13000</v>
      </c>
      <c r="G310" s="47">
        <v>44723</v>
      </c>
      <c r="H310" s="34" t="s">
        <v>320</v>
      </c>
      <c r="I310" s="35">
        <v>24000</v>
      </c>
      <c r="J310" s="32"/>
      <c r="K310" s="32"/>
      <c r="L310" s="32"/>
      <c r="M310" s="139">
        <v>44724</v>
      </c>
      <c r="N310" s="31" t="s">
        <v>321</v>
      </c>
      <c r="O310" s="45">
        <v>2000</v>
      </c>
      <c r="P310" s="47">
        <v>44706</v>
      </c>
      <c r="Q310" s="11" t="s">
        <v>322</v>
      </c>
      <c r="R310" s="35">
        <v>25500</v>
      </c>
    </row>
    <row r="311" spans="1:18" x14ac:dyDescent="0.2">
      <c r="A311" s="65">
        <v>44709</v>
      </c>
      <c r="B311" s="41" t="s">
        <v>323</v>
      </c>
      <c r="C311" s="40">
        <v>500000</v>
      </c>
      <c r="D311" s="83">
        <v>44711</v>
      </c>
      <c r="E311" s="53" t="s">
        <v>324</v>
      </c>
      <c r="F311" s="52">
        <v>8000</v>
      </c>
      <c r="G311" s="47">
        <v>44739</v>
      </c>
      <c r="H311" s="34" t="s">
        <v>325</v>
      </c>
      <c r="I311" s="35">
        <v>54000</v>
      </c>
      <c r="J311" s="32"/>
      <c r="K311" s="32"/>
      <c r="L311" s="32"/>
      <c r="M311" s="139">
        <v>44727</v>
      </c>
      <c r="N311" s="31" t="s">
        <v>326</v>
      </c>
      <c r="O311" s="45">
        <v>2000</v>
      </c>
      <c r="P311" s="47">
        <v>44706</v>
      </c>
      <c r="Q311" s="11" t="s">
        <v>327</v>
      </c>
      <c r="R311" s="35">
        <v>10000</v>
      </c>
    </row>
    <row r="312" spans="1:18" x14ac:dyDescent="0.2">
      <c r="A312" s="65">
        <v>44709</v>
      </c>
      <c r="B312" s="41" t="s">
        <v>328</v>
      </c>
      <c r="C312" s="40">
        <v>200000</v>
      </c>
      <c r="D312" s="214">
        <v>44712</v>
      </c>
      <c r="E312" s="69" t="s">
        <v>329</v>
      </c>
      <c r="F312" s="215">
        <v>27700</v>
      </c>
      <c r="G312" s="47"/>
      <c r="H312" s="34"/>
      <c r="I312" s="35"/>
      <c r="J312" s="32"/>
      <c r="K312" s="32"/>
      <c r="L312" s="32"/>
      <c r="M312" s="139">
        <v>44727</v>
      </c>
      <c r="N312" s="31" t="s">
        <v>13</v>
      </c>
      <c r="O312" s="45">
        <v>20000</v>
      </c>
      <c r="P312" s="47">
        <v>44706</v>
      </c>
      <c r="Q312" s="11" t="s">
        <v>330</v>
      </c>
      <c r="R312" s="35">
        <v>45762</v>
      </c>
    </row>
    <row r="313" spans="1:18" x14ac:dyDescent="0.2">
      <c r="A313" s="65">
        <v>44709</v>
      </c>
      <c r="B313" s="41" t="s">
        <v>331</v>
      </c>
      <c r="C313" s="212">
        <v>100000</v>
      </c>
      <c r="D313" s="168">
        <v>44713</v>
      </c>
      <c r="E313" s="161" t="s">
        <v>332</v>
      </c>
      <c r="F313" s="167">
        <v>15000</v>
      </c>
      <c r="G313" s="213"/>
      <c r="H313" s="34"/>
      <c r="I313" s="35"/>
      <c r="J313" s="32"/>
      <c r="K313" s="32"/>
      <c r="L313" s="32"/>
      <c r="M313" s="139">
        <v>44727</v>
      </c>
      <c r="N313" s="31" t="s">
        <v>333</v>
      </c>
      <c r="O313" s="45">
        <v>2000</v>
      </c>
      <c r="P313" s="222">
        <v>44720</v>
      </c>
      <c r="Q313" s="223" t="s">
        <v>334</v>
      </c>
      <c r="R313" s="224">
        <v>26000</v>
      </c>
    </row>
    <row r="314" spans="1:18" x14ac:dyDescent="0.2">
      <c r="A314" s="65">
        <v>44709</v>
      </c>
      <c r="B314" s="41" t="s">
        <v>335</v>
      </c>
      <c r="C314" s="40">
        <v>25000</v>
      </c>
      <c r="D314" s="216">
        <v>44713</v>
      </c>
      <c r="E314" s="217" t="s">
        <v>336</v>
      </c>
      <c r="F314" s="158">
        <v>10000</v>
      </c>
      <c r="G314" s="47"/>
      <c r="H314" s="34"/>
      <c r="I314" s="35"/>
      <c r="J314" s="32"/>
      <c r="K314" s="32"/>
      <c r="L314" s="32"/>
      <c r="M314" s="139">
        <v>44727</v>
      </c>
      <c r="N314" s="31" t="s">
        <v>337</v>
      </c>
      <c r="O314" s="45">
        <v>2000</v>
      </c>
      <c r="P314" s="47">
        <v>44736</v>
      </c>
      <c r="Q314" s="34" t="s">
        <v>338</v>
      </c>
      <c r="R314" s="35">
        <v>129000</v>
      </c>
    </row>
    <row r="315" spans="1:18" x14ac:dyDescent="0.2">
      <c r="A315" s="65">
        <v>44709</v>
      </c>
      <c r="B315" s="41" t="s">
        <v>41</v>
      </c>
      <c r="C315" s="40">
        <v>15000</v>
      </c>
      <c r="D315" s="83">
        <v>44713</v>
      </c>
      <c r="E315" s="74" t="s">
        <v>339</v>
      </c>
      <c r="F315" s="52">
        <v>12000</v>
      </c>
      <c r="G315" s="47"/>
      <c r="H315" s="34"/>
      <c r="I315" s="35"/>
      <c r="J315" s="32"/>
      <c r="K315" s="32"/>
      <c r="L315" s="32"/>
      <c r="M315" s="139">
        <v>44729</v>
      </c>
      <c r="N315" s="31" t="s">
        <v>340</v>
      </c>
      <c r="O315" s="45">
        <v>20000</v>
      </c>
      <c r="P315" s="47">
        <v>44738</v>
      </c>
      <c r="Q315" s="34" t="s">
        <v>341</v>
      </c>
      <c r="R315" s="35">
        <v>50000</v>
      </c>
    </row>
    <row r="316" spans="1:18" x14ac:dyDescent="0.2">
      <c r="A316" s="65">
        <v>44709</v>
      </c>
      <c r="B316" s="21" t="s">
        <v>342</v>
      </c>
      <c r="C316" s="40">
        <v>920900</v>
      </c>
      <c r="D316" s="83">
        <v>44713</v>
      </c>
      <c r="E316" s="69" t="s">
        <v>343</v>
      </c>
      <c r="F316" s="52">
        <v>13000</v>
      </c>
      <c r="G316" s="47"/>
      <c r="H316" s="34"/>
      <c r="I316" s="35"/>
      <c r="J316" s="32"/>
      <c r="K316" s="32"/>
      <c r="L316" s="32"/>
      <c r="M316" s="139">
        <v>44730</v>
      </c>
      <c r="N316" s="31" t="s">
        <v>344</v>
      </c>
      <c r="O316" s="45">
        <v>2000</v>
      </c>
      <c r="P316" s="47">
        <v>44739</v>
      </c>
      <c r="Q316" s="34" t="s">
        <v>345</v>
      </c>
      <c r="R316" s="35">
        <v>54000</v>
      </c>
    </row>
    <row r="317" spans="1:18" x14ac:dyDescent="0.2">
      <c r="A317" s="227">
        <v>44718</v>
      </c>
      <c r="B317" s="144" t="s">
        <v>346</v>
      </c>
      <c r="C317" s="228">
        <v>5000</v>
      </c>
      <c r="D317" s="157">
        <v>44713</v>
      </c>
      <c r="E317" s="161" t="s">
        <v>347</v>
      </c>
      <c r="F317" s="158">
        <f>14500+9000+25000+19000</f>
        <v>67500</v>
      </c>
      <c r="G317" s="47"/>
      <c r="H317" s="34"/>
      <c r="I317" s="35"/>
      <c r="J317" s="32"/>
      <c r="K317" s="32"/>
      <c r="L317" s="32"/>
      <c r="M317" s="139">
        <v>44732</v>
      </c>
      <c r="N317" s="31" t="s">
        <v>13</v>
      </c>
      <c r="O317" s="45">
        <v>21000</v>
      </c>
      <c r="P317" s="47"/>
      <c r="Q317" s="30"/>
      <c r="R317" s="35"/>
    </row>
    <row r="318" spans="1:18" x14ac:dyDescent="0.2">
      <c r="A318" s="65">
        <v>44729</v>
      </c>
      <c r="B318" s="41" t="s">
        <v>348</v>
      </c>
      <c r="C318" s="40">
        <v>7500</v>
      </c>
      <c r="D318" s="83">
        <v>44714</v>
      </c>
      <c r="E318" s="74" t="s">
        <v>349</v>
      </c>
      <c r="F318" s="52">
        <f>29000+5000</f>
        <v>34000</v>
      </c>
      <c r="G318" s="47"/>
      <c r="H318" s="34"/>
      <c r="I318" s="35"/>
      <c r="J318" s="32"/>
      <c r="K318" s="32"/>
      <c r="L318" s="32"/>
      <c r="M318" s="139">
        <v>44736</v>
      </c>
      <c r="N318" s="31" t="s">
        <v>13</v>
      </c>
      <c r="O318" s="45">
        <v>21000</v>
      </c>
      <c r="P318" s="47"/>
      <c r="Q318" s="30"/>
      <c r="R318" s="35"/>
    </row>
    <row r="319" spans="1:18" x14ac:dyDescent="0.2">
      <c r="A319" s="65">
        <v>44736</v>
      </c>
      <c r="B319" s="41" t="s">
        <v>350</v>
      </c>
      <c r="C319" s="40">
        <v>100000</v>
      </c>
      <c r="D319" s="83">
        <v>44715</v>
      </c>
      <c r="E319" s="53" t="s">
        <v>351</v>
      </c>
      <c r="F319" s="52">
        <v>45000</v>
      </c>
      <c r="G319" s="47"/>
      <c r="H319" s="34"/>
      <c r="I319" s="35"/>
      <c r="J319" s="32"/>
      <c r="K319" s="32"/>
      <c r="L319" s="32"/>
      <c r="M319" s="139">
        <v>44737</v>
      </c>
      <c r="N319" s="31" t="s">
        <v>352</v>
      </c>
      <c r="O319" s="45">
        <v>2000</v>
      </c>
      <c r="P319" s="47"/>
      <c r="Q319" s="30"/>
      <c r="R319" s="35"/>
    </row>
    <row r="320" spans="1:18" x14ac:dyDescent="0.2">
      <c r="A320" s="65"/>
      <c r="B320" s="41"/>
      <c r="C320" s="40"/>
      <c r="D320" s="83">
        <v>44716</v>
      </c>
      <c r="E320" s="53" t="s">
        <v>353</v>
      </c>
      <c r="F320" s="52">
        <v>5000</v>
      </c>
      <c r="G320" s="47"/>
      <c r="H320" s="34"/>
      <c r="I320" s="35"/>
      <c r="J320" s="32"/>
      <c r="K320" s="32"/>
      <c r="L320" s="32"/>
      <c r="M320" s="139">
        <v>44738</v>
      </c>
      <c r="N320" s="31" t="s">
        <v>265</v>
      </c>
      <c r="O320" s="45">
        <v>6000</v>
      </c>
      <c r="P320" s="47"/>
      <c r="Q320" s="30"/>
      <c r="R320" s="35"/>
    </row>
    <row r="321" spans="1:18" x14ac:dyDescent="0.2">
      <c r="A321" s="65"/>
      <c r="B321" s="41"/>
      <c r="C321" s="40"/>
      <c r="D321" s="83">
        <v>44717</v>
      </c>
      <c r="E321" s="53" t="s">
        <v>354</v>
      </c>
      <c r="F321" s="52">
        <v>20000</v>
      </c>
      <c r="G321" s="47"/>
      <c r="H321" s="34"/>
      <c r="I321" s="35"/>
      <c r="J321" s="32"/>
      <c r="K321" s="32"/>
      <c r="L321" s="32"/>
      <c r="M321" s="139"/>
      <c r="N321" s="31"/>
      <c r="O321" s="45"/>
      <c r="P321" s="47"/>
      <c r="Q321" s="30"/>
      <c r="R321" s="35"/>
    </row>
    <row r="322" spans="1:18" x14ac:dyDescent="0.2">
      <c r="A322" s="65"/>
      <c r="B322" s="41"/>
      <c r="C322" s="40"/>
      <c r="D322" s="83">
        <v>44717</v>
      </c>
      <c r="E322" s="53" t="s">
        <v>297</v>
      </c>
      <c r="F322" s="52">
        <v>14000</v>
      </c>
      <c r="G322" s="47"/>
      <c r="H322" s="34"/>
      <c r="I322" s="35"/>
      <c r="J322" s="32"/>
      <c r="K322" s="32"/>
      <c r="L322" s="32"/>
      <c r="M322" s="139"/>
      <c r="N322" s="31"/>
      <c r="O322" s="45"/>
      <c r="P322" s="47"/>
      <c r="Q322" s="30"/>
      <c r="R322" s="35"/>
    </row>
    <row r="323" spans="1:18" x14ac:dyDescent="0.2">
      <c r="A323" s="65"/>
      <c r="B323" s="41"/>
      <c r="C323" s="40"/>
      <c r="D323" s="83">
        <v>44718</v>
      </c>
      <c r="E323" s="53" t="s">
        <v>355</v>
      </c>
      <c r="F323" s="52">
        <v>13000</v>
      </c>
      <c r="G323" s="47"/>
      <c r="H323" s="34"/>
      <c r="I323" s="35"/>
      <c r="J323" s="32"/>
      <c r="K323" s="32"/>
      <c r="L323" s="32"/>
      <c r="M323" s="139"/>
      <c r="N323" s="31"/>
      <c r="O323" s="45"/>
      <c r="P323" s="47"/>
      <c r="Q323" s="30"/>
      <c r="R323" s="35"/>
    </row>
    <row r="324" spans="1:18" x14ac:dyDescent="0.2">
      <c r="A324" s="65"/>
      <c r="B324" s="41"/>
      <c r="C324" s="40"/>
      <c r="D324" s="83">
        <v>44718</v>
      </c>
      <c r="E324" s="53" t="s">
        <v>356</v>
      </c>
      <c r="F324" s="52">
        <v>22500</v>
      </c>
      <c r="G324" s="47"/>
      <c r="H324" s="34"/>
      <c r="I324" s="35"/>
      <c r="J324" s="32"/>
      <c r="K324" s="32"/>
      <c r="L324" s="32"/>
      <c r="M324" s="139"/>
      <c r="N324" s="31"/>
      <c r="O324" s="45"/>
      <c r="P324" s="47"/>
      <c r="Q324" s="30"/>
      <c r="R324" s="35"/>
    </row>
    <row r="325" spans="1:18" x14ac:dyDescent="0.2">
      <c r="A325" s="65"/>
      <c r="B325" s="41"/>
      <c r="C325" s="40"/>
      <c r="D325" s="83">
        <v>44719</v>
      </c>
      <c r="E325" s="53" t="s">
        <v>319</v>
      </c>
      <c r="F325" s="52">
        <v>8000</v>
      </c>
      <c r="G325" s="47"/>
      <c r="H325" s="34"/>
      <c r="I325" s="35"/>
      <c r="J325" s="32"/>
      <c r="K325" s="32"/>
      <c r="L325" s="32"/>
      <c r="M325" s="139"/>
      <c r="N325" s="31"/>
      <c r="O325" s="45"/>
      <c r="P325" s="47"/>
      <c r="Q325" s="30"/>
      <c r="R325" s="35"/>
    </row>
    <row r="326" spans="1:18" x14ac:dyDescent="0.2">
      <c r="A326" s="65"/>
      <c r="B326" s="41"/>
      <c r="C326" s="40"/>
      <c r="D326" s="83">
        <v>44720</v>
      </c>
      <c r="E326" s="53" t="s">
        <v>357</v>
      </c>
      <c r="F326" s="52">
        <v>8000</v>
      </c>
      <c r="G326" s="47"/>
      <c r="H326" s="34"/>
      <c r="I326" s="35"/>
      <c r="J326" s="32"/>
      <c r="K326" s="32"/>
      <c r="L326" s="32"/>
      <c r="M326" s="139"/>
      <c r="N326" s="31"/>
      <c r="O326" s="45"/>
      <c r="P326" s="47"/>
      <c r="Q326" s="30"/>
      <c r="R326" s="35"/>
    </row>
    <row r="327" spans="1:18" x14ac:dyDescent="0.2">
      <c r="A327" s="65"/>
      <c r="B327" s="41"/>
      <c r="C327" s="40"/>
      <c r="D327" s="83">
        <v>44721</v>
      </c>
      <c r="E327" s="53" t="s">
        <v>358</v>
      </c>
      <c r="F327" s="52">
        <v>15500</v>
      </c>
      <c r="G327" s="47"/>
      <c r="H327" s="34"/>
      <c r="I327" s="35"/>
      <c r="J327" s="32"/>
      <c r="K327" s="32"/>
      <c r="L327" s="32"/>
      <c r="M327" s="139"/>
      <c r="N327" s="31"/>
      <c r="O327" s="45"/>
      <c r="P327" s="47"/>
      <c r="Q327" s="30"/>
      <c r="R327" s="35"/>
    </row>
    <row r="328" spans="1:18" x14ac:dyDescent="0.2">
      <c r="A328" s="65"/>
      <c r="B328" s="41"/>
      <c r="C328" s="40"/>
      <c r="D328" s="83">
        <v>44721</v>
      </c>
      <c r="E328" s="53" t="s">
        <v>359</v>
      </c>
      <c r="F328" s="52">
        <v>7500</v>
      </c>
      <c r="G328" s="47"/>
      <c r="H328" s="34"/>
      <c r="I328" s="35"/>
      <c r="J328" s="32"/>
      <c r="K328" s="32"/>
      <c r="L328" s="32"/>
      <c r="M328" s="139"/>
      <c r="N328" s="31"/>
      <c r="O328" s="45"/>
      <c r="P328" s="47"/>
      <c r="Q328" s="30"/>
      <c r="R328" s="35"/>
    </row>
    <row r="329" spans="1:18" x14ac:dyDescent="0.2">
      <c r="A329" s="65"/>
      <c r="B329" s="41"/>
      <c r="C329" s="40"/>
      <c r="D329" s="83">
        <v>44722</v>
      </c>
      <c r="E329" s="53" t="s">
        <v>360</v>
      </c>
      <c r="F329" s="52">
        <v>10000</v>
      </c>
      <c r="G329" s="47"/>
      <c r="H329" s="34"/>
      <c r="I329" s="35"/>
      <c r="J329" s="32"/>
      <c r="K329" s="32"/>
      <c r="L329" s="32"/>
      <c r="M329" s="139"/>
      <c r="N329" s="31"/>
      <c r="O329" s="45"/>
      <c r="P329" s="47"/>
      <c r="Q329" s="30"/>
      <c r="R329" s="35"/>
    </row>
    <row r="330" spans="1:18" x14ac:dyDescent="0.2">
      <c r="A330" s="65"/>
      <c r="B330" s="41"/>
      <c r="C330" s="40"/>
      <c r="D330" s="83">
        <v>44723</v>
      </c>
      <c r="E330" s="53" t="s">
        <v>361</v>
      </c>
      <c r="F330" s="52">
        <v>10000</v>
      </c>
      <c r="G330" s="47"/>
      <c r="H330" s="34"/>
      <c r="I330" s="35"/>
      <c r="J330" s="32"/>
      <c r="K330" s="32"/>
      <c r="L330" s="32"/>
      <c r="M330" s="139"/>
      <c r="N330" s="31"/>
      <c r="O330" s="45"/>
      <c r="P330" s="47"/>
      <c r="Q330" s="30"/>
      <c r="R330" s="35"/>
    </row>
    <row r="331" spans="1:18" x14ac:dyDescent="0.2">
      <c r="A331" s="65"/>
      <c r="B331" s="41"/>
      <c r="C331" s="40"/>
      <c r="D331" s="83">
        <v>44723</v>
      </c>
      <c r="E331" s="53" t="s">
        <v>362</v>
      </c>
      <c r="F331" s="52">
        <v>5000</v>
      </c>
      <c r="G331" s="47"/>
      <c r="H331" s="34"/>
      <c r="I331" s="35"/>
      <c r="J331" s="32"/>
      <c r="K331" s="32"/>
      <c r="L331" s="32"/>
      <c r="M331" s="139"/>
      <c r="N331" s="31"/>
      <c r="O331" s="45"/>
      <c r="P331" s="47"/>
      <c r="Q331" s="30"/>
      <c r="R331" s="35"/>
    </row>
    <row r="332" spans="1:18" x14ac:dyDescent="0.2">
      <c r="A332" s="65"/>
      <c r="B332" s="41"/>
      <c r="C332" s="40"/>
      <c r="D332" s="83">
        <v>44724</v>
      </c>
      <c r="E332" s="53" t="s">
        <v>363</v>
      </c>
      <c r="F332" s="52">
        <v>6000</v>
      </c>
      <c r="G332" s="47"/>
      <c r="H332" s="34"/>
      <c r="I332" s="35"/>
      <c r="J332" s="32"/>
      <c r="K332" s="32"/>
      <c r="L332" s="32"/>
      <c r="M332" s="139"/>
      <c r="N332" s="31"/>
      <c r="O332" s="45"/>
      <c r="P332" s="47"/>
      <c r="Q332" s="30"/>
      <c r="R332" s="35"/>
    </row>
    <row r="333" spans="1:18" x14ac:dyDescent="0.2">
      <c r="A333" s="65"/>
      <c r="B333" s="41"/>
      <c r="C333" s="40"/>
      <c r="D333" s="83">
        <v>44726</v>
      </c>
      <c r="E333" s="53" t="s">
        <v>161</v>
      </c>
      <c r="F333" s="52">
        <v>12000</v>
      </c>
      <c r="G333" s="47"/>
      <c r="H333" s="34"/>
      <c r="I333" s="35"/>
      <c r="J333" s="32"/>
      <c r="K333" s="32"/>
      <c r="L333" s="32"/>
      <c r="M333" s="139"/>
      <c r="N333" s="31"/>
      <c r="O333" s="45"/>
      <c r="P333" s="47"/>
      <c r="Q333" s="30"/>
      <c r="R333" s="35"/>
    </row>
    <row r="334" spans="1:18" x14ac:dyDescent="0.2">
      <c r="A334" s="65"/>
      <c r="B334" s="41"/>
      <c r="C334" s="40"/>
      <c r="D334" s="83">
        <v>44726</v>
      </c>
      <c r="E334" s="53" t="s">
        <v>364</v>
      </c>
      <c r="F334" s="52">
        <v>13000</v>
      </c>
      <c r="G334" s="47"/>
      <c r="H334" s="34"/>
      <c r="I334" s="35"/>
      <c r="J334" s="32"/>
      <c r="K334" s="32"/>
      <c r="L334" s="32"/>
      <c r="M334" s="139"/>
      <c r="N334" s="31"/>
      <c r="O334" s="45"/>
      <c r="P334" s="47"/>
      <c r="Q334" s="30"/>
      <c r="R334" s="35"/>
    </row>
    <row r="335" spans="1:18" x14ac:dyDescent="0.2">
      <c r="A335" s="65"/>
      <c r="B335" s="41"/>
      <c r="C335" s="40"/>
      <c r="D335" s="83">
        <v>44726</v>
      </c>
      <c r="E335" s="53" t="s">
        <v>365</v>
      </c>
      <c r="F335" s="52">
        <f>36000</f>
        <v>36000</v>
      </c>
      <c r="G335" s="47"/>
      <c r="H335" s="34"/>
      <c r="I335" s="35"/>
      <c r="J335" s="32"/>
      <c r="K335" s="32"/>
      <c r="L335" s="32"/>
      <c r="M335" s="139"/>
      <c r="N335" s="31"/>
      <c r="O335" s="45"/>
      <c r="P335" s="47"/>
      <c r="Q335" s="30"/>
      <c r="R335" s="35"/>
    </row>
    <row r="336" spans="1:18" x14ac:dyDescent="0.2">
      <c r="A336" s="65"/>
      <c r="B336" s="41"/>
      <c r="C336" s="40"/>
      <c r="D336" s="214">
        <v>44727</v>
      </c>
      <c r="E336" s="69" t="s">
        <v>366</v>
      </c>
      <c r="F336" s="215">
        <f>15000+200+5400</f>
        <v>20600</v>
      </c>
      <c r="G336" s="47"/>
      <c r="H336" s="34"/>
      <c r="I336" s="35"/>
      <c r="J336" s="32"/>
      <c r="K336" s="32"/>
      <c r="L336" s="32"/>
      <c r="M336" s="139"/>
      <c r="N336" s="31"/>
      <c r="O336" s="45"/>
      <c r="P336" s="47"/>
      <c r="Q336" s="30"/>
      <c r="R336" s="35"/>
    </row>
    <row r="337" spans="1:18" x14ac:dyDescent="0.2">
      <c r="A337" s="65"/>
      <c r="B337" s="41"/>
      <c r="C337" s="212"/>
      <c r="D337" s="168">
        <v>44727</v>
      </c>
      <c r="E337" s="161" t="s">
        <v>367</v>
      </c>
      <c r="F337" s="167">
        <v>12000</v>
      </c>
      <c r="G337" s="213"/>
      <c r="H337" s="34"/>
      <c r="I337" s="35"/>
      <c r="J337" s="32"/>
      <c r="K337" s="32"/>
      <c r="L337" s="32"/>
      <c r="M337" s="139"/>
      <c r="N337" s="31"/>
      <c r="O337" s="45"/>
      <c r="P337" s="47"/>
      <c r="Q337" s="30"/>
      <c r="R337" s="35"/>
    </row>
    <row r="338" spans="1:18" x14ac:dyDescent="0.2">
      <c r="A338" s="65"/>
      <c r="B338" s="41"/>
      <c r="C338" s="40"/>
      <c r="D338" s="229">
        <v>44728</v>
      </c>
      <c r="E338" s="74" t="s">
        <v>368</v>
      </c>
      <c r="F338" s="230">
        <f>7000+6000</f>
        <v>13000</v>
      </c>
      <c r="G338" s="47"/>
      <c r="H338" s="34"/>
      <c r="I338" s="35"/>
      <c r="J338" s="32"/>
      <c r="K338" s="32"/>
      <c r="L338" s="32"/>
      <c r="M338" s="139"/>
      <c r="N338" s="31"/>
      <c r="O338" s="45"/>
      <c r="P338" s="47"/>
      <c r="Q338" s="30"/>
      <c r="R338" s="35"/>
    </row>
    <row r="339" spans="1:18" x14ac:dyDescent="0.2">
      <c r="A339" s="65"/>
      <c r="B339" s="41"/>
      <c r="C339" s="40"/>
      <c r="D339" s="83">
        <v>44728</v>
      </c>
      <c r="E339" s="53" t="s">
        <v>89</v>
      </c>
      <c r="F339" s="52">
        <v>31000</v>
      </c>
      <c r="G339" s="47"/>
      <c r="H339" s="34"/>
      <c r="I339" s="35"/>
      <c r="J339" s="32"/>
      <c r="K339" s="32"/>
      <c r="L339" s="32"/>
      <c r="M339" s="139"/>
      <c r="N339" s="31"/>
      <c r="O339" s="45"/>
      <c r="P339" s="47"/>
      <c r="Q339" s="30"/>
      <c r="R339" s="35"/>
    </row>
    <row r="340" spans="1:18" x14ac:dyDescent="0.2">
      <c r="A340" s="65"/>
      <c r="B340" s="41"/>
      <c r="C340" s="40"/>
      <c r="D340" s="83">
        <v>44729</v>
      </c>
      <c r="E340" s="53" t="s">
        <v>369</v>
      </c>
      <c r="F340" s="52">
        <f>16000+10000+15500</f>
        <v>41500</v>
      </c>
      <c r="G340" s="47"/>
      <c r="H340" s="34"/>
      <c r="I340" s="35"/>
      <c r="J340" s="32"/>
      <c r="K340" s="32"/>
      <c r="L340" s="32"/>
      <c r="M340" s="139"/>
      <c r="N340" s="31"/>
      <c r="O340" s="45"/>
      <c r="P340" s="47"/>
      <c r="Q340" s="30"/>
      <c r="R340" s="35"/>
    </row>
    <row r="341" spans="1:18" x14ac:dyDescent="0.2">
      <c r="A341" s="65"/>
      <c r="B341" s="41"/>
      <c r="C341" s="40"/>
      <c r="D341" s="83">
        <v>44732</v>
      </c>
      <c r="E341" s="53" t="s">
        <v>370</v>
      </c>
      <c r="F341" s="52">
        <v>39000</v>
      </c>
      <c r="G341" s="47"/>
      <c r="H341" s="34"/>
      <c r="I341" s="35"/>
      <c r="J341" s="32"/>
      <c r="K341" s="32"/>
      <c r="L341" s="32"/>
      <c r="M341" s="139"/>
      <c r="N341" s="31"/>
      <c r="O341" s="45"/>
      <c r="P341" s="47"/>
      <c r="Q341" s="30"/>
      <c r="R341" s="35"/>
    </row>
    <row r="342" spans="1:18" x14ac:dyDescent="0.2">
      <c r="A342" s="65"/>
      <c r="B342" s="41"/>
      <c r="C342" s="40"/>
      <c r="D342" s="83">
        <v>44729</v>
      </c>
      <c r="E342" s="53" t="s">
        <v>371</v>
      </c>
      <c r="F342" s="52">
        <v>10000</v>
      </c>
      <c r="G342" s="47"/>
      <c r="H342" s="34"/>
      <c r="I342" s="35"/>
      <c r="J342" s="32"/>
      <c r="K342" s="32"/>
      <c r="L342" s="32"/>
      <c r="M342" s="139"/>
      <c r="N342" s="31"/>
      <c r="O342" s="45"/>
      <c r="P342" s="47"/>
      <c r="Q342" s="30"/>
      <c r="R342" s="35"/>
    </row>
    <row r="343" spans="1:18" x14ac:dyDescent="0.2">
      <c r="A343" s="65"/>
      <c r="B343" s="41"/>
      <c r="C343" s="40"/>
      <c r="D343" s="83">
        <v>44733</v>
      </c>
      <c r="E343" s="53" t="s">
        <v>240</v>
      </c>
      <c r="F343" s="52">
        <v>5000</v>
      </c>
      <c r="G343" s="47"/>
      <c r="H343" s="34"/>
      <c r="I343" s="35"/>
      <c r="J343" s="32"/>
      <c r="K343" s="32"/>
      <c r="L343" s="32"/>
      <c r="M343" s="139"/>
      <c r="N343" s="31"/>
      <c r="O343" s="45"/>
      <c r="P343" s="47"/>
      <c r="Q343" s="30"/>
      <c r="R343" s="35"/>
    </row>
    <row r="344" spans="1:18" x14ac:dyDescent="0.2">
      <c r="A344" s="65"/>
      <c r="B344" s="41"/>
      <c r="C344" s="40"/>
      <c r="D344" s="83">
        <v>44734</v>
      </c>
      <c r="E344" s="53" t="s">
        <v>154</v>
      </c>
      <c r="F344" s="52">
        <v>13500</v>
      </c>
      <c r="G344" s="47"/>
      <c r="H344" s="34"/>
      <c r="I344" s="35"/>
      <c r="J344" s="32"/>
      <c r="K344" s="32"/>
      <c r="L344" s="32"/>
      <c r="M344" s="139"/>
      <c r="N344" s="31"/>
      <c r="O344" s="45"/>
      <c r="P344" s="47"/>
      <c r="Q344" s="30"/>
      <c r="R344" s="35"/>
    </row>
    <row r="345" spans="1:18" x14ac:dyDescent="0.2">
      <c r="A345" s="65"/>
      <c r="B345" s="41"/>
      <c r="C345" s="40"/>
      <c r="D345" s="83">
        <v>44735</v>
      </c>
      <c r="E345" s="53" t="s">
        <v>372</v>
      </c>
      <c r="F345" s="52">
        <v>56000</v>
      </c>
      <c r="G345" s="47"/>
      <c r="H345" s="34"/>
      <c r="I345" s="35"/>
      <c r="J345" s="32"/>
      <c r="K345" s="32"/>
      <c r="L345" s="32"/>
      <c r="M345" s="139"/>
      <c r="N345" s="31"/>
      <c r="O345" s="45"/>
      <c r="P345" s="47"/>
      <c r="Q345" s="30"/>
      <c r="R345" s="35"/>
    </row>
    <row r="346" spans="1:18" ht="15" x14ac:dyDescent="0.25">
      <c r="A346" s="65"/>
      <c r="B346" s="41"/>
      <c r="C346" s="40"/>
      <c r="D346" s="83">
        <v>44736</v>
      </c>
      <c r="E346" s="53" t="s">
        <v>373</v>
      </c>
      <c r="F346" s="232">
        <f>12500+15000</f>
        <v>27500</v>
      </c>
      <c r="G346" s="47"/>
      <c r="H346" s="34"/>
      <c r="I346" s="35"/>
      <c r="J346" s="32"/>
      <c r="K346" s="32"/>
      <c r="L346" s="32"/>
      <c r="M346" s="139"/>
      <c r="N346" s="31"/>
      <c r="O346" s="45"/>
      <c r="P346" s="47"/>
      <c r="Q346" s="30"/>
      <c r="R346" s="35"/>
    </row>
    <row r="347" spans="1:18" x14ac:dyDescent="0.2">
      <c r="A347" s="65"/>
      <c r="B347" s="41"/>
      <c r="C347" s="40"/>
      <c r="D347" s="83">
        <v>44738</v>
      </c>
      <c r="E347" s="53" t="s">
        <v>374</v>
      </c>
      <c r="F347" s="52">
        <f>39000+19000</f>
        <v>58000</v>
      </c>
      <c r="G347" s="47"/>
      <c r="H347" s="34"/>
      <c r="I347" s="35"/>
      <c r="J347" s="32"/>
      <c r="K347" s="32"/>
      <c r="L347" s="32"/>
      <c r="M347" s="139"/>
      <c r="N347" s="31"/>
      <c r="O347" s="45"/>
      <c r="P347" s="47"/>
      <c r="Q347" s="30"/>
      <c r="R347" s="35"/>
    </row>
    <row r="348" spans="1:18" x14ac:dyDescent="0.2">
      <c r="A348" s="65"/>
      <c r="B348" s="41"/>
      <c r="C348" s="40"/>
      <c r="D348" s="83">
        <v>44739</v>
      </c>
      <c r="E348" s="53" t="s">
        <v>85</v>
      </c>
      <c r="F348" s="52">
        <v>5000</v>
      </c>
      <c r="G348" s="47"/>
      <c r="H348" s="34"/>
      <c r="I348" s="35"/>
      <c r="J348" s="32"/>
      <c r="K348" s="32"/>
      <c r="L348" s="32"/>
      <c r="M348" s="139"/>
      <c r="N348" s="31"/>
      <c r="O348" s="45"/>
      <c r="P348" s="47"/>
      <c r="Q348" s="30"/>
      <c r="R348" s="35"/>
    </row>
    <row r="349" spans="1:18" x14ac:dyDescent="0.2">
      <c r="A349" s="65"/>
      <c r="B349" s="41"/>
      <c r="C349" s="40"/>
      <c r="D349" s="83">
        <v>44739</v>
      </c>
      <c r="E349" s="53" t="s">
        <v>375</v>
      </c>
      <c r="F349" s="52">
        <v>22000</v>
      </c>
      <c r="G349" s="47"/>
      <c r="H349" s="34"/>
      <c r="I349" s="35"/>
      <c r="J349" s="32"/>
      <c r="K349" s="32"/>
      <c r="L349" s="32"/>
      <c r="M349" s="139"/>
      <c r="N349" s="31"/>
      <c r="O349" s="45"/>
      <c r="P349" s="47"/>
      <c r="Q349" s="30"/>
      <c r="R349" s="35"/>
    </row>
    <row r="350" spans="1:18" x14ac:dyDescent="0.2">
      <c r="A350" s="65"/>
      <c r="B350" s="41"/>
      <c r="C350" s="40"/>
      <c r="D350" s="83">
        <v>44739</v>
      </c>
      <c r="E350" s="53" t="s">
        <v>78</v>
      </c>
      <c r="F350" s="52">
        <v>16000</v>
      </c>
      <c r="G350" s="47"/>
      <c r="H350" s="34"/>
      <c r="I350" s="35"/>
      <c r="J350" s="32"/>
      <c r="K350" s="32"/>
      <c r="L350" s="32"/>
      <c r="M350" s="139"/>
      <c r="N350" s="31"/>
      <c r="O350" s="45"/>
      <c r="P350" s="47"/>
      <c r="Q350" s="30"/>
      <c r="R350" s="35"/>
    </row>
    <row r="351" spans="1:18" x14ac:dyDescent="0.2">
      <c r="A351" s="65"/>
      <c r="B351" s="41"/>
      <c r="C351" s="40"/>
      <c r="D351" s="83"/>
      <c r="E351" s="53"/>
      <c r="F351" s="52"/>
      <c r="G351" s="47"/>
      <c r="H351" s="34"/>
      <c r="I351" s="35"/>
      <c r="J351" s="32"/>
      <c r="K351" s="32"/>
      <c r="L351" s="32"/>
      <c r="M351" s="139"/>
      <c r="N351" s="31"/>
      <c r="O351" s="45"/>
      <c r="P351" s="47"/>
      <c r="Q351" s="30"/>
      <c r="R351" s="35"/>
    </row>
    <row r="352" spans="1:18" x14ac:dyDescent="0.2">
      <c r="A352" s="65"/>
      <c r="B352" s="41"/>
      <c r="C352" s="40"/>
      <c r="D352" s="83"/>
      <c r="E352" s="53"/>
      <c r="F352" s="52"/>
      <c r="G352" s="47"/>
      <c r="H352" s="34"/>
      <c r="I352" s="35"/>
      <c r="J352" s="32"/>
      <c r="K352" s="32"/>
      <c r="L352" s="32"/>
      <c r="M352" s="139"/>
      <c r="N352" s="31"/>
      <c r="O352" s="45"/>
      <c r="P352" s="47"/>
      <c r="Q352" s="30"/>
      <c r="R352" s="35"/>
    </row>
    <row r="353" spans="1:18" x14ac:dyDescent="0.2">
      <c r="A353" s="65"/>
      <c r="B353" s="41"/>
      <c r="C353" s="40"/>
      <c r="D353" s="83"/>
      <c r="E353" s="53"/>
      <c r="F353" s="52"/>
      <c r="G353" s="47"/>
      <c r="H353" s="34"/>
      <c r="I353" s="35"/>
      <c r="J353" s="32"/>
      <c r="K353" s="32"/>
      <c r="L353" s="32"/>
      <c r="M353" s="139"/>
      <c r="N353" s="31"/>
      <c r="O353" s="45"/>
      <c r="P353" s="47"/>
      <c r="Q353" s="30"/>
      <c r="R353" s="35"/>
    </row>
    <row r="354" spans="1:18" x14ac:dyDescent="0.2">
      <c r="A354" s="65"/>
      <c r="B354" s="41"/>
      <c r="C354" s="40"/>
      <c r="D354" s="83"/>
      <c r="E354" s="53"/>
      <c r="F354" s="52"/>
      <c r="G354" s="47"/>
      <c r="H354" s="34"/>
      <c r="I354" s="35"/>
      <c r="J354" s="32"/>
      <c r="K354" s="32"/>
      <c r="L354" s="32"/>
      <c r="M354" s="139"/>
      <c r="N354" s="31"/>
      <c r="O354" s="45"/>
      <c r="P354" s="47"/>
      <c r="Q354" s="30"/>
      <c r="R354" s="35"/>
    </row>
    <row r="355" spans="1:18" x14ac:dyDescent="0.2">
      <c r="A355" s="65"/>
      <c r="B355" s="41"/>
      <c r="C355" s="40"/>
      <c r="D355" s="83"/>
      <c r="E355" s="53"/>
      <c r="F355" s="52"/>
      <c r="G355" s="47"/>
      <c r="H355" s="34"/>
      <c r="I355" s="35"/>
      <c r="J355" s="32"/>
      <c r="K355" s="32"/>
      <c r="L355" s="32"/>
      <c r="M355" s="139"/>
      <c r="N355" s="31"/>
      <c r="O355" s="45"/>
      <c r="P355" s="47"/>
      <c r="Q355" s="30"/>
      <c r="R355" s="35"/>
    </row>
    <row r="356" spans="1:18" x14ac:dyDescent="0.2">
      <c r="A356" s="65"/>
      <c r="B356" s="41"/>
      <c r="C356" s="40"/>
      <c r="D356" s="83"/>
      <c r="E356" s="53"/>
      <c r="F356" s="52"/>
      <c r="G356" s="47"/>
      <c r="H356" s="34"/>
      <c r="I356" s="35"/>
      <c r="J356" s="32"/>
      <c r="K356" s="32"/>
      <c r="L356" s="32"/>
      <c r="M356" s="139"/>
      <c r="N356" s="31"/>
      <c r="O356" s="45"/>
      <c r="P356" s="47"/>
      <c r="Q356" s="30"/>
      <c r="R356" s="35"/>
    </row>
    <row r="357" spans="1:18" s="4" customFormat="1" x14ac:dyDescent="0.2">
      <c r="A357" s="306" t="s">
        <v>93</v>
      </c>
      <c r="B357" s="307"/>
      <c r="C357" s="208">
        <f>SUM(C307:C356)</f>
        <v>3693400</v>
      </c>
      <c r="D357" s="308" t="s">
        <v>94</v>
      </c>
      <c r="E357" s="309"/>
      <c r="F357" s="209">
        <f>SUM(F307:F356)</f>
        <v>899500</v>
      </c>
      <c r="G357" s="310" t="s">
        <v>95</v>
      </c>
      <c r="H357" s="311"/>
      <c r="I357" s="210">
        <f>SUM(I307:I356)</f>
        <v>181000</v>
      </c>
      <c r="J357" s="312" t="s">
        <v>96</v>
      </c>
      <c r="K357" s="313"/>
      <c r="L357" s="220">
        <f>SUM(L307:L356)</f>
        <v>105000</v>
      </c>
      <c r="M357" s="314" t="s">
        <v>97</v>
      </c>
      <c r="N357" s="315"/>
      <c r="O357" s="211">
        <f>SUM(O307:O356)</f>
        <v>145000</v>
      </c>
      <c r="P357" s="310" t="s">
        <v>98</v>
      </c>
      <c r="Q357" s="311"/>
      <c r="R357" s="210">
        <f>SUM(R307:R356)</f>
        <v>472487</v>
      </c>
    </row>
    <row r="358" spans="1:18" x14ac:dyDescent="0.2">
      <c r="B358" s="1"/>
    </row>
    <row r="359" spans="1:18" x14ac:dyDescent="0.2">
      <c r="C359" s="1"/>
    </row>
    <row r="360" spans="1:18" x14ac:dyDescent="0.2">
      <c r="A360" t="s">
        <v>99</v>
      </c>
      <c r="B360" t="s">
        <v>100</v>
      </c>
      <c r="C360" s="1">
        <v>4293000</v>
      </c>
      <c r="E360" t="s">
        <v>376</v>
      </c>
    </row>
    <row r="361" spans="1:18" x14ac:dyDescent="0.2">
      <c r="B361" t="s">
        <v>101</v>
      </c>
      <c r="C361" s="1">
        <v>500000</v>
      </c>
    </row>
    <row r="362" spans="1:18" x14ac:dyDescent="0.2">
      <c r="B362" t="s">
        <v>377</v>
      </c>
      <c r="C362" s="1">
        <v>45000</v>
      </c>
    </row>
    <row r="363" spans="1:18" x14ac:dyDescent="0.2">
      <c r="C363" s="1"/>
      <c r="E363" t="s">
        <v>378</v>
      </c>
    </row>
    <row r="364" spans="1:18" x14ac:dyDescent="0.2">
      <c r="A364" t="s">
        <v>173</v>
      </c>
      <c r="B364" s="203" t="str">
        <f>A357</f>
        <v>Pengeluaran Kewajiban</v>
      </c>
      <c r="C364" s="1">
        <f>C357</f>
        <v>3693400</v>
      </c>
      <c r="D364" s="1"/>
    </row>
    <row r="365" spans="1:18" x14ac:dyDescent="0.2">
      <c r="B365" s="203" t="str">
        <f>D357</f>
        <v>Pengeluaran Makan</v>
      </c>
      <c r="C365" s="1">
        <f>F357</f>
        <v>899500</v>
      </c>
      <c r="D365" s="1"/>
    </row>
    <row r="366" spans="1:18" x14ac:dyDescent="0.2">
      <c r="B366" s="203" t="str">
        <f>G357</f>
        <v>Pengeluaran Sosial</v>
      </c>
      <c r="C366" s="1">
        <f>I357</f>
        <v>181000</v>
      </c>
      <c r="D366" s="1"/>
    </row>
    <row r="367" spans="1:18" x14ac:dyDescent="0.2">
      <c r="B367" t="str">
        <f>J357</f>
        <v>Pengeluaran Sedekah</v>
      </c>
      <c r="C367" s="1">
        <f>L357</f>
        <v>105000</v>
      </c>
      <c r="D367" s="1"/>
    </row>
    <row r="368" spans="1:18" x14ac:dyDescent="0.2">
      <c r="B368" s="203" t="str">
        <f>M357</f>
        <v>Pengeluaran Transport</v>
      </c>
      <c r="C368" s="1">
        <f>O357</f>
        <v>145000</v>
      </c>
      <c r="D368" s="1"/>
    </row>
    <row r="369" spans="1:18" x14ac:dyDescent="0.2">
      <c r="B369" s="203" t="str">
        <f>P357</f>
        <v>Pengeluaran Sekunder</v>
      </c>
      <c r="C369" s="102">
        <f>R357</f>
        <v>472487</v>
      </c>
      <c r="D369" s="1"/>
    </row>
    <row r="370" spans="1:18" x14ac:dyDescent="0.2">
      <c r="C370" s="1">
        <f>C360-C364-C365-C366-C367-C368-C369+C361+48000</f>
        <v>-655387</v>
      </c>
    </row>
    <row r="372" spans="1:18" x14ac:dyDescent="0.2">
      <c r="B372" s="1"/>
    </row>
    <row r="373" spans="1:18" x14ac:dyDescent="0.2">
      <c r="B373" s="1"/>
      <c r="C373" s="1"/>
    </row>
    <row r="374" spans="1:18" x14ac:dyDescent="0.2">
      <c r="A374" s="294" t="s">
        <v>379</v>
      </c>
      <c r="B374" s="294"/>
      <c r="C374" s="294"/>
      <c r="D374" s="294"/>
      <c r="E374" s="294"/>
      <c r="F374" s="294"/>
      <c r="G374" s="294"/>
      <c r="H374" s="294"/>
      <c r="I374" s="294"/>
      <c r="J374" s="294"/>
      <c r="K374" s="294"/>
      <c r="L374" s="294"/>
      <c r="M374" s="294"/>
      <c r="N374" s="294"/>
      <c r="O374" s="294"/>
      <c r="P374" s="294"/>
      <c r="Q374" s="294"/>
      <c r="R374" s="294"/>
    </row>
    <row r="375" spans="1:18" x14ac:dyDescent="0.2">
      <c r="A375" s="294"/>
      <c r="B375" s="294"/>
      <c r="C375" s="294"/>
      <c r="D375" s="294"/>
      <c r="E375" s="294"/>
      <c r="F375" s="294"/>
      <c r="G375" s="294"/>
      <c r="H375" s="294"/>
      <c r="I375" s="294"/>
      <c r="J375" s="294"/>
      <c r="K375" s="294"/>
      <c r="L375" s="294"/>
      <c r="M375" s="294"/>
      <c r="N375" s="294"/>
      <c r="O375" s="294"/>
      <c r="P375" s="294"/>
      <c r="Q375" s="294"/>
      <c r="R375" s="294"/>
    </row>
    <row r="376" spans="1:18" x14ac:dyDescent="0.2">
      <c r="A376" s="59" t="s">
        <v>1</v>
      </c>
      <c r="B376" s="59" t="s">
        <v>2</v>
      </c>
      <c r="C376" s="59" t="s">
        <v>380</v>
      </c>
      <c r="D376" s="58" t="s">
        <v>1</v>
      </c>
      <c r="E376" s="58" t="s">
        <v>4</v>
      </c>
      <c r="F376" s="58" t="s">
        <v>380</v>
      </c>
      <c r="G376" s="55" t="s">
        <v>1</v>
      </c>
      <c r="H376" s="55" t="s">
        <v>5</v>
      </c>
      <c r="I376" s="55" t="s">
        <v>381</v>
      </c>
      <c r="J376" s="57" t="s">
        <v>1</v>
      </c>
      <c r="K376" s="57" t="s">
        <v>6</v>
      </c>
      <c r="L376" s="57" t="s">
        <v>382</v>
      </c>
      <c r="M376" s="56" t="s">
        <v>1</v>
      </c>
      <c r="N376" s="56" t="s">
        <v>7</v>
      </c>
      <c r="O376" s="56" t="s">
        <v>383</v>
      </c>
      <c r="P376" s="55" t="s">
        <v>1</v>
      </c>
      <c r="Q376" s="55" t="s">
        <v>8</v>
      </c>
      <c r="R376" s="55" t="s">
        <v>384</v>
      </c>
    </row>
    <row r="377" spans="1:18" x14ac:dyDescent="0.2">
      <c r="A377" s="65">
        <v>44740</v>
      </c>
      <c r="B377" s="41" t="s">
        <v>185</v>
      </c>
      <c r="C377" s="40">
        <v>500000</v>
      </c>
      <c r="D377" s="83">
        <v>44740</v>
      </c>
      <c r="E377" s="53" t="s">
        <v>385</v>
      </c>
      <c r="F377" s="52">
        <v>21000</v>
      </c>
      <c r="G377" s="47">
        <v>44741</v>
      </c>
      <c r="H377" s="34" t="s">
        <v>386</v>
      </c>
      <c r="I377" s="35">
        <v>30000</v>
      </c>
      <c r="J377" s="51">
        <v>44746</v>
      </c>
      <c r="K377" s="32" t="s">
        <v>309</v>
      </c>
      <c r="L377" s="140">
        <v>100000</v>
      </c>
      <c r="M377" s="139">
        <v>44740</v>
      </c>
      <c r="N377" s="233" t="s">
        <v>13</v>
      </c>
      <c r="O377" s="45">
        <v>20000</v>
      </c>
      <c r="P377" s="47">
        <v>44742</v>
      </c>
      <c r="Q377" s="11" t="s">
        <v>387</v>
      </c>
      <c r="R377" s="35">
        <v>220800</v>
      </c>
    </row>
    <row r="378" spans="1:18" x14ac:dyDescent="0.2">
      <c r="A378" s="65">
        <v>44740</v>
      </c>
      <c r="B378" s="41" t="s">
        <v>181</v>
      </c>
      <c r="C378" s="40">
        <v>150000</v>
      </c>
      <c r="D378" s="83">
        <v>44740</v>
      </c>
      <c r="E378" s="53" t="s">
        <v>388</v>
      </c>
      <c r="F378" s="52">
        <v>54000</v>
      </c>
      <c r="G378" s="47">
        <v>44746</v>
      </c>
      <c r="H378" s="34" t="s">
        <v>389</v>
      </c>
      <c r="I378" s="35">
        <v>100000</v>
      </c>
      <c r="J378" s="51">
        <v>44744</v>
      </c>
      <c r="K378" s="32" t="s">
        <v>6</v>
      </c>
      <c r="L378" s="140">
        <v>20000</v>
      </c>
      <c r="M378" s="139">
        <v>44744</v>
      </c>
      <c r="N378" s="46" t="s">
        <v>390</v>
      </c>
      <c r="O378" s="45">
        <v>2000</v>
      </c>
      <c r="P378" s="47">
        <v>44743</v>
      </c>
      <c r="Q378" s="11" t="s">
        <v>391</v>
      </c>
      <c r="R378" s="35">
        <v>40000</v>
      </c>
    </row>
    <row r="379" spans="1:18" x14ac:dyDescent="0.2">
      <c r="A379" s="65">
        <v>44740</v>
      </c>
      <c r="B379" s="41" t="s">
        <v>313</v>
      </c>
      <c r="C379" s="40">
        <v>300000</v>
      </c>
      <c r="D379" s="83">
        <v>44741</v>
      </c>
      <c r="E379" s="53" t="s">
        <v>392</v>
      </c>
      <c r="F379" s="52">
        <f>10000+5000+19000+15500</f>
        <v>49500</v>
      </c>
      <c r="G379" s="47">
        <v>44746</v>
      </c>
      <c r="H379" s="34" t="s">
        <v>393</v>
      </c>
      <c r="I379" s="35">
        <v>20000</v>
      </c>
      <c r="J379" s="32"/>
      <c r="K379" s="32"/>
      <c r="L379" s="32"/>
      <c r="M379" s="139">
        <v>44745</v>
      </c>
      <c r="N379" s="46" t="s">
        <v>394</v>
      </c>
      <c r="O379" s="45">
        <v>2000</v>
      </c>
      <c r="P379" s="47">
        <v>44746</v>
      </c>
      <c r="Q379" s="11" t="s">
        <v>395</v>
      </c>
      <c r="R379" s="35">
        <v>100000</v>
      </c>
    </row>
    <row r="380" spans="1:18" x14ac:dyDescent="0.2">
      <c r="A380" s="65">
        <v>44740</v>
      </c>
      <c r="B380" s="41" t="s">
        <v>318</v>
      </c>
      <c r="C380" s="40">
        <v>500000</v>
      </c>
      <c r="D380" s="83">
        <v>44741</v>
      </c>
      <c r="E380" s="53" t="s">
        <v>396</v>
      </c>
      <c r="F380" s="52">
        <v>50000</v>
      </c>
      <c r="G380" s="47">
        <v>44747</v>
      </c>
      <c r="H380" s="34" t="s">
        <v>397</v>
      </c>
      <c r="I380" s="35">
        <v>56000</v>
      </c>
      <c r="J380" s="32"/>
      <c r="K380" s="32"/>
      <c r="L380" s="32"/>
      <c r="M380" s="139">
        <v>44746</v>
      </c>
      <c r="N380" s="46" t="s">
        <v>13</v>
      </c>
      <c r="O380" s="45">
        <v>20000</v>
      </c>
      <c r="P380" s="47">
        <v>44746</v>
      </c>
      <c r="Q380" s="11" t="s">
        <v>398</v>
      </c>
      <c r="R380" s="35">
        <v>185000</v>
      </c>
    </row>
    <row r="381" spans="1:18" x14ac:dyDescent="0.2">
      <c r="A381" s="65">
        <v>44740</v>
      </c>
      <c r="B381" s="41" t="s">
        <v>323</v>
      </c>
      <c r="C381" s="40">
        <v>500000</v>
      </c>
      <c r="D381" s="83">
        <v>44742</v>
      </c>
      <c r="E381" s="53" t="s">
        <v>399</v>
      </c>
      <c r="F381" s="52">
        <v>23000</v>
      </c>
      <c r="G381" s="47">
        <v>44753</v>
      </c>
      <c r="H381" s="34" t="s">
        <v>400</v>
      </c>
      <c r="I381" s="35">
        <v>200000</v>
      </c>
      <c r="J381" s="32"/>
      <c r="K381" s="32"/>
      <c r="L381" s="32"/>
      <c r="M381" s="139">
        <v>44750</v>
      </c>
      <c r="N381" s="46" t="s">
        <v>401</v>
      </c>
      <c r="O381" s="45">
        <v>20000</v>
      </c>
      <c r="P381" s="47">
        <v>44748</v>
      </c>
      <c r="Q381" s="11" t="s">
        <v>402</v>
      </c>
      <c r="R381" s="35">
        <v>26000</v>
      </c>
    </row>
    <row r="382" spans="1:18" x14ac:dyDescent="0.2">
      <c r="A382" s="65">
        <v>44740</v>
      </c>
      <c r="B382" s="41" t="s">
        <v>328</v>
      </c>
      <c r="C382" s="40">
        <v>200000</v>
      </c>
      <c r="D382" s="214">
        <v>44743</v>
      </c>
      <c r="E382" s="69" t="s">
        <v>403</v>
      </c>
      <c r="F382" s="215">
        <v>11000</v>
      </c>
      <c r="G382" s="47">
        <v>44756</v>
      </c>
      <c r="H382" s="34" t="s">
        <v>404</v>
      </c>
      <c r="I382" s="35">
        <f>46000+2000</f>
        <v>48000</v>
      </c>
      <c r="J382" s="32"/>
      <c r="K382" s="32"/>
      <c r="L382" s="32"/>
      <c r="M382" s="139">
        <v>44753</v>
      </c>
      <c r="N382" s="46" t="s">
        <v>405</v>
      </c>
      <c r="O382" s="45">
        <f>23000+10000</f>
        <v>33000</v>
      </c>
      <c r="P382" s="47">
        <v>44749</v>
      </c>
      <c r="Q382" s="11" t="s">
        <v>406</v>
      </c>
      <c r="R382" s="35">
        <v>5600</v>
      </c>
    </row>
    <row r="383" spans="1:18" x14ac:dyDescent="0.2">
      <c r="A383" s="65">
        <v>44740</v>
      </c>
      <c r="B383" s="41" t="s">
        <v>331</v>
      </c>
      <c r="C383" s="212">
        <v>100000</v>
      </c>
      <c r="D383" s="168">
        <v>44743</v>
      </c>
      <c r="E383" s="161" t="s">
        <v>407</v>
      </c>
      <c r="F383" s="167">
        <f>42000+5000</f>
        <v>47000</v>
      </c>
      <c r="G383" s="213">
        <v>44761</v>
      </c>
      <c r="H383" s="34" t="s">
        <v>408</v>
      </c>
      <c r="I383" s="35">
        <v>300000</v>
      </c>
      <c r="J383" s="32"/>
      <c r="K383" s="32"/>
      <c r="L383" s="32"/>
      <c r="M383" s="139">
        <v>44756</v>
      </c>
      <c r="N383" s="46" t="s">
        <v>401</v>
      </c>
      <c r="O383" s="45">
        <v>18000</v>
      </c>
      <c r="P383" s="47">
        <v>44749</v>
      </c>
      <c r="Q383" s="223" t="s">
        <v>409</v>
      </c>
      <c r="R383" s="224">
        <v>6000</v>
      </c>
    </row>
    <row r="384" spans="1:18" x14ac:dyDescent="0.2">
      <c r="A384" s="65">
        <v>44740</v>
      </c>
      <c r="B384" s="41" t="s">
        <v>335</v>
      </c>
      <c r="C384" s="40">
        <v>25000</v>
      </c>
      <c r="D384" s="216">
        <v>44743</v>
      </c>
      <c r="E384" s="217" t="s">
        <v>410</v>
      </c>
      <c r="F384" s="158">
        <v>5000</v>
      </c>
      <c r="G384" s="47">
        <v>44766</v>
      </c>
      <c r="H384" s="34" t="s">
        <v>411</v>
      </c>
      <c r="I384" s="35">
        <v>17000</v>
      </c>
      <c r="J384" s="32"/>
      <c r="K384" s="32"/>
      <c r="L384" s="32"/>
      <c r="M384" s="139">
        <v>44764</v>
      </c>
      <c r="N384" s="46" t="s">
        <v>412</v>
      </c>
      <c r="O384" s="45">
        <v>22000</v>
      </c>
      <c r="P384" s="47">
        <v>44758</v>
      </c>
      <c r="Q384" s="34" t="s">
        <v>413</v>
      </c>
      <c r="R384" s="35">
        <v>105000</v>
      </c>
    </row>
    <row r="385" spans="1:18" x14ac:dyDescent="0.2">
      <c r="A385" s="65">
        <v>44740</v>
      </c>
      <c r="B385" s="41" t="s">
        <v>41</v>
      </c>
      <c r="C385" s="40">
        <v>15000</v>
      </c>
      <c r="D385" s="83">
        <v>44744</v>
      </c>
      <c r="E385" s="74" t="s">
        <v>414</v>
      </c>
      <c r="F385" s="52">
        <v>15000</v>
      </c>
      <c r="G385" s="47">
        <v>44767</v>
      </c>
      <c r="H385" s="34" t="s">
        <v>415</v>
      </c>
      <c r="I385" s="35">
        <v>15000</v>
      </c>
      <c r="J385" s="32"/>
      <c r="K385" s="32"/>
      <c r="L385" s="32"/>
      <c r="M385" s="139"/>
      <c r="N385" s="31"/>
      <c r="O385" s="45"/>
      <c r="P385" s="47">
        <v>44767</v>
      </c>
      <c r="Q385" s="34" t="s">
        <v>416</v>
      </c>
      <c r="R385" s="35">
        <v>13000</v>
      </c>
    </row>
    <row r="386" spans="1:18" x14ac:dyDescent="0.2">
      <c r="A386" s="65">
        <v>44740</v>
      </c>
      <c r="B386" s="21" t="s">
        <v>417</v>
      </c>
      <c r="C386" s="40">
        <v>655387</v>
      </c>
      <c r="D386" s="83">
        <v>44744</v>
      </c>
      <c r="E386" s="69" t="s">
        <v>418</v>
      </c>
      <c r="F386" s="52">
        <v>25000</v>
      </c>
      <c r="G386" s="47">
        <v>44767</v>
      </c>
      <c r="H386" s="34" t="s">
        <v>419</v>
      </c>
      <c r="I386" s="35">
        <v>35000</v>
      </c>
      <c r="J386" s="32"/>
      <c r="K386" s="32"/>
      <c r="L386" s="32"/>
      <c r="M386" s="139"/>
      <c r="N386" s="31"/>
      <c r="O386" s="45"/>
      <c r="P386" s="47">
        <v>44767</v>
      </c>
      <c r="Q386" s="34" t="s">
        <v>420</v>
      </c>
      <c r="R386" s="35">
        <v>15000</v>
      </c>
    </row>
    <row r="387" spans="1:18" x14ac:dyDescent="0.2">
      <c r="A387" s="227"/>
      <c r="B387" s="144"/>
      <c r="C387" s="228"/>
      <c r="D387" s="157">
        <v>44745</v>
      </c>
      <c r="E387" s="161" t="s">
        <v>421</v>
      </c>
      <c r="F387" s="158">
        <f>16000+5000</f>
        <v>21000</v>
      </c>
      <c r="G387" s="47"/>
      <c r="H387" s="34"/>
      <c r="I387" s="35"/>
      <c r="J387" s="32"/>
      <c r="K387" s="32"/>
      <c r="L387" s="32"/>
      <c r="M387" s="139"/>
      <c r="N387" s="31"/>
      <c r="O387" s="45"/>
      <c r="P387" s="47"/>
      <c r="Q387" s="30"/>
      <c r="R387" s="35"/>
    </row>
    <row r="388" spans="1:18" x14ac:dyDescent="0.2">
      <c r="A388" s="65"/>
      <c r="B388" s="41"/>
      <c r="C388" s="40"/>
      <c r="D388" s="83">
        <v>44746</v>
      </c>
      <c r="E388" s="74" t="s">
        <v>422</v>
      </c>
      <c r="F388" s="52">
        <v>17000</v>
      </c>
      <c r="G388" s="47"/>
      <c r="H388" s="34"/>
      <c r="I388" s="35"/>
      <c r="J388" s="32"/>
      <c r="K388" s="32"/>
      <c r="L388" s="32"/>
      <c r="M388" s="139"/>
      <c r="N388" s="31"/>
      <c r="O388" s="45"/>
      <c r="P388" s="47"/>
      <c r="Q388" s="30"/>
      <c r="R388" s="35"/>
    </row>
    <row r="389" spans="1:18" x14ac:dyDescent="0.2">
      <c r="A389" s="65"/>
      <c r="B389" s="41"/>
      <c r="C389" s="40"/>
      <c r="D389" s="83">
        <v>44744</v>
      </c>
      <c r="E389" s="53" t="s">
        <v>423</v>
      </c>
      <c r="F389" s="52">
        <v>9000</v>
      </c>
      <c r="G389" s="47"/>
      <c r="H389" s="34"/>
      <c r="I389" s="35"/>
      <c r="J389" s="32"/>
      <c r="K389" s="32"/>
      <c r="L389" s="32"/>
      <c r="M389" s="139"/>
      <c r="N389" s="31"/>
      <c r="O389" s="45"/>
      <c r="P389" s="47"/>
      <c r="Q389" s="30"/>
      <c r="R389" s="35"/>
    </row>
    <row r="390" spans="1:18" x14ac:dyDescent="0.2">
      <c r="A390" s="65"/>
      <c r="B390" s="41"/>
      <c r="C390" s="40"/>
      <c r="D390" s="83">
        <v>44747</v>
      </c>
      <c r="E390" s="53" t="s">
        <v>424</v>
      </c>
      <c r="F390" s="52">
        <v>17000</v>
      </c>
      <c r="G390" s="47"/>
      <c r="H390" s="34"/>
      <c r="I390" s="35"/>
      <c r="J390" s="32"/>
      <c r="K390" s="32"/>
      <c r="L390" s="32"/>
      <c r="M390" s="139"/>
      <c r="N390" s="31"/>
      <c r="O390" s="45"/>
      <c r="P390" s="47"/>
      <c r="Q390" s="30"/>
      <c r="R390" s="35"/>
    </row>
    <row r="391" spans="1:18" x14ac:dyDescent="0.2">
      <c r="A391" s="65"/>
      <c r="B391" s="41"/>
      <c r="C391" s="40"/>
      <c r="D391" s="83">
        <v>44747</v>
      </c>
      <c r="E391" s="53" t="s">
        <v>222</v>
      </c>
      <c r="F391" s="52">
        <v>10000</v>
      </c>
      <c r="G391" s="47"/>
      <c r="H391" s="34"/>
      <c r="I391" s="35"/>
      <c r="J391" s="32"/>
      <c r="K391" s="32"/>
      <c r="L391" s="32"/>
      <c r="M391" s="139"/>
      <c r="N391" s="31"/>
      <c r="O391" s="45"/>
      <c r="P391" s="47"/>
      <c r="Q391" s="30"/>
      <c r="R391" s="35"/>
    </row>
    <row r="392" spans="1:18" x14ac:dyDescent="0.2">
      <c r="A392" s="65"/>
      <c r="B392" s="41"/>
      <c r="C392" s="40"/>
      <c r="D392" s="83">
        <v>44748</v>
      </c>
      <c r="E392" s="53" t="s">
        <v>78</v>
      </c>
      <c r="F392" s="52">
        <v>13000</v>
      </c>
      <c r="G392" s="47"/>
      <c r="H392" s="34"/>
      <c r="I392" s="35"/>
      <c r="J392" s="32"/>
      <c r="K392" s="32"/>
      <c r="L392" s="32"/>
      <c r="M392" s="139"/>
      <c r="N392" s="31"/>
      <c r="O392" s="45"/>
      <c r="P392" s="47"/>
      <c r="Q392" s="30"/>
      <c r="R392" s="35"/>
    </row>
    <row r="393" spans="1:18" x14ac:dyDescent="0.2">
      <c r="A393" s="65"/>
      <c r="B393" s="41"/>
      <c r="C393" s="40"/>
      <c r="D393" s="83">
        <v>44748</v>
      </c>
      <c r="E393" s="53" t="s">
        <v>425</v>
      </c>
      <c r="F393" s="52">
        <v>44000</v>
      </c>
      <c r="G393" s="47"/>
      <c r="H393" s="34"/>
      <c r="I393" s="35"/>
      <c r="J393" s="32"/>
      <c r="K393" s="32"/>
      <c r="L393" s="32"/>
      <c r="M393" s="139"/>
      <c r="N393" s="31"/>
      <c r="O393" s="45"/>
      <c r="P393" s="47"/>
      <c r="Q393" s="30"/>
      <c r="R393" s="35"/>
    </row>
    <row r="394" spans="1:18" x14ac:dyDescent="0.2">
      <c r="A394" s="65"/>
      <c r="B394" s="41"/>
      <c r="C394" s="40"/>
      <c r="D394" s="83">
        <v>44748</v>
      </c>
      <c r="E394" s="53" t="s">
        <v>426</v>
      </c>
      <c r="F394" s="52">
        <v>12000</v>
      </c>
      <c r="G394" s="47"/>
      <c r="H394" s="34"/>
      <c r="I394" s="35"/>
      <c r="J394" s="32"/>
      <c r="K394" s="32"/>
      <c r="L394" s="32"/>
      <c r="M394" s="139"/>
      <c r="N394" s="31"/>
      <c r="O394" s="45"/>
      <c r="P394" s="47"/>
      <c r="Q394" s="30"/>
      <c r="R394" s="35"/>
    </row>
    <row r="395" spans="1:18" x14ac:dyDescent="0.2">
      <c r="A395" s="65"/>
      <c r="B395" s="41"/>
      <c r="C395" s="40"/>
      <c r="D395" s="83">
        <v>44749</v>
      </c>
      <c r="E395" s="53" t="s">
        <v>427</v>
      </c>
      <c r="F395" s="52">
        <v>41000</v>
      </c>
      <c r="G395" s="47"/>
      <c r="H395" s="34"/>
      <c r="I395" s="35"/>
      <c r="J395" s="32"/>
      <c r="K395" s="32"/>
      <c r="L395" s="32"/>
      <c r="M395" s="139"/>
      <c r="N395" s="31"/>
      <c r="O395" s="45"/>
      <c r="P395" s="47"/>
      <c r="Q395" s="30"/>
      <c r="R395" s="35"/>
    </row>
    <row r="396" spans="1:18" x14ac:dyDescent="0.2">
      <c r="A396" s="65"/>
      <c r="B396" s="41"/>
      <c r="C396" s="40"/>
      <c r="D396" s="83">
        <v>44750</v>
      </c>
      <c r="E396" s="53" t="s">
        <v>428</v>
      </c>
      <c r="F396" s="52">
        <v>12500</v>
      </c>
      <c r="G396" s="47"/>
      <c r="H396" s="34"/>
      <c r="I396" s="35"/>
      <c r="J396" s="32"/>
      <c r="K396" s="32"/>
      <c r="L396" s="32"/>
      <c r="M396" s="139"/>
      <c r="N396" s="31"/>
      <c r="O396" s="45"/>
      <c r="P396" s="47"/>
      <c r="Q396" s="30"/>
      <c r="R396" s="35"/>
    </row>
    <row r="397" spans="1:18" x14ac:dyDescent="0.2">
      <c r="A397" s="65"/>
      <c r="B397" s="41"/>
      <c r="C397" s="40"/>
      <c r="D397" s="83">
        <v>44752</v>
      </c>
      <c r="E397" s="53" t="s">
        <v>429</v>
      </c>
      <c r="F397" s="52">
        <v>10000</v>
      </c>
      <c r="G397" s="47"/>
      <c r="H397" s="34"/>
      <c r="I397" s="35"/>
      <c r="J397" s="32"/>
      <c r="K397" s="32"/>
      <c r="L397" s="32"/>
      <c r="M397" s="139"/>
      <c r="N397" s="31"/>
      <c r="O397" s="45"/>
      <c r="P397" s="47"/>
      <c r="Q397" s="30"/>
      <c r="R397" s="35"/>
    </row>
    <row r="398" spans="1:18" x14ac:dyDescent="0.2">
      <c r="A398" s="65"/>
      <c r="B398" s="41"/>
      <c r="C398" s="40"/>
      <c r="D398" s="83">
        <v>44752</v>
      </c>
      <c r="E398" s="53" t="s">
        <v>77</v>
      </c>
      <c r="F398" s="52">
        <v>34500</v>
      </c>
      <c r="G398" s="47"/>
      <c r="H398" s="34"/>
      <c r="I398" s="35"/>
      <c r="J398" s="32"/>
      <c r="K398" s="32"/>
      <c r="L398" s="32"/>
      <c r="M398" s="139"/>
      <c r="N398" s="31"/>
      <c r="O398" s="45"/>
      <c r="P398" s="47"/>
      <c r="Q398" s="30"/>
      <c r="R398" s="35"/>
    </row>
    <row r="399" spans="1:18" x14ac:dyDescent="0.2">
      <c r="A399" s="65"/>
      <c r="B399" s="41"/>
      <c r="C399" s="40"/>
      <c r="D399" s="83">
        <v>44755</v>
      </c>
      <c r="E399" s="53" t="s">
        <v>430</v>
      </c>
      <c r="F399" s="52">
        <v>34500</v>
      </c>
      <c r="G399" s="47"/>
      <c r="H399" s="34"/>
      <c r="I399" s="35"/>
      <c r="J399" s="32"/>
      <c r="K399" s="32"/>
      <c r="L399" s="32"/>
      <c r="M399" s="139"/>
      <c r="N399" s="31"/>
      <c r="O399" s="45"/>
      <c r="P399" s="47"/>
      <c r="Q399" s="30"/>
      <c r="R399" s="35"/>
    </row>
    <row r="400" spans="1:18" x14ac:dyDescent="0.2">
      <c r="A400" s="65"/>
      <c r="B400" s="41"/>
      <c r="C400" s="40"/>
      <c r="D400" s="83">
        <v>44755</v>
      </c>
      <c r="E400" s="53" t="s">
        <v>431</v>
      </c>
      <c r="F400" s="52">
        <f>46000-22500</f>
        <v>23500</v>
      </c>
      <c r="G400" s="47"/>
      <c r="H400" s="34"/>
      <c r="I400" s="35"/>
      <c r="J400" s="32"/>
      <c r="K400" s="32"/>
      <c r="L400" s="32"/>
      <c r="M400" s="139"/>
      <c r="N400" s="31"/>
      <c r="O400" s="45"/>
      <c r="P400" s="47"/>
      <c r="Q400" s="30"/>
      <c r="R400" s="35"/>
    </row>
    <row r="401" spans="1:18" x14ac:dyDescent="0.2">
      <c r="A401" s="65"/>
      <c r="B401" s="41"/>
      <c r="C401" s="40"/>
      <c r="D401" s="83">
        <v>44760</v>
      </c>
      <c r="E401" s="53" t="s">
        <v>432</v>
      </c>
      <c r="F401" s="52">
        <v>24000</v>
      </c>
      <c r="G401" s="47"/>
      <c r="H401" s="34"/>
      <c r="I401" s="35"/>
      <c r="J401" s="32"/>
      <c r="K401" s="32"/>
      <c r="L401" s="32"/>
      <c r="M401" s="139"/>
      <c r="N401" s="31"/>
      <c r="O401" s="45"/>
      <c r="P401" s="47"/>
      <c r="Q401" s="30"/>
      <c r="R401" s="35"/>
    </row>
    <row r="402" spans="1:18" x14ac:dyDescent="0.2">
      <c r="A402" s="65"/>
      <c r="B402" s="41"/>
      <c r="C402" s="40"/>
      <c r="D402" s="83">
        <v>44757</v>
      </c>
      <c r="E402" s="53" t="s">
        <v>433</v>
      </c>
      <c r="F402" s="52">
        <v>9000</v>
      </c>
      <c r="G402" s="47"/>
      <c r="H402" s="34"/>
      <c r="I402" s="35"/>
      <c r="J402" s="32"/>
      <c r="K402" s="32"/>
      <c r="L402" s="32"/>
      <c r="M402" s="139"/>
      <c r="N402" s="31"/>
      <c r="O402" s="45"/>
      <c r="P402" s="47"/>
      <c r="Q402" s="30"/>
      <c r="R402" s="35"/>
    </row>
    <row r="403" spans="1:18" x14ac:dyDescent="0.2">
      <c r="A403" s="65"/>
      <c r="B403" s="41"/>
      <c r="C403" s="40"/>
      <c r="D403" s="83">
        <v>44762</v>
      </c>
      <c r="E403" s="53" t="s">
        <v>434</v>
      </c>
      <c r="F403" s="52">
        <v>18000</v>
      </c>
      <c r="G403" s="47"/>
      <c r="H403" s="34"/>
      <c r="I403" s="35"/>
      <c r="J403" s="32"/>
      <c r="K403" s="32"/>
      <c r="L403" s="32"/>
      <c r="M403" s="139"/>
      <c r="N403" s="31"/>
      <c r="O403" s="45"/>
      <c r="P403" s="47"/>
      <c r="Q403" s="30"/>
      <c r="R403" s="35"/>
    </row>
    <row r="404" spans="1:18" x14ac:dyDescent="0.2">
      <c r="A404" s="65"/>
      <c r="B404" s="41"/>
      <c r="C404" s="40"/>
      <c r="D404" s="83">
        <v>44762</v>
      </c>
      <c r="E404" s="53" t="s">
        <v>435</v>
      </c>
      <c r="F404" s="52">
        <v>12000</v>
      </c>
      <c r="G404" s="47"/>
      <c r="H404" s="34"/>
      <c r="I404" s="35"/>
      <c r="J404" s="32"/>
      <c r="K404" s="32"/>
      <c r="L404" s="32"/>
      <c r="M404" s="139"/>
      <c r="N404" s="31"/>
      <c r="O404" s="45"/>
      <c r="P404" s="47"/>
      <c r="Q404" s="30"/>
      <c r="R404" s="35"/>
    </row>
    <row r="405" spans="1:18" x14ac:dyDescent="0.2">
      <c r="A405" s="65"/>
      <c r="B405" s="41"/>
      <c r="C405" s="40"/>
      <c r="D405" s="83">
        <v>44763</v>
      </c>
      <c r="E405" s="53" t="s">
        <v>436</v>
      </c>
      <c r="F405" s="52">
        <v>78000</v>
      </c>
      <c r="G405" s="47"/>
      <c r="H405" s="34"/>
      <c r="I405" s="35"/>
      <c r="J405" s="32"/>
      <c r="K405" s="32"/>
      <c r="L405" s="32"/>
      <c r="M405" s="139"/>
      <c r="N405" s="31"/>
      <c r="O405" s="45"/>
      <c r="P405" s="47"/>
      <c r="Q405" s="30"/>
      <c r="R405" s="35"/>
    </row>
    <row r="406" spans="1:18" x14ac:dyDescent="0.2">
      <c r="A406" s="65"/>
      <c r="B406" s="41"/>
      <c r="C406" s="40"/>
      <c r="D406" s="214">
        <v>44767</v>
      </c>
      <c r="E406" s="69" t="s">
        <v>437</v>
      </c>
      <c r="F406" s="215">
        <v>24000</v>
      </c>
      <c r="G406" s="47"/>
      <c r="H406" s="34"/>
      <c r="I406" s="35"/>
      <c r="J406" s="32"/>
      <c r="K406" s="32"/>
      <c r="L406" s="32"/>
      <c r="M406" s="139"/>
      <c r="N406" s="31"/>
      <c r="O406" s="45"/>
      <c r="P406" s="47"/>
      <c r="Q406" s="30"/>
      <c r="R406" s="35"/>
    </row>
    <row r="407" spans="1:18" x14ac:dyDescent="0.2">
      <c r="A407" s="65"/>
      <c r="B407" s="41"/>
      <c r="C407" s="212"/>
      <c r="D407" s="168">
        <v>44764</v>
      </c>
      <c r="E407" s="161" t="s">
        <v>438</v>
      </c>
      <c r="F407" s="167">
        <v>21000</v>
      </c>
      <c r="G407" s="213"/>
      <c r="H407" s="34"/>
      <c r="I407" s="35"/>
      <c r="J407" s="32"/>
      <c r="K407" s="32"/>
      <c r="L407" s="32"/>
      <c r="M407" s="139"/>
      <c r="N407" s="31"/>
      <c r="O407" s="45"/>
      <c r="P407" s="47"/>
      <c r="Q407" s="30"/>
      <c r="R407" s="35"/>
    </row>
    <row r="408" spans="1:18" x14ac:dyDescent="0.2">
      <c r="A408" s="65"/>
      <c r="B408" s="41"/>
      <c r="C408" s="40"/>
      <c r="D408" s="229">
        <v>44766</v>
      </c>
      <c r="E408" s="74" t="s">
        <v>439</v>
      </c>
      <c r="F408" s="230">
        <v>30000</v>
      </c>
      <c r="G408" s="47"/>
      <c r="H408" s="34"/>
      <c r="I408" s="35"/>
      <c r="J408" s="32"/>
      <c r="K408" s="32"/>
      <c r="L408" s="32"/>
      <c r="M408" s="139"/>
      <c r="N408" s="31"/>
      <c r="O408" s="45"/>
      <c r="P408" s="47"/>
      <c r="Q408" s="30"/>
      <c r="R408" s="35"/>
    </row>
    <row r="409" spans="1:18" x14ac:dyDescent="0.2">
      <c r="A409" s="65"/>
      <c r="B409" s="41"/>
      <c r="C409" s="40"/>
      <c r="D409" s="83">
        <v>44767</v>
      </c>
      <c r="E409" s="53" t="s">
        <v>440</v>
      </c>
      <c r="F409" s="52">
        <v>12000</v>
      </c>
      <c r="G409" s="47"/>
      <c r="H409" s="34"/>
      <c r="I409" s="35"/>
      <c r="J409" s="32"/>
      <c r="K409" s="32"/>
      <c r="L409" s="32"/>
      <c r="M409" s="139"/>
      <c r="N409" s="31"/>
      <c r="O409" s="45"/>
      <c r="P409" s="47"/>
      <c r="Q409" s="30"/>
      <c r="R409" s="35"/>
    </row>
    <row r="410" spans="1:18" x14ac:dyDescent="0.2">
      <c r="A410" s="65"/>
      <c r="B410" s="41"/>
      <c r="C410" s="40"/>
      <c r="D410" s="83">
        <v>44768</v>
      </c>
      <c r="E410" s="53" t="s">
        <v>441</v>
      </c>
      <c r="F410" s="52">
        <v>10000</v>
      </c>
      <c r="G410" s="47"/>
      <c r="H410" s="34"/>
      <c r="I410" s="35"/>
      <c r="J410" s="32"/>
      <c r="K410" s="32"/>
      <c r="L410" s="32"/>
      <c r="M410" s="139"/>
      <c r="N410" s="31"/>
      <c r="O410" s="45"/>
      <c r="P410" s="47"/>
      <c r="Q410" s="30"/>
      <c r="R410" s="35"/>
    </row>
    <row r="411" spans="1:18" x14ac:dyDescent="0.2">
      <c r="A411" s="65"/>
      <c r="B411" s="41"/>
      <c r="C411" s="40"/>
      <c r="D411" s="83">
        <v>44768</v>
      </c>
      <c r="E411" s="53" t="s">
        <v>442</v>
      </c>
      <c r="F411" s="52">
        <v>20000</v>
      </c>
      <c r="G411" s="47"/>
      <c r="H411" s="34"/>
      <c r="I411" s="35"/>
      <c r="J411" s="32"/>
      <c r="K411" s="32"/>
      <c r="L411" s="32"/>
      <c r="M411" s="139"/>
      <c r="N411" s="31"/>
      <c r="O411" s="45"/>
      <c r="P411" s="47"/>
      <c r="Q411" s="30"/>
      <c r="R411" s="35"/>
    </row>
    <row r="412" spans="1:18" x14ac:dyDescent="0.2">
      <c r="A412" s="65"/>
      <c r="B412" s="41"/>
      <c r="C412" s="40"/>
      <c r="D412" s="83"/>
      <c r="E412" s="53"/>
      <c r="F412" s="52"/>
      <c r="G412" s="47"/>
      <c r="H412" s="34"/>
      <c r="I412" s="35"/>
      <c r="J412" s="32"/>
      <c r="K412" s="32"/>
      <c r="L412" s="32"/>
      <c r="M412" s="139"/>
      <c r="N412" s="31"/>
      <c r="O412" s="45"/>
      <c r="P412" s="47"/>
      <c r="Q412" s="30"/>
      <c r="R412" s="35"/>
    </row>
    <row r="413" spans="1:18" x14ac:dyDescent="0.2">
      <c r="A413" s="65"/>
      <c r="B413" s="41"/>
      <c r="C413" s="40"/>
      <c r="D413" s="83"/>
      <c r="E413" s="53"/>
      <c r="F413" s="52"/>
      <c r="G413" s="47"/>
      <c r="H413" s="34"/>
      <c r="I413" s="35"/>
      <c r="J413" s="32"/>
      <c r="K413" s="32"/>
      <c r="L413" s="32"/>
      <c r="M413" s="139"/>
      <c r="N413" s="31"/>
      <c r="O413" s="45"/>
      <c r="P413" s="47"/>
      <c r="Q413" s="30"/>
      <c r="R413" s="35"/>
    </row>
    <row r="414" spans="1:18" s="4" customFormat="1" x14ac:dyDescent="0.2">
      <c r="A414" s="306" t="s">
        <v>93</v>
      </c>
      <c r="B414" s="307"/>
      <c r="C414" s="208">
        <f>SUM(C377:C413)</f>
        <v>2945387</v>
      </c>
      <c r="D414" s="308" t="s">
        <v>94</v>
      </c>
      <c r="E414" s="309"/>
      <c r="F414" s="209">
        <f>SUM(F377:F413)</f>
        <v>857500</v>
      </c>
      <c r="G414" s="310" t="s">
        <v>95</v>
      </c>
      <c r="H414" s="311"/>
      <c r="I414" s="210">
        <f>SUM(I377:I413)</f>
        <v>821000</v>
      </c>
      <c r="J414" s="312" t="s">
        <v>96</v>
      </c>
      <c r="K414" s="313"/>
      <c r="L414" s="220">
        <f>SUM(L377:L413)</f>
        <v>120000</v>
      </c>
      <c r="M414" s="314" t="s">
        <v>97</v>
      </c>
      <c r="N414" s="315"/>
      <c r="O414" s="211">
        <f>SUM(O377:O413)</f>
        <v>137000</v>
      </c>
      <c r="P414" s="310" t="s">
        <v>98</v>
      </c>
      <c r="Q414" s="311"/>
      <c r="R414" s="210">
        <f>SUM(R377:R413)</f>
        <v>716400</v>
      </c>
    </row>
    <row r="418" spans="1:18" x14ac:dyDescent="0.2">
      <c r="A418" t="s">
        <v>99</v>
      </c>
      <c r="B418" t="s">
        <v>100</v>
      </c>
      <c r="C418" s="1">
        <v>4923000</v>
      </c>
    </row>
    <row r="419" spans="1:18" x14ac:dyDescent="0.2">
      <c r="B419" t="s">
        <v>101</v>
      </c>
      <c r="C419" s="1">
        <v>600000</v>
      </c>
      <c r="F419" s="1"/>
    </row>
    <row r="420" spans="1:18" x14ac:dyDescent="0.2">
      <c r="C420" s="1"/>
      <c r="F420" s="1"/>
    </row>
    <row r="421" spans="1:18" x14ac:dyDescent="0.2">
      <c r="A421" t="s">
        <v>173</v>
      </c>
      <c r="B421" s="203" t="str">
        <f>A414</f>
        <v>Pengeluaran Kewajiban</v>
      </c>
      <c r="C421" s="1">
        <f>C414</f>
        <v>2945387</v>
      </c>
      <c r="F421" s="1"/>
    </row>
    <row r="422" spans="1:18" x14ac:dyDescent="0.2">
      <c r="B422" s="203" t="str">
        <f>D414</f>
        <v>Pengeluaran Makan</v>
      </c>
      <c r="C422" s="1">
        <f>F414</f>
        <v>857500</v>
      </c>
      <c r="F422" s="1"/>
    </row>
    <row r="423" spans="1:18" x14ac:dyDescent="0.2">
      <c r="B423" s="203" t="str">
        <f>G414</f>
        <v>Pengeluaran Sosial</v>
      </c>
      <c r="C423" s="1">
        <f>I414</f>
        <v>821000</v>
      </c>
      <c r="F423" s="1"/>
    </row>
    <row r="424" spans="1:18" x14ac:dyDescent="0.2">
      <c r="B424" t="str">
        <f>J414</f>
        <v>Pengeluaran Sedekah</v>
      </c>
      <c r="C424" s="1">
        <f>L414</f>
        <v>120000</v>
      </c>
      <c r="F424" s="1"/>
    </row>
    <row r="425" spans="1:18" x14ac:dyDescent="0.2">
      <c r="B425" s="203" t="str">
        <f>M414</f>
        <v>Pengeluaran Transport</v>
      </c>
      <c r="C425" s="1">
        <f>O414</f>
        <v>137000</v>
      </c>
      <c r="F425" s="1"/>
    </row>
    <row r="426" spans="1:18" x14ac:dyDescent="0.2">
      <c r="B426" s="203" t="str">
        <f>P414</f>
        <v>Pengeluaran Sekunder</v>
      </c>
      <c r="C426" s="102">
        <f>R414</f>
        <v>716400</v>
      </c>
      <c r="F426" s="1"/>
    </row>
    <row r="427" spans="1:18" x14ac:dyDescent="0.2">
      <c r="C427" s="1">
        <f>C418-C421-C422-C423-C424-C425-C426+C419</f>
        <v>-74287</v>
      </c>
      <c r="F427" s="1"/>
    </row>
    <row r="428" spans="1:18" x14ac:dyDescent="0.2">
      <c r="C428" s="1"/>
      <c r="F428" s="1"/>
    </row>
    <row r="429" spans="1:18" x14ac:dyDescent="0.2">
      <c r="A429" s="294" t="s">
        <v>443</v>
      </c>
      <c r="B429" s="294"/>
      <c r="C429" s="294"/>
      <c r="D429" s="294"/>
      <c r="E429" s="294"/>
      <c r="F429" s="294"/>
      <c r="G429" s="294"/>
      <c r="H429" s="294"/>
      <c r="I429" s="294"/>
      <c r="J429" s="294"/>
      <c r="K429" s="294"/>
      <c r="L429" s="294"/>
      <c r="M429" s="294"/>
      <c r="N429" s="294"/>
      <c r="O429" s="294"/>
      <c r="P429" s="294"/>
      <c r="Q429" s="294"/>
      <c r="R429" s="294"/>
    </row>
    <row r="430" spans="1:18" x14ac:dyDescent="0.2">
      <c r="A430" s="294"/>
      <c r="B430" s="294"/>
      <c r="C430" s="294"/>
      <c r="D430" s="294"/>
      <c r="E430" s="294"/>
      <c r="F430" s="294"/>
      <c r="G430" s="294"/>
      <c r="H430" s="294"/>
      <c r="I430" s="294"/>
      <c r="J430" s="294"/>
      <c r="K430" s="294"/>
      <c r="L430" s="294"/>
      <c r="M430" s="294"/>
      <c r="N430" s="294"/>
      <c r="O430" s="294"/>
      <c r="P430" s="294"/>
      <c r="Q430" s="294"/>
      <c r="R430" s="294"/>
    </row>
    <row r="431" spans="1:18" x14ac:dyDescent="0.2">
      <c r="A431" s="59" t="s">
        <v>1</v>
      </c>
      <c r="B431" s="59" t="s">
        <v>2</v>
      </c>
      <c r="C431" s="59" t="s">
        <v>444</v>
      </c>
      <c r="D431" s="58" t="s">
        <v>1</v>
      </c>
      <c r="E431" s="58" t="s">
        <v>4</v>
      </c>
      <c r="F431" s="58" t="s">
        <v>380</v>
      </c>
      <c r="G431" s="55" t="s">
        <v>1</v>
      </c>
      <c r="H431" s="55" t="s">
        <v>5</v>
      </c>
      <c r="I431" s="55" t="s">
        <v>381</v>
      </c>
      <c r="J431" s="57" t="s">
        <v>1</v>
      </c>
      <c r="K431" s="57" t="s">
        <v>6</v>
      </c>
      <c r="L431" s="57" t="s">
        <v>382</v>
      </c>
      <c r="M431" s="56" t="s">
        <v>1</v>
      </c>
      <c r="N431" s="56" t="s">
        <v>7</v>
      </c>
      <c r="O431" s="56" t="s">
        <v>383</v>
      </c>
      <c r="P431" s="55" t="s">
        <v>1</v>
      </c>
      <c r="Q431" s="55" t="s">
        <v>8</v>
      </c>
      <c r="R431" s="55" t="s">
        <v>384</v>
      </c>
    </row>
    <row r="432" spans="1:18" x14ac:dyDescent="0.2">
      <c r="A432" s="65" t="s">
        <v>445</v>
      </c>
      <c r="B432" s="41" t="s">
        <v>181</v>
      </c>
      <c r="C432" s="54">
        <v>150000</v>
      </c>
      <c r="D432" s="83">
        <v>44770</v>
      </c>
      <c r="E432" s="53" t="s">
        <v>446</v>
      </c>
      <c r="F432" s="52">
        <f>31000</f>
        <v>31000</v>
      </c>
      <c r="G432" s="47">
        <v>44767</v>
      </c>
      <c r="H432" s="34" t="s">
        <v>447</v>
      </c>
      <c r="I432" s="35">
        <v>150000</v>
      </c>
      <c r="J432" s="51">
        <v>44767</v>
      </c>
      <c r="K432" s="16" t="s">
        <v>448</v>
      </c>
      <c r="L432" s="140">
        <v>150000</v>
      </c>
      <c r="M432" s="139">
        <v>44770</v>
      </c>
      <c r="N432" s="233" t="s">
        <v>107</v>
      </c>
      <c r="O432" s="45">
        <v>2000</v>
      </c>
      <c r="P432" s="47">
        <v>44771</v>
      </c>
      <c r="Q432" s="11" t="s">
        <v>449</v>
      </c>
      <c r="R432" s="35">
        <v>11000</v>
      </c>
    </row>
    <row r="433" spans="1:18" x14ac:dyDescent="0.2">
      <c r="A433" s="65" t="s">
        <v>445</v>
      </c>
      <c r="B433" s="41" t="s">
        <v>313</v>
      </c>
      <c r="C433" s="54">
        <v>1000000</v>
      </c>
      <c r="D433" s="83">
        <v>44770</v>
      </c>
      <c r="E433" s="53" t="s">
        <v>127</v>
      </c>
      <c r="F433" s="52">
        <v>7500</v>
      </c>
      <c r="G433" s="47">
        <v>44770</v>
      </c>
      <c r="H433" s="34" t="s">
        <v>450</v>
      </c>
      <c r="I433" s="35">
        <f>53000+52000+100000-121400</f>
        <v>83600</v>
      </c>
      <c r="J433" s="51">
        <v>44771</v>
      </c>
      <c r="K433" s="16" t="s">
        <v>451</v>
      </c>
      <c r="L433" s="140">
        <v>5000</v>
      </c>
      <c r="M433" s="139">
        <v>44743</v>
      </c>
      <c r="N433" s="46" t="s">
        <v>452</v>
      </c>
      <c r="O433" s="45">
        <v>2000</v>
      </c>
      <c r="P433" s="47">
        <v>44775</v>
      </c>
      <c r="Q433" s="11" t="s">
        <v>453</v>
      </c>
      <c r="R433" s="35">
        <v>17000</v>
      </c>
    </row>
    <row r="434" spans="1:18" x14ac:dyDescent="0.2">
      <c r="A434" s="65" t="s">
        <v>445</v>
      </c>
      <c r="B434" s="41" t="s">
        <v>318</v>
      </c>
      <c r="C434" s="54">
        <v>500000</v>
      </c>
      <c r="D434" s="83">
        <v>44771</v>
      </c>
      <c r="E434" s="53" t="s">
        <v>454</v>
      </c>
      <c r="F434" s="52">
        <v>32000</v>
      </c>
      <c r="G434" s="47">
        <v>44769</v>
      </c>
      <c r="H434" s="34" t="s">
        <v>455</v>
      </c>
      <c r="I434" s="35">
        <v>38000</v>
      </c>
      <c r="J434" s="51">
        <v>44779</v>
      </c>
      <c r="K434" s="16" t="s">
        <v>451</v>
      </c>
      <c r="L434" s="140">
        <v>2000</v>
      </c>
      <c r="M434" s="139">
        <v>44743</v>
      </c>
      <c r="N434" s="46" t="s">
        <v>456</v>
      </c>
      <c r="O434" s="45">
        <v>20000</v>
      </c>
      <c r="P434" s="47">
        <v>44775</v>
      </c>
      <c r="Q434" s="11" t="s">
        <v>457</v>
      </c>
      <c r="R434" s="35">
        <v>5500</v>
      </c>
    </row>
    <row r="435" spans="1:18" x14ac:dyDescent="0.2">
      <c r="A435" s="65" t="s">
        <v>445</v>
      </c>
      <c r="B435" s="41" t="s">
        <v>323</v>
      </c>
      <c r="C435" s="54">
        <v>500000</v>
      </c>
      <c r="D435" s="83">
        <v>44771</v>
      </c>
      <c r="E435" s="53" t="s">
        <v>458</v>
      </c>
      <c r="F435" s="52">
        <v>12000</v>
      </c>
      <c r="G435" s="47">
        <v>44773</v>
      </c>
      <c r="H435" s="34" t="s">
        <v>459</v>
      </c>
      <c r="I435" s="35">
        <v>100000</v>
      </c>
      <c r="J435" s="51">
        <v>44778</v>
      </c>
      <c r="K435" s="16" t="s">
        <v>451</v>
      </c>
      <c r="L435" s="140">
        <v>2000</v>
      </c>
      <c r="M435" s="139">
        <v>44776</v>
      </c>
      <c r="N435" s="46" t="s">
        <v>451</v>
      </c>
      <c r="O435" s="45">
        <v>2000</v>
      </c>
      <c r="P435" s="47">
        <v>44775</v>
      </c>
      <c r="Q435" s="11" t="s">
        <v>460</v>
      </c>
      <c r="R435" s="35">
        <v>28500</v>
      </c>
    </row>
    <row r="436" spans="1:18" x14ac:dyDescent="0.2">
      <c r="A436" s="65" t="s">
        <v>445</v>
      </c>
      <c r="B436" s="41" t="s">
        <v>328</v>
      </c>
      <c r="C436" s="54">
        <v>200000</v>
      </c>
      <c r="D436" s="83">
        <v>44772</v>
      </c>
      <c r="E436" s="53" t="s">
        <v>461</v>
      </c>
      <c r="F436" s="52">
        <v>10000</v>
      </c>
      <c r="G436" s="47">
        <v>44776</v>
      </c>
      <c r="H436" s="34" t="s">
        <v>462</v>
      </c>
      <c r="I436" s="35">
        <v>28000</v>
      </c>
      <c r="J436" s="51">
        <v>44778</v>
      </c>
      <c r="K436" s="16" t="s">
        <v>451</v>
      </c>
      <c r="L436" s="140">
        <v>2000</v>
      </c>
      <c r="M436" s="139">
        <v>44776</v>
      </c>
      <c r="N436" s="46" t="s">
        <v>463</v>
      </c>
      <c r="O436" s="45">
        <v>2000</v>
      </c>
      <c r="P436" s="47">
        <v>44775</v>
      </c>
      <c r="Q436" s="11" t="s">
        <v>464</v>
      </c>
      <c r="R436" s="35">
        <v>69560</v>
      </c>
    </row>
    <row r="437" spans="1:18" x14ac:dyDescent="0.2">
      <c r="A437" s="65" t="s">
        <v>445</v>
      </c>
      <c r="B437" s="41" t="s">
        <v>331</v>
      </c>
      <c r="C437" s="265">
        <v>100000</v>
      </c>
      <c r="D437" s="214">
        <v>44774</v>
      </c>
      <c r="E437" s="69" t="s">
        <v>465</v>
      </c>
      <c r="F437" s="215">
        <v>33000</v>
      </c>
      <c r="G437" s="47">
        <v>44776</v>
      </c>
      <c r="H437" s="34" t="s">
        <v>466</v>
      </c>
      <c r="I437" s="35">
        <v>36000</v>
      </c>
      <c r="J437" s="51" t="s">
        <v>467</v>
      </c>
      <c r="K437" s="32" t="s">
        <v>468</v>
      </c>
      <c r="L437" s="140">
        <v>2000</v>
      </c>
      <c r="M437" s="139">
        <v>44777</v>
      </c>
      <c r="N437" s="46" t="s">
        <v>469</v>
      </c>
      <c r="O437" s="45">
        <v>16000</v>
      </c>
      <c r="P437" s="47">
        <v>44775</v>
      </c>
      <c r="Q437" s="11" t="s">
        <v>470</v>
      </c>
      <c r="R437" s="35">
        <v>57500</v>
      </c>
    </row>
    <row r="438" spans="1:18" x14ac:dyDescent="0.2">
      <c r="A438" s="65" t="s">
        <v>445</v>
      </c>
      <c r="B438" s="41" t="s">
        <v>335</v>
      </c>
      <c r="C438" s="54">
        <v>25000</v>
      </c>
      <c r="D438" s="168">
        <v>44774</v>
      </c>
      <c r="E438" s="161" t="s">
        <v>471</v>
      </c>
      <c r="F438" s="167">
        <v>10000</v>
      </c>
      <c r="G438" s="213">
        <v>44776</v>
      </c>
      <c r="H438" s="34" t="s">
        <v>472</v>
      </c>
      <c r="I438" s="35">
        <v>20000</v>
      </c>
      <c r="J438" s="32"/>
      <c r="K438" s="32"/>
      <c r="L438" s="32"/>
      <c r="M438" s="139">
        <v>44779</v>
      </c>
      <c r="N438" s="46" t="s">
        <v>473</v>
      </c>
      <c r="O438" s="45">
        <v>5000</v>
      </c>
      <c r="P438" s="47">
        <v>44775</v>
      </c>
      <c r="Q438" s="223" t="s">
        <v>474</v>
      </c>
      <c r="R438" s="224">
        <v>46062</v>
      </c>
    </row>
    <row r="439" spans="1:18" x14ac:dyDescent="0.2">
      <c r="A439" s="65" t="s">
        <v>445</v>
      </c>
      <c r="B439" s="41" t="s">
        <v>41</v>
      </c>
      <c r="C439" s="54">
        <v>15000</v>
      </c>
      <c r="D439" s="216">
        <v>44776</v>
      </c>
      <c r="E439" s="217" t="s">
        <v>446</v>
      </c>
      <c r="F439" s="158">
        <v>17000</v>
      </c>
      <c r="G439" s="47">
        <v>44779</v>
      </c>
      <c r="H439" s="34" t="s">
        <v>475</v>
      </c>
      <c r="I439" s="35">
        <v>26000</v>
      </c>
      <c r="J439" s="32"/>
      <c r="K439" s="32"/>
      <c r="L439" s="32"/>
      <c r="M439" s="139">
        <v>44784</v>
      </c>
      <c r="N439" s="46" t="s">
        <v>476</v>
      </c>
      <c r="O439" s="45">
        <v>2000</v>
      </c>
      <c r="P439" s="47">
        <v>44775</v>
      </c>
      <c r="Q439" s="34" t="s">
        <v>477</v>
      </c>
      <c r="R439" s="35">
        <v>30450</v>
      </c>
    </row>
    <row r="440" spans="1:18" x14ac:dyDescent="0.2">
      <c r="A440" s="65">
        <v>44770</v>
      </c>
      <c r="B440" s="41" t="s">
        <v>478</v>
      </c>
      <c r="C440" s="54">
        <v>200000</v>
      </c>
      <c r="D440" s="216">
        <v>44776</v>
      </c>
      <c r="E440" s="74" t="s">
        <v>479</v>
      </c>
      <c r="F440" s="52">
        <v>8500</v>
      </c>
      <c r="G440" s="47">
        <v>44781</v>
      </c>
      <c r="H440" s="34" t="s">
        <v>480</v>
      </c>
      <c r="I440" s="35">
        <v>60000</v>
      </c>
      <c r="J440" s="32"/>
      <c r="K440" s="32"/>
      <c r="L440" s="32"/>
      <c r="M440" s="139"/>
      <c r="N440" s="31"/>
      <c r="O440" s="45"/>
      <c r="P440" s="47">
        <v>44781</v>
      </c>
      <c r="Q440" s="34" t="s">
        <v>481</v>
      </c>
      <c r="R440" s="35">
        <v>59000</v>
      </c>
    </row>
    <row r="441" spans="1:18" x14ac:dyDescent="0.2">
      <c r="A441" s="65">
        <v>44770</v>
      </c>
      <c r="B441" s="21" t="s">
        <v>482</v>
      </c>
      <c r="C441" s="54">
        <v>321000</v>
      </c>
      <c r="D441" s="83">
        <v>44776</v>
      </c>
      <c r="E441" s="69" t="s">
        <v>483</v>
      </c>
      <c r="F441" s="52">
        <f>13000+13000+3000+3000</f>
        <v>32000</v>
      </c>
      <c r="G441" s="47">
        <v>44785</v>
      </c>
      <c r="H441" s="34" t="s">
        <v>484</v>
      </c>
      <c r="I441" s="35">
        <v>30000</v>
      </c>
      <c r="J441" s="32"/>
      <c r="K441" s="32"/>
      <c r="L441" s="32"/>
      <c r="M441" s="139"/>
      <c r="N441" s="31"/>
      <c r="O441" s="45"/>
      <c r="P441" s="47">
        <v>44783</v>
      </c>
      <c r="Q441" s="34" t="s">
        <v>485</v>
      </c>
      <c r="R441" s="35">
        <v>10638</v>
      </c>
    </row>
    <row r="442" spans="1:18" x14ac:dyDescent="0.2">
      <c r="A442" s="227">
        <v>44770</v>
      </c>
      <c r="B442" s="144" t="s">
        <v>486</v>
      </c>
      <c r="C442" s="228">
        <v>100000</v>
      </c>
      <c r="D442" s="83">
        <v>44776</v>
      </c>
      <c r="E442" s="161" t="s">
        <v>487</v>
      </c>
      <c r="F442" s="158">
        <v>13000</v>
      </c>
      <c r="G442" s="47">
        <v>44787</v>
      </c>
      <c r="H442" s="34" t="s">
        <v>488</v>
      </c>
      <c r="I442" s="35">
        <f>200000-18000-20000</f>
        <v>162000</v>
      </c>
      <c r="J442" s="32"/>
      <c r="K442" s="32"/>
      <c r="L442" s="32"/>
      <c r="M442" s="139"/>
      <c r="N442" s="31"/>
      <c r="O442" s="45"/>
      <c r="P442" s="47">
        <v>44791</v>
      </c>
      <c r="Q442" s="34" t="s">
        <v>489</v>
      </c>
      <c r="R442" s="35">
        <v>25000</v>
      </c>
    </row>
    <row r="443" spans="1:18" x14ac:dyDescent="0.2">
      <c r="A443" s="65">
        <v>44771</v>
      </c>
      <c r="B443" s="41" t="s">
        <v>121</v>
      </c>
      <c r="C443" s="54">
        <v>74287</v>
      </c>
      <c r="D443" s="83">
        <v>44777</v>
      </c>
      <c r="E443" s="74" t="s">
        <v>490</v>
      </c>
      <c r="F443" s="52">
        <f>25000+21000</f>
        <v>46000</v>
      </c>
      <c r="G443" s="47">
        <v>44789</v>
      </c>
      <c r="H443" s="34" t="s">
        <v>491</v>
      </c>
      <c r="I443" s="35">
        <f>48000*2</f>
        <v>96000</v>
      </c>
      <c r="J443" s="32"/>
      <c r="K443" s="32"/>
      <c r="L443" s="32"/>
      <c r="M443" s="139"/>
      <c r="N443" s="31"/>
      <c r="O443" s="45"/>
      <c r="P443" s="47"/>
      <c r="Q443" s="30"/>
      <c r="R443" s="35"/>
    </row>
    <row r="444" spans="1:18" x14ac:dyDescent="0.2">
      <c r="A444" s="266">
        <v>44771</v>
      </c>
      <c r="B444" s="267" t="s">
        <v>492</v>
      </c>
      <c r="C444" s="268">
        <v>33000</v>
      </c>
      <c r="D444" s="214">
        <v>44778</v>
      </c>
      <c r="E444" s="69" t="s">
        <v>493</v>
      </c>
      <c r="F444" s="215">
        <v>28000</v>
      </c>
      <c r="G444" s="250">
        <v>44790</v>
      </c>
      <c r="H444" s="97" t="s">
        <v>494</v>
      </c>
      <c r="I444" s="133">
        <v>75050</v>
      </c>
      <c r="J444" s="251"/>
      <c r="K444" s="251"/>
      <c r="L444" s="251"/>
      <c r="M444" s="225"/>
      <c r="N444" s="226"/>
      <c r="O444" s="252"/>
      <c r="P444" s="250"/>
      <c r="Q444" s="253"/>
      <c r="R444" s="133"/>
    </row>
    <row r="445" spans="1:18" x14ac:dyDescent="0.2">
      <c r="A445" s="269">
        <v>44771</v>
      </c>
      <c r="B445" s="270" t="s">
        <v>495</v>
      </c>
      <c r="C445" s="271">
        <v>26188</v>
      </c>
      <c r="D445" s="214">
        <v>44778</v>
      </c>
      <c r="E445" s="73" t="s">
        <v>496</v>
      </c>
      <c r="F445" s="241">
        <v>27000</v>
      </c>
      <c r="G445" s="242">
        <v>44792</v>
      </c>
      <c r="H445" s="243" t="s">
        <v>497</v>
      </c>
      <c r="I445" s="244">
        <v>50000</v>
      </c>
      <c r="J445" s="245"/>
      <c r="K445" s="245"/>
      <c r="L445" s="245"/>
      <c r="M445" s="246"/>
      <c r="N445" s="247"/>
      <c r="O445" s="248"/>
      <c r="P445" s="242"/>
      <c r="Q445" s="249"/>
      <c r="R445" s="244"/>
    </row>
    <row r="446" spans="1:18" x14ac:dyDescent="0.2">
      <c r="A446" s="272">
        <v>44775</v>
      </c>
      <c r="B446" s="273" t="s">
        <v>498</v>
      </c>
      <c r="C446" s="274">
        <v>179000</v>
      </c>
      <c r="D446" s="214">
        <v>44778</v>
      </c>
      <c r="E446" s="254" t="s">
        <v>499</v>
      </c>
      <c r="F446" s="255">
        <v>12000</v>
      </c>
      <c r="G446" s="256">
        <v>44795</v>
      </c>
      <c r="H446" s="257" t="s">
        <v>500</v>
      </c>
      <c r="I446" s="258">
        <f>14000+14000+12000+10000</f>
        <v>50000</v>
      </c>
      <c r="J446" s="259"/>
      <c r="K446" s="259"/>
      <c r="L446" s="259"/>
      <c r="M446" s="260"/>
      <c r="N446" s="261"/>
      <c r="O446" s="262"/>
      <c r="P446" s="256"/>
      <c r="Q446" s="263"/>
      <c r="R446" s="258"/>
    </row>
    <row r="447" spans="1:18" x14ac:dyDescent="0.2">
      <c r="A447" s="65">
        <v>44791</v>
      </c>
      <c r="B447" s="41" t="s">
        <v>501</v>
      </c>
      <c r="C447" s="54">
        <v>5000</v>
      </c>
      <c r="D447" s="214">
        <v>44779</v>
      </c>
      <c r="E447" s="69" t="s">
        <v>502</v>
      </c>
      <c r="F447" s="215">
        <v>65000</v>
      </c>
      <c r="G447" s="47">
        <v>44796</v>
      </c>
      <c r="H447" s="34" t="s">
        <v>503</v>
      </c>
      <c r="I447" s="35">
        <f>19000+17000+13000</f>
        <v>49000</v>
      </c>
      <c r="J447" s="32"/>
      <c r="K447" s="32"/>
      <c r="L447" s="32"/>
      <c r="M447" s="139"/>
      <c r="N447" s="31"/>
      <c r="O447" s="45"/>
      <c r="P447" s="47"/>
      <c r="Q447" s="30"/>
      <c r="R447" s="35"/>
    </row>
    <row r="448" spans="1:18" x14ac:dyDescent="0.2">
      <c r="A448" s="65"/>
      <c r="B448" s="41"/>
      <c r="C448" s="265"/>
      <c r="D448" s="168">
        <v>44779</v>
      </c>
      <c r="E448" s="161" t="s">
        <v>504</v>
      </c>
      <c r="F448" s="167">
        <v>10000</v>
      </c>
      <c r="G448" s="213">
        <v>44800</v>
      </c>
      <c r="H448" s="34" t="s">
        <v>505</v>
      </c>
      <c r="I448" s="35">
        <f>63000</f>
        <v>63000</v>
      </c>
      <c r="J448" s="32"/>
      <c r="K448" s="32"/>
      <c r="L448" s="32"/>
      <c r="M448" s="139"/>
      <c r="N448" s="31"/>
      <c r="O448" s="45"/>
      <c r="P448" s="47"/>
      <c r="Q448" s="30"/>
      <c r="R448" s="35"/>
    </row>
    <row r="449" spans="1:18" x14ac:dyDescent="0.2">
      <c r="A449" s="239"/>
      <c r="B449" s="240"/>
      <c r="C449" s="208"/>
      <c r="D449" s="229">
        <v>44780</v>
      </c>
      <c r="E449" s="74" t="s">
        <v>506</v>
      </c>
      <c r="F449" s="230">
        <v>20000</v>
      </c>
      <c r="G449" s="47"/>
      <c r="H449" s="34"/>
      <c r="I449" s="35"/>
      <c r="J449" s="32"/>
      <c r="K449" s="32"/>
      <c r="L449" s="32"/>
      <c r="M449" s="139"/>
      <c r="N449" s="31"/>
      <c r="O449" s="45"/>
      <c r="P449" s="47"/>
      <c r="Q449" s="30"/>
      <c r="R449" s="35"/>
    </row>
    <row r="450" spans="1:18" x14ac:dyDescent="0.2">
      <c r="A450" s="239"/>
      <c r="B450" s="240"/>
      <c r="C450" s="208"/>
      <c r="D450" s="83">
        <v>44781</v>
      </c>
      <c r="E450" s="53" t="s">
        <v>292</v>
      </c>
      <c r="F450" s="52">
        <v>10000</v>
      </c>
      <c r="G450" s="47"/>
      <c r="H450" s="34"/>
      <c r="I450" s="35"/>
      <c r="J450" s="32"/>
      <c r="K450" s="32"/>
      <c r="L450" s="32"/>
      <c r="M450" s="139"/>
      <c r="N450" s="31"/>
      <c r="O450" s="45"/>
      <c r="P450" s="47"/>
      <c r="Q450" s="30"/>
      <c r="R450" s="35"/>
    </row>
    <row r="451" spans="1:18" x14ac:dyDescent="0.2">
      <c r="A451" s="239"/>
      <c r="B451" s="240"/>
      <c r="C451" s="208"/>
      <c r="D451" s="83">
        <v>44781</v>
      </c>
      <c r="E451" s="53" t="s">
        <v>507</v>
      </c>
      <c r="F451" s="52">
        <v>29000</v>
      </c>
      <c r="G451" s="47"/>
      <c r="H451" s="34"/>
      <c r="I451" s="35"/>
      <c r="J451" s="32"/>
      <c r="K451" s="32"/>
      <c r="L451" s="32"/>
      <c r="M451" s="139"/>
      <c r="N451" s="31"/>
      <c r="O451" s="45"/>
      <c r="P451" s="47"/>
      <c r="Q451" s="30"/>
      <c r="R451" s="35"/>
    </row>
    <row r="452" spans="1:18" x14ac:dyDescent="0.2">
      <c r="A452" s="239"/>
      <c r="B452" s="240"/>
      <c r="C452" s="208"/>
      <c r="D452" s="83">
        <v>44782</v>
      </c>
      <c r="E452" s="53" t="s">
        <v>508</v>
      </c>
      <c r="F452" s="52">
        <v>8500</v>
      </c>
      <c r="G452" s="47"/>
      <c r="H452" s="34"/>
      <c r="I452" s="35"/>
      <c r="J452" s="32"/>
      <c r="K452" s="32"/>
      <c r="L452" s="32"/>
      <c r="M452" s="139"/>
      <c r="N452" s="31"/>
      <c r="O452" s="45"/>
      <c r="P452" s="47"/>
      <c r="Q452" s="30"/>
      <c r="R452" s="35"/>
    </row>
    <row r="453" spans="1:18" x14ac:dyDescent="0.2">
      <c r="A453" s="65"/>
      <c r="B453" s="41"/>
      <c r="C453" s="40"/>
      <c r="D453" s="83">
        <v>44783</v>
      </c>
      <c r="E453" s="53" t="s">
        <v>509</v>
      </c>
      <c r="F453" s="52">
        <v>10000</v>
      </c>
      <c r="G453" s="47"/>
      <c r="H453" s="34"/>
      <c r="I453" s="35"/>
      <c r="J453" s="32"/>
      <c r="K453" s="32"/>
      <c r="L453" s="32"/>
      <c r="M453" s="139"/>
      <c r="N453" s="31"/>
      <c r="O453" s="45"/>
      <c r="P453" s="47"/>
      <c r="Q453" s="30"/>
      <c r="R453" s="35"/>
    </row>
    <row r="454" spans="1:18" x14ac:dyDescent="0.2">
      <c r="A454" s="65"/>
      <c r="B454" s="41"/>
      <c r="C454" s="40"/>
      <c r="D454" s="83">
        <v>44783</v>
      </c>
      <c r="E454" s="53" t="s">
        <v>431</v>
      </c>
      <c r="F454" s="52">
        <v>19000</v>
      </c>
      <c r="G454" s="47"/>
      <c r="H454" s="34"/>
      <c r="I454" s="35"/>
      <c r="J454" s="32"/>
      <c r="K454" s="32"/>
      <c r="L454" s="32"/>
      <c r="M454" s="139"/>
      <c r="N454" s="31"/>
      <c r="O454" s="45"/>
      <c r="P454" s="47"/>
      <c r="Q454" s="30"/>
      <c r="R454" s="35"/>
    </row>
    <row r="455" spans="1:18" x14ac:dyDescent="0.2">
      <c r="A455" s="65"/>
      <c r="B455" s="41"/>
      <c r="C455" s="40"/>
      <c r="D455" s="83">
        <v>44784</v>
      </c>
      <c r="E455" s="53" t="s">
        <v>510</v>
      </c>
      <c r="F455" s="52">
        <v>32000</v>
      </c>
      <c r="G455" s="47"/>
      <c r="H455" s="34"/>
      <c r="I455" s="35"/>
      <c r="J455" s="32"/>
      <c r="K455" s="32"/>
      <c r="L455" s="32"/>
      <c r="M455" s="139"/>
      <c r="N455" s="31"/>
      <c r="O455" s="45"/>
      <c r="P455" s="47"/>
      <c r="Q455" s="30"/>
      <c r="R455" s="35"/>
    </row>
    <row r="456" spans="1:18" x14ac:dyDescent="0.2">
      <c r="A456" s="65"/>
      <c r="B456" s="41"/>
      <c r="C456" s="40"/>
      <c r="D456" s="83">
        <v>44785</v>
      </c>
      <c r="E456" s="53" t="s">
        <v>511</v>
      </c>
      <c r="F456" s="52">
        <v>10000</v>
      </c>
      <c r="G456" s="47"/>
      <c r="H456" s="34"/>
      <c r="I456" s="35"/>
      <c r="J456" s="32"/>
      <c r="K456" s="32"/>
      <c r="L456" s="32"/>
      <c r="M456" s="139"/>
      <c r="N456" s="31"/>
      <c r="O456" s="45"/>
      <c r="P456" s="47"/>
      <c r="Q456" s="30"/>
      <c r="R456" s="35"/>
    </row>
    <row r="457" spans="1:18" x14ac:dyDescent="0.2">
      <c r="A457" s="65"/>
      <c r="B457" s="41"/>
      <c r="C457" s="40"/>
      <c r="D457" s="83">
        <v>44785</v>
      </c>
      <c r="E457" s="53" t="s">
        <v>499</v>
      </c>
      <c r="F457" s="52">
        <v>8500</v>
      </c>
      <c r="G457" s="47"/>
      <c r="H457" s="34"/>
      <c r="I457" s="35"/>
      <c r="J457" s="32"/>
      <c r="K457" s="32"/>
      <c r="L457" s="32"/>
      <c r="M457" s="139"/>
      <c r="N457" s="31"/>
      <c r="O457" s="45"/>
      <c r="P457" s="47"/>
      <c r="Q457" s="30"/>
      <c r="R457" s="35"/>
    </row>
    <row r="458" spans="1:18" x14ac:dyDescent="0.2">
      <c r="A458" s="65"/>
      <c r="B458" s="41"/>
      <c r="C458" s="40"/>
      <c r="D458" s="83">
        <v>44789</v>
      </c>
      <c r="E458" s="53" t="s">
        <v>512</v>
      </c>
      <c r="F458" s="52">
        <v>32000</v>
      </c>
      <c r="G458" s="47"/>
      <c r="H458" s="34"/>
      <c r="I458" s="35"/>
      <c r="J458" s="32"/>
      <c r="K458" s="32"/>
      <c r="L458" s="32"/>
      <c r="M458" s="139"/>
      <c r="N458" s="31"/>
      <c r="O458" s="45"/>
      <c r="P458" s="47"/>
      <c r="Q458" s="30"/>
      <c r="R458" s="35"/>
    </row>
    <row r="459" spans="1:18" x14ac:dyDescent="0.2">
      <c r="A459" s="65"/>
      <c r="B459" s="41"/>
      <c r="C459" s="40"/>
      <c r="D459" s="83">
        <v>44789</v>
      </c>
      <c r="E459" s="53" t="s">
        <v>513</v>
      </c>
      <c r="F459" s="52">
        <v>14000</v>
      </c>
      <c r="G459" s="47"/>
      <c r="H459" s="34"/>
      <c r="I459" s="35"/>
      <c r="J459" s="32"/>
      <c r="K459" s="32"/>
      <c r="L459" s="32"/>
      <c r="M459" s="139"/>
      <c r="N459" s="31"/>
      <c r="O459" s="45"/>
      <c r="P459" s="47"/>
      <c r="Q459" s="30"/>
      <c r="R459" s="35"/>
    </row>
    <row r="460" spans="1:18" x14ac:dyDescent="0.2">
      <c r="A460" s="65"/>
      <c r="B460" s="41" t="s">
        <v>376</v>
      </c>
      <c r="C460" s="40"/>
      <c r="D460" s="83">
        <v>44790</v>
      </c>
      <c r="E460" s="53" t="s">
        <v>514</v>
      </c>
      <c r="F460" s="52">
        <v>10000</v>
      </c>
      <c r="G460" s="47"/>
      <c r="H460" s="34"/>
      <c r="I460" s="35"/>
      <c r="J460" s="32"/>
      <c r="K460" s="32"/>
      <c r="L460" s="32"/>
      <c r="M460" s="139"/>
      <c r="N460" s="31"/>
      <c r="O460" s="45"/>
      <c r="P460" s="47"/>
      <c r="Q460" s="30"/>
      <c r="R460" s="35"/>
    </row>
    <row r="461" spans="1:18" x14ac:dyDescent="0.2">
      <c r="A461" s="65"/>
      <c r="B461" s="41"/>
      <c r="C461" s="40"/>
      <c r="D461" s="83">
        <v>44790</v>
      </c>
      <c r="E461" s="53" t="s">
        <v>515</v>
      </c>
      <c r="F461" s="52">
        <v>33000</v>
      </c>
      <c r="G461" s="47"/>
      <c r="H461" s="34"/>
      <c r="I461" s="35"/>
      <c r="J461" s="32"/>
      <c r="K461" s="32"/>
      <c r="L461" s="32"/>
      <c r="M461" s="139"/>
      <c r="N461" s="31"/>
      <c r="O461" s="45"/>
      <c r="P461" s="47"/>
      <c r="Q461" s="30"/>
      <c r="R461" s="35"/>
    </row>
    <row r="462" spans="1:18" x14ac:dyDescent="0.2">
      <c r="A462" s="65"/>
      <c r="B462" s="41"/>
      <c r="C462" s="40"/>
      <c r="D462" s="83">
        <v>44790</v>
      </c>
      <c r="E462" s="53" t="s">
        <v>516</v>
      </c>
      <c r="F462" s="52">
        <v>20000</v>
      </c>
      <c r="G462" s="47"/>
      <c r="H462" s="34"/>
      <c r="I462" s="35"/>
      <c r="J462" s="32"/>
      <c r="K462" s="32"/>
      <c r="L462" s="32"/>
      <c r="M462" s="139"/>
      <c r="N462" s="31"/>
      <c r="O462" s="45"/>
      <c r="P462" s="47"/>
      <c r="Q462" s="30"/>
      <c r="R462" s="35"/>
    </row>
    <row r="463" spans="1:18" x14ac:dyDescent="0.2">
      <c r="A463" s="65"/>
      <c r="B463" s="41"/>
      <c r="C463" s="40"/>
      <c r="D463" s="83">
        <v>44789</v>
      </c>
      <c r="E463" s="53" t="s">
        <v>517</v>
      </c>
      <c r="F463" s="52">
        <v>8000</v>
      </c>
      <c r="G463" s="47"/>
      <c r="H463" s="34"/>
      <c r="I463" s="35"/>
      <c r="J463" s="32"/>
      <c r="K463" s="32"/>
      <c r="L463" s="32"/>
      <c r="M463" s="139"/>
      <c r="N463" s="31"/>
      <c r="O463" s="45"/>
      <c r="P463" s="47"/>
      <c r="Q463" s="30"/>
      <c r="R463" s="35"/>
    </row>
    <row r="464" spans="1:18" x14ac:dyDescent="0.2">
      <c r="A464" s="65"/>
      <c r="B464" s="41"/>
      <c r="C464" s="40"/>
      <c r="D464" s="83">
        <v>44791</v>
      </c>
      <c r="E464" s="53" t="s">
        <v>518</v>
      </c>
      <c r="F464" s="52">
        <v>14000</v>
      </c>
      <c r="G464" s="47"/>
      <c r="H464" s="34"/>
      <c r="I464" s="35"/>
      <c r="J464" s="32"/>
      <c r="K464" s="32"/>
      <c r="L464" s="32"/>
      <c r="M464" s="139"/>
      <c r="N464" s="31"/>
      <c r="O464" s="45"/>
      <c r="P464" s="47"/>
      <c r="Q464" s="30"/>
      <c r="R464" s="35"/>
    </row>
    <row r="465" spans="1:18" x14ac:dyDescent="0.2">
      <c r="A465" s="65"/>
      <c r="B465" s="41"/>
      <c r="C465" s="40"/>
      <c r="D465" s="83">
        <v>44793</v>
      </c>
      <c r="E465" s="53" t="s">
        <v>519</v>
      </c>
      <c r="F465" s="52">
        <v>8000</v>
      </c>
      <c r="G465" s="47"/>
      <c r="H465" s="34"/>
      <c r="I465" s="35"/>
      <c r="J465" s="32"/>
      <c r="K465" s="32"/>
      <c r="L465" s="32"/>
      <c r="M465" s="139"/>
      <c r="N465" s="31"/>
      <c r="O465" s="45"/>
      <c r="P465" s="47"/>
      <c r="Q465" s="30"/>
      <c r="R465" s="35"/>
    </row>
    <row r="466" spans="1:18" x14ac:dyDescent="0.2">
      <c r="A466" s="65"/>
      <c r="B466" s="41"/>
      <c r="C466" s="40"/>
      <c r="D466" s="83">
        <v>44794</v>
      </c>
      <c r="E466" s="53" t="s">
        <v>332</v>
      </c>
      <c r="F466" s="52">
        <v>13000</v>
      </c>
      <c r="G466" s="47"/>
      <c r="H466" s="34"/>
      <c r="I466" s="35"/>
      <c r="J466" s="32"/>
      <c r="K466" s="32"/>
      <c r="L466" s="32"/>
      <c r="M466" s="139"/>
      <c r="N466" s="31"/>
      <c r="O466" s="45"/>
      <c r="P466" s="47"/>
      <c r="Q466" s="30"/>
      <c r="R466" s="35"/>
    </row>
    <row r="467" spans="1:18" x14ac:dyDescent="0.2">
      <c r="A467" s="65"/>
      <c r="B467" s="41"/>
      <c r="C467" s="40"/>
      <c r="D467" s="83">
        <v>44795</v>
      </c>
      <c r="E467" s="53" t="s">
        <v>434</v>
      </c>
      <c r="F467" s="52">
        <v>21000</v>
      </c>
      <c r="G467" s="47"/>
      <c r="H467" s="34"/>
      <c r="I467" s="35"/>
      <c r="J467" s="32"/>
      <c r="K467" s="32"/>
      <c r="L467" s="32"/>
      <c r="M467" s="139"/>
      <c r="N467" s="31"/>
      <c r="O467" s="45"/>
      <c r="P467" s="47"/>
      <c r="Q467" s="30"/>
      <c r="R467" s="35"/>
    </row>
    <row r="468" spans="1:18" x14ac:dyDescent="0.2">
      <c r="A468" s="65"/>
      <c r="B468" s="41"/>
      <c r="C468" s="40"/>
      <c r="D468" s="83">
        <v>44796</v>
      </c>
      <c r="E468" s="53" t="s">
        <v>520</v>
      </c>
      <c r="F468" s="52">
        <v>19000</v>
      </c>
      <c r="G468" s="47"/>
      <c r="H468" s="34"/>
      <c r="I468" s="35"/>
      <c r="J468" s="32"/>
      <c r="K468" s="32"/>
      <c r="L468" s="32"/>
      <c r="M468" s="139"/>
      <c r="N468" s="31"/>
      <c r="O468" s="45"/>
      <c r="P468" s="47"/>
      <c r="Q468" s="30"/>
      <c r="R468" s="35"/>
    </row>
    <row r="469" spans="1:18" x14ac:dyDescent="0.2">
      <c r="A469" s="65"/>
      <c r="B469" s="41"/>
      <c r="C469" s="40"/>
      <c r="D469" s="83">
        <v>44797</v>
      </c>
      <c r="E469" s="53" t="s">
        <v>521</v>
      </c>
      <c r="F469" s="52">
        <f>10000+5000+4000</f>
        <v>19000</v>
      </c>
      <c r="G469" s="47"/>
      <c r="H469" s="34"/>
      <c r="I469" s="35"/>
      <c r="J469" s="32"/>
      <c r="K469" s="32"/>
      <c r="L469" s="32"/>
      <c r="M469" s="139"/>
      <c r="N469" s="31"/>
      <c r="O469" s="45"/>
      <c r="P469" s="47"/>
      <c r="Q469" s="30"/>
      <c r="R469" s="35"/>
    </row>
    <row r="470" spans="1:18" x14ac:dyDescent="0.2">
      <c r="A470" s="65"/>
      <c r="B470" s="41"/>
      <c r="C470" s="40"/>
      <c r="D470" s="83">
        <v>44799</v>
      </c>
      <c r="E470" s="53" t="s">
        <v>522</v>
      </c>
      <c r="F470" s="52">
        <v>35000</v>
      </c>
      <c r="G470" s="47"/>
      <c r="H470" s="34"/>
      <c r="I470" s="35"/>
      <c r="J470" s="32"/>
      <c r="K470" s="32"/>
      <c r="L470" s="32"/>
      <c r="M470" s="139"/>
      <c r="N470" s="31"/>
      <c r="O470" s="45"/>
      <c r="P470" s="47"/>
      <c r="Q470" s="30"/>
      <c r="R470" s="35"/>
    </row>
    <row r="471" spans="1:18" x14ac:dyDescent="0.2">
      <c r="A471" s="65"/>
      <c r="B471" s="41"/>
      <c r="C471" s="40"/>
      <c r="D471" s="83"/>
      <c r="E471" s="53"/>
      <c r="F471" s="52"/>
      <c r="G471" s="47"/>
      <c r="H471" s="34"/>
      <c r="I471" s="35"/>
      <c r="J471" s="32"/>
      <c r="K471" s="32"/>
      <c r="L471" s="32"/>
      <c r="M471" s="139"/>
      <c r="N471" s="31"/>
      <c r="O471" s="45"/>
      <c r="P471" s="47"/>
      <c r="Q471" s="30"/>
      <c r="R471" s="35"/>
    </row>
    <row r="472" spans="1:18" x14ac:dyDescent="0.2">
      <c r="A472" s="65"/>
      <c r="B472" s="41"/>
      <c r="C472" s="40"/>
      <c r="D472" s="83"/>
      <c r="E472" s="53"/>
      <c r="F472" s="52"/>
      <c r="G472" s="47"/>
      <c r="H472" s="34"/>
      <c r="I472" s="35"/>
      <c r="J472" s="32"/>
      <c r="K472" s="32"/>
      <c r="L472" s="32"/>
      <c r="M472" s="139"/>
      <c r="N472" s="31"/>
      <c r="O472" s="45"/>
      <c r="P472" s="47"/>
      <c r="Q472" s="30"/>
      <c r="R472" s="35"/>
    </row>
    <row r="473" spans="1:18" x14ac:dyDescent="0.2">
      <c r="A473" s="295" t="s">
        <v>93</v>
      </c>
      <c r="B473" s="295"/>
      <c r="C473" s="208">
        <f>SUM(C432:C472)</f>
        <v>3428475</v>
      </c>
      <c r="D473" s="296" t="s">
        <v>94</v>
      </c>
      <c r="E473" s="296"/>
      <c r="F473" s="209">
        <f>SUM(F432:F472)</f>
        <v>787000</v>
      </c>
      <c r="G473" s="297" t="s">
        <v>95</v>
      </c>
      <c r="H473" s="297"/>
      <c r="I473" s="210">
        <f>SUM(I432:I472)</f>
        <v>1116650</v>
      </c>
      <c r="J473" s="298" t="s">
        <v>96</v>
      </c>
      <c r="K473" s="298"/>
      <c r="L473" s="264">
        <f>SUM(L432:L472)</f>
        <v>163000</v>
      </c>
      <c r="M473" s="299" t="s">
        <v>97</v>
      </c>
      <c r="N473" s="299"/>
      <c r="O473" s="211">
        <f>SUM(O432:O472)</f>
        <v>51000</v>
      </c>
      <c r="P473" s="297" t="s">
        <v>98</v>
      </c>
      <c r="Q473" s="297"/>
      <c r="R473" s="210">
        <f>SUM(R432:R472)</f>
        <v>360210</v>
      </c>
    </row>
    <row r="476" spans="1:18" x14ac:dyDescent="0.2">
      <c r="A476" t="s">
        <v>99</v>
      </c>
      <c r="B476" t="s">
        <v>523</v>
      </c>
      <c r="C476" s="1">
        <v>5193000</v>
      </c>
    </row>
    <row r="477" spans="1:18" x14ac:dyDescent="0.2">
      <c r="B477" t="s">
        <v>101</v>
      </c>
      <c r="C477" s="1">
        <v>500000</v>
      </c>
    </row>
    <row r="478" spans="1:18" x14ac:dyDescent="0.2">
      <c r="B478" t="s">
        <v>524</v>
      </c>
      <c r="C478" s="1">
        <f>72000+59000</f>
        <v>131000</v>
      </c>
    </row>
    <row r="480" spans="1:18" x14ac:dyDescent="0.2">
      <c r="A480" t="s">
        <v>3</v>
      </c>
      <c r="B480" s="203" t="str">
        <f>A473</f>
        <v>Pengeluaran Kewajiban</v>
      </c>
      <c r="C480" s="1">
        <f>C473</f>
        <v>3428475</v>
      </c>
    </row>
    <row r="481" spans="1:3" x14ac:dyDescent="0.2">
      <c r="B481" s="203" t="str">
        <f>D473</f>
        <v>Pengeluaran Makan</v>
      </c>
      <c r="C481" s="1">
        <f>F473</f>
        <v>787000</v>
      </c>
    </row>
    <row r="482" spans="1:3" x14ac:dyDescent="0.2">
      <c r="B482" s="203" t="str">
        <f>G473</f>
        <v>Pengeluaran Sosial</v>
      </c>
      <c r="C482" s="1">
        <f>I473</f>
        <v>1116650</v>
      </c>
    </row>
    <row r="483" spans="1:3" x14ac:dyDescent="0.2">
      <c r="B483" t="str">
        <f>J473</f>
        <v>Pengeluaran Sedekah</v>
      </c>
      <c r="C483" s="1">
        <f>L473</f>
        <v>163000</v>
      </c>
    </row>
    <row r="484" spans="1:3" x14ac:dyDescent="0.2">
      <c r="B484" s="203" t="str">
        <f>M473</f>
        <v>Pengeluaran Transport</v>
      </c>
      <c r="C484" s="1">
        <f>O473</f>
        <v>51000</v>
      </c>
    </row>
    <row r="485" spans="1:3" x14ac:dyDescent="0.2">
      <c r="B485" s="203" t="str">
        <f>P473</f>
        <v>Pengeluaran Sekunder</v>
      </c>
      <c r="C485" s="102">
        <f>R473</f>
        <v>360210</v>
      </c>
    </row>
    <row r="486" spans="1:3" x14ac:dyDescent="0.2">
      <c r="C486" s="1">
        <f>C476-C480-C481-C482-C483-C484-C485+C477+C478</f>
        <v>-82335</v>
      </c>
    </row>
    <row r="487" spans="1:3" x14ac:dyDescent="0.2">
      <c r="C487" s="1"/>
    </row>
    <row r="488" spans="1:3" x14ac:dyDescent="0.2">
      <c r="C488" s="1"/>
    </row>
    <row r="489" spans="1:3" x14ac:dyDescent="0.2">
      <c r="A489" t="s">
        <v>525</v>
      </c>
      <c r="B489" s="275">
        <v>53000</v>
      </c>
    </row>
    <row r="490" spans="1:3" x14ac:dyDescent="0.2">
      <c r="A490" t="s">
        <v>526</v>
      </c>
      <c r="B490" s="275">
        <v>82335</v>
      </c>
    </row>
    <row r="491" spans="1:3" x14ac:dyDescent="0.2">
      <c r="A491" t="s">
        <v>33</v>
      </c>
      <c r="B491" s="275">
        <v>70000</v>
      </c>
    </row>
    <row r="492" spans="1:3" x14ac:dyDescent="0.2">
      <c r="A492" t="s">
        <v>527</v>
      </c>
      <c r="B492" s="275">
        <v>130000</v>
      </c>
    </row>
    <row r="493" spans="1:3" x14ac:dyDescent="0.2">
      <c r="A493" t="s">
        <v>528</v>
      </c>
      <c r="B493" s="275">
        <v>4579</v>
      </c>
    </row>
    <row r="494" spans="1:3" x14ac:dyDescent="0.2">
      <c r="A494" t="s">
        <v>426</v>
      </c>
      <c r="B494" s="276">
        <v>66894</v>
      </c>
    </row>
    <row r="495" spans="1:3" x14ac:dyDescent="0.2">
      <c r="B495" s="1">
        <f>B489+B490+B491+B492+B493+B494</f>
        <v>406808</v>
      </c>
    </row>
    <row r="496" spans="1:3" x14ac:dyDescent="0.2">
      <c r="B496" s="102"/>
    </row>
    <row r="497" spans="1:18" x14ac:dyDescent="0.2">
      <c r="B497" s="1">
        <f>B495-B496</f>
        <v>406808</v>
      </c>
    </row>
    <row r="498" spans="1:18" x14ac:dyDescent="0.2">
      <c r="A498" t="s">
        <v>526</v>
      </c>
      <c r="B498" s="1">
        <v>0</v>
      </c>
    </row>
    <row r="499" spans="1:18" x14ac:dyDescent="0.2">
      <c r="A499" t="s">
        <v>529</v>
      </c>
      <c r="B499" s="102">
        <v>116000</v>
      </c>
    </row>
    <row r="500" spans="1:18" x14ac:dyDescent="0.2">
      <c r="B500" s="1">
        <f>B497-B498-B499</f>
        <v>290808</v>
      </c>
      <c r="C500" s="1">
        <v>225000</v>
      </c>
    </row>
    <row r="501" spans="1:18" x14ac:dyDescent="0.2">
      <c r="B501" s="1"/>
      <c r="C501" s="1">
        <f>C500-B500</f>
        <v>-65808</v>
      </c>
    </row>
    <row r="502" spans="1:18" x14ac:dyDescent="0.2">
      <c r="C502" s="102">
        <v>60000</v>
      </c>
    </row>
    <row r="503" spans="1:18" x14ac:dyDescent="0.2">
      <c r="C503" s="278">
        <f>C501+C502</f>
        <v>-5808</v>
      </c>
    </row>
    <row r="505" spans="1:18" ht="12.75" customHeight="1" x14ac:dyDescent="0.2">
      <c r="A505" s="294" t="s">
        <v>530</v>
      </c>
      <c r="B505" s="294"/>
      <c r="C505" s="294"/>
      <c r="D505" s="294"/>
      <c r="E505" s="294"/>
      <c r="F505" s="294"/>
      <c r="G505" s="294"/>
      <c r="H505" s="294"/>
      <c r="I505" s="294"/>
      <c r="J505" s="294"/>
      <c r="K505" s="294"/>
      <c r="L505" s="294"/>
      <c r="M505" s="294"/>
      <c r="N505" s="294"/>
      <c r="O505" s="294"/>
      <c r="P505" s="294"/>
      <c r="Q505" s="294"/>
      <c r="R505" s="294"/>
    </row>
    <row r="506" spans="1:18" ht="12.75" customHeight="1" x14ac:dyDescent="0.2">
      <c r="A506" s="294"/>
      <c r="B506" s="294"/>
      <c r="C506" s="294"/>
      <c r="D506" s="294"/>
      <c r="E506" s="294"/>
      <c r="F506" s="294"/>
      <c r="G506" s="294"/>
      <c r="H506" s="294"/>
      <c r="I506" s="294"/>
      <c r="J506" s="294"/>
      <c r="K506" s="294"/>
      <c r="L506" s="294"/>
      <c r="M506" s="294"/>
      <c r="N506" s="294"/>
      <c r="O506" s="294"/>
      <c r="P506" s="294"/>
      <c r="Q506" s="294"/>
      <c r="R506" s="294"/>
    </row>
    <row r="507" spans="1:18" x14ac:dyDescent="0.2">
      <c r="A507" s="59" t="s">
        <v>1</v>
      </c>
      <c r="B507" s="59" t="s">
        <v>2</v>
      </c>
      <c r="C507" s="59" t="s">
        <v>444</v>
      </c>
      <c r="D507" s="58" t="s">
        <v>1</v>
      </c>
      <c r="E507" s="58" t="s">
        <v>4</v>
      </c>
      <c r="F507" s="58" t="s">
        <v>380</v>
      </c>
      <c r="G507" s="55" t="s">
        <v>1</v>
      </c>
      <c r="H507" s="55" t="s">
        <v>5</v>
      </c>
      <c r="I507" s="55" t="s">
        <v>381</v>
      </c>
      <c r="J507" s="57" t="s">
        <v>1</v>
      </c>
      <c r="K507" s="57" t="s">
        <v>6</v>
      </c>
      <c r="L507" s="57" t="s">
        <v>382</v>
      </c>
      <c r="M507" s="56" t="s">
        <v>1</v>
      </c>
      <c r="N507" s="56" t="s">
        <v>7</v>
      </c>
      <c r="O507" s="56" t="s">
        <v>383</v>
      </c>
      <c r="P507" s="55" t="s">
        <v>1</v>
      </c>
      <c r="Q507" s="55" t="s">
        <v>8</v>
      </c>
      <c r="R507" s="55" t="s">
        <v>384</v>
      </c>
    </row>
    <row r="508" spans="1:18" x14ac:dyDescent="0.2">
      <c r="A508" s="65">
        <v>44801</v>
      </c>
      <c r="B508" s="41" t="s">
        <v>313</v>
      </c>
      <c r="C508" s="54">
        <v>1000000</v>
      </c>
      <c r="D508" s="83">
        <v>44804</v>
      </c>
      <c r="E508" s="53" t="s">
        <v>531</v>
      </c>
      <c r="F508" s="52">
        <v>15000</v>
      </c>
      <c r="G508" s="47">
        <v>44801</v>
      </c>
      <c r="H508" s="34" t="s">
        <v>532</v>
      </c>
      <c r="I508" s="35">
        <v>250000</v>
      </c>
      <c r="J508" s="51"/>
      <c r="K508" s="16"/>
      <c r="L508" s="140"/>
      <c r="M508" s="139"/>
      <c r="N508" s="233"/>
      <c r="O508" s="45"/>
      <c r="P508" s="47">
        <v>44799</v>
      </c>
      <c r="Q508" s="11" t="s">
        <v>533</v>
      </c>
      <c r="R508" s="35">
        <v>60000</v>
      </c>
    </row>
    <row r="509" spans="1:18" x14ac:dyDescent="0.2">
      <c r="A509" s="65">
        <v>44801</v>
      </c>
      <c r="B509" s="41" t="s">
        <v>318</v>
      </c>
      <c r="C509" s="54">
        <v>500000</v>
      </c>
      <c r="D509" s="83">
        <v>44805</v>
      </c>
      <c r="E509" s="53" t="s">
        <v>534</v>
      </c>
      <c r="F509" s="52">
        <v>20000</v>
      </c>
      <c r="G509" s="47">
        <v>44803</v>
      </c>
      <c r="H509" s="34" t="s">
        <v>535</v>
      </c>
      <c r="I509" s="35">
        <f>5*15000</f>
        <v>75000</v>
      </c>
      <c r="J509" s="51"/>
      <c r="K509" s="16"/>
      <c r="L509" s="140"/>
      <c r="M509" s="139"/>
      <c r="N509" s="46"/>
      <c r="O509" s="45"/>
      <c r="P509" s="47"/>
      <c r="Q509" s="11"/>
      <c r="R509" s="35"/>
    </row>
    <row r="510" spans="1:18" x14ac:dyDescent="0.2">
      <c r="A510" s="65">
        <v>44801</v>
      </c>
      <c r="B510" s="41" t="s">
        <v>323</v>
      </c>
      <c r="C510" s="54">
        <v>500000</v>
      </c>
      <c r="D510" s="83"/>
      <c r="E510" s="53"/>
      <c r="F510" s="52"/>
      <c r="G510" s="47">
        <v>414063</v>
      </c>
      <c r="H510" s="34" t="s">
        <v>536</v>
      </c>
      <c r="I510" s="35">
        <v>40000</v>
      </c>
      <c r="J510" s="51"/>
      <c r="K510" s="16"/>
      <c r="L510" s="140"/>
      <c r="M510" s="139"/>
      <c r="N510" s="46"/>
      <c r="O510" s="45"/>
      <c r="P510" s="47"/>
      <c r="Q510" s="11"/>
      <c r="R510" s="35"/>
    </row>
    <row r="511" spans="1:18" x14ac:dyDescent="0.2">
      <c r="A511" s="65">
        <v>44801</v>
      </c>
      <c r="B511" s="41" t="s">
        <v>328</v>
      </c>
      <c r="C511" s="54">
        <v>200000</v>
      </c>
      <c r="D511" s="83"/>
      <c r="E511" s="53"/>
      <c r="F511" s="52"/>
      <c r="G511" s="47">
        <v>44803</v>
      </c>
      <c r="H511" s="34" t="s">
        <v>537</v>
      </c>
      <c r="I511" s="35">
        <v>38200</v>
      </c>
      <c r="J511" s="51"/>
      <c r="K511" s="16"/>
      <c r="L511" s="140"/>
      <c r="M511" s="139"/>
      <c r="N511" s="46"/>
      <c r="O511" s="45"/>
      <c r="P511" s="47"/>
      <c r="Q511" s="11"/>
      <c r="R511" s="35"/>
    </row>
    <row r="512" spans="1:18" x14ac:dyDescent="0.2">
      <c r="A512" s="65">
        <v>44801</v>
      </c>
      <c r="B512" s="41" t="s">
        <v>331</v>
      </c>
      <c r="C512" s="265">
        <v>100000</v>
      </c>
      <c r="D512" s="83"/>
      <c r="E512" s="53"/>
      <c r="F512" s="52"/>
      <c r="G512" s="47">
        <v>44804</v>
      </c>
      <c r="H512" s="34" t="s">
        <v>538</v>
      </c>
      <c r="I512" s="35">
        <v>33000</v>
      </c>
      <c r="J512" s="51"/>
      <c r="K512" s="16"/>
      <c r="L512" s="140"/>
      <c r="M512" s="139"/>
      <c r="N512" s="46"/>
      <c r="O512" s="45"/>
      <c r="P512" s="47"/>
      <c r="Q512" s="11"/>
      <c r="R512" s="35"/>
    </row>
    <row r="513" spans="1:18" x14ac:dyDescent="0.2">
      <c r="A513" s="65">
        <v>44801</v>
      </c>
      <c r="B513" s="267" t="s">
        <v>335</v>
      </c>
      <c r="C513" s="268">
        <v>25000</v>
      </c>
      <c r="D513" s="214"/>
      <c r="E513" s="69"/>
      <c r="F513" s="215"/>
      <c r="G513" s="47"/>
      <c r="H513" s="34"/>
      <c r="I513" s="35"/>
      <c r="J513" s="51"/>
      <c r="K513" s="32"/>
      <c r="L513" s="140"/>
      <c r="M513" s="139"/>
      <c r="N513" s="46"/>
      <c r="O513" s="45"/>
      <c r="P513" s="47"/>
      <c r="Q513" s="11"/>
      <c r="R513" s="35"/>
    </row>
    <row r="514" spans="1:18" x14ac:dyDescent="0.2">
      <c r="A514" s="65">
        <v>44801</v>
      </c>
      <c r="B514" s="270" t="s">
        <v>41</v>
      </c>
      <c r="C514" s="271">
        <v>15000</v>
      </c>
      <c r="D514" s="284"/>
      <c r="E514" s="161"/>
      <c r="F514" s="167"/>
      <c r="G514" s="213"/>
      <c r="H514" s="34"/>
      <c r="I514" s="35"/>
      <c r="J514" s="32"/>
      <c r="K514" s="32"/>
      <c r="L514" s="32"/>
      <c r="M514" s="139"/>
      <c r="N514" s="46"/>
      <c r="O514" s="45"/>
      <c r="P514" s="47"/>
      <c r="Q514" s="223"/>
      <c r="R514" s="224"/>
    </row>
    <row r="515" spans="1:18" x14ac:dyDescent="0.2">
      <c r="A515" s="290">
        <v>44801</v>
      </c>
      <c r="B515" s="279" t="s">
        <v>539</v>
      </c>
      <c r="C515" s="291">
        <v>500000</v>
      </c>
      <c r="D515" s="285"/>
      <c r="E515" s="217"/>
      <c r="F515" s="158"/>
      <c r="G515" s="47"/>
      <c r="H515" s="34"/>
      <c r="I515" s="35"/>
      <c r="J515" s="32"/>
      <c r="K515" s="32"/>
      <c r="L515" s="32"/>
      <c r="M515" s="139"/>
      <c r="N515" s="46"/>
      <c r="O515" s="45"/>
      <c r="P515" s="47"/>
      <c r="Q515" s="34"/>
      <c r="R515" s="35"/>
    </row>
    <row r="516" spans="1:18" x14ac:dyDescent="0.2">
      <c r="A516" s="269">
        <v>44801</v>
      </c>
      <c r="B516" s="270" t="s">
        <v>121</v>
      </c>
      <c r="C516" s="271">
        <f>82335+23723</f>
        <v>106058</v>
      </c>
      <c r="D516" s="285"/>
      <c r="E516" s="74"/>
      <c r="F516" s="52"/>
      <c r="G516" s="47"/>
      <c r="H516" s="34"/>
      <c r="I516" s="35"/>
      <c r="J516" s="32"/>
      <c r="K516" s="32"/>
      <c r="L516" s="32"/>
      <c r="M516" s="139"/>
      <c r="N516" s="31"/>
      <c r="O516" s="45"/>
      <c r="P516" s="47"/>
      <c r="Q516" s="34"/>
      <c r="R516" s="35"/>
    </row>
    <row r="517" spans="1:18" x14ac:dyDescent="0.2">
      <c r="A517" s="269"/>
      <c r="B517" s="280"/>
      <c r="C517" s="271"/>
      <c r="D517" s="286"/>
      <c r="E517" s="69"/>
      <c r="F517" s="52"/>
      <c r="G517" s="47"/>
      <c r="H517" s="34"/>
      <c r="I517" s="35"/>
      <c r="J517" s="32"/>
      <c r="K517" s="32"/>
      <c r="L517" s="32"/>
      <c r="M517" s="139"/>
      <c r="N517" s="31"/>
      <c r="O517" s="45"/>
      <c r="P517" s="47"/>
      <c r="Q517" s="34"/>
      <c r="R517" s="35"/>
    </row>
    <row r="518" spans="1:18" x14ac:dyDescent="0.2">
      <c r="A518" s="281"/>
      <c r="B518" s="282"/>
      <c r="C518" s="283"/>
      <c r="D518" s="286"/>
      <c r="E518" s="161"/>
      <c r="F518" s="158"/>
      <c r="G518" s="47"/>
      <c r="H518" s="34"/>
      <c r="I518" s="35"/>
      <c r="J518" s="32"/>
      <c r="K518" s="32"/>
      <c r="L518" s="32"/>
      <c r="M518" s="139"/>
      <c r="N518" s="31"/>
      <c r="O518" s="45"/>
      <c r="P518" s="47"/>
      <c r="Q518" s="34"/>
      <c r="R518" s="35"/>
    </row>
    <row r="519" spans="1:18" x14ac:dyDescent="0.2">
      <c r="A519" s="287"/>
      <c r="B519" s="288"/>
      <c r="C519" s="289"/>
      <c r="D519" s="83"/>
      <c r="E519" s="74"/>
      <c r="F519" s="52"/>
      <c r="G519" s="47"/>
      <c r="H519" s="34"/>
      <c r="I519" s="35"/>
      <c r="J519" s="32"/>
      <c r="K519" s="32"/>
      <c r="L519" s="32"/>
      <c r="M519" s="139"/>
      <c r="N519" s="31"/>
      <c r="O519" s="45"/>
      <c r="P519" s="47"/>
      <c r="Q519" s="30"/>
      <c r="R519" s="35"/>
    </row>
    <row r="520" spans="1:18" x14ac:dyDescent="0.2">
      <c r="A520" s="266"/>
      <c r="B520" s="267"/>
      <c r="C520" s="268"/>
      <c r="D520" s="214"/>
      <c r="E520" s="69"/>
      <c r="F520" s="215"/>
      <c r="G520" s="250"/>
      <c r="H520" s="97"/>
      <c r="I520" s="133"/>
      <c r="J520" s="251"/>
      <c r="K520" s="251"/>
      <c r="L520" s="251"/>
      <c r="M520" s="225"/>
      <c r="N520" s="226"/>
      <c r="O520" s="252"/>
      <c r="P520" s="250"/>
      <c r="Q520" s="253"/>
      <c r="R520" s="133"/>
    </row>
    <row r="521" spans="1:18" x14ac:dyDescent="0.2">
      <c r="A521" s="269"/>
      <c r="B521" s="270"/>
      <c r="C521" s="271"/>
      <c r="D521" s="214"/>
      <c r="E521" s="73"/>
      <c r="F521" s="241"/>
      <c r="G521" s="242"/>
      <c r="H521" s="243"/>
      <c r="I521" s="244"/>
      <c r="J521" s="245"/>
      <c r="K521" s="245"/>
      <c r="L521" s="245"/>
      <c r="M521" s="246"/>
      <c r="N521" s="247"/>
      <c r="O521" s="248"/>
      <c r="P521" s="242"/>
      <c r="Q521" s="249"/>
      <c r="R521" s="244"/>
    </row>
    <row r="522" spans="1:18" x14ac:dyDescent="0.2">
      <c r="A522" s="272"/>
      <c r="B522" s="273"/>
      <c r="C522" s="274"/>
      <c r="D522" s="214"/>
      <c r="E522" s="254"/>
      <c r="F522" s="255"/>
      <c r="G522" s="256"/>
      <c r="H522" s="257"/>
      <c r="I522" s="258"/>
      <c r="J522" s="259"/>
      <c r="K522" s="259"/>
      <c r="L522" s="259"/>
      <c r="M522" s="260"/>
      <c r="N522" s="261"/>
      <c r="O522" s="262"/>
      <c r="P522" s="256"/>
      <c r="Q522" s="263"/>
      <c r="R522" s="258"/>
    </row>
    <row r="523" spans="1:18" x14ac:dyDescent="0.2">
      <c r="A523" s="65"/>
      <c r="B523" s="41"/>
      <c r="C523" s="54"/>
      <c r="D523" s="214"/>
      <c r="E523" s="69"/>
      <c r="F523" s="215"/>
      <c r="G523" s="47"/>
      <c r="H523" s="34"/>
      <c r="I523" s="35"/>
      <c r="J523" s="32"/>
      <c r="K523" s="32"/>
      <c r="L523" s="32"/>
      <c r="M523" s="139"/>
      <c r="N523" s="31"/>
      <c r="O523" s="45"/>
      <c r="P523" s="47"/>
      <c r="Q523" s="30"/>
      <c r="R523" s="35"/>
    </row>
    <row r="524" spans="1:18" x14ac:dyDescent="0.2">
      <c r="A524" s="65"/>
      <c r="B524" s="41"/>
      <c r="C524" s="265"/>
      <c r="D524" s="168"/>
      <c r="E524" s="161"/>
      <c r="F524" s="167"/>
      <c r="G524" s="213"/>
      <c r="H524" s="34"/>
      <c r="I524" s="35"/>
      <c r="J524" s="32"/>
      <c r="K524" s="32"/>
      <c r="L524" s="32"/>
      <c r="M524" s="139"/>
      <c r="N524" s="31"/>
      <c r="O524" s="45"/>
      <c r="P524" s="47"/>
      <c r="Q524" s="30"/>
      <c r="R524" s="35"/>
    </row>
    <row r="525" spans="1:18" x14ac:dyDescent="0.2">
      <c r="A525" s="239"/>
      <c r="B525" s="240"/>
      <c r="C525" s="208"/>
      <c r="D525" s="229"/>
      <c r="E525" s="74"/>
      <c r="F525" s="230"/>
      <c r="G525" s="47"/>
      <c r="H525" s="34"/>
      <c r="I525" s="35"/>
      <c r="J525" s="32"/>
      <c r="K525" s="32"/>
      <c r="L525" s="32"/>
      <c r="M525" s="139"/>
      <c r="N525" s="31"/>
      <c r="O525" s="45"/>
      <c r="P525" s="47"/>
      <c r="Q525" s="30"/>
      <c r="R525" s="35"/>
    </row>
    <row r="526" spans="1:18" x14ac:dyDescent="0.2">
      <c r="A526" s="239"/>
      <c r="B526" s="240"/>
      <c r="C526" s="208"/>
      <c r="D526" s="83"/>
      <c r="E526" s="53"/>
      <c r="F526" s="52"/>
      <c r="G526" s="47"/>
      <c r="H526" s="34"/>
      <c r="I526" s="35"/>
      <c r="J526" s="32"/>
      <c r="K526" s="32"/>
      <c r="L526" s="32"/>
      <c r="M526" s="139"/>
      <c r="N526" s="31"/>
      <c r="O526" s="45"/>
      <c r="P526" s="47"/>
      <c r="Q526" s="30"/>
      <c r="R526" s="35"/>
    </row>
    <row r="527" spans="1:18" x14ac:dyDescent="0.2">
      <c r="A527" s="239"/>
      <c r="B527" s="240"/>
      <c r="C527" s="208"/>
      <c r="D527" s="83"/>
      <c r="E527" s="53"/>
      <c r="F527" s="52"/>
      <c r="G527" s="47"/>
      <c r="H527" s="34"/>
      <c r="I527" s="35"/>
      <c r="J527" s="32"/>
      <c r="K527" s="32"/>
      <c r="L527" s="32"/>
      <c r="M527" s="139"/>
      <c r="N527" s="31"/>
      <c r="O527" s="45"/>
      <c r="P527" s="47"/>
      <c r="Q527" s="30"/>
      <c r="R527" s="35"/>
    </row>
    <row r="528" spans="1:18" x14ac:dyDescent="0.2">
      <c r="A528" s="239"/>
      <c r="B528" s="240"/>
      <c r="C528" s="208"/>
      <c r="D528" s="83"/>
      <c r="E528" s="53"/>
      <c r="F528" s="52"/>
      <c r="G528" s="47"/>
      <c r="H528" s="34"/>
      <c r="I528" s="35"/>
      <c r="J528" s="32"/>
      <c r="K528" s="32"/>
      <c r="L528" s="32"/>
      <c r="M528" s="139"/>
      <c r="N528" s="31"/>
      <c r="O528" s="45"/>
      <c r="P528" s="47"/>
      <c r="Q528" s="30"/>
      <c r="R528" s="35"/>
    </row>
    <row r="529" spans="1:18" x14ac:dyDescent="0.2">
      <c r="A529" s="65"/>
      <c r="B529" s="41"/>
      <c r="C529" s="40"/>
      <c r="D529" s="83"/>
      <c r="E529" s="53"/>
      <c r="F529" s="52"/>
      <c r="G529" s="47"/>
      <c r="H529" s="34"/>
      <c r="I529" s="35"/>
      <c r="J529" s="32"/>
      <c r="K529" s="32"/>
      <c r="L529" s="32"/>
      <c r="M529" s="139"/>
      <c r="N529" s="31"/>
      <c r="O529" s="45"/>
      <c r="P529" s="47"/>
      <c r="Q529" s="30"/>
      <c r="R529" s="35"/>
    </row>
    <row r="530" spans="1:18" x14ac:dyDescent="0.2">
      <c r="A530" s="65"/>
      <c r="B530" s="41"/>
      <c r="C530" s="40"/>
      <c r="D530" s="83"/>
      <c r="E530" s="53"/>
      <c r="F530" s="52"/>
      <c r="G530" s="47"/>
      <c r="H530" s="34"/>
      <c r="I530" s="35"/>
      <c r="J530" s="32"/>
      <c r="K530" s="32"/>
      <c r="L530" s="32"/>
      <c r="M530" s="139"/>
      <c r="N530" s="31"/>
      <c r="O530" s="45"/>
      <c r="P530" s="47"/>
      <c r="Q530" s="30"/>
      <c r="R530" s="35"/>
    </row>
    <row r="531" spans="1:18" x14ac:dyDescent="0.2">
      <c r="A531" s="65"/>
      <c r="B531" s="41"/>
      <c r="C531" s="40"/>
      <c r="D531" s="83"/>
      <c r="E531" s="53"/>
      <c r="F531" s="52"/>
      <c r="G531" s="47"/>
      <c r="H531" s="34"/>
      <c r="I531" s="35"/>
      <c r="J531" s="32"/>
      <c r="K531" s="32"/>
      <c r="L531" s="32"/>
      <c r="M531" s="139"/>
      <c r="N531" s="31"/>
      <c r="O531" s="45"/>
      <c r="P531" s="47"/>
      <c r="Q531" s="30"/>
      <c r="R531" s="35"/>
    </row>
    <row r="532" spans="1:18" x14ac:dyDescent="0.2">
      <c r="A532" s="65"/>
      <c r="B532" s="41"/>
      <c r="C532" s="40"/>
      <c r="D532" s="83"/>
      <c r="E532" s="53"/>
      <c r="F532" s="52"/>
      <c r="G532" s="47"/>
      <c r="H532" s="34"/>
      <c r="I532" s="35"/>
      <c r="J532" s="32"/>
      <c r="K532" s="32"/>
      <c r="L532" s="32"/>
      <c r="M532" s="139"/>
      <c r="N532" s="31"/>
      <c r="O532" s="45"/>
      <c r="P532" s="47"/>
      <c r="Q532" s="30"/>
      <c r="R532" s="35"/>
    </row>
    <row r="533" spans="1:18" x14ac:dyDescent="0.2">
      <c r="A533" s="65"/>
      <c r="B533" s="41"/>
      <c r="C533" s="40"/>
      <c r="D533" s="83"/>
      <c r="E533" s="53"/>
      <c r="F533" s="52"/>
      <c r="G533" s="47"/>
      <c r="H533" s="34"/>
      <c r="I533" s="35"/>
      <c r="J533" s="32"/>
      <c r="K533" s="32"/>
      <c r="L533" s="32"/>
      <c r="M533" s="139"/>
      <c r="N533" s="31"/>
      <c r="O533" s="45"/>
      <c r="P533" s="47"/>
      <c r="Q533" s="30"/>
      <c r="R533" s="35"/>
    </row>
    <row r="534" spans="1:18" x14ac:dyDescent="0.2">
      <c r="A534" s="65"/>
      <c r="B534" s="41"/>
      <c r="C534" s="40"/>
      <c r="D534" s="83"/>
      <c r="E534" s="53"/>
      <c r="F534" s="52"/>
      <c r="G534" s="47"/>
      <c r="H534" s="34"/>
      <c r="I534" s="35"/>
      <c r="J534" s="32"/>
      <c r="K534" s="32"/>
      <c r="L534" s="32"/>
      <c r="M534" s="139"/>
      <c r="N534" s="31"/>
      <c r="O534" s="45"/>
      <c r="P534" s="47"/>
      <c r="Q534" s="30"/>
      <c r="R534" s="35"/>
    </row>
    <row r="535" spans="1:18" x14ac:dyDescent="0.2">
      <c r="A535" s="65"/>
      <c r="B535" s="41"/>
      <c r="C535" s="40"/>
      <c r="D535" s="83"/>
      <c r="E535" s="53"/>
      <c r="F535" s="52"/>
      <c r="G535" s="47"/>
      <c r="H535" s="34"/>
      <c r="I535" s="35"/>
      <c r="J535" s="32"/>
      <c r="K535" s="32"/>
      <c r="L535" s="32"/>
      <c r="M535" s="139"/>
      <c r="N535" s="31"/>
      <c r="O535" s="45"/>
      <c r="P535" s="47"/>
      <c r="Q535" s="30"/>
      <c r="R535" s="35"/>
    </row>
    <row r="536" spans="1:18" x14ac:dyDescent="0.2">
      <c r="A536" s="65"/>
      <c r="B536" s="41"/>
      <c r="C536" s="40"/>
      <c r="D536" s="83"/>
      <c r="E536" s="53"/>
      <c r="F536" s="52"/>
      <c r="G536" s="47"/>
      <c r="H536" s="34"/>
      <c r="I536" s="35"/>
      <c r="J536" s="32"/>
      <c r="K536" s="32"/>
      <c r="L536" s="32"/>
      <c r="M536" s="139"/>
      <c r="N536" s="31"/>
      <c r="O536" s="45"/>
      <c r="P536" s="47"/>
      <c r="Q536" s="30"/>
      <c r="R536" s="35"/>
    </row>
    <row r="537" spans="1:18" x14ac:dyDescent="0.2">
      <c r="A537" s="65"/>
      <c r="B537" s="41"/>
      <c r="C537" s="40"/>
      <c r="D537" s="83"/>
      <c r="E537" s="53"/>
      <c r="F537" s="52"/>
      <c r="G537" s="47"/>
      <c r="H537" s="34"/>
      <c r="I537" s="35"/>
      <c r="J537" s="32"/>
      <c r="K537" s="32"/>
      <c r="L537" s="32"/>
      <c r="M537" s="139"/>
      <c r="N537" s="31"/>
      <c r="O537" s="45"/>
      <c r="P537" s="47"/>
      <c r="Q537" s="30"/>
      <c r="R537" s="35"/>
    </row>
    <row r="538" spans="1:18" x14ac:dyDescent="0.2">
      <c r="A538" s="65"/>
      <c r="B538" s="41"/>
      <c r="C538" s="40"/>
      <c r="D538" s="83"/>
      <c r="E538" s="53"/>
      <c r="F538" s="52"/>
      <c r="G538" s="47"/>
      <c r="H538" s="34"/>
      <c r="I538" s="35"/>
      <c r="J538" s="32"/>
      <c r="K538" s="32"/>
      <c r="L538" s="32"/>
      <c r="M538" s="139"/>
      <c r="N538" s="31"/>
      <c r="O538" s="45"/>
      <c r="P538" s="47"/>
      <c r="Q538" s="30"/>
      <c r="R538" s="35"/>
    </row>
    <row r="539" spans="1:18" x14ac:dyDescent="0.2">
      <c r="A539" s="65"/>
      <c r="B539" s="41"/>
      <c r="C539" s="40"/>
      <c r="D539" s="83"/>
      <c r="E539" s="53"/>
      <c r="F539" s="52"/>
      <c r="G539" s="47"/>
      <c r="H539" s="34"/>
      <c r="I539" s="35"/>
      <c r="J539" s="32"/>
      <c r="K539" s="32"/>
      <c r="L539" s="32"/>
      <c r="M539" s="139"/>
      <c r="N539" s="31"/>
      <c r="O539" s="45"/>
      <c r="P539" s="47"/>
      <c r="Q539" s="30"/>
      <c r="R539" s="35"/>
    </row>
    <row r="540" spans="1:18" x14ac:dyDescent="0.2">
      <c r="A540" s="65"/>
      <c r="B540" s="41"/>
      <c r="C540" s="40"/>
      <c r="D540" s="83"/>
      <c r="E540" s="53"/>
      <c r="F540" s="52"/>
      <c r="G540" s="47"/>
      <c r="H540" s="34"/>
      <c r="I540" s="35"/>
      <c r="J540" s="32"/>
      <c r="K540" s="32"/>
      <c r="L540" s="32"/>
      <c r="M540" s="139"/>
      <c r="N540" s="31"/>
      <c r="O540" s="45"/>
      <c r="P540" s="47"/>
      <c r="Q540" s="30"/>
      <c r="R540" s="35"/>
    </row>
    <row r="541" spans="1:18" x14ac:dyDescent="0.2">
      <c r="A541" s="65"/>
      <c r="B541" s="41"/>
      <c r="C541" s="40"/>
      <c r="D541" s="83"/>
      <c r="E541" s="53"/>
      <c r="F541" s="52"/>
      <c r="G541" s="47"/>
      <c r="H541" s="34"/>
      <c r="I541" s="35"/>
      <c r="J541" s="32"/>
      <c r="K541" s="32"/>
      <c r="L541" s="32"/>
      <c r="M541" s="139"/>
      <c r="N541" s="31"/>
      <c r="O541" s="45"/>
      <c r="P541" s="47"/>
      <c r="Q541" s="30"/>
      <c r="R541" s="35"/>
    </row>
    <row r="542" spans="1:18" x14ac:dyDescent="0.2">
      <c r="A542" s="65"/>
      <c r="B542" s="41"/>
      <c r="C542" s="40"/>
      <c r="D542" s="83"/>
      <c r="E542" s="53"/>
      <c r="F542" s="52"/>
      <c r="G542" s="47"/>
      <c r="H542" s="34"/>
      <c r="I542" s="35"/>
      <c r="J542" s="32"/>
      <c r="K542" s="32"/>
      <c r="L542" s="32"/>
      <c r="M542" s="139"/>
      <c r="N542" s="31"/>
      <c r="O542" s="45"/>
      <c r="P542" s="47"/>
      <c r="Q542" s="30"/>
      <c r="R542" s="35"/>
    </row>
    <row r="543" spans="1:18" x14ac:dyDescent="0.2">
      <c r="A543" s="65"/>
      <c r="B543" s="41"/>
      <c r="C543" s="40"/>
      <c r="D543" s="83"/>
      <c r="E543" s="53"/>
      <c r="F543" s="52"/>
      <c r="G543" s="47"/>
      <c r="H543" s="34"/>
      <c r="I543" s="35"/>
      <c r="J543" s="32"/>
      <c r="K543" s="32"/>
      <c r="L543" s="32"/>
      <c r="M543" s="139"/>
      <c r="N543" s="31"/>
      <c r="O543" s="45"/>
      <c r="P543" s="47"/>
      <c r="Q543" s="30"/>
      <c r="R543" s="35"/>
    </row>
    <row r="544" spans="1:18" x14ac:dyDescent="0.2">
      <c r="A544" s="65"/>
      <c r="B544" s="41"/>
      <c r="C544" s="40"/>
      <c r="D544" s="83"/>
      <c r="E544" s="53"/>
      <c r="F544" s="52"/>
      <c r="G544" s="47"/>
      <c r="H544" s="34"/>
      <c r="I544" s="35"/>
      <c r="J544" s="32"/>
      <c r="K544" s="32"/>
      <c r="L544" s="32"/>
      <c r="M544" s="139"/>
      <c r="N544" s="31"/>
      <c r="O544" s="45"/>
      <c r="P544" s="47"/>
      <c r="Q544" s="30"/>
      <c r="R544" s="35"/>
    </row>
    <row r="545" spans="1:18" x14ac:dyDescent="0.2">
      <c r="A545" s="65"/>
      <c r="B545" s="41"/>
      <c r="C545" s="40"/>
      <c r="D545" s="83"/>
      <c r="E545" s="53"/>
      <c r="F545" s="52"/>
      <c r="G545" s="47"/>
      <c r="H545" s="34"/>
      <c r="I545" s="35"/>
      <c r="J545" s="32"/>
      <c r="K545" s="32"/>
      <c r="L545" s="32"/>
      <c r="M545" s="139"/>
      <c r="N545" s="31"/>
      <c r="O545" s="45"/>
      <c r="P545" s="47"/>
      <c r="Q545" s="30"/>
      <c r="R545" s="35"/>
    </row>
    <row r="546" spans="1:18" x14ac:dyDescent="0.2">
      <c r="A546" s="65"/>
      <c r="B546" s="41"/>
      <c r="C546" s="40"/>
      <c r="D546" s="83"/>
      <c r="E546" s="53"/>
      <c r="F546" s="52"/>
      <c r="G546" s="47"/>
      <c r="H546" s="34"/>
      <c r="I546" s="35"/>
      <c r="J546" s="32"/>
      <c r="K546" s="32"/>
      <c r="L546" s="32"/>
      <c r="M546" s="139"/>
      <c r="N546" s="31"/>
      <c r="O546" s="45"/>
      <c r="P546" s="47"/>
      <c r="Q546" s="30"/>
      <c r="R546" s="35"/>
    </row>
    <row r="547" spans="1:18" x14ac:dyDescent="0.2">
      <c r="A547" s="65"/>
      <c r="B547" s="41"/>
      <c r="C547" s="40"/>
      <c r="D547" s="83"/>
      <c r="E547" s="53"/>
      <c r="F547" s="52"/>
      <c r="G547" s="47"/>
      <c r="H547" s="34"/>
      <c r="I547" s="35"/>
      <c r="J547" s="32"/>
      <c r="K547" s="32"/>
      <c r="L547" s="32"/>
      <c r="M547" s="139"/>
      <c r="N547" s="31"/>
      <c r="O547" s="45"/>
      <c r="P547" s="47"/>
      <c r="Q547" s="30"/>
      <c r="R547" s="35"/>
    </row>
    <row r="548" spans="1:18" x14ac:dyDescent="0.2">
      <c r="A548" s="65"/>
      <c r="B548" s="41"/>
      <c r="C548" s="40"/>
      <c r="D548" s="83"/>
      <c r="E548" s="53"/>
      <c r="F548" s="52"/>
      <c r="G548" s="47"/>
      <c r="H548" s="34"/>
      <c r="I548" s="35"/>
      <c r="J548" s="32"/>
      <c r="K548" s="32"/>
      <c r="L548" s="32"/>
      <c r="M548" s="139"/>
      <c r="N548" s="31"/>
      <c r="O548" s="45"/>
      <c r="P548" s="47"/>
      <c r="Q548" s="30"/>
      <c r="R548" s="35"/>
    </row>
    <row r="549" spans="1:18" x14ac:dyDescent="0.2">
      <c r="A549" s="295" t="s">
        <v>93</v>
      </c>
      <c r="B549" s="295"/>
      <c r="C549" s="208">
        <f>SUM(C508:C548)</f>
        <v>2946058</v>
      </c>
      <c r="D549" s="296" t="s">
        <v>94</v>
      </c>
      <c r="E549" s="296"/>
      <c r="F549" s="209">
        <f>SUM(F508:F548)</f>
        <v>35000</v>
      </c>
      <c r="G549" s="297" t="s">
        <v>95</v>
      </c>
      <c r="H549" s="297"/>
      <c r="I549" s="210">
        <f>SUM(I508:I548)</f>
        <v>436200</v>
      </c>
      <c r="J549" s="298" t="s">
        <v>96</v>
      </c>
      <c r="K549" s="298"/>
      <c r="L549" s="264">
        <f>SUM(L508:L548)</f>
        <v>0</v>
      </c>
      <c r="M549" s="299" t="s">
        <v>97</v>
      </c>
      <c r="N549" s="299"/>
      <c r="O549" s="211">
        <f>SUM(O508:O548)</f>
        <v>0</v>
      </c>
      <c r="P549" s="297" t="s">
        <v>98</v>
      </c>
      <c r="Q549" s="297"/>
      <c r="R549" s="210">
        <f>SUM(R508:R548)</f>
        <v>60000</v>
      </c>
    </row>
    <row r="552" spans="1:18" x14ac:dyDescent="0.2">
      <c r="A552" t="s">
        <v>99</v>
      </c>
      <c r="B552" t="s">
        <v>100</v>
      </c>
      <c r="C552" s="1">
        <v>5013000</v>
      </c>
    </row>
    <row r="554" spans="1:18" ht="12.75" customHeight="1" x14ac:dyDescent="0.2">
      <c r="A554" t="s">
        <v>173</v>
      </c>
      <c r="B554" s="203" t="str">
        <f>A549</f>
        <v>Pengeluaran Kewajiban</v>
      </c>
      <c r="C554" s="1">
        <f>C549</f>
        <v>2946058</v>
      </c>
    </row>
    <row r="555" spans="1:18" ht="12.75" customHeight="1" x14ac:dyDescent="0.2">
      <c r="B555" s="203" t="str">
        <f>D549</f>
        <v>Pengeluaran Makan</v>
      </c>
      <c r="C555" s="1">
        <f>F549</f>
        <v>35000</v>
      </c>
    </row>
    <row r="556" spans="1:18" x14ac:dyDescent="0.2">
      <c r="B556" s="203" t="str">
        <f>G549</f>
        <v>Pengeluaran Sosial</v>
      </c>
      <c r="C556" s="1">
        <f>I549</f>
        <v>436200</v>
      </c>
    </row>
    <row r="557" spans="1:18" x14ac:dyDescent="0.2">
      <c r="B557" t="str">
        <f>J549</f>
        <v>Pengeluaran Sedekah</v>
      </c>
      <c r="C557" s="1">
        <f>L549</f>
        <v>0</v>
      </c>
    </row>
    <row r="558" spans="1:18" x14ac:dyDescent="0.2">
      <c r="B558" s="203" t="str">
        <f>M549</f>
        <v>Pengeluaran Transport</v>
      </c>
      <c r="C558" s="1">
        <f>O549</f>
        <v>0</v>
      </c>
    </row>
    <row r="559" spans="1:18" x14ac:dyDescent="0.2">
      <c r="B559" s="203" t="str">
        <f>P549</f>
        <v>Pengeluaran Sekunder</v>
      </c>
      <c r="C559" s="102">
        <f>R549</f>
        <v>60000</v>
      </c>
    </row>
    <row r="560" spans="1:18" x14ac:dyDescent="0.2">
      <c r="C560" s="1">
        <f>C552-C554-C555-C556-C557-C558-C559</f>
        <v>1535742</v>
      </c>
    </row>
    <row r="562" spans="1:5" x14ac:dyDescent="0.2">
      <c r="A562" t="s">
        <v>540</v>
      </c>
      <c r="B562" s="1">
        <v>181738</v>
      </c>
    </row>
    <row r="563" spans="1:5" x14ac:dyDescent="0.2">
      <c r="A563" t="s">
        <v>527</v>
      </c>
      <c r="B563" s="1">
        <f>143000+20000</f>
        <v>163000</v>
      </c>
      <c r="E563" s="102"/>
    </row>
    <row r="564" spans="1:5" x14ac:dyDescent="0.2">
      <c r="A564" t="s">
        <v>426</v>
      </c>
      <c r="B564" s="1">
        <v>28694</v>
      </c>
    </row>
    <row r="565" spans="1:5" x14ac:dyDescent="0.2">
      <c r="A565" t="s">
        <v>541</v>
      </c>
      <c r="B565" s="1">
        <v>42930</v>
      </c>
    </row>
    <row r="566" spans="1:5" x14ac:dyDescent="0.2">
      <c r="A566" t="s">
        <v>542</v>
      </c>
      <c r="B566" s="1">
        <v>2660435</v>
      </c>
      <c r="C566" s="1">
        <v>1200000</v>
      </c>
      <c r="D566" s="169">
        <f>B566-C566</f>
        <v>1460435</v>
      </c>
    </row>
    <row r="567" spans="1:5" x14ac:dyDescent="0.2">
      <c r="B567" s="293"/>
      <c r="C567" s="292" t="s">
        <v>543</v>
      </c>
    </row>
    <row r="568" spans="1:5" x14ac:dyDescent="0.2">
      <c r="B568" s="1">
        <f>B562+B563+B564+B565+D566</f>
        <v>1876797</v>
      </c>
    </row>
    <row r="569" spans="1:5" x14ac:dyDescent="0.2">
      <c r="A569" t="s">
        <v>526</v>
      </c>
      <c r="B569" s="1">
        <f>C560</f>
        <v>1535742</v>
      </c>
    </row>
    <row r="570" spans="1:5" x14ac:dyDescent="0.2">
      <c r="A570" t="s">
        <v>529</v>
      </c>
      <c r="B570" s="102">
        <f>Zico!C309</f>
        <v>16000</v>
      </c>
    </row>
    <row r="571" spans="1:5" x14ac:dyDescent="0.2">
      <c r="B571" s="1">
        <f>B568-B569-B570</f>
        <v>325055</v>
      </c>
    </row>
    <row r="572" spans="1:5" x14ac:dyDescent="0.2">
      <c r="A572" t="s">
        <v>544</v>
      </c>
      <c r="B572" s="102">
        <v>325000</v>
      </c>
    </row>
    <row r="573" spans="1:5" x14ac:dyDescent="0.2">
      <c r="B573" s="1">
        <f>B571-B572</f>
        <v>55</v>
      </c>
      <c r="D573" s="1"/>
    </row>
    <row r="574" spans="1:5" x14ac:dyDescent="0.2">
      <c r="B574" s="1"/>
    </row>
    <row r="575" spans="1:5" x14ac:dyDescent="0.2">
      <c r="B575" s="1"/>
    </row>
  </sheetData>
  <mergeCells count="67">
    <mergeCell ref="A374:R375"/>
    <mergeCell ref="A414:B414"/>
    <mergeCell ref="D414:E414"/>
    <mergeCell ref="G414:H414"/>
    <mergeCell ref="J414:K414"/>
    <mergeCell ref="M414:N414"/>
    <mergeCell ref="P414:Q414"/>
    <mergeCell ref="D131:D133"/>
    <mergeCell ref="D186:D187"/>
    <mergeCell ref="A304:R305"/>
    <mergeCell ref="A145:R146"/>
    <mergeCell ref="A183:B183"/>
    <mergeCell ref="D183:E183"/>
    <mergeCell ref="G183:H183"/>
    <mergeCell ref="J183:K183"/>
    <mergeCell ref="M183:N183"/>
    <mergeCell ref="P183:Q183"/>
    <mergeCell ref="A198:R199"/>
    <mergeCell ref="A236:R237"/>
    <mergeCell ref="D291:D292"/>
    <mergeCell ref="G357:H357"/>
    <mergeCell ref="J357:K357"/>
    <mergeCell ref="M357:N357"/>
    <mergeCell ref="P357:Q357"/>
    <mergeCell ref="P288:Q288"/>
    <mergeCell ref="A357:B357"/>
    <mergeCell ref="D357:E357"/>
    <mergeCell ref="P128:Q128"/>
    <mergeCell ref="J222:K222"/>
    <mergeCell ref="M222:N222"/>
    <mergeCell ref="P222:Q222"/>
    <mergeCell ref="A288:B288"/>
    <mergeCell ref="D288:E288"/>
    <mergeCell ref="G288:H288"/>
    <mergeCell ref="J288:K288"/>
    <mergeCell ref="M288:N288"/>
    <mergeCell ref="A222:B222"/>
    <mergeCell ref="D222:E222"/>
    <mergeCell ref="G222:H222"/>
    <mergeCell ref="A128:B128"/>
    <mergeCell ref="D128:E128"/>
    <mergeCell ref="J128:K128"/>
    <mergeCell ref="M128:N128"/>
    <mergeCell ref="A1:R2"/>
    <mergeCell ref="A53:B53"/>
    <mergeCell ref="D53:E53"/>
    <mergeCell ref="G53:H53"/>
    <mergeCell ref="J53:K53"/>
    <mergeCell ref="M53:N53"/>
    <mergeCell ref="P53:Q53"/>
    <mergeCell ref="D56:D59"/>
    <mergeCell ref="A69:R70"/>
    <mergeCell ref="G128:H128"/>
    <mergeCell ref="A429:R430"/>
    <mergeCell ref="A473:B473"/>
    <mergeCell ref="D473:E473"/>
    <mergeCell ref="G473:H473"/>
    <mergeCell ref="J473:K473"/>
    <mergeCell ref="M473:N473"/>
    <mergeCell ref="P473:Q473"/>
    <mergeCell ref="A505:R506"/>
    <mergeCell ref="A549:B549"/>
    <mergeCell ref="D549:E549"/>
    <mergeCell ref="G549:H549"/>
    <mergeCell ref="J549:K549"/>
    <mergeCell ref="M549:N549"/>
    <mergeCell ref="P549:Q5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DE4E-84D2-194E-A93E-287FCD4D541E}">
  <dimension ref="A1:R309"/>
  <sheetViews>
    <sheetView topLeftCell="A271" workbookViewId="0">
      <selection activeCell="H294" sqref="H294"/>
    </sheetView>
  </sheetViews>
  <sheetFormatPr defaultColWidth="11.42578125" defaultRowHeight="12.75" x14ac:dyDescent="0.2"/>
  <cols>
    <col min="1" max="1" width="11.42578125" customWidth="1"/>
    <col min="2" max="2" width="23" customWidth="1"/>
    <col min="3" max="3" width="19.28515625" customWidth="1"/>
    <col min="4" max="4" width="13.28515625" customWidth="1"/>
    <col min="5" max="5" width="25" customWidth="1"/>
    <col min="6" max="6" width="16.7109375" customWidth="1"/>
    <col min="8" max="8" width="21.42578125" customWidth="1"/>
    <col min="9" max="9" width="18.42578125" customWidth="1"/>
    <col min="12" max="12" width="19.7109375" customWidth="1"/>
    <col min="14" max="14" width="18.140625" customWidth="1"/>
    <col min="15" max="15" width="14.42578125" customWidth="1"/>
    <col min="16" max="16" width="16.140625" customWidth="1"/>
    <col min="17" max="17" width="19.7109375" customWidth="1"/>
    <col min="18" max="18" width="17.28515625" customWidth="1"/>
  </cols>
  <sheetData>
    <row r="1" spans="1:18" x14ac:dyDescent="0.2">
      <c r="A1" s="294" t="s">
        <v>0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</row>
    <row r="2" spans="1:18" x14ac:dyDescent="0.2">
      <c r="A2" s="294"/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</row>
    <row r="3" spans="1:18" x14ac:dyDescent="0.2">
      <c r="A3" s="59" t="s">
        <v>1</v>
      </c>
      <c r="B3" s="59" t="s">
        <v>2</v>
      </c>
      <c r="C3" s="59" t="s">
        <v>3</v>
      </c>
      <c r="D3" s="58" t="s">
        <v>1</v>
      </c>
      <c r="E3" s="58" t="s">
        <v>4</v>
      </c>
      <c r="F3" s="58" t="s">
        <v>3</v>
      </c>
      <c r="G3" s="55" t="s">
        <v>1</v>
      </c>
      <c r="H3" s="55" t="s">
        <v>5</v>
      </c>
      <c r="I3" s="55" t="s">
        <v>3</v>
      </c>
      <c r="J3" s="57" t="s">
        <v>1</v>
      </c>
      <c r="K3" s="57" t="s">
        <v>6</v>
      </c>
      <c r="L3" s="57" t="s">
        <v>3</v>
      </c>
      <c r="M3" s="56" t="s">
        <v>1</v>
      </c>
      <c r="N3" s="56" t="s">
        <v>7</v>
      </c>
      <c r="O3" s="56" t="s">
        <v>3</v>
      </c>
      <c r="P3" s="55" t="s">
        <v>1</v>
      </c>
      <c r="Q3" s="55" t="s">
        <v>8</v>
      </c>
      <c r="R3" s="55" t="s">
        <v>3</v>
      </c>
    </row>
    <row r="4" spans="1:18" x14ac:dyDescent="0.2">
      <c r="A4" s="65">
        <v>44593</v>
      </c>
      <c r="B4" s="41" t="s">
        <v>545</v>
      </c>
      <c r="C4" s="66">
        <v>50000</v>
      </c>
      <c r="D4" s="83">
        <v>44590</v>
      </c>
      <c r="E4" s="84" t="s">
        <v>546</v>
      </c>
      <c r="F4" s="52">
        <v>5000</v>
      </c>
      <c r="G4" s="47">
        <v>44589</v>
      </c>
      <c r="H4" s="34" t="s">
        <v>547</v>
      </c>
      <c r="I4" s="35">
        <v>65000</v>
      </c>
      <c r="J4" s="51"/>
      <c r="K4" s="32"/>
      <c r="L4" s="32"/>
      <c r="M4" s="85">
        <v>44590</v>
      </c>
      <c r="N4" s="86" t="s">
        <v>13</v>
      </c>
      <c r="O4" s="86">
        <v>20000</v>
      </c>
      <c r="P4" s="47">
        <v>44589</v>
      </c>
      <c r="Q4" s="30" t="s">
        <v>548</v>
      </c>
      <c r="R4" s="30">
        <v>13000</v>
      </c>
    </row>
    <row r="5" spans="1:18" x14ac:dyDescent="0.2">
      <c r="A5" s="33"/>
      <c r="B5" s="33"/>
      <c r="C5" s="33"/>
      <c r="D5" s="83">
        <v>44590</v>
      </c>
      <c r="E5" s="84" t="s">
        <v>549</v>
      </c>
      <c r="F5" s="52">
        <f>8000*2</f>
        <v>16000</v>
      </c>
      <c r="G5" s="47">
        <v>44596</v>
      </c>
      <c r="H5" s="34" t="s">
        <v>550</v>
      </c>
      <c r="I5" s="35">
        <v>60000</v>
      </c>
      <c r="J5" s="32"/>
      <c r="K5" s="32"/>
      <c r="L5" s="32"/>
      <c r="M5" s="31"/>
      <c r="N5" s="31"/>
      <c r="O5" s="31"/>
      <c r="P5" s="47">
        <v>44596</v>
      </c>
      <c r="Q5" s="30" t="s">
        <v>551</v>
      </c>
      <c r="R5" s="35">
        <v>400000</v>
      </c>
    </row>
    <row r="6" spans="1:18" x14ac:dyDescent="0.2">
      <c r="A6" s="33"/>
      <c r="B6" s="33"/>
      <c r="C6" s="33"/>
      <c r="D6" s="83">
        <v>44591</v>
      </c>
      <c r="E6" s="84" t="s">
        <v>552</v>
      </c>
      <c r="F6" s="52">
        <f>65000</f>
        <v>65000</v>
      </c>
      <c r="G6" s="47">
        <v>44597</v>
      </c>
      <c r="H6" s="34" t="s">
        <v>553</v>
      </c>
      <c r="I6" s="35">
        <v>600000</v>
      </c>
      <c r="J6" s="32"/>
      <c r="K6" s="32"/>
      <c r="L6" s="32"/>
      <c r="M6" s="31"/>
      <c r="N6" s="31"/>
      <c r="O6" s="31"/>
      <c r="P6" s="30"/>
      <c r="Q6" s="30"/>
      <c r="R6" s="30"/>
    </row>
    <row r="7" spans="1:18" x14ac:dyDescent="0.2">
      <c r="A7" s="33"/>
      <c r="B7" s="33"/>
      <c r="C7" s="33"/>
      <c r="D7" s="83">
        <v>44591</v>
      </c>
      <c r="E7" s="84" t="s">
        <v>418</v>
      </c>
      <c r="F7" s="52">
        <v>23000</v>
      </c>
      <c r="G7" s="30"/>
      <c r="H7" s="30"/>
      <c r="I7" s="30"/>
      <c r="J7" s="32"/>
      <c r="K7" s="32"/>
      <c r="L7" s="32"/>
      <c r="M7" s="31"/>
      <c r="N7" s="31"/>
      <c r="O7" s="31"/>
      <c r="P7" s="30"/>
      <c r="Q7" s="30"/>
      <c r="R7" s="30"/>
    </row>
    <row r="8" spans="1:18" x14ac:dyDescent="0.2">
      <c r="A8" s="33"/>
      <c r="B8" s="33"/>
      <c r="C8" s="33"/>
      <c r="D8" s="83">
        <v>44588</v>
      </c>
      <c r="E8" s="84" t="s">
        <v>554</v>
      </c>
      <c r="F8" s="52">
        <v>48000</v>
      </c>
      <c r="G8" s="30"/>
      <c r="H8" s="30"/>
      <c r="I8" s="30"/>
      <c r="J8" s="32"/>
      <c r="K8" s="32"/>
      <c r="L8" s="32"/>
      <c r="M8" s="31"/>
      <c r="N8" s="31"/>
      <c r="O8" s="31"/>
      <c r="P8" s="30"/>
      <c r="Q8" s="30"/>
      <c r="R8" s="30"/>
    </row>
    <row r="9" spans="1:18" x14ac:dyDescent="0.2">
      <c r="A9" s="59"/>
      <c r="B9" s="59"/>
      <c r="C9" s="59"/>
      <c r="D9" s="58"/>
      <c r="E9" s="58"/>
      <c r="F9" s="58"/>
      <c r="G9" s="55"/>
      <c r="H9" s="55"/>
      <c r="I9" s="55"/>
      <c r="J9" s="57"/>
      <c r="K9" s="57"/>
      <c r="L9" s="57"/>
      <c r="M9" s="56"/>
      <c r="N9" s="56"/>
      <c r="O9" s="56"/>
      <c r="P9" s="55"/>
      <c r="Q9" s="55"/>
      <c r="R9" s="55"/>
    </row>
    <row r="10" spans="1:18" x14ac:dyDescent="0.2">
      <c r="A10" s="42"/>
      <c r="B10" s="41"/>
      <c r="C10" s="54"/>
      <c r="D10" s="20"/>
      <c r="E10" s="53"/>
      <c r="F10" s="52"/>
      <c r="G10" s="17"/>
      <c r="H10" s="34"/>
      <c r="I10" s="35"/>
      <c r="J10" s="51"/>
      <c r="K10" s="32"/>
      <c r="L10" s="50"/>
      <c r="M10" s="28"/>
      <c r="N10" s="46"/>
      <c r="O10" s="48"/>
      <c r="P10" s="49"/>
      <c r="Q10" s="30"/>
      <c r="R10" s="35"/>
    </row>
    <row r="11" spans="1:18" x14ac:dyDescent="0.2">
      <c r="A11" s="42"/>
      <c r="B11" s="41"/>
      <c r="C11" s="40"/>
      <c r="D11" s="38"/>
      <c r="E11" s="37"/>
      <c r="F11" s="39"/>
      <c r="G11" s="17"/>
      <c r="H11" s="34"/>
      <c r="I11" s="35"/>
      <c r="J11" s="32"/>
      <c r="K11" s="32"/>
      <c r="L11" s="32"/>
      <c r="M11" s="28"/>
      <c r="N11" s="46"/>
      <c r="O11" s="48"/>
      <c r="P11" s="47"/>
      <c r="Q11" s="30"/>
      <c r="R11" s="35"/>
    </row>
    <row r="12" spans="1:18" s="4" customFormat="1" x14ac:dyDescent="0.2">
      <c r="A12" s="302" t="s">
        <v>93</v>
      </c>
      <c r="B12" s="302"/>
      <c r="C12" s="9">
        <f>SUM(C4:C11)</f>
        <v>50000</v>
      </c>
      <c r="D12" s="303" t="s">
        <v>94</v>
      </c>
      <c r="E12" s="303"/>
      <c r="F12" s="64">
        <f>SUM(F4:F11)</f>
        <v>157000</v>
      </c>
      <c r="G12" s="304" t="s">
        <v>95</v>
      </c>
      <c r="H12" s="304"/>
      <c r="I12" s="5">
        <f>SUM(I4:I11)</f>
        <v>725000</v>
      </c>
      <c r="J12" s="300" t="s">
        <v>96</v>
      </c>
      <c r="K12" s="300"/>
      <c r="L12" s="7">
        <f>SUM(L4:L11)</f>
        <v>0</v>
      </c>
      <c r="M12" s="301" t="s">
        <v>97</v>
      </c>
      <c r="N12" s="301"/>
      <c r="O12" s="6"/>
      <c r="P12" s="304" t="s">
        <v>98</v>
      </c>
      <c r="Q12" s="304"/>
      <c r="R12" s="5">
        <f>SUM(R4:R11)</f>
        <v>413000</v>
      </c>
    </row>
    <row r="15" spans="1:18" x14ac:dyDescent="0.2">
      <c r="A15" t="s">
        <v>99</v>
      </c>
      <c r="B15" t="s">
        <v>100</v>
      </c>
      <c r="C15" s="3">
        <v>904000</v>
      </c>
    </row>
    <row r="17" spans="1:18" x14ac:dyDescent="0.2">
      <c r="A17" t="s">
        <v>3</v>
      </c>
      <c r="B17" t="str">
        <f>A12</f>
        <v>Pengeluaran Kewajiban</v>
      </c>
      <c r="C17" s="1">
        <f>C12</f>
        <v>50000</v>
      </c>
      <c r="D17" s="204">
        <f>C17/$C$15</f>
        <v>5.5309734513274339E-2</v>
      </c>
    </row>
    <row r="18" spans="1:18" x14ac:dyDescent="0.2">
      <c r="B18" t="str">
        <f>D12</f>
        <v>Pengeluaran Makan</v>
      </c>
      <c r="C18" s="1">
        <f>F12</f>
        <v>157000</v>
      </c>
      <c r="D18" s="204">
        <f t="shared" ref="D18:D22" si="0">C18/$C$15</f>
        <v>0.17367256637168141</v>
      </c>
    </row>
    <row r="19" spans="1:18" x14ac:dyDescent="0.2">
      <c r="B19" t="str">
        <f>G12</f>
        <v>Pengeluaran Sosial</v>
      </c>
      <c r="C19" s="1">
        <f>I12</f>
        <v>725000</v>
      </c>
      <c r="D19" s="204">
        <f t="shared" si="0"/>
        <v>0.80199115044247793</v>
      </c>
    </row>
    <row r="20" spans="1:18" x14ac:dyDescent="0.2">
      <c r="B20" t="str">
        <f>J12</f>
        <v>Pengeluaran Sedekah</v>
      </c>
      <c r="C20" s="1">
        <f>L12</f>
        <v>0</v>
      </c>
      <c r="D20" s="204">
        <f t="shared" si="0"/>
        <v>0</v>
      </c>
    </row>
    <row r="21" spans="1:18" x14ac:dyDescent="0.2">
      <c r="B21" t="str">
        <f>M12</f>
        <v>Pengeluaran Transport</v>
      </c>
      <c r="C21" s="1">
        <f>O12</f>
        <v>0</v>
      </c>
      <c r="D21" s="204">
        <f t="shared" si="0"/>
        <v>0</v>
      </c>
    </row>
    <row r="22" spans="1:18" x14ac:dyDescent="0.2">
      <c r="B22" t="str">
        <f>P12</f>
        <v>Pengeluaran Sekunder</v>
      </c>
      <c r="C22" s="2">
        <f>R12</f>
        <v>413000</v>
      </c>
      <c r="D22" s="204">
        <f t="shared" si="0"/>
        <v>0.45685840707964603</v>
      </c>
    </row>
    <row r="23" spans="1:18" x14ac:dyDescent="0.2">
      <c r="C23" s="1">
        <f>C15-C17-C18-C19-C20-C21-C22</f>
        <v>-441000</v>
      </c>
    </row>
    <row r="26" spans="1:18" x14ac:dyDescent="0.2">
      <c r="A26" s="294" t="s">
        <v>103</v>
      </c>
      <c r="B26" s="294"/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</row>
    <row r="27" spans="1:18" x14ac:dyDescent="0.2">
      <c r="A27" s="294"/>
      <c r="B27" s="294"/>
      <c r="C27" s="294"/>
      <c r="D27" s="294"/>
      <c r="E27" s="294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</row>
    <row r="28" spans="1:18" x14ac:dyDescent="0.2">
      <c r="A28" s="59" t="s">
        <v>1</v>
      </c>
      <c r="B28" s="59" t="s">
        <v>2</v>
      </c>
      <c r="C28" s="59" t="s">
        <v>3</v>
      </c>
      <c r="D28" s="58" t="s">
        <v>1</v>
      </c>
      <c r="E28" s="58" t="s">
        <v>4</v>
      </c>
      <c r="F28" s="58" t="s">
        <v>3</v>
      </c>
      <c r="G28" s="55" t="s">
        <v>1</v>
      </c>
      <c r="H28" s="55" t="s">
        <v>5</v>
      </c>
      <c r="I28" s="55" t="s">
        <v>3</v>
      </c>
      <c r="J28" s="57" t="s">
        <v>1</v>
      </c>
      <c r="K28" s="57" t="s">
        <v>6</v>
      </c>
      <c r="L28" s="57" t="s">
        <v>3</v>
      </c>
      <c r="M28" s="56" t="s">
        <v>1</v>
      </c>
      <c r="N28" s="56" t="s">
        <v>7</v>
      </c>
      <c r="O28" s="56" t="s">
        <v>3</v>
      </c>
      <c r="P28" s="55" t="s">
        <v>1</v>
      </c>
      <c r="Q28" s="55" t="s">
        <v>8</v>
      </c>
      <c r="R28" s="55" t="s">
        <v>3</v>
      </c>
    </row>
    <row r="29" spans="1:18" x14ac:dyDescent="0.2">
      <c r="A29" s="65">
        <v>44598</v>
      </c>
      <c r="B29" s="41" t="s">
        <v>555</v>
      </c>
      <c r="C29" s="66">
        <v>391000</v>
      </c>
      <c r="D29" s="60">
        <v>44603</v>
      </c>
      <c r="E29" s="61" t="s">
        <v>556</v>
      </c>
      <c r="F29" s="63">
        <v>56250</v>
      </c>
      <c r="G29" s="17">
        <v>44598</v>
      </c>
      <c r="H29" s="34" t="s">
        <v>557</v>
      </c>
      <c r="I29" s="35">
        <v>102000</v>
      </c>
      <c r="J29" s="51">
        <v>44602</v>
      </c>
      <c r="K29" s="32" t="s">
        <v>558</v>
      </c>
      <c r="L29" s="140">
        <v>200000</v>
      </c>
      <c r="M29" s="119">
        <v>44610</v>
      </c>
      <c r="N29" s="120" t="s">
        <v>13</v>
      </c>
      <c r="O29" s="121">
        <v>18000</v>
      </c>
      <c r="P29" s="17">
        <v>44599</v>
      </c>
      <c r="Q29" s="34" t="s">
        <v>559</v>
      </c>
      <c r="R29" s="35">
        <v>50000</v>
      </c>
    </row>
    <row r="30" spans="1:18" x14ac:dyDescent="0.2">
      <c r="A30" s="65">
        <v>44598</v>
      </c>
      <c r="B30" s="41" t="s">
        <v>560</v>
      </c>
      <c r="C30" s="40">
        <v>1000000</v>
      </c>
      <c r="D30" s="60">
        <v>44604</v>
      </c>
      <c r="E30" s="61" t="s">
        <v>561</v>
      </c>
      <c r="F30" s="90">
        <v>62400</v>
      </c>
      <c r="G30" s="17">
        <v>44598</v>
      </c>
      <c r="H30" s="34" t="s">
        <v>562</v>
      </c>
      <c r="I30" s="89">
        <v>600000</v>
      </c>
      <c r="J30" s="32"/>
      <c r="K30" s="32"/>
      <c r="L30" s="118"/>
      <c r="M30" s="145">
        <v>44626</v>
      </c>
      <c r="N30" s="146" t="s">
        <v>13</v>
      </c>
      <c r="O30" s="147">
        <v>20000</v>
      </c>
      <c r="P30" s="91">
        <v>44599</v>
      </c>
      <c r="Q30" s="34" t="s">
        <v>563</v>
      </c>
      <c r="R30" s="35">
        <v>15000</v>
      </c>
    </row>
    <row r="31" spans="1:18" x14ac:dyDescent="0.2">
      <c r="A31" s="65">
        <v>44598</v>
      </c>
      <c r="B31" s="41" t="s">
        <v>564</v>
      </c>
      <c r="C31" s="40">
        <v>500000</v>
      </c>
      <c r="D31" s="20">
        <v>44609</v>
      </c>
      <c r="E31" s="53" t="s">
        <v>565</v>
      </c>
      <c r="F31" s="52">
        <v>70000</v>
      </c>
      <c r="G31" s="17">
        <v>44598</v>
      </c>
      <c r="H31" s="34" t="s">
        <v>566</v>
      </c>
      <c r="I31" s="89">
        <v>186000</v>
      </c>
      <c r="J31" s="32"/>
      <c r="K31" s="32"/>
      <c r="L31" s="32"/>
      <c r="M31" s="122"/>
      <c r="N31" s="123"/>
      <c r="O31" s="123"/>
      <c r="P31" s="96">
        <v>44606</v>
      </c>
      <c r="Q31" s="97" t="s">
        <v>567</v>
      </c>
      <c r="R31" s="133">
        <v>100000</v>
      </c>
    </row>
    <row r="32" spans="1:18" x14ac:dyDescent="0.2">
      <c r="A32" s="65">
        <v>44626</v>
      </c>
      <c r="B32" s="41" t="s">
        <v>568</v>
      </c>
      <c r="C32" s="40">
        <v>50000</v>
      </c>
      <c r="D32" s="20">
        <v>44609</v>
      </c>
      <c r="E32" s="53" t="s">
        <v>569</v>
      </c>
      <c r="F32" s="52">
        <v>18000</v>
      </c>
      <c r="G32" s="17">
        <v>44603</v>
      </c>
      <c r="H32" s="34" t="s">
        <v>570</v>
      </c>
      <c r="I32" s="89">
        <v>135000</v>
      </c>
      <c r="J32" s="32"/>
      <c r="K32" s="32"/>
      <c r="L32" s="32"/>
      <c r="M32" s="31"/>
      <c r="N32" s="31"/>
      <c r="O32" s="130"/>
      <c r="P32" s="127">
        <v>44607</v>
      </c>
      <c r="Q32" s="128" t="s">
        <v>68</v>
      </c>
      <c r="R32" s="129">
        <v>110000</v>
      </c>
    </row>
    <row r="33" spans="1:18" x14ac:dyDescent="0.2">
      <c r="A33" s="33"/>
      <c r="B33" s="33"/>
      <c r="C33" s="33"/>
      <c r="D33" s="20">
        <v>44610</v>
      </c>
      <c r="E33" s="53" t="s">
        <v>571</v>
      </c>
      <c r="F33" s="52">
        <v>96000</v>
      </c>
      <c r="G33" s="150">
        <v>44617</v>
      </c>
      <c r="H33" s="114" t="s">
        <v>572</v>
      </c>
      <c r="I33" s="152">
        <v>109000</v>
      </c>
      <c r="J33" s="32"/>
      <c r="K33" s="32"/>
      <c r="L33" s="32"/>
      <c r="M33" s="31"/>
      <c r="N33" s="31"/>
      <c r="O33" s="130"/>
      <c r="P33" s="127">
        <v>44620</v>
      </c>
      <c r="Q33" s="93" t="s">
        <v>573</v>
      </c>
      <c r="R33" s="137">
        <v>100000</v>
      </c>
    </row>
    <row r="34" spans="1:18" x14ac:dyDescent="0.2">
      <c r="A34" s="59"/>
      <c r="B34" s="59"/>
      <c r="C34" s="59"/>
      <c r="D34" s="20">
        <v>44611</v>
      </c>
      <c r="E34" s="53" t="s">
        <v>574</v>
      </c>
      <c r="F34" s="109">
        <v>43000</v>
      </c>
      <c r="G34" s="127">
        <v>44624</v>
      </c>
      <c r="H34" s="93" t="s">
        <v>575</v>
      </c>
      <c r="I34" s="153">
        <v>100000</v>
      </c>
      <c r="J34" s="112"/>
      <c r="K34" s="57"/>
      <c r="L34" s="57"/>
      <c r="M34" s="56"/>
      <c r="N34" s="56"/>
      <c r="O34" s="131"/>
      <c r="P34" s="127">
        <v>44625</v>
      </c>
      <c r="Q34" s="93" t="s">
        <v>576</v>
      </c>
      <c r="R34" s="148">
        <f>13000*2</f>
        <v>26000</v>
      </c>
    </row>
    <row r="35" spans="1:18" x14ac:dyDescent="0.2">
      <c r="A35" s="42"/>
      <c r="B35" s="41"/>
      <c r="C35" s="54"/>
      <c r="D35" s="117">
        <v>44617</v>
      </c>
      <c r="E35" s="106" t="s">
        <v>577</v>
      </c>
      <c r="F35" s="110">
        <v>30000</v>
      </c>
      <c r="G35" s="127">
        <v>44625</v>
      </c>
      <c r="H35" s="93" t="s">
        <v>578</v>
      </c>
      <c r="I35" s="154">
        <v>173000</v>
      </c>
      <c r="J35" s="113"/>
      <c r="K35" s="32"/>
      <c r="L35" s="50"/>
      <c r="M35" s="28"/>
      <c r="N35" s="46"/>
      <c r="O35" s="132"/>
      <c r="P35" s="93"/>
      <c r="Q35" s="93"/>
      <c r="R35" s="93"/>
    </row>
    <row r="36" spans="1:18" x14ac:dyDescent="0.2">
      <c r="A36" s="42"/>
      <c r="B36" s="41"/>
      <c r="C36" s="54"/>
      <c r="D36" s="117">
        <v>44617</v>
      </c>
      <c r="E36" s="107" t="s">
        <v>579</v>
      </c>
      <c r="F36" s="111">
        <v>19000</v>
      </c>
      <c r="G36" s="127">
        <v>44626</v>
      </c>
      <c r="H36" s="93" t="s">
        <v>580</v>
      </c>
      <c r="I36" s="154">
        <v>200000</v>
      </c>
      <c r="J36" s="113"/>
      <c r="K36" s="32"/>
      <c r="L36" s="50"/>
      <c r="M36" s="28"/>
      <c r="N36" s="46"/>
      <c r="O36" s="132"/>
      <c r="P36" s="135"/>
      <c r="Q36" s="135"/>
      <c r="R36" s="135"/>
    </row>
    <row r="37" spans="1:18" x14ac:dyDescent="0.2">
      <c r="A37" s="42"/>
      <c r="B37" s="41"/>
      <c r="C37" s="54"/>
      <c r="D37" s="117">
        <v>44617</v>
      </c>
      <c r="E37" s="107" t="s">
        <v>581</v>
      </c>
      <c r="F37" s="108">
        <v>28000</v>
      </c>
      <c r="G37" s="151"/>
      <c r="H37" s="115"/>
      <c r="I37" s="155"/>
      <c r="J37" s="51"/>
      <c r="K37" s="32"/>
      <c r="L37" s="50"/>
      <c r="M37" s="28"/>
      <c r="N37" s="46"/>
      <c r="O37" s="132"/>
      <c r="P37" s="93"/>
      <c r="Q37" s="93"/>
      <c r="R37" s="93"/>
    </row>
    <row r="38" spans="1:18" x14ac:dyDescent="0.2">
      <c r="A38" s="42"/>
      <c r="B38" s="41"/>
      <c r="C38" s="54"/>
      <c r="D38" s="20">
        <v>44620</v>
      </c>
      <c r="E38" s="53" t="s">
        <v>582</v>
      </c>
      <c r="F38" s="52">
        <v>5000</v>
      </c>
      <c r="G38" s="92"/>
      <c r="H38" s="34"/>
      <c r="I38" s="35"/>
      <c r="J38" s="51"/>
      <c r="K38" s="32"/>
      <c r="L38" s="50"/>
      <c r="M38" s="28"/>
      <c r="N38" s="46"/>
      <c r="O38" s="132"/>
      <c r="P38" s="136"/>
      <c r="Q38" s="128"/>
      <c r="R38" s="129"/>
    </row>
    <row r="39" spans="1:18" x14ac:dyDescent="0.2">
      <c r="A39" s="42"/>
      <c r="B39" s="41"/>
      <c r="C39" s="54"/>
      <c r="D39" s="20">
        <v>44620</v>
      </c>
      <c r="E39" s="53" t="s">
        <v>583</v>
      </c>
      <c r="F39" s="52">
        <v>32000</v>
      </c>
      <c r="G39" s="92"/>
      <c r="H39" s="34"/>
      <c r="I39" s="35"/>
      <c r="J39" s="51"/>
      <c r="K39" s="32"/>
      <c r="L39" s="50"/>
      <c r="M39" s="28"/>
      <c r="N39" s="46"/>
      <c r="O39" s="48"/>
      <c r="P39" s="134"/>
      <c r="Q39" s="115"/>
      <c r="R39" s="116"/>
    </row>
    <row r="40" spans="1:18" x14ac:dyDescent="0.2">
      <c r="A40" s="42"/>
      <c r="B40" s="41"/>
      <c r="C40" s="54"/>
      <c r="D40" s="20">
        <v>44620</v>
      </c>
      <c r="E40" s="53" t="s">
        <v>584</v>
      </c>
      <c r="F40" s="52">
        <v>12000</v>
      </c>
      <c r="G40" s="17"/>
      <c r="H40" s="34"/>
      <c r="I40" s="35"/>
      <c r="J40" s="51"/>
      <c r="K40" s="32"/>
      <c r="L40" s="50"/>
      <c r="M40" s="28"/>
      <c r="N40" s="46"/>
      <c r="O40" s="48"/>
      <c r="P40" s="12"/>
      <c r="Q40" s="34"/>
      <c r="R40" s="35"/>
    </row>
    <row r="41" spans="1:18" x14ac:dyDescent="0.2">
      <c r="A41" s="42"/>
      <c r="B41" s="41"/>
      <c r="C41" s="54"/>
      <c r="D41" s="20">
        <v>44620</v>
      </c>
      <c r="E41" s="53" t="s">
        <v>585</v>
      </c>
      <c r="F41" s="52">
        <v>19000</v>
      </c>
      <c r="G41" s="17"/>
      <c r="H41" s="34"/>
      <c r="I41" s="35"/>
      <c r="J41" s="51"/>
      <c r="K41" s="32"/>
      <c r="L41" s="50"/>
      <c r="M41" s="28"/>
      <c r="N41" s="46"/>
      <c r="O41" s="48"/>
      <c r="P41" s="12"/>
      <c r="Q41" s="34"/>
      <c r="R41" s="35"/>
    </row>
    <row r="42" spans="1:18" x14ac:dyDescent="0.2">
      <c r="A42" s="42"/>
      <c r="B42" s="41"/>
      <c r="C42" s="54"/>
      <c r="D42" s="117">
        <v>44603</v>
      </c>
      <c r="E42" s="107" t="s">
        <v>556</v>
      </c>
      <c r="F42" s="108">
        <v>56250</v>
      </c>
      <c r="G42" s="17"/>
      <c r="H42" s="34"/>
      <c r="I42" s="35"/>
      <c r="J42" s="51"/>
      <c r="K42" s="32"/>
      <c r="L42" s="50"/>
      <c r="M42" s="28"/>
      <c r="N42" s="46"/>
      <c r="O42" s="48"/>
      <c r="P42" s="12"/>
      <c r="Q42" s="34"/>
      <c r="R42" s="35"/>
    </row>
    <row r="43" spans="1:18" x14ac:dyDescent="0.2">
      <c r="A43" s="42"/>
      <c r="B43" s="41"/>
      <c r="C43" s="54"/>
      <c r="D43" s="117">
        <v>44604</v>
      </c>
      <c r="E43" s="107" t="s">
        <v>561</v>
      </c>
      <c r="F43" s="124">
        <v>62400</v>
      </c>
      <c r="G43" s="17"/>
      <c r="H43" s="34"/>
      <c r="I43" s="35"/>
      <c r="J43" s="51"/>
      <c r="K43" s="32"/>
      <c r="L43" s="50"/>
      <c r="M43" s="28"/>
      <c r="N43" s="46"/>
      <c r="O43" s="48"/>
      <c r="P43" s="12"/>
      <c r="Q43" s="34"/>
      <c r="R43" s="35"/>
    </row>
    <row r="44" spans="1:18" x14ac:dyDescent="0.2">
      <c r="A44" s="42"/>
      <c r="B44" s="41"/>
      <c r="C44" s="54"/>
      <c r="D44" s="117">
        <v>44616</v>
      </c>
      <c r="E44" s="107" t="s">
        <v>586</v>
      </c>
      <c r="F44" s="125">
        <v>72000</v>
      </c>
      <c r="G44" s="17"/>
      <c r="H44" s="34"/>
      <c r="I44" s="35"/>
      <c r="J44" s="51"/>
      <c r="K44" s="32"/>
      <c r="L44" s="50"/>
      <c r="M44" s="28"/>
      <c r="N44" s="46"/>
      <c r="O44" s="48"/>
      <c r="P44" s="12"/>
      <c r="Q44" s="34"/>
      <c r="R44" s="35"/>
    </row>
    <row r="45" spans="1:18" x14ac:dyDescent="0.2">
      <c r="A45" s="42"/>
      <c r="B45" s="41"/>
      <c r="C45" s="54"/>
      <c r="D45" s="126">
        <v>44617</v>
      </c>
      <c r="E45" s="107" t="s">
        <v>587</v>
      </c>
      <c r="F45" s="108">
        <v>33500</v>
      </c>
      <c r="G45" s="17"/>
      <c r="H45" s="34"/>
      <c r="I45" s="35"/>
      <c r="J45" s="51"/>
      <c r="K45" s="32"/>
      <c r="L45" s="50"/>
      <c r="M45" s="28"/>
      <c r="N45" s="46"/>
      <c r="O45" s="48"/>
      <c r="P45" s="12"/>
      <c r="Q45" s="34"/>
      <c r="R45" s="35"/>
    </row>
    <row r="46" spans="1:18" x14ac:dyDescent="0.2">
      <c r="A46" s="42"/>
      <c r="B46" s="41"/>
      <c r="C46" s="54"/>
      <c r="D46" s="126">
        <v>44617</v>
      </c>
      <c r="E46" s="107" t="s">
        <v>588</v>
      </c>
      <c r="F46" s="108">
        <v>37500</v>
      </c>
      <c r="G46" s="17"/>
      <c r="H46" s="34"/>
      <c r="I46" s="35"/>
      <c r="J46" s="51"/>
      <c r="K46" s="32"/>
      <c r="L46" s="50"/>
      <c r="M46" s="28"/>
      <c r="N46" s="46"/>
      <c r="O46" s="48"/>
      <c r="P46" s="12"/>
      <c r="Q46" s="34"/>
      <c r="R46" s="35"/>
    </row>
    <row r="47" spans="1:18" x14ac:dyDescent="0.2">
      <c r="A47" s="42"/>
      <c r="B47" s="41"/>
      <c r="C47" s="54"/>
      <c r="D47" s="20">
        <v>44626</v>
      </c>
      <c r="E47" s="53" t="s">
        <v>589</v>
      </c>
      <c r="F47" s="52">
        <f>54000+16000</f>
        <v>70000</v>
      </c>
      <c r="G47" s="17"/>
      <c r="H47" s="34"/>
      <c r="I47" s="35"/>
      <c r="J47" s="51"/>
      <c r="K47" s="32"/>
      <c r="L47" s="50"/>
      <c r="M47" s="28"/>
      <c r="N47" s="46"/>
      <c r="O47" s="48"/>
      <c r="P47" s="12"/>
      <c r="Q47" s="34"/>
      <c r="R47" s="35"/>
    </row>
    <row r="48" spans="1:18" x14ac:dyDescent="0.2">
      <c r="A48" s="42"/>
      <c r="B48" s="41"/>
      <c r="C48" s="54"/>
      <c r="D48" s="20">
        <v>44626</v>
      </c>
      <c r="E48" s="53" t="s">
        <v>159</v>
      </c>
      <c r="F48" s="52">
        <v>42000</v>
      </c>
      <c r="G48" s="17"/>
      <c r="H48" s="34"/>
      <c r="I48" s="35"/>
      <c r="J48" s="51"/>
      <c r="K48" s="32"/>
      <c r="L48" s="50"/>
      <c r="M48" s="28"/>
      <c r="N48" s="46"/>
      <c r="O48" s="48"/>
      <c r="P48" s="12"/>
      <c r="Q48" s="34"/>
      <c r="R48" s="35"/>
    </row>
    <row r="49" spans="1:18" x14ac:dyDescent="0.2">
      <c r="A49" s="42"/>
      <c r="B49" s="41"/>
      <c r="C49" s="54"/>
      <c r="D49" s="20">
        <v>44626</v>
      </c>
      <c r="E49" s="53" t="s">
        <v>590</v>
      </c>
      <c r="F49" s="52">
        <v>49000</v>
      </c>
      <c r="G49" s="17"/>
      <c r="H49" s="34"/>
      <c r="I49" s="35"/>
      <c r="J49" s="51"/>
      <c r="K49" s="32"/>
      <c r="L49" s="50"/>
      <c r="M49" s="28"/>
      <c r="N49" s="46"/>
      <c r="O49" s="48"/>
      <c r="P49" s="12"/>
      <c r="Q49" s="34"/>
      <c r="R49" s="35"/>
    </row>
    <row r="50" spans="1:18" x14ac:dyDescent="0.2">
      <c r="A50" s="42"/>
      <c r="B50" s="41"/>
      <c r="C50" s="54"/>
      <c r="D50" s="20">
        <v>44624</v>
      </c>
      <c r="E50" s="53" t="s">
        <v>78</v>
      </c>
      <c r="F50" s="52">
        <v>21000</v>
      </c>
      <c r="G50" s="17"/>
      <c r="H50" s="34"/>
      <c r="I50" s="35"/>
      <c r="J50" s="51"/>
      <c r="K50" s="32"/>
      <c r="L50" s="50"/>
      <c r="M50" s="28"/>
      <c r="N50" s="46"/>
      <c r="O50" s="48"/>
      <c r="P50" s="12"/>
      <c r="Q50" s="34"/>
      <c r="R50" s="35"/>
    </row>
    <row r="51" spans="1:18" x14ac:dyDescent="0.2">
      <c r="A51" s="42"/>
      <c r="B51" s="41"/>
      <c r="C51" s="54"/>
      <c r="D51" s="20">
        <v>44623</v>
      </c>
      <c r="E51" s="53" t="s">
        <v>591</v>
      </c>
      <c r="F51" s="52">
        <f>22000+20000+5000</f>
        <v>47000</v>
      </c>
      <c r="G51" s="17"/>
      <c r="H51" s="34"/>
      <c r="I51" s="35"/>
      <c r="J51" s="51"/>
      <c r="K51" s="32"/>
      <c r="L51" s="50"/>
      <c r="M51" s="28"/>
      <c r="N51" s="46"/>
      <c r="O51" s="48"/>
      <c r="P51" s="12"/>
      <c r="Q51" s="34"/>
      <c r="R51" s="35"/>
    </row>
    <row r="52" spans="1:18" x14ac:dyDescent="0.2">
      <c r="A52" s="42"/>
      <c r="B52" s="41"/>
      <c r="C52" s="54"/>
      <c r="D52" s="20">
        <v>44630</v>
      </c>
      <c r="E52" s="53" t="s">
        <v>592</v>
      </c>
      <c r="F52" s="52">
        <v>20000</v>
      </c>
      <c r="G52" s="17"/>
      <c r="H52" s="34"/>
      <c r="I52" s="35"/>
      <c r="J52" s="51"/>
      <c r="K52" s="32"/>
      <c r="L52" s="50"/>
      <c r="M52" s="28"/>
      <c r="N52" s="46"/>
      <c r="O52" s="48"/>
      <c r="P52" s="12"/>
      <c r="Q52" s="34"/>
      <c r="R52" s="35"/>
    </row>
    <row r="53" spans="1:18" x14ac:dyDescent="0.2">
      <c r="A53" s="42"/>
      <c r="B53" s="41"/>
      <c r="C53" s="40"/>
      <c r="D53" s="60"/>
      <c r="E53" s="61"/>
      <c r="F53" s="62"/>
      <c r="G53" s="17"/>
      <c r="H53" s="34"/>
      <c r="I53" s="35"/>
      <c r="J53" s="32"/>
      <c r="K53" s="32"/>
      <c r="L53" s="32"/>
      <c r="M53" s="28"/>
      <c r="N53" s="46"/>
      <c r="O53" s="48"/>
      <c r="P53" s="47"/>
      <c r="Q53" s="30"/>
      <c r="R53" s="35"/>
    </row>
    <row r="54" spans="1:18" x14ac:dyDescent="0.2">
      <c r="A54" s="302" t="s">
        <v>93</v>
      </c>
      <c r="B54" s="302"/>
      <c r="C54" s="9">
        <f>SUM(C29:C53)</f>
        <v>1941000</v>
      </c>
      <c r="D54" s="303" t="s">
        <v>94</v>
      </c>
      <c r="E54" s="303"/>
      <c r="F54" s="64">
        <f>SUM(F29:F53)</f>
        <v>1001300</v>
      </c>
      <c r="G54" s="304" t="s">
        <v>95</v>
      </c>
      <c r="H54" s="304"/>
      <c r="I54" s="5">
        <f>SUM(I29:I53)</f>
        <v>1605000</v>
      </c>
      <c r="J54" s="300" t="s">
        <v>96</v>
      </c>
      <c r="K54" s="300"/>
      <c r="L54" s="88">
        <f>SUM(L29:L53)</f>
        <v>200000</v>
      </c>
      <c r="M54" s="301" t="s">
        <v>97</v>
      </c>
      <c r="N54" s="301"/>
      <c r="O54" s="6">
        <f>SUM(O29:O53)</f>
        <v>38000</v>
      </c>
      <c r="P54" s="304" t="s">
        <v>98</v>
      </c>
      <c r="Q54" s="304"/>
      <c r="R54" s="5">
        <f>SUM(R29:R53)</f>
        <v>401000</v>
      </c>
    </row>
    <row r="57" spans="1:18" x14ac:dyDescent="0.2">
      <c r="A57" t="s">
        <v>99</v>
      </c>
      <c r="B57" t="s">
        <v>100</v>
      </c>
      <c r="C57" s="3">
        <v>5550000</v>
      </c>
    </row>
    <row r="58" spans="1:18" x14ac:dyDescent="0.2">
      <c r="C58" s="3"/>
    </row>
    <row r="59" spans="1:18" x14ac:dyDescent="0.2">
      <c r="A59" t="s">
        <v>3</v>
      </c>
      <c r="B59" t="str">
        <f>A54</f>
        <v>Pengeluaran Kewajiban</v>
      </c>
      <c r="C59" s="3">
        <f>C54</f>
        <v>1941000</v>
      </c>
      <c r="D59" s="204">
        <f>C59/$C$57</f>
        <v>0.34972972972972971</v>
      </c>
    </row>
    <row r="60" spans="1:18" x14ac:dyDescent="0.2">
      <c r="B60" t="str">
        <f>D54</f>
        <v>Pengeluaran Makan</v>
      </c>
      <c r="C60" s="3">
        <f>F54</f>
        <v>1001300</v>
      </c>
      <c r="D60" s="204">
        <f t="shared" ref="D60:D64" si="1">C60/$C$57</f>
        <v>0.18041441441441441</v>
      </c>
    </row>
    <row r="61" spans="1:18" x14ac:dyDescent="0.2">
      <c r="B61" t="str">
        <f>G54</f>
        <v>Pengeluaran Sosial</v>
      </c>
      <c r="C61" s="3">
        <f>I54</f>
        <v>1605000</v>
      </c>
      <c r="D61" s="204">
        <f t="shared" si="1"/>
        <v>0.28918918918918918</v>
      </c>
    </row>
    <row r="62" spans="1:18" x14ac:dyDescent="0.2">
      <c r="B62" t="str">
        <f>J54</f>
        <v>Pengeluaran Sedekah</v>
      </c>
      <c r="C62" s="3">
        <f>L54</f>
        <v>200000</v>
      </c>
      <c r="D62" s="204">
        <f t="shared" si="1"/>
        <v>3.6036036036036036E-2</v>
      </c>
    </row>
    <row r="63" spans="1:18" x14ac:dyDescent="0.2">
      <c r="B63" t="str">
        <f>M54</f>
        <v>Pengeluaran Transport</v>
      </c>
      <c r="C63" s="3">
        <f>O54</f>
        <v>38000</v>
      </c>
      <c r="D63" s="204">
        <f t="shared" si="1"/>
        <v>6.8468468468468472E-3</v>
      </c>
    </row>
    <row r="64" spans="1:18" x14ac:dyDescent="0.2">
      <c r="B64" t="str">
        <f>P54</f>
        <v>Pengeluaran Sekunder</v>
      </c>
      <c r="C64" s="87">
        <f>R54</f>
        <v>401000</v>
      </c>
      <c r="D64" s="204">
        <f t="shared" si="1"/>
        <v>7.225225225225225E-2</v>
      </c>
    </row>
    <row r="65" spans="1:18" x14ac:dyDescent="0.2">
      <c r="C65" s="1">
        <f>C57-C59-C60-C61-C62-C64-C63</f>
        <v>363700</v>
      </c>
    </row>
    <row r="68" spans="1:18" x14ac:dyDescent="0.2">
      <c r="A68" s="294" t="s">
        <v>175</v>
      </c>
      <c r="B68" s="294"/>
      <c r="C68" s="294"/>
      <c r="D68" s="294"/>
      <c r="E68" s="294"/>
      <c r="F68" s="294"/>
      <c r="G68" s="294"/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</row>
    <row r="69" spans="1:18" x14ac:dyDescent="0.2">
      <c r="A69" s="294"/>
      <c r="B69" s="294"/>
      <c r="C69" s="294"/>
      <c r="D69" s="294"/>
      <c r="E69" s="294"/>
      <c r="F69" s="294"/>
      <c r="G69" s="294"/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</row>
    <row r="70" spans="1:18" x14ac:dyDescent="0.2">
      <c r="A70" s="59" t="s">
        <v>1</v>
      </c>
      <c r="B70" s="59" t="s">
        <v>2</v>
      </c>
      <c r="C70" s="59" t="s">
        <v>3</v>
      </c>
      <c r="D70" s="58" t="s">
        <v>1</v>
      </c>
      <c r="E70" s="58" t="s">
        <v>4</v>
      </c>
      <c r="F70" s="58" t="s">
        <v>3</v>
      </c>
      <c r="G70" s="55" t="s">
        <v>1</v>
      </c>
      <c r="H70" s="55" t="s">
        <v>5</v>
      </c>
      <c r="I70" s="55" t="s">
        <v>3</v>
      </c>
      <c r="J70" s="57" t="s">
        <v>1</v>
      </c>
      <c r="K70" s="57" t="s">
        <v>6</v>
      </c>
      <c r="L70" s="57" t="s">
        <v>3</v>
      </c>
      <c r="M70" s="56" t="s">
        <v>1</v>
      </c>
      <c r="N70" s="56" t="s">
        <v>7</v>
      </c>
      <c r="O70" s="56" t="s">
        <v>3</v>
      </c>
      <c r="P70" s="55" t="s">
        <v>1</v>
      </c>
      <c r="Q70" s="55" t="s">
        <v>8</v>
      </c>
      <c r="R70" s="55" t="s">
        <v>3</v>
      </c>
    </row>
    <row r="71" spans="1:18" x14ac:dyDescent="0.2">
      <c r="A71" s="65">
        <v>44631</v>
      </c>
      <c r="B71" s="41" t="s">
        <v>564</v>
      </c>
      <c r="C71" s="66">
        <v>500000</v>
      </c>
      <c r="D71" s="60">
        <v>44605</v>
      </c>
      <c r="E71" s="61" t="s">
        <v>593</v>
      </c>
      <c r="F71" s="63">
        <f>35000+20000+10000+5000+5000</f>
        <v>75000</v>
      </c>
      <c r="G71" s="17">
        <v>44630</v>
      </c>
      <c r="H71" s="34" t="s">
        <v>594</v>
      </c>
      <c r="I71" s="35">
        <v>65000</v>
      </c>
      <c r="J71" s="51">
        <v>44630</v>
      </c>
      <c r="K71" s="32" t="s">
        <v>309</v>
      </c>
      <c r="L71" s="140"/>
      <c r="M71" s="119">
        <v>44636</v>
      </c>
      <c r="N71" s="170" t="s">
        <v>595</v>
      </c>
      <c r="O71" s="121">
        <v>7000</v>
      </c>
      <c r="P71" s="17">
        <v>44628</v>
      </c>
      <c r="Q71" s="34" t="s">
        <v>596</v>
      </c>
      <c r="R71" s="35">
        <v>79000</v>
      </c>
    </row>
    <row r="72" spans="1:18" x14ac:dyDescent="0.2">
      <c r="A72" s="65">
        <v>44631</v>
      </c>
      <c r="B72" s="41" t="s">
        <v>597</v>
      </c>
      <c r="C72" s="40">
        <v>1000000</v>
      </c>
      <c r="D72" s="60">
        <v>44636</v>
      </c>
      <c r="E72" s="61" t="s">
        <v>598</v>
      </c>
      <c r="F72" s="90">
        <f>64000</f>
        <v>64000</v>
      </c>
      <c r="G72" s="17">
        <v>44628</v>
      </c>
      <c r="H72" s="34" t="s">
        <v>599</v>
      </c>
      <c r="I72" s="89">
        <v>91000</v>
      </c>
      <c r="J72" s="32"/>
      <c r="K72" s="32"/>
      <c r="L72" s="118"/>
      <c r="M72" s="145">
        <v>44639</v>
      </c>
      <c r="N72" s="171" t="s">
        <v>600</v>
      </c>
      <c r="O72" s="147">
        <v>2000</v>
      </c>
      <c r="P72" s="91">
        <v>44630</v>
      </c>
      <c r="Q72" s="34" t="s">
        <v>601</v>
      </c>
      <c r="R72" s="35">
        <v>20000</v>
      </c>
    </row>
    <row r="73" spans="1:18" x14ac:dyDescent="0.2">
      <c r="A73" s="65">
        <v>44646</v>
      </c>
      <c r="B73" s="41" t="s">
        <v>602</v>
      </c>
      <c r="C73" s="40">
        <v>500000</v>
      </c>
      <c r="D73" s="20">
        <v>44639</v>
      </c>
      <c r="E73" s="53" t="s">
        <v>603</v>
      </c>
      <c r="F73" s="52">
        <v>80000</v>
      </c>
      <c r="G73" s="17">
        <v>44642</v>
      </c>
      <c r="H73" s="34" t="s">
        <v>604</v>
      </c>
      <c r="I73" s="89">
        <f>27000+18000</f>
        <v>45000</v>
      </c>
      <c r="J73" s="32"/>
      <c r="K73" s="32"/>
      <c r="L73" s="32"/>
      <c r="M73" s="122">
        <v>44640</v>
      </c>
      <c r="N73" s="172" t="s">
        <v>605</v>
      </c>
      <c r="O73" s="173">
        <v>3000</v>
      </c>
      <c r="P73" s="96">
        <v>44635</v>
      </c>
      <c r="Q73" s="97" t="s">
        <v>606</v>
      </c>
      <c r="R73" s="133">
        <v>90000</v>
      </c>
    </row>
    <row r="74" spans="1:18" x14ac:dyDescent="0.2">
      <c r="A74" s="65">
        <v>44646</v>
      </c>
      <c r="B74" s="41" t="s">
        <v>607</v>
      </c>
      <c r="C74" s="40">
        <v>500000</v>
      </c>
      <c r="D74" s="20">
        <v>44640</v>
      </c>
      <c r="E74" s="53" t="s">
        <v>608</v>
      </c>
      <c r="F74" s="52">
        <v>90000</v>
      </c>
      <c r="G74" s="193"/>
      <c r="H74" s="193"/>
      <c r="I74" s="193"/>
      <c r="J74" s="32"/>
      <c r="K74" s="32"/>
      <c r="L74" s="32"/>
      <c r="M74" s="139">
        <v>44653</v>
      </c>
      <c r="N74" s="46" t="s">
        <v>401</v>
      </c>
      <c r="O74" s="132">
        <v>25000</v>
      </c>
      <c r="P74" s="127">
        <v>44637</v>
      </c>
      <c r="Q74" s="128" t="s">
        <v>609</v>
      </c>
      <c r="R74" s="129">
        <v>37500</v>
      </c>
    </row>
    <row r="75" spans="1:18" x14ac:dyDescent="0.2">
      <c r="A75" s="65">
        <v>44655</v>
      </c>
      <c r="B75" s="41" t="s">
        <v>610</v>
      </c>
      <c r="C75" s="66">
        <v>50000</v>
      </c>
      <c r="D75" s="20">
        <v>44640</v>
      </c>
      <c r="E75" s="53" t="s">
        <v>611</v>
      </c>
      <c r="F75" s="52">
        <v>25000</v>
      </c>
      <c r="G75" s="193"/>
      <c r="H75" s="193"/>
      <c r="I75" s="193"/>
      <c r="J75" s="32"/>
      <c r="K75" s="32"/>
      <c r="L75" s="32"/>
      <c r="M75" s="31"/>
      <c r="N75" s="31"/>
      <c r="O75" s="130"/>
      <c r="P75" s="127">
        <v>44639</v>
      </c>
      <c r="Q75" s="93" t="s">
        <v>612</v>
      </c>
      <c r="R75" s="137">
        <v>235000</v>
      </c>
    </row>
    <row r="76" spans="1:18" x14ac:dyDescent="0.2">
      <c r="A76" s="59"/>
      <c r="B76" s="59"/>
      <c r="C76" s="59"/>
      <c r="D76" s="20">
        <v>44640</v>
      </c>
      <c r="E76" s="53" t="s">
        <v>613</v>
      </c>
      <c r="F76" s="109">
        <v>3000</v>
      </c>
      <c r="G76" s="190"/>
      <c r="H76" s="191"/>
      <c r="I76" s="192"/>
      <c r="J76" s="112"/>
      <c r="K76" s="57"/>
      <c r="L76" s="57"/>
      <c r="M76" s="56"/>
      <c r="N76" s="56"/>
      <c r="O76" s="131"/>
      <c r="P76" s="127">
        <v>44641</v>
      </c>
      <c r="Q76" s="93" t="s">
        <v>614</v>
      </c>
      <c r="R76" s="148">
        <v>149900</v>
      </c>
    </row>
    <row r="77" spans="1:18" x14ac:dyDescent="0.2">
      <c r="A77" s="42"/>
      <c r="B77" s="41"/>
      <c r="C77" s="54"/>
      <c r="D77" s="60">
        <v>44644</v>
      </c>
      <c r="E77" s="61" t="s">
        <v>615</v>
      </c>
      <c r="F77" s="90">
        <v>6000</v>
      </c>
      <c r="G77" s="127"/>
      <c r="H77" s="93"/>
      <c r="I77" s="154"/>
      <c r="J77" s="113"/>
      <c r="K77" s="32"/>
      <c r="L77" s="50"/>
      <c r="M77" s="28"/>
      <c r="N77" s="46"/>
      <c r="O77" s="132"/>
      <c r="P77" s="127">
        <v>44641</v>
      </c>
      <c r="Q77" s="93" t="s">
        <v>616</v>
      </c>
      <c r="R77" s="137">
        <v>40999</v>
      </c>
    </row>
    <row r="78" spans="1:18" x14ac:dyDescent="0.2">
      <c r="A78" s="42"/>
      <c r="B78" s="41"/>
      <c r="C78" s="54"/>
      <c r="D78" s="60">
        <v>44644</v>
      </c>
      <c r="E78" s="188" t="s">
        <v>617</v>
      </c>
      <c r="F78" s="189">
        <v>11000</v>
      </c>
      <c r="G78" s="127"/>
      <c r="H78" s="93"/>
      <c r="I78" s="154"/>
      <c r="J78" s="113"/>
      <c r="K78" s="32"/>
      <c r="L78" s="50"/>
      <c r="M78" s="28"/>
      <c r="N78" s="46"/>
      <c r="O78" s="132"/>
      <c r="P78" s="174">
        <v>44642</v>
      </c>
      <c r="Q78" s="135" t="s">
        <v>618</v>
      </c>
      <c r="R78" s="175">
        <f>25000+15000</f>
        <v>40000</v>
      </c>
    </row>
    <row r="79" spans="1:18" x14ac:dyDescent="0.2">
      <c r="A79" s="42"/>
      <c r="B79" s="41"/>
      <c r="C79" s="54"/>
      <c r="D79" s="117">
        <v>44645</v>
      </c>
      <c r="E79" s="107" t="s">
        <v>619</v>
      </c>
      <c r="F79" s="108">
        <f>40000+10000+5000+5000+10000+20000+10000</f>
        <v>100000</v>
      </c>
      <c r="G79" s="151"/>
      <c r="H79" s="115"/>
      <c r="I79" s="155"/>
      <c r="J79" s="51"/>
      <c r="K79" s="32"/>
      <c r="L79" s="50"/>
      <c r="M79" s="28"/>
      <c r="N79" s="46"/>
      <c r="O79" s="132"/>
      <c r="P79" s="127">
        <v>44644</v>
      </c>
      <c r="Q79" s="93" t="s">
        <v>620</v>
      </c>
      <c r="R79" s="137">
        <v>50000</v>
      </c>
    </row>
    <row r="80" spans="1:18" x14ac:dyDescent="0.2">
      <c r="A80" s="42"/>
      <c r="B80" s="41"/>
      <c r="C80" s="54"/>
      <c r="D80" s="20">
        <v>44655</v>
      </c>
      <c r="E80" s="53" t="s">
        <v>621</v>
      </c>
      <c r="F80" s="52">
        <v>12000</v>
      </c>
      <c r="G80" s="92"/>
      <c r="H80" s="34"/>
      <c r="I80" s="35"/>
      <c r="J80" s="51"/>
      <c r="K80" s="32"/>
      <c r="L80" s="50"/>
      <c r="M80" s="28"/>
      <c r="N80" s="46"/>
      <c r="O80" s="132"/>
      <c r="P80" s="136">
        <v>44644</v>
      </c>
      <c r="Q80" s="128" t="s">
        <v>622</v>
      </c>
      <c r="R80" s="129">
        <v>20000</v>
      </c>
    </row>
    <row r="81" spans="1:18" x14ac:dyDescent="0.2">
      <c r="A81" s="42"/>
      <c r="B81" s="41"/>
      <c r="C81" s="54"/>
      <c r="D81" s="20"/>
      <c r="E81" s="53"/>
      <c r="F81" s="52"/>
      <c r="G81" s="92"/>
      <c r="H81" s="34"/>
      <c r="I81" s="35"/>
      <c r="J81" s="51"/>
      <c r="K81" s="32"/>
      <c r="L81" s="50"/>
      <c r="M81" s="28"/>
      <c r="N81" s="46"/>
      <c r="O81" s="48"/>
      <c r="P81" s="134"/>
      <c r="Q81" s="115"/>
      <c r="R81" s="116"/>
    </row>
    <row r="82" spans="1:18" x14ac:dyDescent="0.2">
      <c r="A82" s="42"/>
      <c r="B82" s="41"/>
      <c r="C82" s="54"/>
      <c r="D82" s="20"/>
      <c r="E82" s="53"/>
      <c r="F82" s="52"/>
      <c r="G82" s="17"/>
      <c r="H82" s="34"/>
      <c r="I82" s="35"/>
      <c r="J82" s="51"/>
      <c r="K82" s="32"/>
      <c r="L82" s="50"/>
      <c r="M82" s="28"/>
      <c r="N82" s="46"/>
      <c r="O82" s="48"/>
      <c r="P82" s="12"/>
      <c r="Q82" s="34"/>
      <c r="R82" s="35"/>
    </row>
    <row r="83" spans="1:18" x14ac:dyDescent="0.2">
      <c r="A83" s="42"/>
      <c r="B83" s="41"/>
      <c r="C83" s="54"/>
      <c r="D83" s="20"/>
      <c r="E83" s="53"/>
      <c r="F83" s="52"/>
      <c r="G83" s="17"/>
      <c r="H83" s="34"/>
      <c r="I83" s="35"/>
      <c r="J83" s="51"/>
      <c r="K83" s="32"/>
      <c r="L83" s="50"/>
      <c r="M83" s="28"/>
      <c r="N83" s="46"/>
      <c r="O83" s="48"/>
      <c r="P83" s="12"/>
      <c r="Q83" s="34"/>
      <c r="R83" s="35"/>
    </row>
    <row r="84" spans="1:18" x14ac:dyDescent="0.2">
      <c r="A84" s="42"/>
      <c r="B84" s="41"/>
      <c r="C84" s="54"/>
      <c r="D84" s="117"/>
      <c r="E84" s="107"/>
      <c r="F84" s="108"/>
      <c r="G84" s="17"/>
      <c r="H84" s="34"/>
      <c r="I84" s="35"/>
      <c r="J84" s="51"/>
      <c r="K84" s="32"/>
      <c r="L84" s="50"/>
      <c r="M84" s="28"/>
      <c r="N84" s="46"/>
      <c r="O84" s="48"/>
      <c r="P84" s="12"/>
      <c r="Q84" s="34"/>
      <c r="R84" s="35"/>
    </row>
    <row r="85" spans="1:18" x14ac:dyDescent="0.2">
      <c r="A85" s="42"/>
      <c r="B85" s="41"/>
      <c r="C85" s="54"/>
      <c r="D85" s="117"/>
      <c r="E85" s="107"/>
      <c r="F85" s="124"/>
      <c r="G85" s="17"/>
      <c r="H85" s="34"/>
      <c r="I85" s="35"/>
      <c r="J85" s="51"/>
      <c r="K85" s="32"/>
      <c r="L85" s="50"/>
      <c r="M85" s="28"/>
      <c r="N85" s="46"/>
      <c r="O85" s="48"/>
      <c r="P85" s="12"/>
      <c r="Q85" s="34"/>
      <c r="R85" s="35"/>
    </row>
    <row r="86" spans="1:18" x14ac:dyDescent="0.2">
      <c r="A86" s="42"/>
      <c r="B86" s="41"/>
      <c r="C86" s="54"/>
      <c r="D86" s="117"/>
      <c r="E86" s="107"/>
      <c r="F86" s="125"/>
      <c r="G86" s="17"/>
      <c r="H86" s="34"/>
      <c r="I86" s="35"/>
      <c r="J86" s="51"/>
      <c r="K86" s="32"/>
      <c r="L86" s="50"/>
      <c r="M86" s="28"/>
      <c r="N86" s="46"/>
      <c r="O86" s="48"/>
      <c r="P86" s="12"/>
      <c r="Q86" s="34"/>
      <c r="R86" s="35"/>
    </row>
    <row r="87" spans="1:18" x14ac:dyDescent="0.2">
      <c r="A87" s="42"/>
      <c r="B87" s="41"/>
      <c r="C87" s="54"/>
      <c r="D87" s="126"/>
      <c r="E87" s="107"/>
      <c r="F87" s="108"/>
      <c r="G87" s="17"/>
      <c r="H87" s="34"/>
      <c r="I87" s="35"/>
      <c r="J87" s="51"/>
      <c r="K87" s="32"/>
      <c r="L87" s="50"/>
      <c r="M87" s="28"/>
      <c r="N87" s="46"/>
      <c r="O87" s="48"/>
      <c r="P87" s="12"/>
      <c r="Q87" s="34"/>
      <c r="R87" s="35"/>
    </row>
    <row r="88" spans="1:18" x14ac:dyDescent="0.2">
      <c r="A88" s="42"/>
      <c r="B88" s="41"/>
      <c r="C88" s="54"/>
      <c r="D88" s="126"/>
      <c r="E88" s="107"/>
      <c r="F88" s="108"/>
      <c r="G88" s="17"/>
      <c r="H88" s="34"/>
      <c r="I88" s="35"/>
      <c r="J88" s="51"/>
      <c r="K88" s="32"/>
      <c r="L88" s="50"/>
      <c r="M88" s="28"/>
      <c r="N88" s="46"/>
      <c r="O88" s="48"/>
      <c r="P88" s="12"/>
      <c r="Q88" s="34"/>
      <c r="R88" s="35"/>
    </row>
    <row r="89" spans="1:18" x14ac:dyDescent="0.2">
      <c r="A89" s="42"/>
      <c r="B89" s="41"/>
      <c r="C89" s="54"/>
      <c r="D89" s="20"/>
      <c r="E89" s="53"/>
      <c r="F89" s="52"/>
      <c r="G89" s="17"/>
      <c r="H89" s="34"/>
      <c r="I89" s="35"/>
      <c r="J89" s="51"/>
      <c r="K89" s="32"/>
      <c r="L89" s="50"/>
      <c r="M89" s="28"/>
      <c r="N89" s="46"/>
      <c r="O89" s="48"/>
      <c r="P89" s="12"/>
      <c r="Q89" s="34"/>
      <c r="R89" s="35"/>
    </row>
    <row r="90" spans="1:18" x14ac:dyDescent="0.2">
      <c r="A90" s="42"/>
      <c r="B90" s="41"/>
      <c r="C90" s="54"/>
      <c r="D90" s="20"/>
      <c r="E90" s="53"/>
      <c r="F90" s="52"/>
      <c r="G90" s="17"/>
      <c r="H90" s="34"/>
      <c r="I90" s="35"/>
      <c r="J90" s="51"/>
      <c r="K90" s="32"/>
      <c r="L90" s="50"/>
      <c r="M90" s="28"/>
      <c r="N90" s="46"/>
      <c r="O90" s="48"/>
      <c r="P90" s="12"/>
      <c r="Q90" s="34"/>
      <c r="R90" s="35"/>
    </row>
    <row r="91" spans="1:18" x14ac:dyDescent="0.2">
      <c r="A91" s="42"/>
      <c r="B91" s="41"/>
      <c r="C91" s="54"/>
      <c r="D91" s="20"/>
      <c r="E91" s="53"/>
      <c r="F91" s="52"/>
      <c r="G91" s="17"/>
      <c r="H91" s="34"/>
      <c r="I91" s="35"/>
      <c r="J91" s="51"/>
      <c r="K91" s="32"/>
      <c r="L91" s="50"/>
      <c r="M91" s="28"/>
      <c r="N91" s="46"/>
      <c r="O91" s="48"/>
      <c r="P91" s="12"/>
      <c r="Q91" s="34"/>
      <c r="R91" s="35"/>
    </row>
    <row r="92" spans="1:18" x14ac:dyDescent="0.2">
      <c r="A92" s="42"/>
      <c r="B92" s="41"/>
      <c r="C92" s="54"/>
      <c r="D92" s="20"/>
      <c r="E92" s="53"/>
      <c r="F92" s="52"/>
      <c r="G92" s="17"/>
      <c r="H92" s="34"/>
      <c r="I92" s="35"/>
      <c r="J92" s="51"/>
      <c r="K92" s="32"/>
      <c r="L92" s="50"/>
      <c r="M92" s="28"/>
      <c r="N92" s="46"/>
      <c r="O92" s="48"/>
      <c r="P92" s="12"/>
      <c r="Q92" s="34"/>
      <c r="R92" s="35"/>
    </row>
    <row r="93" spans="1:18" x14ac:dyDescent="0.2">
      <c r="A93" s="42"/>
      <c r="B93" s="41"/>
      <c r="C93" s="54"/>
      <c r="D93" s="20"/>
      <c r="E93" s="53"/>
      <c r="F93" s="52"/>
      <c r="G93" s="17"/>
      <c r="H93" s="34"/>
      <c r="I93" s="35"/>
      <c r="J93" s="51"/>
      <c r="K93" s="32"/>
      <c r="L93" s="50"/>
      <c r="M93" s="28"/>
      <c r="N93" s="46"/>
      <c r="O93" s="48"/>
      <c r="P93" s="12"/>
      <c r="Q93" s="34"/>
      <c r="R93" s="35"/>
    </row>
    <row r="94" spans="1:18" x14ac:dyDescent="0.2">
      <c r="A94" s="42"/>
      <c r="B94" s="41"/>
      <c r="C94" s="54"/>
      <c r="D94" s="20"/>
      <c r="E94" s="53"/>
      <c r="F94" s="52"/>
      <c r="G94" s="17"/>
      <c r="H94" s="34"/>
      <c r="I94" s="35"/>
      <c r="J94" s="51"/>
      <c r="K94" s="32"/>
      <c r="L94" s="50"/>
      <c r="M94" s="28"/>
      <c r="N94" s="46"/>
      <c r="O94" s="48"/>
      <c r="P94" s="12"/>
      <c r="Q94" s="34"/>
      <c r="R94" s="35"/>
    </row>
    <row r="95" spans="1:18" x14ac:dyDescent="0.2">
      <c r="A95" s="42"/>
      <c r="B95" s="41"/>
      <c r="C95" s="40"/>
      <c r="D95" s="60"/>
      <c r="E95" s="61"/>
      <c r="F95" s="62"/>
      <c r="G95" s="17"/>
      <c r="H95" s="34"/>
      <c r="I95" s="35"/>
      <c r="J95" s="32"/>
      <c r="K95" s="32"/>
      <c r="L95" s="32"/>
      <c r="M95" s="28"/>
      <c r="N95" s="46"/>
      <c r="O95" s="48"/>
      <c r="P95" s="47"/>
      <c r="Q95" s="30"/>
      <c r="R95" s="35"/>
    </row>
    <row r="96" spans="1:18" x14ac:dyDescent="0.2">
      <c r="A96" s="302" t="s">
        <v>93</v>
      </c>
      <c r="B96" s="302"/>
      <c r="C96" s="9">
        <f>SUM(C71:C95)</f>
        <v>2550000</v>
      </c>
      <c r="D96" s="303" t="s">
        <v>94</v>
      </c>
      <c r="E96" s="303"/>
      <c r="F96" s="8">
        <f>SUM(F71:F95)</f>
        <v>466000</v>
      </c>
      <c r="G96" s="304" t="s">
        <v>95</v>
      </c>
      <c r="H96" s="304"/>
      <c r="I96" s="5">
        <f>SUM(I71:I95)</f>
        <v>201000</v>
      </c>
      <c r="J96" s="300" t="s">
        <v>96</v>
      </c>
      <c r="K96" s="300"/>
      <c r="L96" s="88">
        <f>SUM(L71:L95)</f>
        <v>0</v>
      </c>
      <c r="M96" s="301" t="s">
        <v>97</v>
      </c>
      <c r="N96" s="301"/>
      <c r="O96" s="6">
        <f>SUM(O71:O95)</f>
        <v>37000</v>
      </c>
      <c r="P96" s="304" t="s">
        <v>98</v>
      </c>
      <c r="Q96" s="304"/>
      <c r="R96" s="5">
        <f>SUM(R71:R95)</f>
        <v>762399</v>
      </c>
    </row>
    <row r="99" spans="1:4" x14ac:dyDescent="0.2">
      <c r="A99" t="s">
        <v>99</v>
      </c>
      <c r="B99" t="s">
        <v>100</v>
      </c>
      <c r="C99" s="3">
        <v>4000000</v>
      </c>
      <c r="D99" s="305">
        <f>C99+C100</f>
        <v>4363700</v>
      </c>
    </row>
    <row r="100" spans="1:4" x14ac:dyDescent="0.2">
      <c r="B100" t="s">
        <v>623</v>
      </c>
      <c r="C100" s="3">
        <v>363700</v>
      </c>
      <c r="D100" s="316"/>
    </row>
    <row r="101" spans="1:4" x14ac:dyDescent="0.2">
      <c r="C101" s="3"/>
    </row>
    <row r="102" spans="1:4" x14ac:dyDescent="0.2">
      <c r="A102" t="s">
        <v>3</v>
      </c>
      <c r="B102" t="str">
        <f>A96</f>
        <v>Pengeluaran Kewajiban</v>
      </c>
      <c r="C102" s="3">
        <f>C96</f>
        <v>2550000</v>
      </c>
      <c r="D102" s="204">
        <f>C102/$D$99</f>
        <v>0.58436647798886265</v>
      </c>
    </row>
    <row r="103" spans="1:4" x14ac:dyDescent="0.2">
      <c r="B103" t="str">
        <f>D96</f>
        <v>Pengeluaran Makan</v>
      </c>
      <c r="C103" s="3">
        <f>F96</f>
        <v>466000</v>
      </c>
      <c r="D103" s="204">
        <f t="shared" ref="D103:D107" si="2">C103/$D$99</f>
        <v>0.10679010931090588</v>
      </c>
    </row>
    <row r="104" spans="1:4" x14ac:dyDescent="0.2">
      <c r="B104" t="str">
        <f>G96</f>
        <v>Pengeluaran Sosial</v>
      </c>
      <c r="C104" s="3">
        <f>I96</f>
        <v>201000</v>
      </c>
      <c r="D104" s="204">
        <f t="shared" si="2"/>
        <v>4.6061828265004469E-2</v>
      </c>
    </row>
    <row r="105" spans="1:4" x14ac:dyDescent="0.2">
      <c r="B105" t="str">
        <f>J96</f>
        <v>Pengeluaran Sedekah</v>
      </c>
      <c r="C105" s="3">
        <f>L96</f>
        <v>0</v>
      </c>
      <c r="D105" s="204">
        <f t="shared" si="2"/>
        <v>0</v>
      </c>
    </row>
    <row r="106" spans="1:4" x14ac:dyDescent="0.2">
      <c r="B106" t="str">
        <f>M96</f>
        <v>Pengeluaran Transport</v>
      </c>
      <c r="C106" s="3">
        <f>O96</f>
        <v>37000</v>
      </c>
      <c r="D106" s="204">
        <f t="shared" si="2"/>
        <v>8.4790430139560467E-3</v>
      </c>
    </row>
    <row r="107" spans="1:4" x14ac:dyDescent="0.2">
      <c r="B107" t="str">
        <f>P96</f>
        <v>Pengeluaran Sekunder</v>
      </c>
      <c r="C107" s="87">
        <f>R96</f>
        <v>762399</v>
      </c>
      <c r="D107" s="204">
        <f t="shared" si="2"/>
        <v>0.17471388958911016</v>
      </c>
    </row>
    <row r="108" spans="1:4" x14ac:dyDescent="0.2">
      <c r="C108" s="1">
        <f>C99-C102-C103-C104-C105-C107-C106+C100</f>
        <v>347301</v>
      </c>
    </row>
    <row r="109" spans="1:4" x14ac:dyDescent="0.2">
      <c r="B109" s="1" t="s">
        <v>624</v>
      </c>
      <c r="C109" s="102">
        <v>363700</v>
      </c>
    </row>
    <row r="110" spans="1:4" x14ac:dyDescent="0.2">
      <c r="B110" s="1"/>
      <c r="C110" s="169">
        <f>C108-C109</f>
        <v>-16399</v>
      </c>
    </row>
    <row r="111" spans="1:4" x14ac:dyDescent="0.2">
      <c r="B111" s="1"/>
      <c r="C111" s="169"/>
    </row>
    <row r="112" spans="1:4" x14ac:dyDescent="0.2">
      <c r="B112" s="1"/>
    </row>
    <row r="113" spans="1:18" x14ac:dyDescent="0.2">
      <c r="A113" s="294" t="s">
        <v>242</v>
      </c>
      <c r="B113" s="294"/>
      <c r="C113" s="294"/>
      <c r="D113" s="294"/>
      <c r="E113" s="294"/>
      <c r="F113" s="294"/>
      <c r="G113" s="294"/>
      <c r="H113" s="294"/>
      <c r="I113" s="294"/>
      <c r="J113" s="294"/>
      <c r="K113" s="294"/>
      <c r="L113" s="294"/>
      <c r="M113" s="294"/>
      <c r="N113" s="294"/>
      <c r="O113" s="294"/>
      <c r="P113" s="294"/>
      <c r="Q113" s="294"/>
      <c r="R113" s="294"/>
    </row>
    <row r="114" spans="1:18" x14ac:dyDescent="0.2">
      <c r="A114" s="294"/>
      <c r="B114" s="294"/>
      <c r="C114" s="294"/>
      <c r="D114" s="294"/>
      <c r="E114" s="294"/>
      <c r="F114" s="294"/>
      <c r="G114" s="294"/>
      <c r="H114" s="294"/>
      <c r="I114" s="294"/>
      <c r="J114" s="294"/>
      <c r="K114" s="294"/>
      <c r="L114" s="294"/>
      <c r="M114" s="294"/>
      <c r="N114" s="294"/>
      <c r="O114" s="294"/>
      <c r="P114" s="294"/>
      <c r="Q114" s="294"/>
      <c r="R114" s="294"/>
    </row>
    <row r="115" spans="1:18" x14ac:dyDescent="0.2">
      <c r="A115" s="59" t="s">
        <v>1</v>
      </c>
      <c r="B115" s="59" t="s">
        <v>2</v>
      </c>
      <c r="C115" s="59" t="s">
        <v>3</v>
      </c>
      <c r="D115" s="58" t="s">
        <v>1</v>
      </c>
      <c r="E115" s="58" t="s">
        <v>4</v>
      </c>
      <c r="F115" s="58" t="s">
        <v>3</v>
      </c>
      <c r="G115" s="55" t="s">
        <v>1</v>
      </c>
      <c r="H115" s="55" t="s">
        <v>5</v>
      </c>
      <c r="I115" s="55" t="s">
        <v>3</v>
      </c>
      <c r="J115" s="57" t="s">
        <v>1</v>
      </c>
      <c r="K115" s="57" t="s">
        <v>6</v>
      </c>
      <c r="L115" s="57" t="s">
        <v>3</v>
      </c>
      <c r="M115" s="56" t="s">
        <v>1</v>
      </c>
      <c r="N115" s="56" t="s">
        <v>7</v>
      </c>
      <c r="O115" s="56" t="s">
        <v>3</v>
      </c>
      <c r="P115" s="55" t="s">
        <v>1</v>
      </c>
      <c r="Q115" s="55" t="s">
        <v>8</v>
      </c>
      <c r="R115" s="55" t="s">
        <v>3</v>
      </c>
    </row>
    <row r="116" spans="1:18" x14ac:dyDescent="0.2">
      <c r="A116" s="65">
        <v>44662</v>
      </c>
      <c r="B116" s="41" t="s">
        <v>564</v>
      </c>
      <c r="C116" s="66">
        <v>500000</v>
      </c>
      <c r="D116" s="60">
        <v>44661</v>
      </c>
      <c r="E116" s="61" t="s">
        <v>625</v>
      </c>
      <c r="F116" s="63">
        <f>81400+3000</f>
        <v>84400</v>
      </c>
      <c r="G116" s="17">
        <v>44657</v>
      </c>
      <c r="H116" s="34" t="s">
        <v>626</v>
      </c>
      <c r="I116" s="35">
        <v>175900</v>
      </c>
      <c r="J116" s="51"/>
      <c r="K116" s="32"/>
      <c r="L116" s="140"/>
      <c r="M116" s="119">
        <v>44660</v>
      </c>
      <c r="N116" s="170" t="s">
        <v>627</v>
      </c>
      <c r="O116" s="121">
        <v>2000</v>
      </c>
      <c r="P116" s="17">
        <v>44656</v>
      </c>
      <c r="Q116" s="34" t="s">
        <v>628</v>
      </c>
      <c r="R116" s="35">
        <v>130000</v>
      </c>
    </row>
    <row r="117" spans="1:18" x14ac:dyDescent="0.2">
      <c r="A117" s="65">
        <v>44662</v>
      </c>
      <c r="B117" s="41" t="s">
        <v>597</v>
      </c>
      <c r="C117" s="40">
        <v>1000000</v>
      </c>
      <c r="D117" s="60">
        <v>44660</v>
      </c>
      <c r="E117" s="61" t="s">
        <v>629</v>
      </c>
      <c r="F117" s="90">
        <f>37000+15000</f>
        <v>52000</v>
      </c>
      <c r="G117" s="17">
        <v>44660</v>
      </c>
      <c r="H117" s="34" t="s">
        <v>630</v>
      </c>
      <c r="I117" s="89">
        <f>10000+50000</f>
        <v>60000</v>
      </c>
      <c r="J117" s="32"/>
      <c r="K117" s="32"/>
      <c r="L117" s="118"/>
      <c r="M117" s="145">
        <v>44660</v>
      </c>
      <c r="N117" s="171" t="s">
        <v>631</v>
      </c>
      <c r="O117" s="147">
        <v>100000</v>
      </c>
      <c r="P117" s="91">
        <v>44656</v>
      </c>
      <c r="Q117" s="34" t="s">
        <v>632</v>
      </c>
      <c r="R117" s="35">
        <v>132000</v>
      </c>
    </row>
    <row r="118" spans="1:18" x14ac:dyDescent="0.2">
      <c r="A118" s="65">
        <v>44661</v>
      </c>
      <c r="B118" s="41" t="s">
        <v>610</v>
      </c>
      <c r="C118" s="66">
        <v>50000</v>
      </c>
      <c r="D118" s="20">
        <v>44661</v>
      </c>
      <c r="E118" s="53" t="s">
        <v>633</v>
      </c>
      <c r="F118" s="52">
        <f>31000+17500</f>
        <v>48500</v>
      </c>
      <c r="G118" s="17">
        <v>44675</v>
      </c>
      <c r="H118" s="34" t="s">
        <v>634</v>
      </c>
      <c r="I118" s="89">
        <v>50000</v>
      </c>
      <c r="J118" s="32"/>
      <c r="K118" s="32"/>
      <c r="L118" s="32"/>
      <c r="M118" s="122"/>
      <c r="N118" s="172"/>
      <c r="O118" s="173"/>
      <c r="P118" s="96">
        <v>44661</v>
      </c>
      <c r="Q118" s="97" t="s">
        <v>635</v>
      </c>
      <c r="R118" s="133">
        <v>289700</v>
      </c>
    </row>
    <row r="119" spans="1:18" x14ac:dyDescent="0.2">
      <c r="A119" s="65">
        <v>44661</v>
      </c>
      <c r="B119" s="41" t="s">
        <v>636</v>
      </c>
      <c r="C119" s="40">
        <v>150000</v>
      </c>
      <c r="D119" s="20">
        <v>44660</v>
      </c>
      <c r="E119" s="53" t="s">
        <v>637</v>
      </c>
      <c r="F119" s="52">
        <v>50000</v>
      </c>
      <c r="G119" s="193"/>
      <c r="H119" s="193"/>
      <c r="I119" s="193"/>
      <c r="J119" s="32"/>
      <c r="K119" s="32"/>
      <c r="L119" s="32"/>
      <c r="M119" s="139"/>
      <c r="N119" s="46"/>
      <c r="O119" s="132"/>
      <c r="P119" s="127">
        <v>44669</v>
      </c>
      <c r="Q119" s="128" t="s">
        <v>638</v>
      </c>
      <c r="R119" s="129">
        <v>40000</v>
      </c>
    </row>
    <row r="120" spans="1:18" x14ac:dyDescent="0.2">
      <c r="A120" s="65">
        <v>44685</v>
      </c>
      <c r="B120" s="41" t="s">
        <v>639</v>
      </c>
      <c r="C120" s="66">
        <v>265000</v>
      </c>
      <c r="D120" s="20">
        <v>44660</v>
      </c>
      <c r="E120" s="53" t="s">
        <v>640</v>
      </c>
      <c r="F120" s="52">
        <v>56000</v>
      </c>
      <c r="G120" s="193"/>
      <c r="H120" s="193"/>
      <c r="I120" s="193"/>
      <c r="J120" s="32"/>
      <c r="K120" s="32"/>
      <c r="L120" s="32"/>
      <c r="M120" s="31"/>
      <c r="N120" s="31"/>
      <c r="O120" s="130"/>
      <c r="P120" s="127">
        <v>44669</v>
      </c>
      <c r="Q120" s="93" t="s">
        <v>641</v>
      </c>
      <c r="R120" s="137">
        <v>35000</v>
      </c>
    </row>
    <row r="121" spans="1:18" x14ac:dyDescent="0.2">
      <c r="A121" s="59"/>
      <c r="B121" s="59"/>
      <c r="C121" s="59"/>
      <c r="D121" s="20">
        <v>44666</v>
      </c>
      <c r="E121" s="53" t="s">
        <v>642</v>
      </c>
      <c r="F121" s="109">
        <v>127000</v>
      </c>
      <c r="G121" s="190"/>
      <c r="H121" s="191"/>
      <c r="I121" s="192"/>
      <c r="J121" s="112"/>
      <c r="K121" s="57"/>
      <c r="L121" s="57"/>
      <c r="M121" s="56"/>
      <c r="N121" s="56"/>
      <c r="O121" s="131"/>
      <c r="P121" s="127">
        <v>44674</v>
      </c>
      <c r="Q121" s="93" t="s">
        <v>13</v>
      </c>
      <c r="R121" s="148">
        <v>25000</v>
      </c>
    </row>
    <row r="122" spans="1:18" x14ac:dyDescent="0.2">
      <c r="A122" s="42"/>
      <c r="B122" s="41"/>
      <c r="C122" s="54"/>
      <c r="D122" s="60">
        <v>44667</v>
      </c>
      <c r="E122" s="61" t="s">
        <v>643</v>
      </c>
      <c r="F122" s="90">
        <v>7000</v>
      </c>
      <c r="G122" s="127"/>
      <c r="H122" s="93"/>
      <c r="I122" s="154"/>
      <c r="J122" s="113"/>
      <c r="K122" s="32"/>
      <c r="L122" s="50"/>
      <c r="M122" s="28"/>
      <c r="N122" s="46"/>
      <c r="O122" s="132"/>
      <c r="P122" s="127">
        <v>44675</v>
      </c>
      <c r="Q122" s="93" t="s">
        <v>644</v>
      </c>
      <c r="R122" s="137">
        <v>275000</v>
      </c>
    </row>
    <row r="123" spans="1:18" x14ac:dyDescent="0.2">
      <c r="A123" s="42"/>
      <c r="B123" s="41"/>
      <c r="C123" s="54"/>
      <c r="D123" s="60">
        <v>44667</v>
      </c>
      <c r="E123" s="188" t="s">
        <v>645</v>
      </c>
      <c r="F123" s="189">
        <v>50000</v>
      </c>
      <c r="G123" s="127"/>
      <c r="H123" s="93"/>
      <c r="I123" s="154"/>
      <c r="J123" s="113"/>
      <c r="K123" s="32"/>
      <c r="L123" s="50"/>
      <c r="M123" s="28"/>
      <c r="N123" s="46"/>
      <c r="O123" s="132"/>
      <c r="P123" s="174">
        <v>44686</v>
      </c>
      <c r="Q123" s="135" t="s">
        <v>646</v>
      </c>
      <c r="R123" s="175">
        <v>17000</v>
      </c>
    </row>
    <row r="124" spans="1:18" x14ac:dyDescent="0.2">
      <c r="A124" s="42"/>
      <c r="B124" s="41"/>
      <c r="C124" s="54"/>
      <c r="D124" s="117">
        <v>44668</v>
      </c>
      <c r="E124" s="107" t="s">
        <v>647</v>
      </c>
      <c r="F124" s="108">
        <f>10000+8000</f>
        <v>18000</v>
      </c>
      <c r="G124" s="151"/>
      <c r="H124" s="115"/>
      <c r="I124" s="155"/>
      <c r="J124" s="51"/>
      <c r="K124" s="32"/>
      <c r="L124" s="50"/>
      <c r="M124" s="28"/>
      <c r="N124" s="46"/>
      <c r="O124" s="132"/>
      <c r="P124" s="127"/>
      <c r="Q124" s="93"/>
      <c r="R124" s="137"/>
    </row>
    <row r="125" spans="1:18" x14ac:dyDescent="0.2">
      <c r="A125" s="42"/>
      <c r="B125" s="41"/>
      <c r="C125" s="54"/>
      <c r="D125" s="20">
        <v>44669</v>
      </c>
      <c r="E125" s="53" t="s">
        <v>648</v>
      </c>
      <c r="F125" s="52">
        <v>16000</v>
      </c>
      <c r="G125" s="92"/>
      <c r="H125" s="34"/>
      <c r="I125" s="35"/>
      <c r="J125" s="51"/>
      <c r="K125" s="32"/>
      <c r="L125" s="50"/>
      <c r="M125" s="28"/>
      <c r="N125" s="46"/>
      <c r="O125" s="132"/>
      <c r="P125" s="136"/>
      <c r="Q125" s="128"/>
      <c r="R125" s="129"/>
    </row>
    <row r="126" spans="1:18" x14ac:dyDescent="0.2">
      <c r="A126" s="42"/>
      <c r="B126" s="41"/>
      <c r="C126" s="54"/>
      <c r="D126" s="20">
        <v>44671</v>
      </c>
      <c r="E126" s="53" t="s">
        <v>649</v>
      </c>
      <c r="F126" s="52">
        <v>39000</v>
      </c>
      <c r="G126" s="92"/>
      <c r="H126" s="34"/>
      <c r="I126" s="35"/>
      <c r="J126" s="51"/>
      <c r="K126" s="32"/>
      <c r="L126" s="50"/>
      <c r="M126" s="28"/>
      <c r="N126" s="46"/>
      <c r="O126" s="48"/>
      <c r="P126" s="134"/>
      <c r="Q126" s="115"/>
      <c r="R126" s="116"/>
    </row>
    <row r="127" spans="1:18" x14ac:dyDescent="0.2">
      <c r="A127" s="42"/>
      <c r="B127" s="41"/>
      <c r="C127" s="54"/>
      <c r="D127" s="20">
        <v>44671</v>
      </c>
      <c r="E127" s="53" t="s">
        <v>650</v>
      </c>
      <c r="F127" s="52">
        <v>4000</v>
      </c>
      <c r="G127" s="17"/>
      <c r="H127" s="34"/>
      <c r="I127" s="35"/>
      <c r="J127" s="51"/>
      <c r="K127" s="32"/>
      <c r="L127" s="50"/>
      <c r="M127" s="28"/>
      <c r="N127" s="46"/>
      <c r="O127" s="48"/>
      <c r="P127" s="12"/>
      <c r="Q127" s="34"/>
      <c r="R127" s="35"/>
    </row>
    <row r="128" spans="1:18" x14ac:dyDescent="0.2">
      <c r="A128" s="42"/>
      <c r="B128" s="41"/>
      <c r="C128" s="54"/>
      <c r="D128" s="20">
        <v>44671</v>
      </c>
      <c r="E128" s="53" t="s">
        <v>651</v>
      </c>
      <c r="F128" s="52">
        <f>42000</f>
        <v>42000</v>
      </c>
      <c r="G128" s="17"/>
      <c r="H128" s="34"/>
      <c r="I128" s="35"/>
      <c r="J128" s="51"/>
      <c r="K128" s="32"/>
      <c r="L128" s="50"/>
      <c r="M128" s="28"/>
      <c r="N128" s="46"/>
      <c r="O128" s="48"/>
      <c r="P128" s="12"/>
      <c r="Q128" s="34"/>
      <c r="R128" s="35"/>
    </row>
    <row r="129" spans="1:18" x14ac:dyDescent="0.2">
      <c r="A129" s="42"/>
      <c r="B129" s="41"/>
      <c r="C129" s="54"/>
      <c r="D129" s="20">
        <v>44671</v>
      </c>
      <c r="E129" s="107" t="s">
        <v>652</v>
      </c>
      <c r="F129" s="108">
        <v>13000</v>
      </c>
      <c r="G129" s="17"/>
      <c r="H129" s="34"/>
      <c r="I129" s="35"/>
      <c r="J129" s="51"/>
      <c r="K129" s="32"/>
      <c r="L129" s="50"/>
      <c r="M129" s="28"/>
      <c r="N129" s="46"/>
      <c r="O129" s="48"/>
      <c r="P129" s="12"/>
      <c r="Q129" s="34"/>
      <c r="R129" s="35"/>
    </row>
    <row r="130" spans="1:18" x14ac:dyDescent="0.2">
      <c r="A130" s="42"/>
      <c r="B130" s="41"/>
      <c r="C130" s="54"/>
      <c r="D130" s="117">
        <v>44674</v>
      </c>
      <c r="E130" s="107" t="s">
        <v>653</v>
      </c>
      <c r="F130" s="124">
        <v>10000</v>
      </c>
      <c r="G130" s="17"/>
      <c r="H130" s="34"/>
      <c r="I130" s="35"/>
      <c r="J130" s="51"/>
      <c r="K130" s="32"/>
      <c r="L130" s="50"/>
      <c r="M130" s="28"/>
      <c r="N130" s="46"/>
      <c r="O130" s="48"/>
      <c r="P130" s="12"/>
      <c r="Q130" s="34"/>
      <c r="R130" s="35"/>
    </row>
    <row r="131" spans="1:18" x14ac:dyDescent="0.2">
      <c r="A131" s="42"/>
      <c r="B131" s="41"/>
      <c r="C131" s="54"/>
      <c r="D131" s="117">
        <v>44674</v>
      </c>
      <c r="E131" s="107" t="s">
        <v>654</v>
      </c>
      <c r="F131" s="125">
        <v>50000</v>
      </c>
      <c r="G131" s="17"/>
      <c r="H131" s="34"/>
      <c r="I131" s="35"/>
      <c r="J131" s="51"/>
      <c r="K131" s="32"/>
      <c r="L131" s="50"/>
      <c r="M131" s="28"/>
      <c r="N131" s="46"/>
      <c r="O131" s="48"/>
      <c r="P131" s="12"/>
      <c r="Q131" s="34"/>
      <c r="R131" s="35"/>
    </row>
    <row r="132" spans="1:18" x14ac:dyDescent="0.2">
      <c r="A132" s="42"/>
      <c r="B132" s="41"/>
      <c r="C132" s="54"/>
      <c r="D132" s="117">
        <v>44674</v>
      </c>
      <c r="E132" s="107" t="s">
        <v>655</v>
      </c>
      <c r="F132" s="108">
        <v>12000</v>
      </c>
      <c r="G132" s="17"/>
      <c r="H132" s="34"/>
      <c r="I132" s="35"/>
      <c r="J132" s="51"/>
      <c r="K132" s="32"/>
      <c r="L132" s="50"/>
      <c r="M132" s="28"/>
      <c r="N132" s="46"/>
      <c r="O132" s="48"/>
      <c r="P132" s="12"/>
      <c r="Q132" s="34"/>
      <c r="R132" s="35"/>
    </row>
    <row r="133" spans="1:18" x14ac:dyDescent="0.2">
      <c r="A133" s="42"/>
      <c r="B133" s="41"/>
      <c r="C133" s="54"/>
      <c r="D133" s="117">
        <v>44674</v>
      </c>
      <c r="E133" s="107" t="s">
        <v>158</v>
      </c>
      <c r="F133" s="108">
        <v>10000</v>
      </c>
      <c r="G133" s="17"/>
      <c r="H133" s="34"/>
      <c r="I133" s="35"/>
      <c r="J133" s="51"/>
      <c r="K133" s="32"/>
      <c r="L133" s="50"/>
      <c r="M133" s="28"/>
      <c r="N133" s="46"/>
      <c r="O133" s="48"/>
      <c r="P133" s="12"/>
      <c r="Q133" s="34"/>
      <c r="R133" s="35"/>
    </row>
    <row r="134" spans="1:18" x14ac:dyDescent="0.2">
      <c r="A134" s="42"/>
      <c r="B134" s="41"/>
      <c r="C134" s="54"/>
      <c r="D134" s="117">
        <v>44674</v>
      </c>
      <c r="E134" s="53" t="s">
        <v>656</v>
      </c>
      <c r="F134" s="52">
        <v>25000</v>
      </c>
      <c r="G134" s="17"/>
      <c r="H134" s="34"/>
      <c r="I134" s="35"/>
      <c r="J134" s="51"/>
      <c r="K134" s="32"/>
      <c r="L134" s="50"/>
      <c r="M134" s="28"/>
      <c r="N134" s="46"/>
      <c r="O134" s="48"/>
      <c r="P134" s="12"/>
      <c r="Q134" s="34"/>
      <c r="R134" s="35"/>
    </row>
    <row r="135" spans="1:18" x14ac:dyDescent="0.2">
      <c r="A135" s="42"/>
      <c r="B135" s="41"/>
      <c r="C135" s="54"/>
      <c r="D135" s="20">
        <v>44680</v>
      </c>
      <c r="E135" s="53" t="s">
        <v>657</v>
      </c>
      <c r="F135" s="52">
        <f>50000+45000</f>
        <v>95000</v>
      </c>
      <c r="G135" s="17"/>
      <c r="H135" s="34"/>
      <c r="I135" s="35"/>
      <c r="J135" s="51"/>
      <c r="K135" s="32"/>
      <c r="L135" s="50"/>
      <c r="M135" s="28"/>
      <c r="N135" s="46"/>
      <c r="O135" s="48"/>
      <c r="P135" s="12"/>
      <c r="Q135" s="34"/>
      <c r="R135" s="35"/>
    </row>
    <row r="136" spans="1:18" x14ac:dyDescent="0.2">
      <c r="A136" s="42"/>
      <c r="B136" s="41"/>
      <c r="C136" s="54"/>
      <c r="D136" s="20">
        <v>44684</v>
      </c>
      <c r="E136" s="53" t="s">
        <v>658</v>
      </c>
      <c r="F136" s="52">
        <v>88000</v>
      </c>
      <c r="G136" s="17"/>
      <c r="H136" s="34"/>
      <c r="I136" s="35"/>
      <c r="J136" s="51"/>
      <c r="K136" s="32"/>
      <c r="L136" s="50"/>
      <c r="M136" s="28"/>
      <c r="N136" s="46"/>
      <c r="O136" s="48"/>
      <c r="P136" s="12"/>
      <c r="Q136" s="34"/>
      <c r="R136" s="35"/>
    </row>
    <row r="137" spans="1:18" x14ac:dyDescent="0.2">
      <c r="A137" s="42"/>
      <c r="B137" s="41"/>
      <c r="C137" s="54"/>
      <c r="D137" s="20">
        <v>44685</v>
      </c>
      <c r="E137" s="53" t="s">
        <v>278</v>
      </c>
      <c r="F137" s="52">
        <v>35000</v>
      </c>
      <c r="G137" s="17"/>
      <c r="H137" s="34"/>
      <c r="I137" s="35"/>
      <c r="J137" s="51"/>
      <c r="K137" s="32"/>
      <c r="L137" s="50"/>
      <c r="M137" s="28"/>
      <c r="N137" s="46"/>
      <c r="O137" s="48"/>
      <c r="P137" s="12"/>
      <c r="Q137" s="34"/>
      <c r="R137" s="35"/>
    </row>
    <row r="138" spans="1:18" x14ac:dyDescent="0.2">
      <c r="A138" s="42"/>
      <c r="B138" s="41"/>
      <c r="C138" s="54"/>
      <c r="D138" s="20">
        <v>44686</v>
      </c>
      <c r="E138" s="53" t="s">
        <v>659</v>
      </c>
      <c r="F138" s="52">
        <f>30000+28000</f>
        <v>58000</v>
      </c>
      <c r="G138" s="17"/>
      <c r="H138" s="34"/>
      <c r="I138" s="35"/>
      <c r="J138" s="51"/>
      <c r="K138" s="32"/>
      <c r="L138" s="50"/>
      <c r="M138" s="28"/>
      <c r="N138" s="46"/>
      <c r="O138" s="48"/>
      <c r="P138" s="12"/>
      <c r="Q138" s="34"/>
      <c r="R138" s="35"/>
    </row>
    <row r="139" spans="1:18" x14ac:dyDescent="0.2">
      <c r="A139" s="42"/>
      <c r="B139" s="41"/>
      <c r="C139" s="54"/>
      <c r="D139" s="20">
        <v>44686</v>
      </c>
      <c r="E139" s="53" t="s">
        <v>660</v>
      </c>
      <c r="F139" s="52">
        <v>19000</v>
      </c>
      <c r="G139" s="17"/>
      <c r="H139" s="34"/>
      <c r="I139" s="35"/>
      <c r="J139" s="51"/>
      <c r="K139" s="32"/>
      <c r="L139" s="50"/>
      <c r="M139" s="28"/>
      <c r="N139" s="46"/>
      <c r="O139" s="48"/>
      <c r="P139" s="12"/>
      <c r="Q139" s="34"/>
      <c r="R139" s="35"/>
    </row>
    <row r="140" spans="1:18" x14ac:dyDescent="0.2">
      <c r="A140" s="42"/>
      <c r="B140" s="41"/>
      <c r="C140" s="54"/>
      <c r="D140" s="20">
        <v>44686</v>
      </c>
      <c r="E140" s="53" t="s">
        <v>661</v>
      </c>
      <c r="F140" s="52">
        <v>38000</v>
      </c>
      <c r="G140" s="17"/>
      <c r="H140" s="34"/>
      <c r="I140" s="35"/>
      <c r="J140" s="51"/>
      <c r="K140" s="32"/>
      <c r="L140" s="50"/>
      <c r="M140" s="28"/>
      <c r="N140" s="46"/>
      <c r="O140" s="48"/>
      <c r="P140" s="12"/>
      <c r="Q140" s="34"/>
      <c r="R140" s="35"/>
    </row>
    <row r="141" spans="1:18" x14ac:dyDescent="0.2">
      <c r="A141" s="42"/>
      <c r="B141" s="41"/>
      <c r="C141" s="54"/>
      <c r="D141" s="20"/>
      <c r="E141" s="53"/>
      <c r="F141" s="52"/>
      <c r="G141" s="17"/>
      <c r="H141" s="34"/>
      <c r="I141" s="35"/>
      <c r="J141" s="51"/>
      <c r="K141" s="32"/>
      <c r="L141" s="50"/>
      <c r="M141" s="28"/>
      <c r="N141" s="46"/>
      <c r="O141" s="48"/>
      <c r="P141" s="12"/>
      <c r="Q141" s="34"/>
      <c r="R141" s="35"/>
    </row>
    <row r="142" spans="1:18" x14ac:dyDescent="0.2">
      <c r="A142" s="42"/>
      <c r="B142" s="41"/>
      <c r="C142" s="54"/>
      <c r="D142" s="20"/>
      <c r="E142" s="53"/>
      <c r="F142" s="52"/>
      <c r="G142" s="17"/>
      <c r="H142" s="34"/>
      <c r="I142" s="35"/>
      <c r="J142" s="51"/>
      <c r="K142" s="32"/>
      <c r="L142" s="50"/>
      <c r="M142" s="28"/>
      <c r="N142" s="46"/>
      <c r="O142" s="48"/>
      <c r="P142" s="12"/>
      <c r="Q142" s="34"/>
      <c r="R142" s="35"/>
    </row>
    <row r="143" spans="1:18" ht="12.75" customHeight="1" x14ac:dyDescent="0.2">
      <c r="A143" s="42"/>
      <c r="B143" s="41"/>
      <c r="C143" s="54"/>
      <c r="D143" s="20"/>
      <c r="E143" s="53"/>
      <c r="F143" s="52"/>
      <c r="G143" s="17"/>
      <c r="H143" s="34"/>
      <c r="I143" s="35"/>
      <c r="J143" s="51"/>
      <c r="K143" s="32"/>
      <c r="L143" s="50"/>
      <c r="M143" s="28"/>
      <c r="N143" s="46"/>
      <c r="O143" s="48"/>
      <c r="P143" s="12"/>
      <c r="Q143" s="34"/>
      <c r="R143" s="35"/>
    </row>
    <row r="144" spans="1:18" x14ac:dyDescent="0.2">
      <c r="A144" s="42"/>
      <c r="B144" s="41"/>
      <c r="C144" s="40"/>
      <c r="D144" s="60"/>
      <c r="E144" s="61"/>
      <c r="F144" s="62"/>
      <c r="G144" s="17"/>
      <c r="H144" s="34"/>
      <c r="I144" s="35"/>
      <c r="J144" s="32"/>
      <c r="K144" s="32"/>
      <c r="L144" s="32"/>
      <c r="M144" s="28"/>
      <c r="N144" s="46"/>
      <c r="O144" s="48"/>
      <c r="P144" s="47"/>
      <c r="Q144" s="30"/>
      <c r="R144" s="35"/>
    </row>
    <row r="145" spans="1:18" x14ac:dyDescent="0.2">
      <c r="A145" s="302" t="s">
        <v>93</v>
      </c>
      <c r="B145" s="302"/>
      <c r="C145" s="9">
        <f>SUM(C116:C144)</f>
        <v>1965000</v>
      </c>
      <c r="D145" s="303" t="s">
        <v>94</v>
      </c>
      <c r="E145" s="303"/>
      <c r="F145" s="8">
        <f>SUM(F116:F144)</f>
        <v>1046900</v>
      </c>
      <c r="G145" s="304" t="s">
        <v>95</v>
      </c>
      <c r="H145" s="304"/>
      <c r="I145" s="5">
        <f>SUM(I116:I144)</f>
        <v>285900</v>
      </c>
      <c r="J145" s="300" t="s">
        <v>96</v>
      </c>
      <c r="K145" s="300"/>
      <c r="L145" s="88">
        <f>SUM(L116:L144)</f>
        <v>0</v>
      </c>
      <c r="M145" s="301" t="s">
        <v>97</v>
      </c>
      <c r="N145" s="301"/>
      <c r="O145" s="6">
        <f>SUM(O116:O144)</f>
        <v>102000</v>
      </c>
      <c r="P145" s="304" t="s">
        <v>98</v>
      </c>
      <c r="Q145" s="304"/>
      <c r="R145" s="5">
        <f>SUM(R116:R144)</f>
        <v>943700</v>
      </c>
    </row>
    <row r="148" spans="1:18" x14ac:dyDescent="0.2">
      <c r="A148" t="s">
        <v>99</v>
      </c>
      <c r="B148" t="s">
        <v>100</v>
      </c>
      <c r="C148" s="1">
        <v>4000000</v>
      </c>
      <c r="D148" s="305">
        <f>SUM(C148:C149)</f>
        <v>4363700</v>
      </c>
    </row>
    <row r="149" spans="1:18" x14ac:dyDescent="0.2">
      <c r="B149" t="s">
        <v>126</v>
      </c>
      <c r="C149" s="3">
        <v>363700</v>
      </c>
      <c r="D149" s="305"/>
    </row>
    <row r="151" spans="1:18" x14ac:dyDescent="0.2">
      <c r="A151" t="s">
        <v>662</v>
      </c>
      <c r="B151" t="str">
        <f>A145</f>
        <v>Pengeluaran Kewajiban</v>
      </c>
      <c r="C151" s="1">
        <f>C145</f>
        <v>1965000</v>
      </c>
      <c r="D151" s="204">
        <f>C151/$D$148</f>
        <v>0.45030593303847655</v>
      </c>
    </row>
    <row r="152" spans="1:18" x14ac:dyDescent="0.2">
      <c r="B152" t="str">
        <f>D145</f>
        <v>Pengeluaran Makan</v>
      </c>
      <c r="C152" s="1">
        <f>F145</f>
        <v>1046900</v>
      </c>
      <c r="D152" s="204">
        <f t="shared" ref="D152:D156" si="3">C152/$D$148</f>
        <v>0.23991108463001581</v>
      </c>
    </row>
    <row r="153" spans="1:18" x14ac:dyDescent="0.2">
      <c r="B153" t="str">
        <f>G145</f>
        <v>Pengeluaran Sosial</v>
      </c>
      <c r="C153" s="1">
        <f>I145</f>
        <v>285900</v>
      </c>
      <c r="D153" s="204">
        <f t="shared" si="3"/>
        <v>6.5517794532163068E-2</v>
      </c>
    </row>
    <row r="154" spans="1:18" x14ac:dyDescent="0.2">
      <c r="B154" t="str">
        <f>J145</f>
        <v>Pengeluaran Sedekah</v>
      </c>
      <c r="C154" s="1">
        <f>L145</f>
        <v>0</v>
      </c>
      <c r="D154" s="204">
        <f t="shared" si="3"/>
        <v>0</v>
      </c>
    </row>
    <row r="155" spans="1:18" x14ac:dyDescent="0.2">
      <c r="B155" t="str">
        <f>M145</f>
        <v>Pengeluaran Transport</v>
      </c>
      <c r="C155" s="1">
        <f>O145</f>
        <v>102000</v>
      </c>
      <c r="D155" s="204">
        <f t="shared" si="3"/>
        <v>2.3374659119554508E-2</v>
      </c>
    </row>
    <row r="156" spans="1:18" x14ac:dyDescent="0.2">
      <c r="B156" t="str">
        <f>P145</f>
        <v>Pengeluaran Sekunder</v>
      </c>
      <c r="C156" s="102">
        <f>R145</f>
        <v>943700</v>
      </c>
      <c r="D156" s="204">
        <f t="shared" si="3"/>
        <v>0.21626142952081948</v>
      </c>
    </row>
    <row r="157" spans="1:18" x14ac:dyDescent="0.2">
      <c r="C157" s="1">
        <f>C148-C151-C152-C153-C154-C155-C156+C149</f>
        <v>20200</v>
      </c>
    </row>
    <row r="160" spans="1:18" x14ac:dyDescent="0.2">
      <c r="A160" s="294" t="s">
        <v>306</v>
      </c>
      <c r="B160" s="294"/>
      <c r="C160" s="294"/>
      <c r="D160" s="294"/>
      <c r="E160" s="294"/>
      <c r="F160" s="294"/>
      <c r="G160" s="294"/>
      <c r="H160" s="294"/>
      <c r="I160" s="294"/>
      <c r="J160" s="294"/>
      <c r="K160" s="294"/>
      <c r="L160" s="294"/>
      <c r="M160" s="294"/>
      <c r="N160" s="294"/>
      <c r="O160" s="294"/>
      <c r="P160" s="294"/>
      <c r="Q160" s="294"/>
      <c r="R160" s="294"/>
    </row>
    <row r="161" spans="1:18" x14ac:dyDescent="0.2">
      <c r="A161" s="294"/>
      <c r="B161" s="294"/>
      <c r="C161" s="294"/>
      <c r="D161" s="294"/>
      <c r="E161" s="294"/>
      <c r="F161" s="294"/>
      <c r="G161" s="294"/>
      <c r="H161" s="294"/>
      <c r="I161" s="294"/>
      <c r="J161" s="294"/>
      <c r="K161" s="294"/>
      <c r="L161" s="294"/>
      <c r="M161" s="294"/>
      <c r="N161" s="294"/>
      <c r="O161" s="294"/>
      <c r="P161" s="294"/>
      <c r="Q161" s="294"/>
      <c r="R161" s="294"/>
    </row>
    <row r="162" spans="1:18" x14ac:dyDescent="0.2">
      <c r="A162" s="59" t="s">
        <v>1</v>
      </c>
      <c r="B162" s="59" t="s">
        <v>2</v>
      </c>
      <c r="C162" s="59" t="s">
        <v>3</v>
      </c>
      <c r="D162" s="58" t="s">
        <v>1</v>
      </c>
      <c r="E162" s="58" t="s">
        <v>4</v>
      </c>
      <c r="F162" s="58" t="s">
        <v>3</v>
      </c>
      <c r="G162" s="55" t="s">
        <v>1</v>
      </c>
      <c r="H162" s="55" t="s">
        <v>5</v>
      </c>
      <c r="I162" s="55" t="s">
        <v>3</v>
      </c>
      <c r="J162" s="57" t="s">
        <v>1</v>
      </c>
      <c r="K162" s="57" t="s">
        <v>6</v>
      </c>
      <c r="L162" s="57" t="s">
        <v>3</v>
      </c>
      <c r="M162" s="56" t="s">
        <v>1</v>
      </c>
      <c r="N162" s="56" t="s">
        <v>7</v>
      </c>
      <c r="O162" s="56" t="s">
        <v>3</v>
      </c>
      <c r="P162" s="55" t="s">
        <v>1</v>
      </c>
      <c r="Q162" s="55" t="s">
        <v>8</v>
      </c>
      <c r="R162" s="55" t="s">
        <v>3</v>
      </c>
    </row>
    <row r="163" spans="1:18" x14ac:dyDescent="0.2">
      <c r="A163" s="65">
        <v>44689</v>
      </c>
      <c r="B163" s="41" t="s">
        <v>597</v>
      </c>
      <c r="C163" s="66">
        <v>1000000</v>
      </c>
      <c r="D163" s="60">
        <v>44686</v>
      </c>
      <c r="E163" s="61" t="s">
        <v>663</v>
      </c>
      <c r="F163" s="63">
        <f>58000+7000</f>
        <v>65000</v>
      </c>
      <c r="G163" s="47"/>
      <c r="H163" s="34"/>
      <c r="I163" s="35"/>
      <c r="J163" s="51">
        <v>44689</v>
      </c>
      <c r="K163" s="32" t="s">
        <v>664</v>
      </c>
      <c r="L163" s="140">
        <v>100000</v>
      </c>
      <c r="M163" s="119">
        <v>44690</v>
      </c>
      <c r="N163" s="170" t="s">
        <v>13</v>
      </c>
      <c r="O163" s="121">
        <v>18000</v>
      </c>
      <c r="P163" s="17">
        <v>44687</v>
      </c>
      <c r="Q163" s="34" t="s">
        <v>665</v>
      </c>
      <c r="R163" s="35">
        <v>126163</v>
      </c>
    </row>
    <row r="164" spans="1:18" x14ac:dyDescent="0.2">
      <c r="A164" s="65">
        <v>44689</v>
      </c>
      <c r="B164" s="41" t="s">
        <v>101</v>
      </c>
      <c r="C164" s="40">
        <v>500000</v>
      </c>
      <c r="D164" s="60">
        <v>44687</v>
      </c>
      <c r="E164" s="61" t="s">
        <v>666</v>
      </c>
      <c r="F164" s="90">
        <v>72000</v>
      </c>
      <c r="G164" s="17"/>
      <c r="H164" s="34"/>
      <c r="I164" s="89"/>
      <c r="J164" s="32"/>
      <c r="K164" s="32"/>
      <c r="L164" s="118"/>
      <c r="M164" s="145">
        <v>44695</v>
      </c>
      <c r="N164" s="171" t="s">
        <v>667</v>
      </c>
      <c r="O164" s="147">
        <v>100000</v>
      </c>
      <c r="P164" s="91">
        <v>44687</v>
      </c>
      <c r="Q164" s="34" t="s">
        <v>668</v>
      </c>
      <c r="R164" s="35">
        <v>115000</v>
      </c>
    </row>
    <row r="165" spans="1:18" x14ac:dyDescent="0.2">
      <c r="A165" s="65">
        <v>44693</v>
      </c>
      <c r="B165" s="41" t="s">
        <v>669</v>
      </c>
      <c r="C165" s="66">
        <v>400000</v>
      </c>
      <c r="D165" s="20">
        <v>44691</v>
      </c>
      <c r="E165" s="53" t="s">
        <v>670</v>
      </c>
      <c r="F165" s="52">
        <v>4000</v>
      </c>
      <c r="G165" s="17"/>
      <c r="H165" s="34"/>
      <c r="I165" s="89"/>
      <c r="J165" s="32"/>
      <c r="K165" s="32"/>
      <c r="L165" s="32"/>
      <c r="M165" s="122">
        <v>44695</v>
      </c>
      <c r="N165" s="172" t="s">
        <v>671</v>
      </c>
      <c r="O165" s="173">
        <v>20000</v>
      </c>
      <c r="P165" s="96">
        <v>44687</v>
      </c>
      <c r="Q165" s="97" t="s">
        <v>672</v>
      </c>
      <c r="R165" s="133">
        <v>132700</v>
      </c>
    </row>
    <row r="166" spans="1:18" x14ac:dyDescent="0.2">
      <c r="A166" s="65">
        <v>44698</v>
      </c>
      <c r="B166" s="41" t="s">
        <v>673</v>
      </c>
      <c r="C166" s="40">
        <v>125000</v>
      </c>
      <c r="D166" s="20">
        <v>44691</v>
      </c>
      <c r="E166" s="53" t="s">
        <v>674</v>
      </c>
      <c r="F166" s="52">
        <v>5000</v>
      </c>
      <c r="G166" s="193"/>
      <c r="H166" s="193"/>
      <c r="I166" s="193"/>
      <c r="J166" s="32"/>
      <c r="K166" s="32"/>
      <c r="L166" s="32"/>
      <c r="M166" s="139">
        <v>44695</v>
      </c>
      <c r="N166" s="46" t="s">
        <v>675</v>
      </c>
      <c r="O166" s="132">
        <v>9000</v>
      </c>
      <c r="P166" s="127">
        <v>44690</v>
      </c>
      <c r="Q166" s="128" t="s">
        <v>676</v>
      </c>
      <c r="R166" s="129">
        <v>45000</v>
      </c>
    </row>
    <row r="167" spans="1:18" x14ac:dyDescent="0.2">
      <c r="A167" s="65">
        <v>44712</v>
      </c>
      <c r="B167" s="41" t="s">
        <v>417</v>
      </c>
      <c r="C167" s="66">
        <v>31237</v>
      </c>
      <c r="D167" s="20">
        <v>44691</v>
      </c>
      <c r="E167" s="53" t="s">
        <v>677</v>
      </c>
      <c r="F167" s="52">
        <v>15000</v>
      </c>
      <c r="G167" s="193"/>
      <c r="H167" s="193"/>
      <c r="I167" s="193"/>
      <c r="J167" s="32"/>
      <c r="K167" s="32"/>
      <c r="L167" s="32"/>
      <c r="M167" s="139">
        <v>44695</v>
      </c>
      <c r="N167" s="46" t="s">
        <v>678</v>
      </c>
      <c r="O167" s="132">
        <v>5000</v>
      </c>
      <c r="P167" s="127">
        <v>44693</v>
      </c>
      <c r="Q167" s="93" t="s">
        <v>679</v>
      </c>
      <c r="R167" s="137">
        <v>130000</v>
      </c>
    </row>
    <row r="168" spans="1:18" x14ac:dyDescent="0.2">
      <c r="A168" s="59"/>
      <c r="B168" s="59"/>
      <c r="C168" s="59"/>
      <c r="D168" s="20">
        <v>44691</v>
      </c>
      <c r="E168" s="53" t="s">
        <v>680</v>
      </c>
      <c r="F168" s="109">
        <v>5000</v>
      </c>
      <c r="G168" s="190"/>
      <c r="H168" s="191"/>
      <c r="I168" s="192"/>
      <c r="J168" s="112"/>
      <c r="K168" s="57"/>
      <c r="L168" s="57"/>
      <c r="M168" s="139">
        <v>44702</v>
      </c>
      <c r="N168" s="206" t="s">
        <v>681</v>
      </c>
      <c r="O168" s="205">
        <v>5000</v>
      </c>
      <c r="P168" s="127">
        <v>44695</v>
      </c>
      <c r="Q168" s="93" t="s">
        <v>682</v>
      </c>
      <c r="R168" s="148">
        <v>799000</v>
      </c>
    </row>
    <row r="169" spans="1:18" x14ac:dyDescent="0.2">
      <c r="A169" s="42"/>
      <c r="B169" s="41"/>
      <c r="C169" s="54"/>
      <c r="D169" s="20">
        <v>44691</v>
      </c>
      <c r="E169" s="61" t="s">
        <v>683</v>
      </c>
      <c r="F169" s="90">
        <v>5000</v>
      </c>
      <c r="G169" s="127"/>
      <c r="H169" s="93"/>
      <c r="I169" s="154"/>
      <c r="J169" s="113"/>
      <c r="K169" s="32"/>
      <c r="L169" s="50"/>
      <c r="M169" s="139">
        <v>44702</v>
      </c>
      <c r="N169" s="206" t="s">
        <v>684</v>
      </c>
      <c r="O169" s="205">
        <v>2000</v>
      </c>
      <c r="P169" s="127">
        <v>44704</v>
      </c>
      <c r="Q169" s="93" t="s">
        <v>685</v>
      </c>
      <c r="R169" s="137">
        <v>121600</v>
      </c>
    </row>
    <row r="170" spans="1:18" x14ac:dyDescent="0.2">
      <c r="A170" s="42"/>
      <c r="B170" s="41"/>
      <c r="C170" s="54"/>
      <c r="D170" s="20">
        <v>44693</v>
      </c>
      <c r="E170" s="201" t="s">
        <v>686</v>
      </c>
      <c r="F170" s="202">
        <v>10000</v>
      </c>
      <c r="G170" s="127"/>
      <c r="H170" s="93"/>
      <c r="I170" s="154"/>
      <c r="J170" s="113"/>
      <c r="K170" s="32"/>
      <c r="L170" s="50"/>
      <c r="M170" s="139">
        <v>44704</v>
      </c>
      <c r="N170" s="46" t="s">
        <v>687</v>
      </c>
      <c r="O170" s="132">
        <v>2000</v>
      </c>
      <c r="P170" s="174"/>
      <c r="Q170" s="135"/>
      <c r="R170" s="175"/>
    </row>
    <row r="171" spans="1:18" x14ac:dyDescent="0.2">
      <c r="A171" s="42"/>
      <c r="B171" s="41"/>
      <c r="C171" s="54"/>
      <c r="D171" s="20">
        <v>44695</v>
      </c>
      <c r="E171" s="201" t="s">
        <v>688</v>
      </c>
      <c r="F171" s="202">
        <v>40000</v>
      </c>
      <c r="G171" s="127"/>
      <c r="H171" s="93"/>
      <c r="I171" s="154"/>
      <c r="J171" s="113"/>
      <c r="K171" s="32"/>
      <c r="L171" s="50"/>
      <c r="M171" s="139"/>
      <c r="N171" s="46"/>
      <c r="O171" s="132"/>
      <c r="P171" s="174"/>
      <c r="Q171" s="135"/>
      <c r="R171" s="175"/>
    </row>
    <row r="172" spans="1:18" x14ac:dyDescent="0.2">
      <c r="A172" s="42"/>
      <c r="B172" s="41"/>
      <c r="C172" s="54"/>
      <c r="D172" s="20">
        <v>44695</v>
      </c>
      <c r="E172" s="201" t="s">
        <v>689</v>
      </c>
      <c r="F172" s="202">
        <v>12500</v>
      </c>
      <c r="G172" s="127"/>
      <c r="H172" s="93"/>
      <c r="I172" s="154"/>
      <c r="J172" s="113"/>
      <c r="K172" s="32"/>
      <c r="L172" s="50"/>
      <c r="M172" s="28"/>
      <c r="N172" s="46"/>
      <c r="O172" s="132"/>
      <c r="P172" s="174"/>
      <c r="Q172" s="135"/>
      <c r="R172" s="175"/>
    </row>
    <row r="173" spans="1:18" x14ac:dyDescent="0.2">
      <c r="A173" s="42"/>
      <c r="B173" s="41"/>
      <c r="C173" s="54"/>
      <c r="D173" s="60"/>
      <c r="E173" s="188"/>
      <c r="F173" s="189"/>
      <c r="G173" s="127"/>
      <c r="H173" s="93"/>
      <c r="I173" s="154"/>
      <c r="J173" s="113"/>
      <c r="K173" s="32"/>
      <c r="L173" s="50"/>
      <c r="M173" s="28"/>
      <c r="N173" s="46"/>
      <c r="O173" s="132"/>
      <c r="P173" s="174"/>
      <c r="Q173" s="135"/>
      <c r="R173" s="175"/>
    </row>
    <row r="174" spans="1:18" x14ac:dyDescent="0.2">
      <c r="A174" s="42"/>
      <c r="B174" s="41"/>
      <c r="C174" s="54"/>
      <c r="D174" s="117"/>
      <c r="E174" s="107"/>
      <c r="F174" s="108"/>
      <c r="G174" s="151"/>
      <c r="H174" s="115"/>
      <c r="I174" s="155"/>
      <c r="J174" s="51"/>
      <c r="K174" s="32"/>
      <c r="L174" s="50"/>
      <c r="M174" s="28"/>
      <c r="N174" s="46"/>
      <c r="O174" s="132"/>
      <c r="P174" s="127"/>
      <c r="Q174" s="93"/>
      <c r="R174" s="137"/>
    </row>
    <row r="175" spans="1:18" x14ac:dyDescent="0.2">
      <c r="A175" s="42"/>
      <c r="B175" s="41"/>
      <c r="C175" s="54"/>
      <c r="D175" s="20"/>
      <c r="E175" s="53"/>
      <c r="F175" s="52"/>
      <c r="G175" s="92"/>
      <c r="H175" s="34"/>
      <c r="I175" s="35"/>
      <c r="J175" s="51"/>
      <c r="K175" s="32"/>
      <c r="L175" s="50"/>
      <c r="M175" s="28"/>
      <c r="N175" s="46"/>
      <c r="O175" s="132"/>
      <c r="P175" s="136"/>
      <c r="Q175" s="128"/>
      <c r="R175" s="129"/>
    </row>
    <row r="176" spans="1:18" x14ac:dyDescent="0.2">
      <c r="A176" s="302" t="s">
        <v>93</v>
      </c>
      <c r="B176" s="302"/>
      <c r="C176" s="9">
        <f>SUM(C163:C175)</f>
        <v>2056237</v>
      </c>
      <c r="D176" s="303" t="s">
        <v>94</v>
      </c>
      <c r="E176" s="303"/>
      <c r="F176" s="8">
        <f>SUM(F163:F175)</f>
        <v>233500</v>
      </c>
      <c r="G176" s="304" t="s">
        <v>95</v>
      </c>
      <c r="H176" s="304"/>
      <c r="I176" s="5">
        <f>SUM(I163:I175)</f>
        <v>0</v>
      </c>
      <c r="J176" s="300" t="s">
        <v>96</v>
      </c>
      <c r="K176" s="300"/>
      <c r="L176" s="88">
        <f>SUM(L163:L175)</f>
        <v>100000</v>
      </c>
      <c r="M176" s="301" t="s">
        <v>97</v>
      </c>
      <c r="N176" s="301"/>
      <c r="O176" s="6">
        <f>SUM(O163:O175)</f>
        <v>161000</v>
      </c>
      <c r="P176" s="304" t="s">
        <v>98</v>
      </c>
      <c r="Q176" s="304"/>
      <c r="R176" s="5">
        <f>SUM(R163:R175)</f>
        <v>1469463</v>
      </c>
    </row>
    <row r="179" spans="1:18" x14ac:dyDescent="0.2">
      <c r="A179" t="s">
        <v>99</v>
      </c>
      <c r="B179" t="s">
        <v>100</v>
      </c>
      <c r="C179" s="1">
        <v>4000000</v>
      </c>
      <c r="D179" s="305">
        <f>SUM(C179:C180)</f>
        <v>4020200</v>
      </c>
    </row>
    <row r="180" spans="1:18" x14ac:dyDescent="0.2">
      <c r="B180" t="s">
        <v>690</v>
      </c>
      <c r="C180" s="3">
        <f>C157</f>
        <v>20200</v>
      </c>
      <c r="D180" s="316"/>
    </row>
    <row r="182" spans="1:18" x14ac:dyDescent="0.2">
      <c r="A182" t="s">
        <v>662</v>
      </c>
      <c r="B182" t="str">
        <f>A176</f>
        <v>Pengeluaran Kewajiban</v>
      </c>
      <c r="C182" s="1">
        <f>C176</f>
        <v>2056237</v>
      </c>
      <c r="D182" s="204">
        <f>C182/$D$179</f>
        <v>0.51147629471170586</v>
      </c>
    </row>
    <row r="183" spans="1:18" x14ac:dyDescent="0.2">
      <c r="B183" t="str">
        <f>D176</f>
        <v>Pengeluaran Makan</v>
      </c>
      <c r="C183" s="1">
        <f>F176</f>
        <v>233500</v>
      </c>
      <c r="D183" s="204">
        <f t="shared" ref="D183:D187" si="4">C183/$D$179</f>
        <v>5.8081687478234917E-2</v>
      </c>
    </row>
    <row r="184" spans="1:18" x14ac:dyDescent="0.2">
      <c r="B184" t="str">
        <f>G176</f>
        <v>Pengeluaran Sosial</v>
      </c>
      <c r="C184" s="1">
        <f>I176</f>
        <v>0</v>
      </c>
      <c r="D184" s="204">
        <f t="shared" si="4"/>
        <v>0</v>
      </c>
    </row>
    <row r="185" spans="1:18" x14ac:dyDescent="0.2">
      <c r="B185" t="str">
        <f>J176</f>
        <v>Pengeluaran Sedekah</v>
      </c>
      <c r="C185" s="1">
        <f>L176</f>
        <v>100000</v>
      </c>
      <c r="D185" s="204">
        <f t="shared" si="4"/>
        <v>2.4874384358987114E-2</v>
      </c>
      <c r="I185" s="1"/>
    </row>
    <row r="186" spans="1:18" x14ac:dyDescent="0.2">
      <c r="B186" t="str">
        <f>M176</f>
        <v>Pengeluaran Transport</v>
      </c>
      <c r="C186" s="1">
        <f>O176</f>
        <v>161000</v>
      </c>
      <c r="D186" s="204">
        <f t="shared" si="4"/>
        <v>4.0047758817969258E-2</v>
      </c>
      <c r="G186" s="1"/>
      <c r="I186" s="1"/>
    </row>
    <row r="187" spans="1:18" x14ac:dyDescent="0.2">
      <c r="B187" t="str">
        <f>P176</f>
        <v>Pengeluaran Sekunder</v>
      </c>
      <c r="C187" s="102">
        <f>R176</f>
        <v>1469463</v>
      </c>
      <c r="D187" s="204">
        <f t="shared" si="4"/>
        <v>0.36551987463310281</v>
      </c>
      <c r="G187" s="169"/>
      <c r="H187" s="1"/>
    </row>
    <row r="188" spans="1:18" x14ac:dyDescent="0.2">
      <c r="C188" s="1">
        <f>C179-C182-C183-C184-C185-C186-C187+C180</f>
        <v>0</v>
      </c>
      <c r="H188" s="1"/>
    </row>
    <row r="189" spans="1:18" x14ac:dyDescent="0.2">
      <c r="H189" s="1"/>
    </row>
    <row r="192" spans="1:18" x14ac:dyDescent="0.2">
      <c r="A192" s="294" t="s">
        <v>691</v>
      </c>
      <c r="B192" s="294"/>
      <c r="C192" s="294"/>
      <c r="D192" s="294"/>
      <c r="E192" s="294"/>
      <c r="F192" s="294"/>
      <c r="G192" s="294"/>
      <c r="H192" s="294"/>
      <c r="I192" s="294"/>
      <c r="J192" s="294"/>
      <c r="K192" s="294"/>
      <c r="L192" s="294"/>
      <c r="M192" s="294"/>
      <c r="N192" s="294"/>
      <c r="O192" s="294"/>
      <c r="P192" s="294"/>
      <c r="Q192" s="294"/>
      <c r="R192" s="294"/>
    </row>
    <row r="193" spans="1:18" x14ac:dyDescent="0.2">
      <c r="A193" s="294"/>
      <c r="B193" s="294"/>
      <c r="C193" s="294"/>
      <c r="D193" s="294"/>
      <c r="E193" s="294"/>
      <c r="F193" s="294"/>
      <c r="G193" s="294"/>
      <c r="H193" s="294"/>
      <c r="I193" s="294"/>
      <c r="J193" s="294"/>
      <c r="K193" s="294"/>
      <c r="L193" s="294"/>
      <c r="M193" s="294"/>
      <c r="N193" s="294"/>
      <c r="O193" s="294"/>
      <c r="P193" s="294"/>
      <c r="Q193" s="294"/>
      <c r="R193" s="294"/>
    </row>
    <row r="194" spans="1:18" x14ac:dyDescent="0.2">
      <c r="A194" s="59" t="s">
        <v>1</v>
      </c>
      <c r="B194" s="59" t="s">
        <v>2</v>
      </c>
      <c r="C194" s="59" t="s">
        <v>3</v>
      </c>
      <c r="D194" s="58" t="s">
        <v>1</v>
      </c>
      <c r="E194" s="58" t="s">
        <v>4</v>
      </c>
      <c r="F194" s="58" t="s">
        <v>3</v>
      </c>
      <c r="G194" s="55" t="s">
        <v>1</v>
      </c>
      <c r="H194" s="55" t="s">
        <v>5</v>
      </c>
      <c r="I194" s="55" t="s">
        <v>3</v>
      </c>
      <c r="J194" s="57" t="s">
        <v>1</v>
      </c>
      <c r="K194" s="57" t="s">
        <v>6</v>
      </c>
      <c r="L194" s="57" t="s">
        <v>3</v>
      </c>
      <c r="M194" s="56" t="s">
        <v>1</v>
      </c>
      <c r="N194" s="56" t="s">
        <v>7</v>
      </c>
      <c r="O194" s="56" t="s">
        <v>3</v>
      </c>
      <c r="P194" s="55" t="s">
        <v>1</v>
      </c>
      <c r="Q194" s="55" t="s">
        <v>8</v>
      </c>
      <c r="R194" s="55" t="s">
        <v>3</v>
      </c>
    </row>
    <row r="195" spans="1:18" x14ac:dyDescent="0.2">
      <c r="A195" s="65">
        <v>44720</v>
      </c>
      <c r="B195" s="41" t="s">
        <v>597</v>
      </c>
      <c r="C195" s="66">
        <v>1000000</v>
      </c>
      <c r="D195" s="83">
        <v>44717</v>
      </c>
      <c r="E195" s="53" t="s">
        <v>692</v>
      </c>
      <c r="F195" s="52">
        <v>100000</v>
      </c>
      <c r="G195" s="47">
        <v>44719</v>
      </c>
      <c r="H195" s="34" t="s">
        <v>693</v>
      </c>
      <c r="I195" s="36">
        <v>76000</v>
      </c>
      <c r="J195" s="51">
        <v>44720</v>
      </c>
      <c r="K195" s="32" t="s">
        <v>309</v>
      </c>
      <c r="L195" s="140">
        <v>150000</v>
      </c>
      <c r="M195" s="225">
        <v>44724</v>
      </c>
      <c r="N195" s="226" t="s">
        <v>694</v>
      </c>
      <c r="O195" s="226">
        <v>6000</v>
      </c>
      <c r="P195" s="47">
        <v>44720</v>
      </c>
      <c r="Q195" s="34" t="s">
        <v>695</v>
      </c>
      <c r="R195" s="36">
        <v>263000</v>
      </c>
    </row>
    <row r="196" spans="1:18" x14ac:dyDescent="0.2">
      <c r="A196" s="65">
        <v>44720</v>
      </c>
      <c r="B196" s="41" t="s">
        <v>101</v>
      </c>
      <c r="C196" s="66">
        <v>500000</v>
      </c>
      <c r="D196" s="83">
        <v>44722</v>
      </c>
      <c r="E196" s="53" t="s">
        <v>696</v>
      </c>
      <c r="F196" s="52">
        <v>42000</v>
      </c>
      <c r="G196" s="47">
        <v>44730</v>
      </c>
      <c r="H196" s="34" t="s">
        <v>697</v>
      </c>
      <c r="I196" s="36">
        <f>14000*3</f>
        <v>42000</v>
      </c>
      <c r="J196" s="57"/>
      <c r="K196" s="57"/>
      <c r="L196" s="57"/>
      <c r="M196" s="207"/>
      <c r="N196" s="207"/>
      <c r="O196" s="207"/>
      <c r="P196" s="47">
        <v>44721</v>
      </c>
      <c r="Q196" s="34" t="s">
        <v>698</v>
      </c>
      <c r="R196" s="36">
        <v>185000</v>
      </c>
    </row>
    <row r="197" spans="1:18" x14ac:dyDescent="0.2">
      <c r="A197" s="65">
        <v>44720</v>
      </c>
      <c r="B197" s="41" t="s">
        <v>568</v>
      </c>
      <c r="C197" s="66">
        <v>50000</v>
      </c>
      <c r="D197" s="83">
        <v>44724</v>
      </c>
      <c r="E197" s="53" t="s">
        <v>699</v>
      </c>
      <c r="F197" s="52">
        <f>13000+13000+10000</f>
        <v>36000</v>
      </c>
      <c r="G197" s="47">
        <v>44736</v>
      </c>
      <c r="H197" s="34" t="s">
        <v>700</v>
      </c>
      <c r="I197" s="43">
        <v>27000</v>
      </c>
      <c r="J197" s="57"/>
      <c r="K197" s="57"/>
      <c r="L197" s="57"/>
      <c r="M197" s="207"/>
      <c r="N197" s="207"/>
      <c r="O197" s="207"/>
      <c r="P197" s="47">
        <v>44721</v>
      </c>
      <c r="Q197" s="34" t="s">
        <v>701</v>
      </c>
      <c r="R197" s="36">
        <v>259400</v>
      </c>
    </row>
    <row r="198" spans="1:18" x14ac:dyDescent="0.2">
      <c r="A198" s="65">
        <v>44720</v>
      </c>
      <c r="B198" s="41" t="s">
        <v>702</v>
      </c>
      <c r="C198" s="66">
        <v>125000</v>
      </c>
      <c r="D198" s="83">
        <v>44724</v>
      </c>
      <c r="E198" s="53" t="s">
        <v>703</v>
      </c>
      <c r="F198" s="52">
        <v>207500</v>
      </c>
      <c r="G198" s="47">
        <v>44743</v>
      </c>
      <c r="H198" s="34" t="s">
        <v>704</v>
      </c>
      <c r="I198" s="36">
        <v>36000</v>
      </c>
      <c r="J198" s="57"/>
      <c r="K198" s="57"/>
      <c r="L198" s="57"/>
      <c r="M198" s="207"/>
      <c r="N198" s="207"/>
      <c r="O198" s="207"/>
      <c r="P198" s="47">
        <v>44731</v>
      </c>
      <c r="Q198" s="34" t="s">
        <v>705</v>
      </c>
      <c r="R198" s="36">
        <v>10000</v>
      </c>
    </row>
    <row r="199" spans="1:18" x14ac:dyDescent="0.2">
      <c r="A199" s="65">
        <v>44744</v>
      </c>
      <c r="B199" s="41" t="s">
        <v>568</v>
      </c>
      <c r="C199" s="66">
        <v>50000</v>
      </c>
      <c r="D199" s="83">
        <v>44731</v>
      </c>
      <c r="E199" s="53" t="s">
        <v>706</v>
      </c>
      <c r="F199" s="52">
        <f>25000+5000</f>
        <v>30000</v>
      </c>
      <c r="G199" s="55"/>
      <c r="H199" s="55"/>
      <c r="I199" s="55"/>
      <c r="J199" s="57"/>
      <c r="K199" s="57"/>
      <c r="L199" s="57"/>
      <c r="M199" s="207"/>
      <c r="N199" s="207"/>
      <c r="O199" s="207"/>
      <c r="P199" s="47">
        <v>44731</v>
      </c>
      <c r="Q199" s="34" t="s">
        <v>707</v>
      </c>
      <c r="R199" s="43">
        <v>10000</v>
      </c>
    </row>
    <row r="200" spans="1:18" x14ac:dyDescent="0.2">
      <c r="A200" s="59"/>
      <c r="B200" s="59"/>
      <c r="C200" s="59"/>
      <c r="D200" s="83">
        <v>44731</v>
      </c>
      <c r="E200" s="53" t="s">
        <v>708</v>
      </c>
      <c r="F200" s="52">
        <v>20000</v>
      </c>
      <c r="G200" s="55"/>
      <c r="H200" s="55"/>
      <c r="I200" s="55"/>
      <c r="J200" s="57"/>
      <c r="K200" s="57"/>
      <c r="L200" s="57"/>
      <c r="M200" s="207"/>
      <c r="N200" s="207"/>
      <c r="O200" s="207"/>
      <c r="P200" s="47">
        <v>44733</v>
      </c>
      <c r="Q200" s="34" t="s">
        <v>709</v>
      </c>
      <c r="R200" s="36">
        <v>132000</v>
      </c>
    </row>
    <row r="201" spans="1:18" x14ac:dyDescent="0.2">
      <c r="A201" s="59"/>
      <c r="B201" s="59"/>
      <c r="C201" s="59"/>
      <c r="D201" s="83">
        <v>44731</v>
      </c>
      <c r="E201" s="53" t="s">
        <v>385</v>
      </c>
      <c r="F201" s="52">
        <v>5000</v>
      </c>
      <c r="G201" s="55"/>
      <c r="H201" s="55"/>
      <c r="I201" s="55"/>
      <c r="J201" s="57"/>
      <c r="K201" s="57"/>
      <c r="L201" s="57"/>
      <c r="M201" s="207"/>
      <c r="N201" s="207"/>
      <c r="O201" s="207"/>
      <c r="P201" s="47">
        <v>44738</v>
      </c>
      <c r="Q201" s="11" t="s">
        <v>710</v>
      </c>
      <c r="R201" s="89">
        <v>200000</v>
      </c>
    </row>
    <row r="202" spans="1:18" x14ac:dyDescent="0.2">
      <c r="A202" s="59"/>
      <c r="B202" s="59"/>
      <c r="C202" s="59"/>
      <c r="D202" s="83">
        <v>44733</v>
      </c>
      <c r="E202" s="53" t="s">
        <v>711</v>
      </c>
      <c r="F202" s="52">
        <v>100000</v>
      </c>
      <c r="G202" s="55"/>
      <c r="H202" s="55"/>
      <c r="I202" s="55"/>
      <c r="J202" s="57"/>
      <c r="K202" s="57"/>
      <c r="L202" s="57"/>
      <c r="M202" s="207"/>
      <c r="N202" s="207"/>
      <c r="O202" s="207"/>
      <c r="P202" s="55"/>
      <c r="Q202" s="55"/>
      <c r="R202" s="55"/>
    </row>
    <row r="203" spans="1:18" x14ac:dyDescent="0.2">
      <c r="A203" s="59"/>
      <c r="B203" s="59"/>
      <c r="C203" s="59"/>
      <c r="D203" s="83">
        <v>44730</v>
      </c>
      <c r="E203" s="53" t="s">
        <v>615</v>
      </c>
      <c r="F203" s="52">
        <v>10000</v>
      </c>
      <c r="G203" s="55"/>
      <c r="H203" s="55"/>
      <c r="I203" s="55"/>
      <c r="J203" s="57"/>
      <c r="K203" s="57"/>
      <c r="L203" s="57"/>
      <c r="M203" s="207"/>
      <c r="N203" s="207"/>
      <c r="O203" s="207"/>
      <c r="P203" s="55"/>
      <c r="Q203" s="55"/>
      <c r="R203" s="55"/>
    </row>
    <row r="204" spans="1:18" x14ac:dyDescent="0.2">
      <c r="A204" s="59"/>
      <c r="B204" s="59"/>
      <c r="C204" s="59"/>
      <c r="D204" s="83">
        <v>44737</v>
      </c>
      <c r="E204" s="53" t="s">
        <v>712</v>
      </c>
      <c r="F204" s="52">
        <v>35000</v>
      </c>
      <c r="G204" s="55"/>
      <c r="H204" s="55"/>
      <c r="I204" s="55"/>
      <c r="J204" s="57"/>
      <c r="K204" s="57"/>
      <c r="L204" s="57"/>
      <c r="M204" s="207"/>
      <c r="N204" s="207"/>
      <c r="O204" s="207"/>
      <c r="P204" s="55"/>
      <c r="Q204" s="55"/>
      <c r="R204" s="55"/>
    </row>
    <row r="205" spans="1:18" x14ac:dyDescent="0.2">
      <c r="A205" s="59"/>
      <c r="B205" s="59"/>
      <c r="C205" s="59"/>
      <c r="D205" s="83">
        <v>44739</v>
      </c>
      <c r="E205" s="53" t="s">
        <v>713</v>
      </c>
      <c r="F205" s="52">
        <v>14500</v>
      </c>
      <c r="G205" s="55"/>
      <c r="H205" s="55"/>
      <c r="I205" s="55"/>
      <c r="J205" s="57"/>
      <c r="K205" s="57"/>
      <c r="L205" s="57"/>
      <c r="M205" s="207"/>
      <c r="N205" s="207"/>
      <c r="O205" s="207"/>
      <c r="P205" s="55"/>
      <c r="Q205" s="55"/>
      <c r="R205" s="55"/>
    </row>
    <row r="206" spans="1:18" x14ac:dyDescent="0.2">
      <c r="A206" s="59"/>
      <c r="B206" s="59"/>
      <c r="C206" s="59"/>
      <c r="D206" s="83">
        <v>44744</v>
      </c>
      <c r="E206" s="53" t="s">
        <v>714</v>
      </c>
      <c r="F206" s="52">
        <v>130000</v>
      </c>
      <c r="G206" s="55"/>
      <c r="H206" s="55"/>
      <c r="I206" s="55"/>
      <c r="J206" s="57"/>
      <c r="K206" s="57"/>
      <c r="L206" s="57"/>
      <c r="M206" s="207"/>
      <c r="N206" s="207"/>
      <c r="O206" s="207"/>
      <c r="P206" s="55"/>
      <c r="Q206" s="55"/>
      <c r="R206" s="55"/>
    </row>
    <row r="207" spans="1:18" x14ac:dyDescent="0.2">
      <c r="A207" s="59"/>
      <c r="B207" s="59"/>
      <c r="C207" s="59"/>
      <c r="D207" s="83">
        <v>44745</v>
      </c>
      <c r="E207" s="53" t="s">
        <v>715</v>
      </c>
      <c r="F207" s="52">
        <v>14000</v>
      </c>
      <c r="G207" s="55"/>
      <c r="H207" s="55"/>
      <c r="I207" s="55"/>
      <c r="J207" s="57"/>
      <c r="K207" s="57"/>
      <c r="L207" s="57"/>
      <c r="M207" s="207"/>
      <c r="N207" s="207"/>
      <c r="O207" s="207"/>
      <c r="P207" s="55"/>
      <c r="Q207" s="55"/>
      <c r="R207" s="55"/>
    </row>
    <row r="208" spans="1:18" x14ac:dyDescent="0.2">
      <c r="A208" s="59"/>
      <c r="B208" s="59"/>
      <c r="C208" s="59"/>
      <c r="D208" s="83"/>
      <c r="E208" s="53"/>
      <c r="F208" s="52"/>
      <c r="G208" s="55"/>
      <c r="H208" s="55"/>
      <c r="I208" s="55"/>
      <c r="J208" s="57"/>
      <c r="K208" s="57"/>
      <c r="L208" s="57"/>
      <c r="M208" s="207"/>
      <c r="N208" s="207"/>
      <c r="O208" s="207"/>
      <c r="P208" s="55"/>
      <c r="Q208" s="55"/>
      <c r="R208" s="55"/>
    </row>
    <row r="209" spans="1:18" x14ac:dyDescent="0.2">
      <c r="A209" s="59"/>
      <c r="B209" s="59"/>
      <c r="C209" s="59"/>
      <c r="D209" s="83"/>
      <c r="E209" s="53"/>
      <c r="F209" s="52"/>
      <c r="G209" s="55"/>
      <c r="H209" s="55"/>
      <c r="I209" s="55"/>
      <c r="J209" s="57"/>
      <c r="K209" s="57"/>
      <c r="L209" s="57"/>
      <c r="M209" s="207"/>
      <c r="N209" s="207"/>
      <c r="O209" s="207"/>
      <c r="P209" s="55"/>
      <c r="Q209" s="55"/>
      <c r="R209" s="55"/>
    </row>
    <row r="210" spans="1:18" x14ac:dyDescent="0.2">
      <c r="A210" s="59"/>
      <c r="B210" s="59"/>
      <c r="C210" s="59"/>
      <c r="D210" s="83"/>
      <c r="E210" s="53"/>
      <c r="F210" s="52"/>
      <c r="G210" s="55"/>
      <c r="H210" s="55"/>
      <c r="I210" s="55"/>
      <c r="J210" s="57"/>
      <c r="K210" s="57"/>
      <c r="L210" s="57"/>
      <c r="M210" s="207"/>
      <c r="N210" s="207"/>
      <c r="O210" s="207"/>
      <c r="P210" s="55"/>
      <c r="Q210" s="55"/>
      <c r="R210" s="55"/>
    </row>
    <row r="211" spans="1:18" x14ac:dyDescent="0.2">
      <c r="A211" s="59"/>
      <c r="B211" s="59"/>
      <c r="C211" s="59"/>
      <c r="D211" s="83"/>
      <c r="E211" s="53"/>
      <c r="F211" s="52"/>
      <c r="G211" s="55"/>
      <c r="H211" s="55"/>
      <c r="I211" s="55"/>
      <c r="J211" s="57"/>
      <c r="K211" s="57"/>
      <c r="L211" s="57"/>
      <c r="M211" s="207"/>
      <c r="N211" s="207"/>
      <c r="O211" s="207"/>
      <c r="P211" s="55"/>
      <c r="Q211" s="55"/>
      <c r="R211" s="55"/>
    </row>
    <row r="212" spans="1:18" x14ac:dyDescent="0.2">
      <c r="A212" s="59"/>
      <c r="B212" s="59"/>
      <c r="C212" s="59"/>
      <c r="D212" s="83"/>
      <c r="E212" s="53"/>
      <c r="F212" s="52"/>
      <c r="G212" s="55"/>
      <c r="H212" s="55"/>
      <c r="I212" s="55"/>
      <c r="J212" s="57"/>
      <c r="K212" s="57"/>
      <c r="L212" s="57"/>
      <c r="M212" s="207"/>
      <c r="N212" s="207"/>
      <c r="O212" s="207"/>
      <c r="P212" s="55"/>
      <c r="Q212" s="55"/>
      <c r="R212" s="55"/>
    </row>
    <row r="213" spans="1:18" x14ac:dyDescent="0.2">
      <c r="A213" s="59"/>
      <c r="B213" s="59"/>
      <c r="C213" s="59"/>
      <c r="D213" s="58"/>
      <c r="E213" s="58"/>
      <c r="F213" s="58"/>
      <c r="G213" s="55"/>
      <c r="H213" s="55"/>
      <c r="I213" s="55"/>
      <c r="J213" s="57"/>
      <c r="K213" s="57"/>
      <c r="L213" s="57"/>
      <c r="M213" s="207"/>
      <c r="N213" s="207"/>
      <c r="O213" s="207"/>
      <c r="P213" s="55"/>
      <c r="Q213" s="55"/>
      <c r="R213" s="55"/>
    </row>
    <row r="214" spans="1:18" s="4" customFormat="1" ht="12.95" customHeight="1" x14ac:dyDescent="0.2">
      <c r="A214" s="306" t="s">
        <v>716</v>
      </c>
      <c r="B214" s="307"/>
      <c r="C214" s="218">
        <f>SUM(C195:C213)</f>
        <v>1725000</v>
      </c>
      <c r="D214" s="317" t="s">
        <v>717</v>
      </c>
      <c r="E214" s="318"/>
      <c r="F214" s="219">
        <f>SUM(F195:F213)</f>
        <v>744000</v>
      </c>
      <c r="G214" s="310" t="s">
        <v>95</v>
      </c>
      <c r="H214" s="311"/>
      <c r="I214" s="210">
        <f>SUM(I195:I213)</f>
        <v>181000</v>
      </c>
      <c r="J214" s="319" t="s">
        <v>718</v>
      </c>
      <c r="K214" s="320"/>
      <c r="L214" s="220">
        <f>SUM(L195:L213)</f>
        <v>150000</v>
      </c>
      <c r="M214" s="321" t="s">
        <v>97</v>
      </c>
      <c r="N214" s="322"/>
      <c r="O214" s="221">
        <f>SUM(O195:O213)</f>
        <v>6000</v>
      </c>
      <c r="P214" s="310" t="s">
        <v>98</v>
      </c>
      <c r="Q214" s="311"/>
      <c r="R214" s="210">
        <f>SUM(R195:R213)</f>
        <v>1059400</v>
      </c>
    </row>
    <row r="217" spans="1:18" x14ac:dyDescent="0.2">
      <c r="A217" t="s">
        <v>99</v>
      </c>
      <c r="B217" t="s">
        <v>100</v>
      </c>
      <c r="C217" s="1">
        <v>4000000</v>
      </c>
    </row>
    <row r="218" spans="1:18" x14ac:dyDescent="0.2">
      <c r="B218" t="s">
        <v>690</v>
      </c>
      <c r="P218" s="234"/>
      <c r="Q218" s="235"/>
      <c r="R218" s="236"/>
    </row>
    <row r="219" spans="1:18" x14ac:dyDescent="0.2">
      <c r="P219" s="234"/>
      <c r="Q219" s="235"/>
      <c r="R219" s="236"/>
    </row>
    <row r="220" spans="1:18" x14ac:dyDescent="0.2">
      <c r="A220" t="s">
        <v>662</v>
      </c>
      <c r="B220" s="203" t="str">
        <f>A214</f>
        <v xml:space="preserve">Pengeluaran Kewajiban </v>
      </c>
      <c r="C220" s="1">
        <f>C214</f>
        <v>1725000</v>
      </c>
      <c r="P220" s="234"/>
      <c r="Q220" s="235"/>
      <c r="R220" s="237"/>
    </row>
    <row r="221" spans="1:18" x14ac:dyDescent="0.2">
      <c r="B221" s="203" t="str">
        <f>D214</f>
        <v xml:space="preserve">Pengeluaran Makan </v>
      </c>
      <c r="C221" s="1">
        <f>F214</f>
        <v>744000</v>
      </c>
    </row>
    <row r="222" spans="1:18" x14ac:dyDescent="0.2">
      <c r="B222" s="203" t="str">
        <f>G214</f>
        <v>Pengeluaran Sosial</v>
      </c>
      <c r="C222" s="1">
        <f>I214</f>
        <v>181000</v>
      </c>
    </row>
    <row r="223" spans="1:18" x14ac:dyDescent="0.2">
      <c r="B223" s="203" t="str">
        <f>J214</f>
        <v xml:space="preserve">Pengeluaran Sedekah </v>
      </c>
      <c r="C223" s="1">
        <f>L214</f>
        <v>150000</v>
      </c>
    </row>
    <row r="224" spans="1:18" x14ac:dyDescent="0.2">
      <c r="B224" s="203" t="str">
        <f>M214</f>
        <v>Pengeluaran Transport</v>
      </c>
      <c r="C224" s="1">
        <f>O214</f>
        <v>6000</v>
      </c>
    </row>
    <row r="225" spans="1:18" x14ac:dyDescent="0.2">
      <c r="B225" s="203" t="str">
        <f>P214</f>
        <v>Pengeluaran Sekunder</v>
      </c>
      <c r="C225" s="102">
        <f>R214</f>
        <v>1059400</v>
      </c>
    </row>
    <row r="226" spans="1:18" x14ac:dyDescent="0.2">
      <c r="C226" s="1">
        <f>C217-C220-C221-C222-C223-C224-C225</f>
        <v>134600</v>
      </c>
    </row>
    <row r="227" spans="1:18" x14ac:dyDescent="0.2">
      <c r="C227" s="1"/>
    </row>
    <row r="228" spans="1:18" x14ac:dyDescent="0.2">
      <c r="C228" s="1"/>
    </row>
    <row r="229" spans="1:18" x14ac:dyDescent="0.2">
      <c r="A229" s="294" t="s">
        <v>719</v>
      </c>
      <c r="B229" s="294"/>
      <c r="C229" s="294"/>
      <c r="D229" s="294"/>
      <c r="E229" s="294"/>
      <c r="F229" s="294"/>
      <c r="G229" s="294"/>
      <c r="H229" s="294"/>
      <c r="I229" s="294"/>
      <c r="J229" s="294"/>
      <c r="K229" s="294"/>
      <c r="L229" s="294"/>
      <c r="M229" s="294"/>
      <c r="N229" s="294"/>
      <c r="O229" s="294"/>
      <c r="P229" s="294"/>
      <c r="Q229" s="294"/>
      <c r="R229" s="294"/>
    </row>
    <row r="230" spans="1:18" x14ac:dyDescent="0.2">
      <c r="A230" s="294"/>
      <c r="B230" s="294"/>
      <c r="C230" s="294"/>
      <c r="D230" s="294"/>
      <c r="E230" s="294"/>
      <c r="F230" s="294"/>
      <c r="G230" s="294"/>
      <c r="H230" s="294"/>
      <c r="I230" s="294"/>
      <c r="J230" s="294"/>
      <c r="K230" s="294"/>
      <c r="L230" s="294"/>
      <c r="M230" s="294"/>
      <c r="N230" s="294"/>
      <c r="O230" s="294"/>
      <c r="P230" s="294"/>
      <c r="Q230" s="294"/>
      <c r="R230" s="294"/>
    </row>
    <row r="231" spans="1:18" x14ac:dyDescent="0.2">
      <c r="A231" s="59" t="s">
        <v>1</v>
      </c>
      <c r="B231" s="59" t="s">
        <v>2</v>
      </c>
      <c r="C231" s="59" t="s">
        <v>3</v>
      </c>
      <c r="D231" s="58" t="s">
        <v>1</v>
      </c>
      <c r="E231" s="58" t="s">
        <v>4</v>
      </c>
      <c r="F231" s="58" t="s">
        <v>3</v>
      </c>
      <c r="G231" s="55" t="s">
        <v>1</v>
      </c>
      <c r="H231" s="55" t="s">
        <v>5</v>
      </c>
      <c r="I231" s="55" t="s">
        <v>3</v>
      </c>
      <c r="J231" s="57" t="s">
        <v>1</v>
      </c>
      <c r="K231" s="57" t="s">
        <v>6</v>
      </c>
      <c r="L231" s="57" t="s">
        <v>3</v>
      </c>
      <c r="M231" s="56" t="s">
        <v>1</v>
      </c>
      <c r="N231" s="56" t="s">
        <v>7</v>
      </c>
      <c r="O231" s="56" t="s">
        <v>3</v>
      </c>
      <c r="P231" s="55" t="s">
        <v>1</v>
      </c>
      <c r="Q231" s="55" t="s">
        <v>8</v>
      </c>
      <c r="R231" s="55" t="s">
        <v>3</v>
      </c>
    </row>
    <row r="232" spans="1:18" x14ac:dyDescent="0.2">
      <c r="A232" s="65">
        <v>44746</v>
      </c>
      <c r="B232" s="41" t="s">
        <v>597</v>
      </c>
      <c r="C232" s="66">
        <v>1000000</v>
      </c>
      <c r="D232" s="83">
        <v>44746</v>
      </c>
      <c r="E232" s="53" t="s">
        <v>720</v>
      </c>
      <c r="F232" s="52">
        <f>10000+12000</f>
        <v>22000</v>
      </c>
      <c r="G232" s="47">
        <v>44746</v>
      </c>
      <c r="H232" s="34" t="s">
        <v>448</v>
      </c>
      <c r="I232" s="36">
        <v>150000</v>
      </c>
      <c r="J232" s="51"/>
      <c r="K232" s="32"/>
      <c r="L232" s="140"/>
      <c r="M232" s="225">
        <v>44751</v>
      </c>
      <c r="N232" s="226" t="s">
        <v>721</v>
      </c>
      <c r="O232" s="238">
        <v>2000</v>
      </c>
      <c r="P232" s="47">
        <v>44749</v>
      </c>
      <c r="Q232" s="34" t="s">
        <v>722</v>
      </c>
      <c r="R232" s="36">
        <v>200000</v>
      </c>
    </row>
    <row r="233" spans="1:18" x14ac:dyDescent="0.2">
      <c r="A233" s="65">
        <v>44746</v>
      </c>
      <c r="B233" s="41" t="s">
        <v>101</v>
      </c>
      <c r="C233" s="66">
        <v>500000</v>
      </c>
      <c r="D233" s="83">
        <v>44747</v>
      </c>
      <c r="E233" s="53" t="s">
        <v>723</v>
      </c>
      <c r="F233" s="52">
        <v>122000</v>
      </c>
      <c r="G233" s="47">
        <v>44752</v>
      </c>
      <c r="H233" s="34" t="s">
        <v>724</v>
      </c>
      <c r="I233" s="36">
        <v>30000</v>
      </c>
      <c r="J233" s="57"/>
      <c r="K233" s="57"/>
      <c r="L233" s="57"/>
      <c r="M233" s="225">
        <v>44752</v>
      </c>
      <c r="N233" s="226" t="s">
        <v>725</v>
      </c>
      <c r="O233" s="238">
        <v>2000</v>
      </c>
      <c r="P233" s="47">
        <v>44769</v>
      </c>
      <c r="Q233" s="34" t="s">
        <v>726</v>
      </c>
      <c r="R233" s="36">
        <v>50000</v>
      </c>
    </row>
    <row r="234" spans="1:18" x14ac:dyDescent="0.2">
      <c r="A234" s="65">
        <v>44747</v>
      </c>
      <c r="B234" s="41" t="s">
        <v>727</v>
      </c>
      <c r="C234" s="66">
        <v>100000</v>
      </c>
      <c r="D234" s="83">
        <v>44747</v>
      </c>
      <c r="E234" s="53" t="s">
        <v>728</v>
      </c>
      <c r="F234" s="52">
        <v>10000</v>
      </c>
      <c r="G234" s="47">
        <v>44755</v>
      </c>
      <c r="H234" s="34" t="s">
        <v>729</v>
      </c>
      <c r="I234" s="43">
        <f>14000*3</f>
        <v>42000</v>
      </c>
      <c r="J234" s="57"/>
      <c r="K234" s="57"/>
      <c r="L234" s="57"/>
      <c r="M234" s="225">
        <v>44758</v>
      </c>
      <c r="N234" s="226" t="s">
        <v>265</v>
      </c>
      <c r="O234" s="238">
        <v>6000</v>
      </c>
      <c r="P234" s="47">
        <v>44756</v>
      </c>
      <c r="Q234" s="34" t="s">
        <v>730</v>
      </c>
      <c r="R234" s="36">
        <v>320000</v>
      </c>
    </row>
    <row r="235" spans="1:18" x14ac:dyDescent="0.2">
      <c r="A235" s="65">
        <v>44747</v>
      </c>
      <c r="B235" s="41" t="s">
        <v>731</v>
      </c>
      <c r="C235" s="66">
        <v>50000</v>
      </c>
      <c r="D235" s="83">
        <v>44747</v>
      </c>
      <c r="E235" s="53" t="s">
        <v>732</v>
      </c>
      <c r="F235" s="52">
        <v>25000</v>
      </c>
      <c r="G235" s="47">
        <v>44758</v>
      </c>
      <c r="H235" s="34" t="s">
        <v>733</v>
      </c>
      <c r="I235" s="36">
        <v>112000</v>
      </c>
      <c r="J235" s="57"/>
      <c r="K235" s="57"/>
      <c r="L235" s="57"/>
      <c r="M235" s="225">
        <v>44759</v>
      </c>
      <c r="N235" s="226" t="s">
        <v>734</v>
      </c>
      <c r="O235" s="238">
        <v>4000</v>
      </c>
      <c r="P235" s="47">
        <v>44756</v>
      </c>
      <c r="Q235" s="34" t="s">
        <v>184</v>
      </c>
      <c r="R235" s="36">
        <v>130000</v>
      </c>
    </row>
    <row r="236" spans="1:18" x14ac:dyDescent="0.2">
      <c r="A236" s="65">
        <v>44752</v>
      </c>
      <c r="B236" s="41" t="s">
        <v>735</v>
      </c>
      <c r="C236" s="66">
        <v>125000</v>
      </c>
      <c r="D236" s="83">
        <v>44749</v>
      </c>
      <c r="E236" s="53" t="s">
        <v>666</v>
      </c>
      <c r="F236" s="52">
        <v>72000</v>
      </c>
      <c r="G236" s="47">
        <v>44758</v>
      </c>
      <c r="H236" s="34" t="s">
        <v>736</v>
      </c>
      <c r="I236" s="36">
        <v>17000</v>
      </c>
      <c r="J236" s="57"/>
      <c r="K236" s="57"/>
      <c r="L236" s="57"/>
      <c r="M236" s="225">
        <v>44759</v>
      </c>
      <c r="N236" s="226" t="s">
        <v>13</v>
      </c>
      <c r="O236" s="238">
        <v>20000</v>
      </c>
      <c r="P236" s="47">
        <v>44756</v>
      </c>
      <c r="Q236" s="34" t="s">
        <v>737</v>
      </c>
      <c r="R236" s="43">
        <v>126800</v>
      </c>
    </row>
    <row r="237" spans="1:18" x14ac:dyDescent="0.2">
      <c r="A237" s="65">
        <v>44772</v>
      </c>
      <c r="B237" s="41" t="s">
        <v>738</v>
      </c>
      <c r="C237" s="66">
        <v>50000</v>
      </c>
      <c r="D237" s="83">
        <v>44751</v>
      </c>
      <c r="E237" s="53" t="s">
        <v>739</v>
      </c>
      <c r="F237" s="52">
        <v>31500</v>
      </c>
      <c r="G237" s="55"/>
      <c r="H237" s="55"/>
      <c r="I237" s="55"/>
      <c r="J237" s="57"/>
      <c r="K237" s="57"/>
      <c r="L237" s="57"/>
      <c r="M237" s="207"/>
      <c r="N237" s="207"/>
      <c r="O237" s="207"/>
      <c r="P237" s="47">
        <v>44760</v>
      </c>
      <c r="Q237" s="34" t="s">
        <v>740</v>
      </c>
      <c r="R237" s="36">
        <v>191000</v>
      </c>
    </row>
    <row r="238" spans="1:18" x14ac:dyDescent="0.2">
      <c r="A238" s="59"/>
      <c r="B238" s="59"/>
      <c r="C238" s="59"/>
      <c r="D238" s="83">
        <v>44751</v>
      </c>
      <c r="E238" s="53" t="s">
        <v>77</v>
      </c>
      <c r="F238" s="52">
        <f>68000</f>
        <v>68000</v>
      </c>
      <c r="G238" s="55"/>
      <c r="H238" s="55"/>
      <c r="I238" s="55"/>
      <c r="J238" s="57"/>
      <c r="K238" s="57"/>
      <c r="L238" s="57"/>
      <c r="M238" s="207"/>
      <c r="N238" s="207"/>
      <c r="O238" s="207"/>
      <c r="P238" s="47">
        <v>44761</v>
      </c>
      <c r="Q238" s="11" t="s">
        <v>741</v>
      </c>
      <c r="R238" s="89">
        <v>126000</v>
      </c>
    </row>
    <row r="239" spans="1:18" x14ac:dyDescent="0.2">
      <c r="A239" s="59"/>
      <c r="B239" s="59"/>
      <c r="C239" s="59"/>
      <c r="D239" s="83">
        <v>44752</v>
      </c>
      <c r="E239" s="53" t="s">
        <v>742</v>
      </c>
      <c r="F239" s="52">
        <v>33000</v>
      </c>
      <c r="G239" s="55"/>
      <c r="H239" s="55"/>
      <c r="I239" s="55"/>
      <c r="J239" s="57"/>
      <c r="K239" s="57"/>
      <c r="L239" s="57"/>
      <c r="M239" s="207"/>
      <c r="N239" s="207"/>
      <c r="O239" s="207"/>
      <c r="P239" s="55"/>
      <c r="Q239" s="55"/>
      <c r="R239" s="55"/>
    </row>
    <row r="240" spans="1:18" x14ac:dyDescent="0.2">
      <c r="A240" s="59"/>
      <c r="B240" s="59"/>
      <c r="C240" s="59"/>
      <c r="D240" s="83">
        <v>44752</v>
      </c>
      <c r="E240" s="53" t="s">
        <v>743</v>
      </c>
      <c r="F240" s="52">
        <v>10000</v>
      </c>
      <c r="G240" s="55"/>
      <c r="H240" s="55"/>
      <c r="I240" s="55"/>
      <c r="J240" s="57"/>
      <c r="K240" s="57"/>
      <c r="L240" s="57"/>
      <c r="M240" s="207"/>
      <c r="N240" s="207"/>
      <c r="O240" s="207"/>
      <c r="P240" s="55"/>
      <c r="Q240" s="55"/>
      <c r="R240" s="55"/>
    </row>
    <row r="241" spans="1:18" x14ac:dyDescent="0.2">
      <c r="A241" s="59"/>
      <c r="B241" s="59"/>
      <c r="C241" s="59"/>
      <c r="D241" s="83">
        <v>44750</v>
      </c>
      <c r="E241" s="53" t="s">
        <v>744</v>
      </c>
      <c r="F241" s="52">
        <v>20000</v>
      </c>
      <c r="G241" s="55"/>
      <c r="H241" s="55"/>
      <c r="I241" s="55"/>
      <c r="J241" s="57"/>
      <c r="K241" s="57"/>
      <c r="L241" s="57"/>
      <c r="M241" s="207"/>
      <c r="N241" s="207"/>
      <c r="O241" s="207"/>
      <c r="P241" s="55"/>
      <c r="Q241" s="55"/>
      <c r="R241" s="55"/>
    </row>
    <row r="242" spans="1:18" x14ac:dyDescent="0.2">
      <c r="A242" s="59"/>
      <c r="B242" s="59"/>
      <c r="C242" s="59"/>
      <c r="D242" s="83">
        <v>44754</v>
      </c>
      <c r="E242" s="53" t="s">
        <v>745</v>
      </c>
      <c r="F242" s="52">
        <v>10000</v>
      </c>
      <c r="G242" s="55"/>
      <c r="H242" s="55"/>
      <c r="I242" s="55"/>
      <c r="J242" s="57"/>
      <c r="K242" s="57"/>
      <c r="L242" s="57"/>
      <c r="M242" s="207"/>
      <c r="N242" s="207"/>
      <c r="O242" s="207"/>
      <c r="P242" s="55"/>
      <c r="Q242" s="55"/>
      <c r="R242" s="55"/>
    </row>
    <row r="243" spans="1:18" x14ac:dyDescent="0.2">
      <c r="A243" s="59"/>
      <c r="B243" s="59"/>
      <c r="C243" s="59"/>
      <c r="D243" s="83">
        <v>44754</v>
      </c>
      <c r="E243" s="53" t="s">
        <v>746</v>
      </c>
      <c r="F243" s="52">
        <v>4000</v>
      </c>
      <c r="G243" s="55"/>
      <c r="H243" s="55"/>
      <c r="I243" s="55"/>
      <c r="J243" s="57"/>
      <c r="K243" s="57"/>
      <c r="L243" s="57"/>
      <c r="M243" s="207"/>
      <c r="N243" s="207"/>
      <c r="O243" s="207"/>
      <c r="P243" s="55"/>
      <c r="Q243" s="55"/>
      <c r="R243" s="55"/>
    </row>
    <row r="244" spans="1:18" x14ac:dyDescent="0.2">
      <c r="A244" s="59"/>
      <c r="B244" s="59"/>
      <c r="C244" s="59"/>
      <c r="D244" s="83">
        <v>44754</v>
      </c>
      <c r="E244" s="53" t="s">
        <v>747</v>
      </c>
      <c r="F244" s="52">
        <v>10000</v>
      </c>
      <c r="G244" s="55"/>
      <c r="H244" s="55"/>
      <c r="I244" s="55"/>
      <c r="J244" s="57"/>
      <c r="K244" s="57"/>
      <c r="L244" s="57"/>
      <c r="M244" s="207"/>
      <c r="N244" s="207"/>
      <c r="O244" s="207"/>
      <c r="P244" s="55"/>
      <c r="Q244" s="55"/>
      <c r="R244" s="55"/>
    </row>
    <row r="245" spans="1:18" x14ac:dyDescent="0.2">
      <c r="A245" s="59"/>
      <c r="B245" s="59"/>
      <c r="C245" s="59"/>
      <c r="D245" s="83">
        <v>44754</v>
      </c>
      <c r="E245" s="53" t="s">
        <v>748</v>
      </c>
      <c r="F245" s="52">
        <v>8000</v>
      </c>
      <c r="G245" s="55"/>
      <c r="H245" s="55"/>
      <c r="I245" s="55"/>
      <c r="J245" s="57"/>
      <c r="K245" s="57"/>
      <c r="L245" s="57"/>
      <c r="M245" s="207"/>
      <c r="N245" s="207"/>
      <c r="O245" s="207"/>
      <c r="P245" s="55"/>
      <c r="Q245" s="55"/>
      <c r="R245" s="55"/>
    </row>
    <row r="246" spans="1:18" x14ac:dyDescent="0.2">
      <c r="A246" s="59"/>
      <c r="B246" s="59"/>
      <c r="C246" s="59"/>
      <c r="D246" s="83">
        <v>44754</v>
      </c>
      <c r="E246" s="53" t="s">
        <v>749</v>
      </c>
      <c r="F246" s="52">
        <v>26300</v>
      </c>
      <c r="G246" s="55"/>
      <c r="H246" s="55"/>
      <c r="I246" s="55"/>
      <c r="J246" s="57"/>
      <c r="K246" s="57"/>
      <c r="L246" s="57"/>
      <c r="M246" s="207"/>
      <c r="N246" s="207"/>
      <c r="O246" s="207"/>
      <c r="P246" s="55"/>
      <c r="Q246" s="55"/>
      <c r="R246" s="55"/>
    </row>
    <row r="247" spans="1:18" x14ac:dyDescent="0.2">
      <c r="A247" s="59"/>
      <c r="B247" s="59"/>
      <c r="C247" s="59"/>
      <c r="D247" s="83">
        <v>44755</v>
      </c>
      <c r="E247" s="53" t="s">
        <v>750</v>
      </c>
      <c r="F247" s="52">
        <v>50000</v>
      </c>
      <c r="G247" s="55"/>
      <c r="H247" s="55"/>
      <c r="I247" s="55"/>
      <c r="J247" s="57"/>
      <c r="K247" s="57"/>
      <c r="L247" s="57"/>
      <c r="M247" s="207"/>
      <c r="N247" s="207"/>
      <c r="O247" s="207"/>
      <c r="P247" s="55"/>
      <c r="Q247" s="55"/>
      <c r="R247" s="55"/>
    </row>
    <row r="248" spans="1:18" x14ac:dyDescent="0.2">
      <c r="A248" s="59"/>
      <c r="B248" s="59"/>
      <c r="C248" s="59"/>
      <c r="D248" s="83">
        <v>44756</v>
      </c>
      <c r="E248" s="53" t="s">
        <v>751</v>
      </c>
      <c r="F248" s="52">
        <v>64000</v>
      </c>
      <c r="G248" s="55"/>
      <c r="H248" s="55"/>
      <c r="I248" s="55"/>
      <c r="J248" s="57"/>
      <c r="K248" s="57"/>
      <c r="L248" s="57"/>
      <c r="M248" s="207"/>
      <c r="N248" s="207"/>
      <c r="O248" s="207"/>
      <c r="P248" s="55"/>
      <c r="Q248" s="55"/>
      <c r="R248" s="55"/>
    </row>
    <row r="249" spans="1:18" x14ac:dyDescent="0.2">
      <c r="A249" s="59"/>
      <c r="B249" s="59"/>
      <c r="C249" s="59"/>
      <c r="D249" s="83">
        <v>44758</v>
      </c>
      <c r="E249" s="53" t="s">
        <v>752</v>
      </c>
      <c r="F249" s="52">
        <v>15000</v>
      </c>
      <c r="G249" s="55"/>
      <c r="H249" s="55"/>
      <c r="I249" s="55"/>
      <c r="J249" s="57"/>
      <c r="K249" s="57"/>
      <c r="L249" s="57"/>
      <c r="M249" s="207"/>
      <c r="N249" s="207"/>
      <c r="O249" s="207"/>
      <c r="P249" s="55"/>
      <c r="Q249" s="55"/>
      <c r="R249" s="55"/>
    </row>
    <row r="250" spans="1:18" x14ac:dyDescent="0.2">
      <c r="A250" s="59"/>
      <c r="B250" s="59"/>
      <c r="C250" s="59"/>
      <c r="D250" s="83">
        <v>44760</v>
      </c>
      <c r="E250" s="53" t="s">
        <v>753</v>
      </c>
      <c r="F250" s="52">
        <f>5000+4000+9000+13000</f>
        <v>31000</v>
      </c>
      <c r="G250" s="55"/>
      <c r="H250" s="55"/>
      <c r="I250" s="55"/>
      <c r="J250" s="57"/>
      <c r="K250" s="57"/>
      <c r="L250" s="57"/>
      <c r="M250" s="207"/>
      <c r="N250" s="207"/>
      <c r="O250" s="207"/>
      <c r="P250" s="55"/>
      <c r="Q250" s="55"/>
      <c r="R250" s="55"/>
    </row>
    <row r="251" spans="1:18" x14ac:dyDescent="0.2">
      <c r="A251" s="59"/>
      <c r="B251" s="59"/>
      <c r="C251" s="59"/>
      <c r="D251" s="83">
        <v>44759</v>
      </c>
      <c r="E251" s="53" t="s">
        <v>754</v>
      </c>
      <c r="F251" s="52">
        <f>16000+58000</f>
        <v>74000</v>
      </c>
      <c r="G251" s="55"/>
      <c r="H251" s="55"/>
      <c r="I251" s="55"/>
      <c r="J251" s="57"/>
      <c r="K251" s="57"/>
      <c r="L251" s="57"/>
      <c r="M251" s="207"/>
      <c r="N251" s="207"/>
      <c r="O251" s="207"/>
      <c r="P251" s="55"/>
      <c r="Q251" s="55"/>
      <c r="R251" s="55"/>
    </row>
    <row r="252" spans="1:18" x14ac:dyDescent="0.2">
      <c r="A252" s="59"/>
      <c r="B252" s="59"/>
      <c r="C252" s="59"/>
      <c r="D252" s="83">
        <v>44760</v>
      </c>
      <c r="E252" s="53" t="s">
        <v>755</v>
      </c>
      <c r="F252" s="52">
        <v>10000</v>
      </c>
      <c r="G252" s="55"/>
      <c r="H252" s="55"/>
      <c r="I252" s="55"/>
      <c r="J252" s="57"/>
      <c r="K252" s="57"/>
      <c r="L252" s="57"/>
      <c r="M252" s="207"/>
      <c r="N252" s="207"/>
      <c r="O252" s="207"/>
      <c r="P252" s="55"/>
      <c r="Q252" s="55"/>
      <c r="R252" s="55"/>
    </row>
    <row r="253" spans="1:18" x14ac:dyDescent="0.2">
      <c r="A253" s="59"/>
      <c r="B253" s="59"/>
      <c r="C253" s="59"/>
      <c r="D253" s="83">
        <v>44771</v>
      </c>
      <c r="E253" s="53" t="s">
        <v>756</v>
      </c>
      <c r="F253" s="52">
        <v>53000</v>
      </c>
      <c r="G253" s="55"/>
      <c r="H253" s="55"/>
      <c r="I253" s="55"/>
      <c r="J253" s="57"/>
      <c r="K253" s="57"/>
      <c r="L253" s="57"/>
      <c r="M253" s="207"/>
      <c r="N253" s="207"/>
      <c r="O253" s="207"/>
      <c r="P253" s="55"/>
      <c r="Q253" s="55"/>
      <c r="R253" s="55"/>
    </row>
    <row r="254" spans="1:18" x14ac:dyDescent="0.2">
      <c r="A254" s="59"/>
      <c r="B254" s="59"/>
      <c r="C254" s="59"/>
      <c r="D254" s="58"/>
      <c r="E254" s="58"/>
      <c r="F254" s="58"/>
      <c r="G254" s="55"/>
      <c r="H254" s="55"/>
      <c r="I254" s="55"/>
      <c r="J254" s="57"/>
      <c r="K254" s="57"/>
      <c r="L254" s="57"/>
      <c r="M254" s="207"/>
      <c r="N254" s="207"/>
      <c r="O254" s="207"/>
      <c r="P254" s="55"/>
      <c r="Q254" s="55"/>
      <c r="R254" s="55"/>
    </row>
    <row r="255" spans="1:18" x14ac:dyDescent="0.2">
      <c r="A255" s="306" t="s">
        <v>716</v>
      </c>
      <c r="B255" s="307"/>
      <c r="C255" s="218">
        <f>SUM(C232:C254)</f>
        <v>1825000</v>
      </c>
      <c r="D255" s="317" t="s">
        <v>717</v>
      </c>
      <c r="E255" s="318"/>
      <c r="F255" s="219">
        <f>SUM(F232:F254)</f>
        <v>768800</v>
      </c>
      <c r="G255" s="310" t="s">
        <v>95</v>
      </c>
      <c r="H255" s="311"/>
      <c r="I255" s="210">
        <f>SUM(I232:I254)</f>
        <v>351000</v>
      </c>
      <c r="J255" s="319" t="s">
        <v>718</v>
      </c>
      <c r="K255" s="320"/>
      <c r="L255" s="220">
        <f>SUM(L232:L254)</f>
        <v>0</v>
      </c>
      <c r="M255" s="321" t="s">
        <v>97</v>
      </c>
      <c r="N255" s="322"/>
      <c r="O255" s="221">
        <f>SUM(O232:O254)</f>
        <v>34000</v>
      </c>
      <c r="P255" s="310" t="s">
        <v>98</v>
      </c>
      <c r="Q255" s="311"/>
      <c r="R255" s="210">
        <f>SUM(R232:R254)</f>
        <v>1143800</v>
      </c>
    </row>
    <row r="258" spans="1:18" x14ac:dyDescent="0.2">
      <c r="A258" t="s">
        <v>99</v>
      </c>
      <c r="B258" t="s">
        <v>100</v>
      </c>
      <c r="C258" s="1">
        <v>4000000</v>
      </c>
    </row>
    <row r="259" spans="1:18" x14ac:dyDescent="0.2">
      <c r="B259" t="s">
        <v>690</v>
      </c>
      <c r="C259" s="1">
        <v>134600</v>
      </c>
      <c r="P259" s="234"/>
      <c r="Q259" s="235"/>
      <c r="R259" s="236"/>
    </row>
    <row r="260" spans="1:18" x14ac:dyDescent="0.2">
      <c r="P260" s="234"/>
      <c r="Q260" s="235"/>
      <c r="R260" s="236"/>
    </row>
    <row r="261" spans="1:18" x14ac:dyDescent="0.2">
      <c r="A261" t="s">
        <v>662</v>
      </c>
      <c r="B261" s="203" t="str">
        <f>A255</f>
        <v xml:space="preserve">Pengeluaran Kewajiban </v>
      </c>
      <c r="C261" s="1">
        <f>C255</f>
        <v>1825000</v>
      </c>
      <c r="P261" s="234"/>
      <c r="Q261" s="235"/>
      <c r="R261" s="237"/>
    </row>
    <row r="262" spans="1:18" x14ac:dyDescent="0.2">
      <c r="B262" s="203" t="str">
        <f>D255</f>
        <v xml:space="preserve">Pengeluaran Makan </v>
      </c>
      <c r="C262" s="1">
        <f>F255</f>
        <v>768800</v>
      </c>
    </row>
    <row r="263" spans="1:18" x14ac:dyDescent="0.2">
      <c r="B263" s="203" t="str">
        <f>G255</f>
        <v>Pengeluaran Sosial</v>
      </c>
      <c r="C263" s="1">
        <f>I255</f>
        <v>351000</v>
      </c>
    </row>
    <row r="264" spans="1:18" x14ac:dyDescent="0.2">
      <c r="B264" s="203" t="str">
        <f>J255</f>
        <v xml:space="preserve">Pengeluaran Sedekah </v>
      </c>
      <c r="C264" s="1">
        <f>L255</f>
        <v>0</v>
      </c>
    </row>
    <row r="265" spans="1:18" x14ac:dyDescent="0.2">
      <c r="B265" s="203" t="str">
        <f>M255</f>
        <v>Pengeluaran Transport</v>
      </c>
      <c r="C265" s="1">
        <f>O255</f>
        <v>34000</v>
      </c>
    </row>
    <row r="266" spans="1:18" x14ac:dyDescent="0.2">
      <c r="B266" s="203" t="str">
        <f>P255</f>
        <v>Pengeluaran Sekunder</v>
      </c>
      <c r="C266" s="102">
        <f>R255</f>
        <v>1143800</v>
      </c>
    </row>
    <row r="267" spans="1:18" x14ac:dyDescent="0.2">
      <c r="C267" s="1">
        <f>C258-C261-C262-C263-C264-C265-C266+C259</f>
        <v>12000</v>
      </c>
    </row>
    <row r="269" spans="1:18" x14ac:dyDescent="0.2">
      <c r="B269" s="1"/>
    </row>
    <row r="270" spans="1:18" x14ac:dyDescent="0.2">
      <c r="B270" s="1"/>
    </row>
    <row r="271" spans="1:18" ht="12.75" customHeight="1" x14ac:dyDescent="0.2">
      <c r="A271" s="294" t="s">
        <v>530</v>
      </c>
      <c r="B271" s="294"/>
      <c r="C271" s="294"/>
      <c r="D271" s="294"/>
      <c r="E271" s="294"/>
      <c r="F271" s="294"/>
      <c r="G271" s="294"/>
      <c r="H271" s="294"/>
      <c r="I271" s="294"/>
      <c r="J271" s="294"/>
      <c r="K271" s="294"/>
      <c r="L271" s="294"/>
      <c r="M271" s="294"/>
      <c r="N271" s="294"/>
      <c r="O271" s="294"/>
      <c r="P271" s="294"/>
      <c r="Q271" s="294"/>
      <c r="R271" s="294"/>
    </row>
    <row r="272" spans="1:18" ht="12.75" customHeight="1" x14ac:dyDescent="0.2">
      <c r="A272" s="294"/>
      <c r="B272" s="294"/>
      <c r="C272" s="294"/>
      <c r="D272" s="294"/>
      <c r="E272" s="294"/>
      <c r="F272" s="294"/>
      <c r="G272" s="294"/>
      <c r="H272" s="294"/>
      <c r="I272" s="294"/>
      <c r="J272" s="294"/>
      <c r="K272" s="294"/>
      <c r="L272" s="294"/>
      <c r="M272" s="294"/>
      <c r="N272" s="294"/>
      <c r="O272" s="294"/>
      <c r="P272" s="294"/>
      <c r="Q272" s="294"/>
      <c r="R272" s="294"/>
    </row>
    <row r="273" spans="1:18" x14ac:dyDescent="0.2">
      <c r="A273" s="59" t="s">
        <v>1</v>
      </c>
      <c r="B273" s="59" t="s">
        <v>2</v>
      </c>
      <c r="C273" s="59" t="s">
        <v>3</v>
      </c>
      <c r="D273" s="58" t="s">
        <v>1</v>
      </c>
      <c r="E273" s="58" t="s">
        <v>4</v>
      </c>
      <c r="F273" s="58" t="s">
        <v>3</v>
      </c>
      <c r="G273" s="55" t="s">
        <v>1</v>
      </c>
      <c r="H273" s="55" t="s">
        <v>5</v>
      </c>
      <c r="I273" s="55" t="s">
        <v>3</v>
      </c>
      <c r="J273" s="57" t="s">
        <v>1</v>
      </c>
      <c r="K273" s="57" t="s">
        <v>6</v>
      </c>
      <c r="L273" s="57" t="s">
        <v>3</v>
      </c>
      <c r="M273" s="56" t="s">
        <v>1</v>
      </c>
      <c r="N273" s="56" t="s">
        <v>7</v>
      </c>
      <c r="O273" s="56" t="s">
        <v>3</v>
      </c>
      <c r="P273" s="55" t="s">
        <v>1</v>
      </c>
      <c r="Q273" s="55" t="s">
        <v>8</v>
      </c>
      <c r="R273" s="55" t="s">
        <v>3</v>
      </c>
    </row>
    <row r="274" spans="1:18" ht="12.95" customHeight="1" x14ac:dyDescent="0.2">
      <c r="A274" s="65">
        <v>44778</v>
      </c>
      <c r="B274" s="41" t="s">
        <v>597</v>
      </c>
      <c r="C274" s="66">
        <v>1000000</v>
      </c>
      <c r="D274" s="83">
        <v>44781</v>
      </c>
      <c r="E274" s="53" t="s">
        <v>757</v>
      </c>
      <c r="F274" s="52">
        <v>99000</v>
      </c>
      <c r="G274" s="47">
        <v>44778</v>
      </c>
      <c r="H274" s="34" t="s">
        <v>758</v>
      </c>
      <c r="I274" s="36">
        <v>106000</v>
      </c>
      <c r="J274" s="51">
        <v>44778</v>
      </c>
      <c r="K274" s="32" t="s">
        <v>12</v>
      </c>
      <c r="L274" s="140">
        <v>150000</v>
      </c>
      <c r="M274" s="225">
        <v>44781</v>
      </c>
      <c r="N274" s="226" t="s">
        <v>412</v>
      </c>
      <c r="O274" s="238">
        <v>20000</v>
      </c>
      <c r="P274" s="47">
        <v>44778</v>
      </c>
      <c r="Q274" s="34" t="s">
        <v>759</v>
      </c>
      <c r="R274" s="36">
        <v>88000</v>
      </c>
    </row>
    <row r="275" spans="1:18" ht="12.95" customHeight="1" x14ac:dyDescent="0.2">
      <c r="A275" s="65">
        <v>44778</v>
      </c>
      <c r="B275" s="41" t="s">
        <v>564</v>
      </c>
      <c r="C275" s="66">
        <v>500000</v>
      </c>
      <c r="D275" s="83">
        <v>44784</v>
      </c>
      <c r="E275" s="53" t="s">
        <v>760</v>
      </c>
      <c r="F275" s="52">
        <v>57000</v>
      </c>
      <c r="G275" s="47">
        <v>44780</v>
      </c>
      <c r="H275" s="34" t="s">
        <v>761</v>
      </c>
      <c r="I275" s="36">
        <v>140000</v>
      </c>
      <c r="J275" s="57"/>
      <c r="K275" s="57"/>
      <c r="L275" s="57"/>
      <c r="M275" s="225">
        <v>44785</v>
      </c>
      <c r="N275" s="226" t="s">
        <v>412</v>
      </c>
      <c r="O275" s="238">
        <v>20000</v>
      </c>
      <c r="P275" s="47">
        <v>44778</v>
      </c>
      <c r="Q275" s="34" t="s">
        <v>762</v>
      </c>
      <c r="R275" s="36">
        <v>75000</v>
      </c>
    </row>
    <row r="276" spans="1:18" ht="12.95" customHeight="1" x14ac:dyDescent="0.2">
      <c r="A276" s="65">
        <v>44778</v>
      </c>
      <c r="B276" s="41" t="s">
        <v>763</v>
      </c>
      <c r="C276" s="66">
        <v>125000</v>
      </c>
      <c r="D276" s="83">
        <v>44784</v>
      </c>
      <c r="E276" s="53" t="s">
        <v>764</v>
      </c>
      <c r="F276" s="52">
        <v>10000</v>
      </c>
      <c r="G276" s="47">
        <v>44787</v>
      </c>
      <c r="H276" s="34" t="s">
        <v>765</v>
      </c>
      <c r="I276" s="43">
        <v>74000</v>
      </c>
      <c r="J276" s="57"/>
      <c r="K276" s="57"/>
      <c r="L276" s="57"/>
      <c r="M276" s="225">
        <v>44789</v>
      </c>
      <c r="N276" s="226" t="s">
        <v>766</v>
      </c>
      <c r="O276" s="238">
        <v>2000</v>
      </c>
      <c r="P276" s="47">
        <v>44785</v>
      </c>
      <c r="Q276" s="34" t="s">
        <v>767</v>
      </c>
      <c r="R276" s="36">
        <v>190000</v>
      </c>
    </row>
    <row r="277" spans="1:18" ht="12.95" customHeight="1" x14ac:dyDescent="0.2">
      <c r="A277" s="65">
        <v>44786</v>
      </c>
      <c r="B277" s="41" t="s">
        <v>768</v>
      </c>
      <c r="C277" s="66">
        <v>50000</v>
      </c>
      <c r="D277" s="83">
        <v>44785</v>
      </c>
      <c r="E277" s="53" t="s">
        <v>769</v>
      </c>
      <c r="F277" s="52">
        <v>5000</v>
      </c>
      <c r="G277" s="47"/>
      <c r="H277" s="34"/>
      <c r="I277" s="36"/>
      <c r="J277" s="57"/>
      <c r="K277" s="57"/>
      <c r="L277" s="57"/>
      <c r="M277" s="225">
        <v>44789</v>
      </c>
      <c r="N277" s="226" t="s">
        <v>412</v>
      </c>
      <c r="O277" s="238">
        <v>30000</v>
      </c>
      <c r="P277" s="47">
        <v>44785</v>
      </c>
      <c r="Q277" s="34" t="s">
        <v>770</v>
      </c>
      <c r="R277" s="36">
        <v>128000</v>
      </c>
    </row>
    <row r="278" spans="1:18" ht="12.95" customHeight="1" x14ac:dyDescent="0.2">
      <c r="A278" s="65">
        <v>44787</v>
      </c>
      <c r="B278" s="41" t="s">
        <v>771</v>
      </c>
      <c r="C278" s="66">
        <v>300000</v>
      </c>
      <c r="D278" s="83">
        <v>44786</v>
      </c>
      <c r="E278" s="53" t="s">
        <v>772</v>
      </c>
      <c r="F278" s="52">
        <v>10000</v>
      </c>
      <c r="G278" s="47"/>
      <c r="H278" s="34"/>
      <c r="I278" s="36"/>
      <c r="J278" s="57"/>
      <c r="K278" s="57"/>
      <c r="L278" s="57"/>
      <c r="M278" s="225">
        <v>44792</v>
      </c>
      <c r="N278" s="226" t="s">
        <v>412</v>
      </c>
      <c r="O278" s="238">
        <v>20000</v>
      </c>
      <c r="P278" s="47">
        <v>44795</v>
      </c>
      <c r="Q278" s="34" t="s">
        <v>773</v>
      </c>
      <c r="R278" s="43">
        <v>129000</v>
      </c>
    </row>
    <row r="279" spans="1:18" ht="12.95" customHeight="1" x14ac:dyDescent="0.2">
      <c r="A279" s="65">
        <v>44804</v>
      </c>
      <c r="B279" s="41" t="s">
        <v>529</v>
      </c>
      <c r="C279" s="66">
        <v>100000</v>
      </c>
      <c r="D279" s="83">
        <v>44786</v>
      </c>
      <c r="E279" s="53" t="s">
        <v>774</v>
      </c>
      <c r="F279" s="52">
        <f>18000+45000</f>
        <v>63000</v>
      </c>
      <c r="G279" s="55"/>
      <c r="H279" s="55"/>
      <c r="I279" s="55"/>
      <c r="J279" s="57"/>
      <c r="K279" s="57"/>
      <c r="L279" s="57"/>
      <c r="M279" s="225">
        <v>44797</v>
      </c>
      <c r="N279" s="226" t="s">
        <v>775</v>
      </c>
      <c r="O279" s="238">
        <v>6000</v>
      </c>
      <c r="P279" s="47">
        <v>44797</v>
      </c>
      <c r="Q279" s="34" t="s">
        <v>776</v>
      </c>
      <c r="R279" s="36">
        <v>215000</v>
      </c>
    </row>
    <row r="280" spans="1:18" ht="12.95" customHeight="1" x14ac:dyDescent="0.2">
      <c r="A280" s="59"/>
      <c r="B280" s="59"/>
      <c r="C280" s="59"/>
      <c r="D280" s="83">
        <v>44789</v>
      </c>
      <c r="E280" s="53" t="s">
        <v>777</v>
      </c>
      <c r="F280" s="52">
        <f>13000*3+9000</f>
        <v>48000</v>
      </c>
      <c r="G280" s="55"/>
      <c r="H280" s="55"/>
      <c r="I280" s="55"/>
      <c r="J280" s="57"/>
      <c r="K280" s="57"/>
      <c r="L280" s="57"/>
      <c r="M280" s="207"/>
      <c r="N280" s="207"/>
      <c r="O280" s="207"/>
      <c r="P280" s="47"/>
      <c r="Q280" s="11"/>
      <c r="R280" s="89"/>
    </row>
    <row r="281" spans="1:18" ht="12.95" customHeight="1" x14ac:dyDescent="0.2">
      <c r="A281" s="59"/>
      <c r="B281" s="59"/>
      <c r="C281" s="59"/>
      <c r="D281" s="83">
        <v>44791</v>
      </c>
      <c r="E281" s="53" t="s">
        <v>778</v>
      </c>
      <c r="F281" s="52">
        <f>18000+18000+3000+2000</f>
        <v>41000</v>
      </c>
      <c r="G281" s="55"/>
      <c r="H281" s="55"/>
      <c r="I281" s="55"/>
      <c r="J281" s="57"/>
      <c r="K281" s="57"/>
      <c r="L281" s="57"/>
      <c r="M281" s="207"/>
      <c r="N281" s="207"/>
      <c r="O281" s="207"/>
      <c r="P281" s="55"/>
      <c r="Q281" s="55"/>
      <c r="R281" s="55"/>
    </row>
    <row r="282" spans="1:18" ht="12.95" customHeight="1" x14ac:dyDescent="0.2">
      <c r="A282" s="59"/>
      <c r="B282" s="59"/>
      <c r="C282" s="59"/>
      <c r="D282" s="83">
        <v>44791</v>
      </c>
      <c r="E282" s="53" t="s">
        <v>779</v>
      </c>
      <c r="F282" s="52">
        <f>5000+6000</f>
        <v>11000</v>
      </c>
      <c r="G282" s="55"/>
      <c r="H282" s="55"/>
      <c r="I282" s="55"/>
      <c r="J282" s="57"/>
      <c r="K282" s="57"/>
      <c r="L282" s="57"/>
      <c r="M282" s="207"/>
      <c r="N282" s="207"/>
      <c r="O282" s="207"/>
      <c r="P282" s="55"/>
      <c r="Q282" s="55"/>
      <c r="R282" s="55"/>
    </row>
    <row r="283" spans="1:18" ht="12.95" customHeight="1" x14ac:dyDescent="0.2">
      <c r="A283" s="59"/>
      <c r="B283" s="59"/>
      <c r="C283" s="59"/>
      <c r="D283" s="83">
        <v>44791</v>
      </c>
      <c r="E283" s="53" t="s">
        <v>780</v>
      </c>
      <c r="F283" s="52">
        <f>19000+27000</f>
        <v>46000</v>
      </c>
      <c r="G283" s="55"/>
      <c r="H283" s="55"/>
      <c r="I283" s="55"/>
      <c r="J283" s="57"/>
      <c r="K283" s="57"/>
      <c r="L283" s="57"/>
      <c r="M283" s="207"/>
      <c r="N283" s="207"/>
      <c r="O283" s="207"/>
      <c r="P283" s="55"/>
      <c r="Q283" s="55"/>
      <c r="R283" s="55"/>
    </row>
    <row r="284" spans="1:18" ht="12.95" customHeight="1" x14ac:dyDescent="0.2">
      <c r="A284" s="59"/>
      <c r="B284" s="59"/>
      <c r="C284" s="59"/>
      <c r="D284" s="83">
        <v>44797</v>
      </c>
      <c r="E284" s="53" t="s">
        <v>781</v>
      </c>
      <c r="F284" s="52">
        <v>138000</v>
      </c>
      <c r="G284" s="55"/>
      <c r="H284" s="55"/>
      <c r="I284" s="55"/>
      <c r="J284" s="57"/>
      <c r="K284" s="57"/>
      <c r="L284" s="57"/>
      <c r="M284" s="207"/>
      <c r="N284" s="207"/>
      <c r="O284" s="207"/>
      <c r="P284" s="55"/>
      <c r="Q284" s="55"/>
      <c r="R284" s="55"/>
    </row>
    <row r="285" spans="1:18" ht="12.95" customHeight="1" x14ac:dyDescent="0.2">
      <c r="A285" s="59"/>
      <c r="B285" s="59"/>
      <c r="C285" s="59"/>
      <c r="D285" s="83"/>
      <c r="E285" s="53"/>
      <c r="F285" s="52"/>
      <c r="G285" s="55"/>
      <c r="H285" s="55"/>
      <c r="I285" s="55"/>
      <c r="J285" s="57"/>
      <c r="K285" s="57"/>
      <c r="L285" s="57"/>
      <c r="M285" s="207"/>
      <c r="N285" s="207"/>
      <c r="O285" s="207"/>
      <c r="P285" s="55"/>
      <c r="Q285" s="55"/>
      <c r="R285" s="55"/>
    </row>
    <row r="286" spans="1:18" ht="12.95" customHeight="1" x14ac:dyDescent="0.2">
      <c r="A286" s="59"/>
      <c r="B286" s="59"/>
      <c r="C286" s="59"/>
      <c r="D286" s="83"/>
      <c r="E286" s="53"/>
      <c r="F286" s="52"/>
      <c r="G286" s="55"/>
      <c r="H286" s="55"/>
      <c r="I286" s="55"/>
      <c r="J286" s="57"/>
      <c r="K286" s="57"/>
      <c r="L286" s="57"/>
      <c r="M286" s="207"/>
      <c r="N286" s="207"/>
      <c r="O286" s="207"/>
      <c r="P286" s="55"/>
      <c r="Q286" s="55"/>
      <c r="R286" s="55"/>
    </row>
    <row r="287" spans="1:18" ht="12.95" customHeight="1" x14ac:dyDescent="0.2">
      <c r="A287" s="59"/>
      <c r="B287" s="59"/>
      <c r="C287" s="59"/>
      <c r="D287" s="83"/>
      <c r="E287" s="53"/>
      <c r="F287" s="52"/>
      <c r="G287" s="55"/>
      <c r="H287" s="55"/>
      <c r="I287" s="55"/>
      <c r="J287" s="57"/>
      <c r="K287" s="57"/>
      <c r="L287" s="57"/>
      <c r="M287" s="207"/>
      <c r="N287" s="207"/>
      <c r="O287" s="207"/>
      <c r="P287" s="55"/>
      <c r="Q287" s="55"/>
      <c r="R287" s="55"/>
    </row>
    <row r="288" spans="1:18" ht="12.95" customHeight="1" x14ac:dyDescent="0.2">
      <c r="A288" s="59"/>
      <c r="B288" s="59"/>
      <c r="C288" s="59"/>
      <c r="D288" s="83"/>
      <c r="E288" s="53"/>
      <c r="F288" s="52"/>
      <c r="G288" s="55"/>
      <c r="H288" s="55"/>
      <c r="I288" s="55"/>
      <c r="J288" s="57"/>
      <c r="K288" s="57"/>
      <c r="L288" s="57"/>
      <c r="M288" s="207"/>
      <c r="N288" s="207"/>
      <c r="O288" s="207"/>
      <c r="P288" s="55"/>
      <c r="Q288" s="55"/>
      <c r="R288" s="55"/>
    </row>
    <row r="289" spans="1:18" ht="12.95" customHeight="1" x14ac:dyDescent="0.2">
      <c r="A289" s="59"/>
      <c r="B289" s="59"/>
      <c r="C289" s="59"/>
      <c r="D289" s="83"/>
      <c r="E289" s="53"/>
      <c r="F289" s="52"/>
      <c r="G289" s="55"/>
      <c r="H289" s="55"/>
      <c r="I289" s="55"/>
      <c r="J289" s="57"/>
      <c r="K289" s="57"/>
      <c r="L289" s="57"/>
      <c r="M289" s="207"/>
      <c r="N289" s="207"/>
      <c r="O289" s="207"/>
      <c r="P289" s="55"/>
      <c r="Q289" s="55"/>
      <c r="R289" s="55"/>
    </row>
    <row r="290" spans="1:18" ht="12.95" customHeight="1" x14ac:dyDescent="0.2">
      <c r="A290" s="59"/>
      <c r="B290" s="59"/>
      <c r="C290" s="59"/>
      <c r="D290" s="83"/>
      <c r="E290" s="53"/>
      <c r="F290" s="52"/>
      <c r="G290" s="55"/>
      <c r="H290" s="55"/>
      <c r="I290" s="55"/>
      <c r="J290" s="57"/>
      <c r="K290" s="57"/>
      <c r="L290" s="57"/>
      <c r="M290" s="207"/>
      <c r="N290" s="207"/>
      <c r="O290" s="207"/>
      <c r="P290" s="55"/>
      <c r="Q290" s="55"/>
      <c r="R290" s="55"/>
    </row>
    <row r="291" spans="1:18" ht="12.95" customHeight="1" x14ac:dyDescent="0.2">
      <c r="A291" s="59"/>
      <c r="B291" s="59"/>
      <c r="C291" s="59"/>
      <c r="D291" s="83"/>
      <c r="E291" s="53"/>
      <c r="F291" s="52"/>
      <c r="G291" s="55"/>
      <c r="H291" s="55"/>
      <c r="I291" s="55"/>
      <c r="J291" s="57"/>
      <c r="K291" s="57"/>
      <c r="L291" s="57"/>
      <c r="M291" s="207"/>
      <c r="N291" s="207"/>
      <c r="O291" s="207"/>
      <c r="P291" s="55"/>
      <c r="Q291" s="55"/>
      <c r="R291" s="55"/>
    </row>
    <row r="292" spans="1:18" ht="12.95" customHeight="1" x14ac:dyDescent="0.2">
      <c r="A292" s="59"/>
      <c r="B292" s="59"/>
      <c r="C292" s="59"/>
      <c r="D292" s="83"/>
      <c r="E292" s="53"/>
      <c r="F292" s="52"/>
      <c r="G292" s="55"/>
      <c r="H292" s="55"/>
      <c r="I292" s="55"/>
      <c r="J292" s="57"/>
      <c r="K292" s="57"/>
      <c r="L292" s="57"/>
      <c r="M292" s="207"/>
      <c r="N292" s="207"/>
      <c r="O292" s="207"/>
      <c r="P292" s="55"/>
      <c r="Q292" s="55"/>
      <c r="R292" s="55"/>
    </row>
    <row r="293" spans="1:18" ht="12.95" customHeight="1" x14ac:dyDescent="0.2">
      <c r="A293" s="59"/>
      <c r="B293" s="59"/>
      <c r="C293" s="59"/>
      <c r="D293" s="83"/>
      <c r="E293" s="53"/>
      <c r="F293" s="52"/>
      <c r="G293" s="55"/>
      <c r="H293" s="55"/>
      <c r="I293" s="55"/>
      <c r="J293" s="57"/>
      <c r="K293" s="57"/>
      <c r="L293" s="57"/>
      <c r="M293" s="207"/>
      <c r="N293" s="207"/>
      <c r="O293" s="207"/>
      <c r="P293" s="55"/>
      <c r="Q293" s="55"/>
      <c r="R293" s="55"/>
    </row>
    <row r="294" spans="1:18" ht="12.95" customHeight="1" x14ac:dyDescent="0.2">
      <c r="A294" s="59"/>
      <c r="B294" s="59"/>
      <c r="C294" s="59"/>
      <c r="D294" s="83"/>
      <c r="E294" s="53"/>
      <c r="F294" s="52"/>
      <c r="G294" s="55"/>
      <c r="H294" s="55"/>
      <c r="I294" s="55"/>
      <c r="J294" s="57"/>
      <c r="K294" s="57"/>
      <c r="L294" s="57"/>
      <c r="M294" s="207"/>
      <c r="N294" s="207"/>
      <c r="O294" s="207"/>
      <c r="P294" s="55"/>
      <c r="Q294" s="55"/>
      <c r="R294" s="55"/>
    </row>
    <row r="295" spans="1:18" ht="12.95" customHeight="1" x14ac:dyDescent="0.2">
      <c r="A295" s="59"/>
      <c r="B295" s="59"/>
      <c r="C295" s="59"/>
      <c r="D295" s="83"/>
      <c r="E295" s="53"/>
      <c r="F295" s="52"/>
      <c r="G295" s="55"/>
      <c r="H295" s="55"/>
      <c r="I295" s="55"/>
      <c r="J295" s="57"/>
      <c r="K295" s="57"/>
      <c r="L295" s="57"/>
      <c r="M295" s="207"/>
      <c r="N295" s="207"/>
      <c r="O295" s="207"/>
      <c r="P295" s="55"/>
      <c r="Q295" s="55"/>
      <c r="R295" s="55"/>
    </row>
    <row r="296" spans="1:18" ht="12.95" customHeight="1" x14ac:dyDescent="0.2">
      <c r="A296" s="59"/>
      <c r="B296" s="59"/>
      <c r="C296" s="59"/>
      <c r="D296" s="58"/>
      <c r="E296" s="58"/>
      <c r="F296" s="58"/>
      <c r="G296" s="55"/>
      <c r="H296" s="55"/>
      <c r="I296" s="55"/>
      <c r="J296" s="57"/>
      <c r="K296" s="57"/>
      <c r="L296" s="57"/>
      <c r="M296" s="207"/>
      <c r="N296" s="207"/>
      <c r="O296" s="207"/>
      <c r="P296" s="55"/>
      <c r="Q296" s="55"/>
      <c r="R296" s="55"/>
    </row>
    <row r="297" spans="1:18" ht="12.95" customHeight="1" x14ac:dyDescent="0.2">
      <c r="A297" s="306" t="s">
        <v>716</v>
      </c>
      <c r="B297" s="307"/>
      <c r="C297" s="218">
        <f>SUM(C274:C296)</f>
        <v>2075000</v>
      </c>
      <c r="D297" s="317" t="s">
        <v>717</v>
      </c>
      <c r="E297" s="318"/>
      <c r="F297" s="219">
        <f>SUM(F274:F296)</f>
        <v>528000</v>
      </c>
      <c r="G297" s="310" t="s">
        <v>95</v>
      </c>
      <c r="H297" s="311"/>
      <c r="I297" s="210">
        <f>SUM(I274:I296)</f>
        <v>320000</v>
      </c>
      <c r="J297" s="319" t="s">
        <v>718</v>
      </c>
      <c r="K297" s="320"/>
      <c r="L297" s="220">
        <f>SUM(L274:L296)</f>
        <v>150000</v>
      </c>
      <c r="M297" s="321" t="s">
        <v>97</v>
      </c>
      <c r="N297" s="322"/>
      <c r="O297" s="277">
        <f>SUM(O274:O296)</f>
        <v>98000</v>
      </c>
      <c r="P297" s="310" t="s">
        <v>98</v>
      </c>
      <c r="Q297" s="311"/>
      <c r="R297" s="210">
        <f>SUM(R274:R296)</f>
        <v>825000</v>
      </c>
    </row>
    <row r="300" spans="1:18" x14ac:dyDescent="0.2">
      <c r="A300" t="s">
        <v>99</v>
      </c>
      <c r="B300" t="s">
        <v>100</v>
      </c>
      <c r="C300" s="1">
        <v>4000000</v>
      </c>
    </row>
    <row r="301" spans="1:18" x14ac:dyDescent="0.2">
      <c r="B301" t="s">
        <v>690</v>
      </c>
      <c r="C301" s="1">
        <f>C267</f>
        <v>12000</v>
      </c>
    </row>
    <row r="303" spans="1:18" x14ac:dyDescent="0.2">
      <c r="A303" t="s">
        <v>662</v>
      </c>
      <c r="B303" s="203" t="str">
        <f>A297</f>
        <v xml:space="preserve">Pengeluaran Kewajiban </v>
      </c>
      <c r="C303" s="1">
        <f>C297</f>
        <v>2075000</v>
      </c>
    </row>
    <row r="304" spans="1:18" x14ac:dyDescent="0.2">
      <c r="B304" s="203" t="str">
        <f>D297</f>
        <v xml:space="preserve">Pengeluaran Makan </v>
      </c>
      <c r="C304" s="1">
        <f>F297</f>
        <v>528000</v>
      </c>
    </row>
    <row r="305" spans="2:3" x14ac:dyDescent="0.2">
      <c r="B305" s="203" t="str">
        <f>G297</f>
        <v>Pengeluaran Sosial</v>
      </c>
      <c r="C305" s="1">
        <f>I297</f>
        <v>320000</v>
      </c>
    </row>
    <row r="306" spans="2:3" x14ac:dyDescent="0.2">
      <c r="B306" s="203" t="str">
        <f>J297</f>
        <v xml:space="preserve">Pengeluaran Sedekah </v>
      </c>
      <c r="C306" s="1">
        <f>L297</f>
        <v>150000</v>
      </c>
    </row>
    <row r="307" spans="2:3" x14ac:dyDescent="0.2">
      <c r="B307" s="203" t="str">
        <f>M297</f>
        <v>Pengeluaran Transport</v>
      </c>
      <c r="C307" s="1">
        <f>O297</f>
        <v>98000</v>
      </c>
    </row>
    <row r="308" spans="2:3" x14ac:dyDescent="0.2">
      <c r="B308" s="203" t="str">
        <f>P297</f>
        <v>Pengeluaran Sekunder</v>
      </c>
      <c r="C308" s="102">
        <f>R297</f>
        <v>825000</v>
      </c>
    </row>
    <row r="309" spans="2:3" x14ac:dyDescent="0.2">
      <c r="C309" s="1">
        <f>C300+C301-C303-C304-C305-C306-C307-C308</f>
        <v>16000</v>
      </c>
    </row>
  </sheetData>
  <mergeCells count="59">
    <mergeCell ref="A192:R193"/>
    <mergeCell ref="A214:B214"/>
    <mergeCell ref="D214:E214"/>
    <mergeCell ref="G214:H214"/>
    <mergeCell ref="M214:N214"/>
    <mergeCell ref="J214:K214"/>
    <mergeCell ref="P214:Q214"/>
    <mergeCell ref="D148:D149"/>
    <mergeCell ref="D179:D180"/>
    <mergeCell ref="A160:R161"/>
    <mergeCell ref="A176:B176"/>
    <mergeCell ref="D176:E176"/>
    <mergeCell ref="G176:H176"/>
    <mergeCell ref="J176:K176"/>
    <mergeCell ref="M176:N176"/>
    <mergeCell ref="P176:Q176"/>
    <mergeCell ref="P145:Q145"/>
    <mergeCell ref="P96:Q96"/>
    <mergeCell ref="A96:B96"/>
    <mergeCell ref="D96:E96"/>
    <mergeCell ref="G96:H96"/>
    <mergeCell ref="J96:K96"/>
    <mergeCell ref="M96:N96"/>
    <mergeCell ref="D99:D100"/>
    <mergeCell ref="A113:R114"/>
    <mergeCell ref="A145:B145"/>
    <mergeCell ref="D145:E145"/>
    <mergeCell ref="G145:H145"/>
    <mergeCell ref="J145:K145"/>
    <mergeCell ref="M145:N145"/>
    <mergeCell ref="A68:R69"/>
    <mergeCell ref="A1:R2"/>
    <mergeCell ref="A12:B12"/>
    <mergeCell ref="D12:E12"/>
    <mergeCell ref="G12:H12"/>
    <mergeCell ref="J12:K12"/>
    <mergeCell ref="M12:N12"/>
    <mergeCell ref="P12:Q12"/>
    <mergeCell ref="A26:R27"/>
    <mergeCell ref="A54:B54"/>
    <mergeCell ref="D54:E54"/>
    <mergeCell ref="G54:H54"/>
    <mergeCell ref="J54:K54"/>
    <mergeCell ref="M54:N54"/>
    <mergeCell ref="P54:Q54"/>
    <mergeCell ref="A229:R230"/>
    <mergeCell ref="A255:B255"/>
    <mergeCell ref="D255:E255"/>
    <mergeCell ref="G255:H255"/>
    <mergeCell ref="J255:K255"/>
    <mergeCell ref="M255:N255"/>
    <mergeCell ref="P255:Q255"/>
    <mergeCell ref="A271:R272"/>
    <mergeCell ref="A297:B297"/>
    <mergeCell ref="D297:E297"/>
    <mergeCell ref="G297:H297"/>
    <mergeCell ref="J297:K297"/>
    <mergeCell ref="M297:N297"/>
    <mergeCell ref="P297:Q29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7FD2-9151-C841-8DE9-35D1AB3E9523}">
  <dimension ref="A3:B16"/>
  <sheetViews>
    <sheetView workbookViewId="0">
      <selection activeCell="A16" sqref="A16"/>
    </sheetView>
  </sheetViews>
  <sheetFormatPr defaultColWidth="11.42578125" defaultRowHeight="12.75" x14ac:dyDescent="0.2"/>
  <cols>
    <col min="1" max="1" width="31.85546875" customWidth="1"/>
    <col min="2" max="2" width="11.140625" bestFit="1" customWidth="1"/>
  </cols>
  <sheetData>
    <row r="3" spans="1:2" x14ac:dyDescent="0.2">
      <c r="A3" t="s">
        <v>782</v>
      </c>
      <c r="B3" s="3">
        <f>35000*2</f>
        <v>70000</v>
      </c>
    </row>
    <row r="4" spans="1:2" x14ac:dyDescent="0.2">
      <c r="A4" s="198" t="s">
        <v>783</v>
      </c>
      <c r="B4" s="231">
        <v>300000</v>
      </c>
    </row>
    <row r="5" spans="1:2" x14ac:dyDescent="0.2">
      <c r="A5" t="s">
        <v>784</v>
      </c>
      <c r="B5" s="3">
        <v>50000</v>
      </c>
    </row>
    <row r="6" spans="1:2" x14ac:dyDescent="0.2">
      <c r="A6" t="s">
        <v>785</v>
      </c>
      <c r="B6" s="1">
        <v>210000</v>
      </c>
    </row>
    <row r="7" spans="1:2" x14ac:dyDescent="0.2">
      <c r="A7" t="s">
        <v>786</v>
      </c>
      <c r="B7" s="1">
        <v>210000</v>
      </c>
    </row>
    <row r="8" spans="1:2" x14ac:dyDescent="0.2">
      <c r="A8" s="198" t="s">
        <v>787</v>
      </c>
      <c r="B8" s="199">
        <v>250000</v>
      </c>
    </row>
    <row r="9" spans="1:2" x14ac:dyDescent="0.2">
      <c r="B9" s="1"/>
    </row>
    <row r="12" spans="1:2" x14ac:dyDescent="0.2">
      <c r="A12" s="197" t="s">
        <v>788</v>
      </c>
    </row>
    <row r="13" spans="1:2" x14ac:dyDescent="0.2">
      <c r="A13" t="s">
        <v>789</v>
      </c>
      <c r="B13" s="3">
        <v>3200000</v>
      </c>
    </row>
    <row r="14" spans="1:2" x14ac:dyDescent="0.2">
      <c r="A14" t="s">
        <v>790</v>
      </c>
      <c r="B14" s="3">
        <v>2000000</v>
      </c>
    </row>
    <row r="15" spans="1:2" x14ac:dyDescent="0.2">
      <c r="A15" t="s">
        <v>791</v>
      </c>
      <c r="B15" s="3">
        <v>18000000</v>
      </c>
    </row>
    <row r="16" spans="1:2" x14ac:dyDescent="0.2">
      <c r="A16" t="s">
        <v>792</v>
      </c>
      <c r="B16" s="3"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Novia</vt:lpstr>
      <vt:lpstr>Zico</vt:lpstr>
      <vt:lpstr>Next to Pay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novianil</dc:creator>
  <cp:keywords/>
  <dc:description/>
  <cp:lastModifiedBy>adminz</cp:lastModifiedBy>
  <cp:revision/>
  <dcterms:created xsi:type="dcterms:W3CDTF">2022-01-27T14:08:38Z</dcterms:created>
  <dcterms:modified xsi:type="dcterms:W3CDTF">2022-09-06T07:17:36Z</dcterms:modified>
  <cp:category/>
  <cp:contentStatus/>
</cp:coreProperties>
</file>