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ritve\"/>
    </mc:Choice>
  </mc:AlternateContent>
  <bookViews>
    <workbookView xWindow="0" yWindow="0" windowWidth="28800" windowHeight="10410" firstSheet="1" activeTab="2"/>
  </bookViews>
  <sheets>
    <sheet name="CO, O2, CO2, H2O" sheetId="2" r:id="rId1"/>
    <sheet name="HC, NO, NO2" sheetId="3" r:id="rId2"/>
    <sheet name="MNZ 10. vaja - povprečje" sheetId="1" r:id="rId3"/>
    <sheet name="Nicenje in span" sheetId="5" r:id="rId4"/>
    <sheet name="Import podatkov" sheetId="4" r:id="rId5"/>
  </sheets>
  <definedNames>
    <definedName name="Meritve_skupina3" localSheetId="4">'Import podatkov'!$A$1:$AV$28</definedName>
  </definedNames>
  <calcPr calcId="152511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28" i="1"/>
  <c r="D27" i="1"/>
  <c r="D26" i="1"/>
  <c r="D25" i="1"/>
  <c r="G61" i="1" l="1"/>
  <c r="B51" i="1"/>
  <c r="B52" i="1"/>
  <c r="B53" i="1"/>
  <c r="B54" i="1"/>
  <c r="B55" i="1"/>
  <c r="B56" i="1"/>
  <c r="B57" i="1"/>
  <c r="B50" i="1"/>
  <c r="D54" i="1" l="1"/>
  <c r="I61" i="1"/>
  <c r="I62" i="1"/>
  <c r="I64" i="1"/>
  <c r="I65" i="1"/>
  <c r="I66" i="1"/>
  <c r="I67" i="1"/>
  <c r="I68" i="1"/>
  <c r="I63" i="1"/>
  <c r="K51" i="1"/>
  <c r="K52" i="1"/>
  <c r="K53" i="1"/>
  <c r="K54" i="1"/>
  <c r="K55" i="1"/>
  <c r="K56" i="1"/>
  <c r="K57" i="1"/>
  <c r="K50" i="1"/>
  <c r="G62" i="1" l="1"/>
  <c r="G63" i="1"/>
  <c r="G64" i="1"/>
  <c r="G65" i="1"/>
  <c r="G66" i="1"/>
  <c r="G67" i="1"/>
  <c r="G68" i="1"/>
  <c r="A51" i="1"/>
  <c r="A52" i="1"/>
  <c r="A53" i="1"/>
  <c r="A54" i="1"/>
  <c r="A55" i="1"/>
  <c r="A56" i="1"/>
  <c r="A57" i="1"/>
  <c r="A50" i="1"/>
  <c r="R51" i="1"/>
  <c r="R52" i="1"/>
  <c r="R53" i="1"/>
  <c r="R54" i="1"/>
  <c r="R55" i="1"/>
  <c r="R56" i="1"/>
  <c r="R57" i="1"/>
  <c r="R50" i="1"/>
  <c r="D51" i="1"/>
  <c r="D52" i="1"/>
  <c r="D53" i="1"/>
  <c r="D55" i="1"/>
  <c r="E55" i="1" s="1"/>
  <c r="D56" i="1"/>
  <c r="D57" i="1"/>
  <c r="E57" i="1" s="1"/>
  <c r="D50" i="1"/>
  <c r="E50" i="1" s="1"/>
  <c r="E56" i="1" l="1"/>
  <c r="E54" i="1"/>
  <c r="E53" i="1"/>
  <c r="E52" i="1"/>
  <c r="E51" i="1"/>
  <c r="C52" i="1" l="1"/>
  <c r="F52" i="1" s="1"/>
  <c r="G52" i="1" s="1"/>
  <c r="C53" i="1"/>
  <c r="F53" i="1" s="1"/>
  <c r="G53" i="1" s="1"/>
  <c r="C54" i="1"/>
  <c r="F54" i="1" s="1"/>
  <c r="G54" i="1" s="1"/>
  <c r="C55" i="1"/>
  <c r="F55" i="1" s="1"/>
  <c r="G55" i="1" s="1"/>
  <c r="C56" i="1"/>
  <c r="F56" i="1" s="1"/>
  <c r="G56" i="1" s="1"/>
  <c r="C57" i="1"/>
  <c r="F57" i="1" s="1"/>
  <c r="G57" i="1" s="1"/>
  <c r="C50" i="1"/>
  <c r="F50" i="1" s="1"/>
  <c r="G50" i="1" s="1"/>
  <c r="C51" i="1"/>
  <c r="F51" i="1" s="1"/>
  <c r="G51" i="1" s="1"/>
  <c r="L50" i="1" l="1"/>
  <c r="J50" i="1"/>
  <c r="N50" i="1"/>
  <c r="H50" i="1"/>
  <c r="M50" i="1"/>
  <c r="I50" i="1"/>
  <c r="N53" i="1"/>
  <c r="M53" i="1"/>
  <c r="L53" i="1"/>
  <c r="I53" i="1"/>
  <c r="J53" i="1"/>
  <c r="H53" i="1"/>
  <c r="N52" i="1"/>
  <c r="M52" i="1"/>
  <c r="L52" i="1"/>
  <c r="I52" i="1"/>
  <c r="J52" i="1"/>
  <c r="H52" i="1"/>
  <c r="N51" i="1"/>
  <c r="M51" i="1"/>
  <c r="L51" i="1"/>
  <c r="I51" i="1"/>
  <c r="J51" i="1"/>
  <c r="H51" i="1"/>
  <c r="J57" i="1"/>
  <c r="I57" i="1"/>
  <c r="L57" i="1"/>
  <c r="N57" i="1"/>
  <c r="H57" i="1"/>
  <c r="M57" i="1"/>
  <c r="N56" i="1"/>
  <c r="M56" i="1"/>
  <c r="L56" i="1"/>
  <c r="I56" i="1"/>
  <c r="J56" i="1"/>
  <c r="H56" i="1"/>
  <c r="N55" i="1"/>
  <c r="J55" i="1"/>
  <c r="M55" i="1"/>
  <c r="I55" i="1"/>
  <c r="L55" i="1"/>
  <c r="H55" i="1"/>
  <c r="N54" i="1"/>
  <c r="M54" i="1"/>
  <c r="L54" i="1"/>
  <c r="I54" i="1"/>
  <c r="J54" i="1"/>
  <c r="H54" i="1"/>
  <c r="H65" i="1" l="1"/>
  <c r="H62" i="1"/>
  <c r="H66" i="1"/>
  <c r="H64" i="1"/>
  <c r="H61" i="1"/>
  <c r="H67" i="1"/>
  <c r="H68" i="1"/>
  <c r="H63" i="1"/>
  <c r="O55" i="1"/>
  <c r="O54" i="1"/>
  <c r="O53" i="1"/>
  <c r="O52" i="1"/>
  <c r="O50" i="1"/>
  <c r="O51" i="1"/>
  <c r="O57" i="1"/>
  <c r="O56" i="1"/>
  <c r="P52" i="1" l="1"/>
  <c r="AA52" i="1" s="1"/>
  <c r="AI52" i="1" s="1"/>
  <c r="P53" i="1"/>
  <c r="T53" i="1" s="1"/>
  <c r="AC53" i="1" s="1"/>
  <c r="P54" i="1"/>
  <c r="AA54" i="1" s="1"/>
  <c r="AI54" i="1" s="1"/>
  <c r="P51" i="1"/>
  <c r="Q51" i="1" s="1"/>
  <c r="P55" i="1"/>
  <c r="W55" i="1" s="1"/>
  <c r="AF55" i="1" s="1"/>
  <c r="P56" i="1"/>
  <c r="T56" i="1" s="1"/>
  <c r="AC56" i="1" s="1"/>
  <c r="P57" i="1"/>
  <c r="AA57" i="1" s="1"/>
  <c r="AI57" i="1" s="1"/>
  <c r="P50" i="1"/>
  <c r="V53" i="1" l="1"/>
  <c r="AE53" i="1" s="1"/>
  <c r="W53" i="1"/>
  <c r="AF53" i="1" s="1"/>
  <c r="S53" i="1"/>
  <c r="AB53" i="1" s="1"/>
  <c r="Q53" i="1"/>
  <c r="AA51" i="1"/>
  <c r="AI51" i="1" s="1"/>
  <c r="W56" i="1"/>
  <c r="AF56" i="1" s="1"/>
  <c r="V56" i="1"/>
  <c r="AE56" i="1" s="1"/>
  <c r="T52" i="1"/>
  <c r="AC52" i="1" s="1"/>
  <c r="AA56" i="1"/>
  <c r="AI56" i="1" s="1"/>
  <c r="S56" i="1"/>
  <c r="AB56" i="1" s="1"/>
  <c r="U54" i="1"/>
  <c r="AD54" i="1" s="1"/>
  <c r="U56" i="1"/>
  <c r="AD56" i="1" s="1"/>
  <c r="W52" i="1"/>
  <c r="AF52" i="1" s="1"/>
  <c r="S55" i="1"/>
  <c r="AB55" i="1" s="1"/>
  <c r="S51" i="1"/>
  <c r="AB51" i="1" s="1"/>
  <c r="W51" i="1"/>
  <c r="AF51" i="1" s="1"/>
  <c r="AA53" i="1"/>
  <c r="AI53" i="1" s="1"/>
  <c r="U55" i="1"/>
  <c r="AD55" i="1" s="1"/>
  <c r="T54" i="1"/>
  <c r="AC54" i="1" s="1"/>
  <c r="AA55" i="1"/>
  <c r="AI55" i="1" s="1"/>
  <c r="S57" i="1"/>
  <c r="AB57" i="1" s="1"/>
  <c r="Q52" i="1"/>
  <c r="Z52" i="1"/>
  <c r="AH52" i="1" s="1"/>
  <c r="X52" i="1"/>
  <c r="AG52" i="1" s="1"/>
  <c r="Q57" i="1"/>
  <c r="T57" i="1"/>
  <c r="AC57" i="1" s="1"/>
  <c r="W54" i="1"/>
  <c r="AF54" i="1" s="1"/>
  <c r="U51" i="1"/>
  <c r="AD51" i="1" s="1"/>
  <c r="Z51" i="1"/>
  <c r="AH51" i="1" s="1"/>
  <c r="X51" i="1"/>
  <c r="AG51" i="1" s="1"/>
  <c r="T51" i="1"/>
  <c r="AC51" i="1" s="1"/>
  <c r="V51" i="1"/>
  <c r="AE51" i="1" s="1"/>
  <c r="Q55" i="1"/>
  <c r="X55" i="1"/>
  <c r="AG55" i="1" s="1"/>
  <c r="Z55" i="1"/>
  <c r="AH55" i="1" s="1"/>
  <c r="S54" i="1"/>
  <c r="AB54" i="1" s="1"/>
  <c r="T55" i="1"/>
  <c r="AC55" i="1" s="1"/>
  <c r="W57" i="1"/>
  <c r="AF57" i="1" s="1"/>
  <c r="X57" i="1"/>
  <c r="AG57" i="1" s="1"/>
  <c r="Z57" i="1"/>
  <c r="AH57" i="1" s="1"/>
  <c r="U57" i="1"/>
  <c r="AD57" i="1" s="1"/>
  <c r="V57" i="1"/>
  <c r="AE57" i="1" s="1"/>
  <c r="Q54" i="1"/>
  <c r="Z54" i="1"/>
  <c r="AH54" i="1" s="1"/>
  <c r="X54" i="1"/>
  <c r="AG54" i="1" s="1"/>
  <c r="V52" i="1"/>
  <c r="AE52" i="1" s="1"/>
  <c r="V55" i="1"/>
  <c r="AE55" i="1" s="1"/>
  <c r="S52" i="1"/>
  <c r="AB52" i="1" s="1"/>
  <c r="U52" i="1"/>
  <c r="AD52" i="1" s="1"/>
  <c r="V54" i="1"/>
  <c r="AE54" i="1" s="1"/>
  <c r="Q56" i="1"/>
  <c r="X56" i="1"/>
  <c r="AG56" i="1" s="1"/>
  <c r="Z56" i="1"/>
  <c r="AH56" i="1" s="1"/>
  <c r="U53" i="1"/>
  <c r="AD53" i="1" s="1"/>
  <c r="X53" i="1"/>
  <c r="AG53" i="1" s="1"/>
  <c r="Z53" i="1"/>
  <c r="AH53" i="1" s="1"/>
  <c r="Q50" i="1"/>
  <c r="X50" i="1"/>
  <c r="AG50" i="1" s="1"/>
  <c r="Z50" i="1"/>
  <c r="AH50" i="1" s="1"/>
  <c r="U50" i="1"/>
  <c r="AD50" i="1" s="1"/>
  <c r="V50" i="1"/>
  <c r="AE50" i="1" s="1"/>
  <c r="T50" i="1"/>
  <c r="AC50" i="1" s="1"/>
  <c r="S50" i="1"/>
  <c r="AB50" i="1" s="1"/>
  <c r="W50" i="1"/>
  <c r="AF50" i="1" s="1"/>
  <c r="AA50" i="1"/>
  <c r="AI50" i="1" s="1"/>
</calcChain>
</file>

<file path=xl/connections.xml><?xml version="1.0" encoding="utf-8"?>
<connections xmlns="http://schemas.openxmlformats.org/spreadsheetml/2006/main">
  <connection id="1" name="Meritve_skupina3" type="6" refreshedVersion="5" background="1" saveData="1">
    <textPr codePage="852" sourceFile="E:\meritve\Meritve_skupina3.lvm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<sst xmlns="http://schemas.openxmlformats.org/spreadsheetml/2006/main" count="333" uniqueCount="186">
  <si>
    <t>Date</t>
  </si>
  <si>
    <t>Time</t>
  </si>
  <si>
    <t>navor</t>
  </si>
  <si>
    <t>vrtilna frekvenca</t>
  </si>
  <si>
    <t>standardni prostorninski tok ZP</t>
  </si>
  <si>
    <t>T voda v motor</t>
  </si>
  <si>
    <t>T voda iz motorja</t>
  </si>
  <si>
    <t>T izp. plini</t>
  </si>
  <si>
    <t>T olje</t>
  </si>
  <si>
    <t>T zraka</t>
  </si>
  <si>
    <t>RH</t>
  </si>
  <si>
    <t>m zraka</t>
  </si>
  <si>
    <t>p sesalna cev</t>
  </si>
  <si>
    <t>p okolice</t>
  </si>
  <si>
    <t>vžig</t>
  </si>
  <si>
    <t>koračni motor želena</t>
  </si>
  <si>
    <t>koračni motor dejanska</t>
  </si>
  <si>
    <t>loputa želena vrednost</t>
  </si>
  <si>
    <t>lambda</t>
  </si>
  <si>
    <t>[Nm]</t>
  </si>
  <si>
    <r>
      <t>[min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</si>
  <si>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</si>
  <si>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t>[°C]</t>
  </si>
  <si>
    <t>[V]</t>
  </si>
  <si>
    <t>[%]</t>
  </si>
  <si>
    <t>[kg/s]</t>
  </si>
  <si>
    <t>[bar a]</t>
  </si>
  <si>
    <t>[°RG]</t>
  </si>
  <si>
    <t>[kg/h]</t>
  </si>
  <si>
    <t>[/]</t>
  </si>
  <si>
    <t>[step]</t>
  </si>
  <si>
    <t>SR. VRED.</t>
  </si>
  <si>
    <t>ST.DEV.</t>
  </si>
  <si>
    <t>CO2</t>
  </si>
  <si>
    <t>CO</t>
  </si>
  <si>
    <t>NO</t>
  </si>
  <si>
    <t>NO2</t>
  </si>
  <si>
    <t>THC</t>
  </si>
  <si>
    <t>O2</t>
  </si>
  <si>
    <t>iAMBII_CO2</t>
  </si>
  <si>
    <t>iAMBII_CO</t>
  </si>
  <si>
    <t>iNDUV_NO</t>
  </si>
  <si>
    <t>iNDUV_NO2</t>
  </si>
  <si>
    <t>iFID_THC</t>
  </si>
  <si>
    <t>iAMBII_O2</t>
  </si>
  <si>
    <t>%</t>
  </si>
  <si>
    <t>ppm</t>
  </si>
  <si>
    <t>ppmC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</si>
  <si>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H2Oint</t>
    </r>
  </si>
  <si>
    <t>[mol/mol]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</si>
  <si>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H2Ointdry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</si>
  <si>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Cproddry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</si>
  <si>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prod/intdry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</si>
  <si>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H2Odry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</si>
  <si>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H2O</t>
    </r>
  </si>
  <si>
    <t>H20 wet</t>
  </si>
  <si>
    <t>[vol%]</t>
  </si>
  <si>
    <t>stehiometrično razmerje za dizelsko gorivo</t>
  </si>
  <si>
    <t>Lst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</si>
  <si>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H2O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</si>
  <si>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CO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</si>
  <si>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CO2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</si>
  <si>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NO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</si>
  <si>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O2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</si>
  <si>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N2</t>
    </r>
  </si>
  <si>
    <t>spodnja kurilna vrednost dizelskega goriva</t>
  </si>
  <si>
    <t>Hi</t>
  </si>
  <si>
    <t>MJ/kg</t>
  </si>
  <si>
    <t>[g/mol]</t>
  </si>
  <si>
    <t>atomsko razmerje vodika proti ogljiku v gorivu</t>
  </si>
  <si>
    <t>alfa</t>
  </si>
  <si>
    <t>FNO: NO2 / Nox</t>
  </si>
  <si>
    <t>CO wet</t>
  </si>
  <si>
    <t>CO2 wet</t>
  </si>
  <si>
    <t>HC wet</t>
  </si>
  <si>
    <t>N2 wet</t>
  </si>
  <si>
    <t>[vol %]</t>
  </si>
  <si>
    <t>[vol ppmC]</t>
  </si>
  <si>
    <t>[vol ppm]</t>
  </si>
  <si>
    <t>NO wet</t>
  </si>
  <si>
    <t>NO2 wet</t>
  </si>
  <si>
    <t>Mi.p.</t>
  </si>
  <si>
    <t>R i.p.</t>
  </si>
  <si>
    <t>mi.p.</t>
  </si>
  <si>
    <t>[J/kgK]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</si>
  <si>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NO2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</si>
  <si>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CH4</t>
    </r>
  </si>
  <si>
    <t>gostota zem. plina</t>
  </si>
  <si>
    <t>[kg/m3]</t>
  </si>
  <si>
    <t>mH2O</t>
  </si>
  <si>
    <t>mCO2</t>
  </si>
  <si>
    <t>mHC</t>
  </si>
  <si>
    <t>mO2</t>
  </si>
  <si>
    <t>mN2</t>
  </si>
  <si>
    <t>[g/h]</t>
  </si>
  <si>
    <t>mCO</t>
  </si>
  <si>
    <t>mNO2</t>
  </si>
  <si>
    <t>mNO</t>
  </si>
  <si>
    <t>[g/kWh]</t>
  </si>
  <si>
    <t>[kg/kWh]</t>
  </si>
  <si>
    <t>Peff</t>
  </si>
  <si>
    <t>[kW]</t>
  </si>
  <si>
    <t>lambda probe</t>
  </si>
  <si>
    <t>Brettschneider</t>
  </si>
  <si>
    <t>A/F</t>
  </si>
  <si>
    <t>Skupina</t>
  </si>
  <si>
    <t>Obr. Tocka</t>
  </si>
  <si>
    <t>Mer.tocka</t>
  </si>
  <si>
    <t>ura meritve</t>
  </si>
  <si>
    <t>minuta meritve</t>
  </si>
  <si>
    <t>predlagani PWM lopute</t>
  </si>
  <si>
    <t>dejanski PWM lopute</t>
  </si>
  <si>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</si>
  <si>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</si>
  <si>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</si>
  <si>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</si>
  <si>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</si>
  <si>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</si>
  <si>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</si>
  <si>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</si>
  <si>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</si>
  <si>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</si>
  <si>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</si>
  <si>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</si>
  <si>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</si>
  <si>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zvar</t>
  </si>
  <si>
    <t>***End_of_Header***</t>
  </si>
  <si>
    <t>Channels</t>
  </si>
  <si>
    <t>Samples</t>
  </si>
  <si>
    <t>X_Dimension</t>
  </si>
  <si>
    <t>X0</t>
  </si>
  <si>
    <t>Delta_X</t>
  </si>
  <si>
    <t>X_Value</t>
  </si>
  <si>
    <t>Untitled</t>
  </si>
  <si>
    <t>Untitled 1</t>
  </si>
  <si>
    <t>Untitled 2</t>
  </si>
  <si>
    <t>Untitled 3</t>
  </si>
  <si>
    <t>Untitled 4</t>
  </si>
  <si>
    <t>Untitled 5</t>
  </si>
  <si>
    <t>Untitled 6</t>
  </si>
  <si>
    <t>Untitled 7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</si>
  <si>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</si>
  <si>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</si>
  <si>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</si>
  <si>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</si>
  <si>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</si>
  <si>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</si>
  <si>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</si>
  <si>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</si>
  <si>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Untitled 16</t>
  </si>
  <si>
    <t>Untitled 17</t>
  </si>
  <si>
    <t>Untitled 18</t>
  </si>
  <si>
    <t>Untitled 19</t>
  </si>
  <si>
    <t>Untitled 20</t>
  </si>
  <si>
    <t>Untitled 21</t>
  </si>
  <si>
    <t>Untitled 22</t>
  </si>
  <si>
    <t>Untitled 23</t>
  </si>
  <si>
    <t>Untitled 24</t>
  </si>
  <si>
    <t>Untitled 25</t>
  </si>
  <si>
    <t>Untitled 26</t>
  </si>
  <si>
    <t>Untitled 27</t>
  </si>
  <si>
    <t>Untitled 28</t>
  </si>
  <si>
    <t>Untitled 29</t>
  </si>
  <si>
    <t>Untitled 30</t>
  </si>
  <si>
    <t>Untitled 31</t>
  </si>
  <si>
    <t>Untitled 32</t>
  </si>
  <si>
    <t>Untitled 33</t>
  </si>
  <si>
    <t>Untitled 34</t>
  </si>
  <si>
    <t>Untitled 35</t>
  </si>
  <si>
    <t>Untitled 36</t>
  </si>
  <si>
    <t>Untitled 37</t>
  </si>
  <si>
    <t>Untitled 38</t>
  </si>
  <si>
    <t>Untitled 39</t>
  </si>
  <si>
    <t>Untitled 40</t>
  </si>
  <si>
    <t>Untitled 41</t>
  </si>
  <si>
    <t>Untitled 42</t>
  </si>
  <si>
    <t>Untitled 43</t>
  </si>
  <si>
    <t>Untitled 44</t>
  </si>
  <si>
    <t>Untitled 45</t>
  </si>
  <si>
    <t>Comment</t>
  </si>
  <si>
    <t>Čas povprečenja</t>
  </si>
  <si>
    <t>[s]</t>
  </si>
  <si>
    <t>HC</t>
  </si>
  <si>
    <t>% (/10000)</t>
  </si>
  <si>
    <t>9_1</t>
  </si>
  <si>
    <t>10_1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</si>
</sst>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Fill="1" applyAlignment="1">
      <alignment horizontal="left"/>
    </xf>
    <xf numFmtId="11" fontId="0" fillId="0" borderId="0" xfId="0" applyNumberFormat="1"/>
    <xf numFmtId="0" fontId="0" fillId="0" borderId="0" xfId="0" applyAlignment="1">
      <alignment horizontal="center"/>
    </xf>
    <xf numFmtId="4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povprečje'!$I$54:$I$57</c:f>
              <c:numCache>
                <c:formatCode>0.000</c:formatCode>
                <c:ptCount val="4"/>
                <c:pt idx="0">
                  <c:v>5.0168754976456426E-2</c:v>
                </c:pt>
                <c:pt idx="1">
                  <c:v>4.1210094065695604E-2</c:v>
                </c:pt>
                <c:pt idx="2">
                  <c:v>3.2902099541815645E-2</c:v>
                </c:pt>
                <c:pt idx="3">
                  <c:v>3.2060744587287637E-2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7-4347-87B4-DA4695CB7BDB}"/>
            </c:ext>
          </c:extLst>
        </c:ser>
        <c:ser>
          <c:idx val="1"/>
          <c:order val="1"/>
          <c:tx>
            <c:v>CO35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povprečje'!$I$50:$I$53</c:f>
              <c:numCache>
                <c:formatCode>0.000</c:formatCode>
                <c:ptCount val="4"/>
                <c:pt idx="0">
                  <c:v>0.94775277128068236</c:v>
                </c:pt>
                <c:pt idx="1">
                  <c:v>0.47442690501157531</c:v>
                </c:pt>
                <c:pt idx="2">
                  <c:v>4.4142757555749992E-2</c:v>
                </c:pt>
                <c:pt idx="3">
                  <c:v>4.5236197354581988E-2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67-4347-87B4-DA4695CB7BDB}"/>
            </c:ext>
          </c:extLst>
        </c:ser>
        <c:ser>
          <c:idx val="2"/>
          <c:order val="2"/>
          <c:tx>
            <c:v>O2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povprečje'!$N$54:$N$57</c:f>
              <c:numCache>
                <c:formatCode>0.00</c:formatCode>
                <c:ptCount val="4"/>
                <c:pt idx="0">
                  <c:v>1.3981456304914086</c:v>
                </c:pt>
                <c:pt idx="1">
                  <c:v>1.5659835744964328</c:v>
                </c:pt>
                <c:pt idx="2">
                  <c:v>1.3983392305271649</c:v>
                </c:pt>
                <c:pt idx="3">
                  <c:v>1.2331055610495245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67-4347-87B4-DA4695CB7BDB}"/>
            </c:ext>
          </c:extLst>
        </c:ser>
        <c:ser>
          <c:idx val="3"/>
          <c:order val="3"/>
          <c:tx>
            <c:v>O2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povprečje'!$N$50:$N$53</c:f>
              <c:numCache>
                <c:formatCode>0.00</c:formatCode>
                <c:ptCount val="4"/>
                <c:pt idx="0">
                  <c:v>0.24197943096528057</c:v>
                </c:pt>
                <c:pt idx="1">
                  <c:v>0.40549308120647465</c:v>
                </c:pt>
                <c:pt idx="2">
                  <c:v>0.89920432058009248</c:v>
                </c:pt>
                <c:pt idx="3">
                  <c:v>6.3069698234753737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67-4347-87B4-DA4695C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9512"/>
        <c:axId val="225739896"/>
      </c:scatterChart>
      <c:scatterChart>
        <c:scatterStyle val="lineMarker"/>
        <c:varyColors val="0"/>
        <c:ser>
          <c:idx val="4"/>
          <c:order val="4"/>
          <c:tx>
            <c:v>CO2 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povprečje'!$J$54:$J$57</c:f>
              <c:numCache>
                <c:formatCode>0.00</c:formatCode>
                <c:ptCount val="4"/>
                <c:pt idx="0">
                  <c:v>8.5698102763061641</c:v>
                </c:pt>
                <c:pt idx="1">
                  <c:v>8.4892793775332951</c:v>
                </c:pt>
                <c:pt idx="2">
                  <c:v>8.5874479804138826</c:v>
                </c:pt>
                <c:pt idx="3">
                  <c:v>8.6070768161256819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67-4347-87B4-DA4695CB7BDB}"/>
            </c:ext>
          </c:extLst>
        </c:ser>
        <c:ser>
          <c:idx val="5"/>
          <c:order val="5"/>
          <c:tx>
            <c:v>CO2 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povprečje'!$J$50:$J$53</c:f>
              <c:numCache>
                <c:formatCode>0.00</c:formatCode>
                <c:ptCount val="4"/>
                <c:pt idx="0">
                  <c:v>8.4692800837848203</c:v>
                </c:pt>
                <c:pt idx="1">
                  <c:v>8.7181012459392058</c:v>
                </c:pt>
                <c:pt idx="2">
                  <c:v>8.8285515111499997</c:v>
                </c:pt>
                <c:pt idx="3">
                  <c:v>6.1938793300889188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967-4347-87B4-DA4695CB7BDB}"/>
            </c:ext>
          </c:extLst>
        </c:ser>
        <c:ser>
          <c:idx val="6"/>
          <c:order val="6"/>
          <c:tx>
            <c:v>H2O 15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povprečje'!$H$54:$H$57</c:f>
              <c:numCache>
                <c:formatCode>0.00</c:formatCode>
                <c:ptCount val="4"/>
                <c:pt idx="0">
                  <c:v>17.756139382858311</c:v>
                </c:pt>
                <c:pt idx="1">
                  <c:v>17.579811868608804</c:v>
                </c:pt>
                <c:pt idx="2">
                  <c:v>17.744751145460889</c:v>
                </c:pt>
                <c:pt idx="3">
                  <c:v>17.792962596698366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67-4347-87B4-DA4695CB7BDB}"/>
            </c:ext>
          </c:extLst>
        </c:ser>
        <c:ser>
          <c:idx val="7"/>
          <c:order val="7"/>
          <c:tx>
            <c:v>H2O 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povprečje'!$H$50:$H$53</c:f>
              <c:numCache>
                <c:formatCode>0.00</c:formatCode>
                <c:ptCount val="4"/>
                <c:pt idx="0">
                  <c:v>19.34018967823981</c:v>
                </c:pt>
                <c:pt idx="1">
                  <c:v>18.901383758705069</c:v>
                </c:pt>
                <c:pt idx="2">
                  <c:v>18.254152674537043</c:v>
                </c:pt>
                <c:pt idx="3">
                  <c:v>13.007312779650015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967-4347-87B4-DA4695C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52440"/>
        <c:axId val="225741816"/>
      </c:scatterChart>
      <c:valAx>
        <c:axId val="22573951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739896"/>
        <c:crosses val="autoZero"/>
        <c:crossBetween val="midCat"/>
      </c:valAx>
      <c:valAx>
        <c:axId val="22573989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739512"/>
        <c:crosses val="autoZero"/>
        <c:crossBetween val="midCat"/>
      </c:valAx>
      <c:valAx>
        <c:axId val="225741816"/>
        <c:scaling>
          <c:orientation val="minMax"/>
          <c:max val="2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752440"/>
        <c:crosses val="max"/>
        <c:crossBetween val="midCat"/>
        <c:majorUnit val="3"/>
      </c:valAx>
      <c:valAx>
        <c:axId val="22575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74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povprečje'!$L$54:$L$57</c:f>
              <c:numCache>
                <c:formatCode>0</c:formatCode>
                <c:ptCount val="4"/>
                <c:pt idx="0">
                  <c:v>781.31667586284595</c:v>
                </c:pt>
                <c:pt idx="1">
                  <c:v>1813.2441388906066</c:v>
                </c:pt>
                <c:pt idx="2">
                  <c:v>2632.1679633452513</c:v>
                </c:pt>
                <c:pt idx="3">
                  <c:v>3123.8674213254621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6-453C-913D-7B8C0C095E2A}"/>
            </c:ext>
          </c:extLst>
        </c:ser>
        <c:ser>
          <c:idx val="1"/>
          <c:order val="1"/>
          <c:tx>
            <c:v>NO 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povprečje'!$L$50:$L$53</c:f>
              <c:numCache>
                <c:formatCode>0</c:formatCode>
                <c:ptCount val="4"/>
                <c:pt idx="0">
                  <c:v>1734.1859219178441</c:v>
                </c:pt>
                <c:pt idx="1">
                  <c:v>1557.0934318328627</c:v>
                </c:pt>
                <c:pt idx="2">
                  <c:v>1839.2815648229164</c:v>
                </c:pt>
                <c:pt idx="3">
                  <c:v>92.212248453570979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6-453C-913D-7B8C0C095E2A}"/>
            </c:ext>
          </c:extLst>
        </c:ser>
        <c:ser>
          <c:idx val="2"/>
          <c:order val="2"/>
          <c:tx>
            <c:v>HC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povprečje'!$K$54:$K$57</c:f>
              <c:numCache>
                <c:formatCode>0</c:formatCode>
                <c:ptCount val="4"/>
                <c:pt idx="0">
                  <c:v>68.3</c:v>
                </c:pt>
                <c:pt idx="1">
                  <c:v>73.3</c:v>
                </c:pt>
                <c:pt idx="2">
                  <c:v>60.8</c:v>
                </c:pt>
                <c:pt idx="3">
                  <c:v>53.1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6-453C-913D-7B8C0C095E2A}"/>
            </c:ext>
          </c:extLst>
        </c:ser>
        <c:ser>
          <c:idx val="3"/>
          <c:order val="3"/>
          <c:tx>
            <c:v>HC 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povprečje'!$K$50:$K$53</c:f>
              <c:numCache>
                <c:formatCode>0</c:formatCode>
                <c:ptCount val="4"/>
                <c:pt idx="0">
                  <c:v>84.9</c:v>
                </c:pt>
                <c:pt idx="1">
                  <c:v>80.900000000000006</c:v>
                </c:pt>
                <c:pt idx="2">
                  <c:v>71.8</c:v>
                </c:pt>
                <c:pt idx="3">
                  <c:v>93.5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26-453C-913D-7B8C0C09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44472"/>
        <c:axId val="225446904"/>
      </c:scatterChart>
      <c:scatterChart>
        <c:scatterStyle val="lineMarker"/>
        <c:varyColors val="0"/>
        <c:ser>
          <c:idx val="4"/>
          <c:order val="4"/>
          <c:tx>
            <c:v>NO2 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povprečje'!$X$10:$X$13</c:f>
              <c:numCache>
                <c:formatCode>General</c:formatCode>
                <c:ptCount val="4"/>
                <c:pt idx="0">
                  <c:v>1.0605439999999999</c:v>
                </c:pt>
                <c:pt idx="1">
                  <c:v>1.0704290000000001</c:v>
                </c:pt>
                <c:pt idx="2">
                  <c:v>1.058664</c:v>
                </c:pt>
                <c:pt idx="3">
                  <c:v>1.0543659999999999</c:v>
                </c:pt>
              </c:numCache>
            </c:numRef>
          </c:xVal>
          <c:yVal>
            <c:numRef>
              <c:f>'MNZ 10. vaja - povprečje'!$M$54:$M$57</c:f>
              <c:numCache>
                <c:formatCode>0</c:formatCode>
                <c:ptCount val="4"/>
                <c:pt idx="0">
                  <c:v>1.315901769874267</c:v>
                </c:pt>
                <c:pt idx="1">
                  <c:v>4.615530535357907</c:v>
                </c:pt>
                <c:pt idx="2">
                  <c:v>4.4417834381451122</c:v>
                </c:pt>
                <c:pt idx="3">
                  <c:v>4.0281448327617806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26-453C-913D-7B8C0C095E2A}"/>
            </c:ext>
          </c:extLst>
        </c:ser>
        <c:ser>
          <c:idx val="5"/>
          <c:order val="5"/>
          <c:tx>
            <c:v>NO2 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'MNZ 10. vaja - povprečje'!$X$6:$X$9</c:f>
              <c:numCache>
                <c:formatCode>General</c:formatCode>
                <c:ptCount val="4"/>
                <c:pt idx="0">
                  <c:v>0.95425800000000005</c:v>
                </c:pt>
                <c:pt idx="1">
                  <c:v>0.99422999999999995</c:v>
                </c:pt>
                <c:pt idx="2">
                  <c:v>1.035309</c:v>
                </c:pt>
                <c:pt idx="3">
                  <c:v>1.410687</c:v>
                </c:pt>
              </c:numCache>
            </c:numRef>
          </c:xVal>
          <c:yVal>
            <c:numRef>
              <c:f>'MNZ 10. vaja - povprečje'!$M$50:$M$53</c:f>
              <c:numCache>
                <c:formatCode>0</c:formatCode>
                <c:ptCount val="4"/>
                <c:pt idx="0">
                  <c:v>-6.6947642567060965</c:v>
                </c:pt>
                <c:pt idx="1">
                  <c:v>-7.8665657754056078</c:v>
                </c:pt>
                <c:pt idx="2">
                  <c:v>-5.2317342288296294</c:v>
                </c:pt>
                <c:pt idx="3">
                  <c:v>4.3496343610174995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26-453C-913D-7B8C0C09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65080"/>
        <c:axId val="225447288"/>
      </c:scatterChart>
      <c:valAx>
        <c:axId val="22544447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446904"/>
        <c:crosses val="autoZero"/>
        <c:crossBetween val="midCat"/>
      </c:valAx>
      <c:valAx>
        <c:axId val="22544690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444472"/>
        <c:crosses val="autoZero"/>
        <c:crossBetween val="midCat"/>
      </c:valAx>
      <c:valAx>
        <c:axId val="225447288"/>
        <c:scaling>
          <c:orientation val="minMax"/>
          <c:max val="18"/>
          <c:min val="-3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465080"/>
        <c:crosses val="max"/>
        <c:crossBetween val="midCat"/>
        <c:majorUnit val="3"/>
      </c:valAx>
      <c:valAx>
        <c:axId val="22546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4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04F4E6-2C42-46FE-AFC3-50B67C1D45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D2878F-8965-403C-A77F-95EDDE0ACA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447162</xdr:colOff>
      <xdr:row>26</xdr:row>
      <xdr:rowOff>85143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104762" cy="4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</xdr:row>
      <xdr:rowOff>19050</xdr:rowOff>
    </xdr:from>
    <xdr:to>
      <xdr:col>13</xdr:col>
      <xdr:colOff>342386</xdr:colOff>
      <xdr:row>26</xdr:row>
      <xdr:rowOff>113717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400050"/>
          <a:ext cx="4114286" cy="46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2</xdr:row>
      <xdr:rowOff>95250</xdr:rowOff>
    </xdr:from>
    <xdr:to>
      <xdr:col>20</xdr:col>
      <xdr:colOff>104264</xdr:colOff>
      <xdr:row>26</xdr:row>
      <xdr:rowOff>85155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476250"/>
          <a:ext cx="4085714" cy="45619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eritve_skupina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abSelected="1" zoomScale="85" zoomScaleNormal="85" workbookViewId="0">
      <selection activeCell="E16" sqref="E16"/>
    </sheetView>
  </sheetViews>
  <sheetFormatPr defaultRowHeight="15" x14ac:dyDescent="0.25"/>
  <cols>
    <col min="2" max="2" width="8.85546875" customWidth="1"/>
    <col min="5" max="5" width="10.140625" customWidth="1"/>
    <col min="6" max="6" width="10.7109375" customWidth="1"/>
    <col min="7" max="7" width="9.85546875" customWidth="1"/>
    <col min="8" max="8" width="12.5703125" customWidth="1"/>
    <col min="9" max="9" width="11" bestFit="1" customWidth="1"/>
    <col min="13" max="13" width="9.5703125" bestFit="1" customWidth="1"/>
    <col min="20" max="20" width="12" bestFit="1" customWidth="1"/>
    <col min="28" max="28" width="9.7109375" customWidth="1"/>
    <col min="34" max="35" width="9.140625" customWidth="1"/>
    <col min="40" max="40" width="9.85546875" customWidth="1"/>
    <col min="41" max="41" width="12.42578125" customWidth="1"/>
    <col min="59" max="59" width="9.42578125" customWidth="1"/>
  </cols>
  <sheetData>
    <row r="1" spans="1:68" x14ac:dyDescent="0.25">
      <c r="A1" t="s">
        <v>0</v>
      </c>
      <c r="B1" s="1">
        <v>43090</v>
      </c>
      <c r="C1" s="1"/>
      <c r="D1" s="1"/>
      <c r="E1" s="1"/>
    </row>
    <row r="2" spans="1:68" x14ac:dyDescent="0.25">
      <c r="A2" t="s">
        <v>1</v>
      </c>
      <c r="B2" s="4">
        <v>0.55321412037037032</v>
      </c>
      <c r="C2" s="4"/>
      <c r="D2" s="4"/>
      <c r="E2" s="4"/>
    </row>
    <row r="3" spans="1:68" x14ac:dyDescent="0.25">
      <c r="A3" t="s">
        <v>31</v>
      </c>
      <c r="B3" s="4"/>
      <c r="C3" s="4"/>
      <c r="D3" s="4"/>
      <c r="E3" s="4"/>
      <c r="Z3" t="s">
        <v>32</v>
      </c>
    </row>
    <row r="4" spans="1:68" s="2" customFormat="1" ht="43.5" customHeight="1" x14ac:dyDescent="0.25">
      <c r="A4" s="2" t="s">
        <v>105</v>
      </c>
      <c r="B4" s="2" t="s">
        <v>106</v>
      </c>
      <c r="C4" s="2" t="s">
        <v>108</v>
      </c>
      <c r="D4" s="2" t="s">
        <v>109</v>
      </c>
      <c r="E4" s="2" t="s">
        <v>107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110</v>
      </c>
      <c r="W4" s="2" t="s">
        <v>111</v>
      </c>
      <c r="X4" s="2" t="s">
        <v>18</v>
      </c>
      <c r="Y4" s="2" t="s">
        <v>180</v>
      </c>
      <c r="Z4" s="2" t="s">
        <v>108</v>
      </c>
      <c r="AA4" s="2" t="s">
        <v>109</v>
      </c>
      <c r="AB4" s="2" t="s">
        <v>107</v>
      </c>
      <c r="AC4" s="2" t="s">
        <v>2</v>
      </c>
      <c r="AD4" s="2" t="s">
        <v>3</v>
      </c>
      <c r="AE4" s="2" t="s">
        <v>4</v>
      </c>
      <c r="AF4" s="2" t="s">
        <v>5</v>
      </c>
      <c r="AG4" s="2" t="s">
        <v>6</v>
      </c>
      <c r="AH4" s="2" t="s">
        <v>7</v>
      </c>
      <c r="AI4" s="2" t="s">
        <v>8</v>
      </c>
      <c r="AJ4" s="2" t="s">
        <v>9</v>
      </c>
      <c r="AK4" s="2" t="s">
        <v>10</v>
      </c>
      <c r="AL4" s="2" t="s">
        <v>11</v>
      </c>
      <c r="AM4" s="2" t="s">
        <v>12</v>
      </c>
      <c r="AN4" s="2" t="s">
        <v>13</v>
      </c>
      <c r="AO4" s="2" t="s">
        <v>14</v>
      </c>
      <c r="AP4" s="2" t="s">
        <v>15</v>
      </c>
      <c r="AQ4" s="2" t="s">
        <v>16</v>
      </c>
      <c r="AR4" s="2" t="s">
        <v>17</v>
      </c>
      <c r="AS4" s="2" t="s">
        <v>110</v>
      </c>
      <c r="AT4" s="2" t="s">
        <v>111</v>
      </c>
      <c r="AU4" s="2" t="s">
        <v>18</v>
      </c>
      <c r="AV4" s="2" t="s">
        <v>180</v>
      </c>
      <c r="BG4" s="3"/>
    </row>
    <row r="5" spans="1:68" ht="17.25" x14ac:dyDescent="0.25">
      <c r="F5" t="s">
        <v>19</v>
      </c>
      <c r="G5" t="s">
        <v>20</v>
      </c>
      <c r="H5" t="s">
        <v>21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24</v>
      </c>
      <c r="O5" t="s">
        <v>25</v>
      </c>
      <c r="P5" t="s">
        <v>26</v>
      </c>
      <c r="Q5" t="s">
        <v>26</v>
      </c>
      <c r="R5" t="s">
        <v>27</v>
      </c>
      <c r="S5" t="s">
        <v>30</v>
      </c>
      <c r="T5" t="s">
        <v>30</v>
      </c>
      <c r="U5" t="s">
        <v>23</v>
      </c>
      <c r="V5" t="s">
        <v>23</v>
      </c>
      <c r="W5" t="s">
        <v>23</v>
      </c>
      <c r="X5" t="s">
        <v>29</v>
      </c>
      <c r="Y5" t="s">
        <v>181</v>
      </c>
      <c r="AC5" t="s">
        <v>19</v>
      </c>
      <c r="AD5" t="s">
        <v>20</v>
      </c>
      <c r="AE5" t="s">
        <v>21</v>
      </c>
      <c r="AF5" t="s">
        <v>22</v>
      </c>
      <c r="AG5" t="s">
        <v>22</v>
      </c>
      <c r="AH5" t="s">
        <v>22</v>
      </c>
      <c r="AI5" t="s">
        <v>22</v>
      </c>
      <c r="AJ5" t="s">
        <v>22</v>
      </c>
      <c r="AK5" t="s">
        <v>24</v>
      </c>
      <c r="AL5" t="s">
        <v>25</v>
      </c>
      <c r="AM5" t="s">
        <v>26</v>
      </c>
      <c r="AN5" t="s">
        <v>26</v>
      </c>
      <c r="AO5" t="s">
        <v>27</v>
      </c>
      <c r="AP5" t="s">
        <v>30</v>
      </c>
      <c r="AQ5" t="s">
        <v>30</v>
      </c>
      <c r="AR5" t="s">
        <v>23</v>
      </c>
      <c r="AS5" t="s">
        <v>23</v>
      </c>
      <c r="AT5" t="s">
        <v>23</v>
      </c>
      <c r="AU5" t="s">
        <v>29</v>
      </c>
      <c r="AV5" t="s">
        <v>181</v>
      </c>
    </row>
    <row r="6" spans="1:68" x14ac:dyDescent="0.25">
      <c r="A6">
        <v>1</v>
      </c>
      <c r="B6">
        <v>1</v>
      </c>
      <c r="C6">
        <v>13</v>
      </c>
      <c r="D6">
        <v>0</v>
      </c>
      <c r="E6">
        <v>1</v>
      </c>
      <c r="F6">
        <v>61.315699000000002</v>
      </c>
      <c r="G6">
        <v>1499.7516129999999</v>
      </c>
      <c r="H6">
        <v>9.8499999999999998E-4</v>
      </c>
      <c r="I6">
        <v>83.835415999999995</v>
      </c>
      <c r="J6">
        <v>88.454272000000003</v>
      </c>
      <c r="K6">
        <v>480.25509199999999</v>
      </c>
      <c r="L6">
        <v>70.201488999999995</v>
      </c>
      <c r="M6">
        <v>30.964516</v>
      </c>
      <c r="N6">
        <v>11.816129</v>
      </c>
      <c r="O6">
        <v>1.1819E-2</v>
      </c>
      <c r="P6">
        <v>0.509718</v>
      </c>
      <c r="Q6">
        <v>0.97031400000000001</v>
      </c>
      <c r="R6">
        <v>25</v>
      </c>
      <c r="S6">
        <v>-7</v>
      </c>
      <c r="T6">
        <v>-7</v>
      </c>
      <c r="U6">
        <v>1.18</v>
      </c>
      <c r="V6">
        <v>0.80554800000000004</v>
      </c>
      <c r="W6">
        <v>0.93412799999999996</v>
      </c>
      <c r="X6">
        <v>0.95425800000000005</v>
      </c>
      <c r="Y6">
        <v>30</v>
      </c>
      <c r="Z6">
        <v>0</v>
      </c>
      <c r="AA6">
        <v>0</v>
      </c>
      <c r="AB6">
        <v>0</v>
      </c>
      <c r="AC6">
        <v>0.14827899999999999</v>
      </c>
      <c r="AD6">
        <v>1.6066260000000001</v>
      </c>
      <c r="AE6" s="14">
        <v>1.9210209999999998E-6</v>
      </c>
      <c r="AF6">
        <v>3.8809000000000003E-2</v>
      </c>
      <c r="AG6">
        <v>4.6616999999999999E-2</v>
      </c>
      <c r="AH6">
        <v>0.146982</v>
      </c>
      <c r="AI6">
        <v>0.582314</v>
      </c>
      <c r="AJ6">
        <v>4.8637E-2</v>
      </c>
      <c r="AK6">
        <v>6.8783999999999998E-2</v>
      </c>
      <c r="AL6" s="14">
        <v>3.3810840000000001E-5</v>
      </c>
      <c r="AM6">
        <v>1.0499999999999999E-3</v>
      </c>
      <c r="AN6" s="14">
        <v>8.9695699999999992E-6</v>
      </c>
      <c r="AO6">
        <v>0</v>
      </c>
      <c r="AP6">
        <v>0</v>
      </c>
      <c r="AQ6">
        <v>0</v>
      </c>
      <c r="AR6">
        <v>0</v>
      </c>
      <c r="AS6" s="14">
        <v>1.1285750000000001E-16</v>
      </c>
      <c r="AT6">
        <v>2.2837E-2</v>
      </c>
      <c r="AU6">
        <v>4.2499999999999998E-4</v>
      </c>
      <c r="AV6">
        <v>0</v>
      </c>
      <c r="AX6" s="8"/>
      <c r="AY6" s="7"/>
      <c r="AZ6" s="8"/>
      <c r="BA6" s="8"/>
      <c r="BB6" s="8"/>
      <c r="BE6" s="6"/>
      <c r="BF6" s="8"/>
      <c r="BG6" s="5"/>
      <c r="BK6" s="8"/>
      <c r="BL6" s="8"/>
      <c r="BM6" s="8"/>
      <c r="BN6" s="9"/>
      <c r="BO6" s="6"/>
      <c r="BP6" s="6"/>
    </row>
    <row r="7" spans="1:68" x14ac:dyDescent="0.25">
      <c r="A7">
        <v>1</v>
      </c>
      <c r="B7">
        <v>2</v>
      </c>
      <c r="C7">
        <v>13</v>
      </c>
      <c r="D7">
        <v>0</v>
      </c>
      <c r="E7">
        <v>2</v>
      </c>
      <c r="F7">
        <v>61.205376000000001</v>
      </c>
      <c r="G7">
        <v>1500.2935480000001</v>
      </c>
      <c r="H7">
        <v>9.4700000000000003E-4</v>
      </c>
      <c r="I7">
        <v>72.906739999999999</v>
      </c>
      <c r="J7">
        <v>77.380065000000002</v>
      </c>
      <c r="K7">
        <v>482.45853899999997</v>
      </c>
      <c r="L7">
        <v>89.883201999999997</v>
      </c>
      <c r="M7">
        <v>32.299999999999997</v>
      </c>
      <c r="N7">
        <v>11.135484</v>
      </c>
      <c r="O7">
        <v>1.1757E-2</v>
      </c>
      <c r="P7">
        <v>0.50033899999999998</v>
      </c>
      <c r="Q7">
        <v>0.97018300000000002</v>
      </c>
      <c r="R7">
        <v>25</v>
      </c>
      <c r="S7">
        <v>-16</v>
      </c>
      <c r="T7">
        <v>-16</v>
      </c>
      <c r="U7">
        <v>1.175</v>
      </c>
      <c r="V7">
        <v>0.80004799999999998</v>
      </c>
      <c r="W7">
        <v>0.82876000000000005</v>
      </c>
      <c r="X7">
        <v>0.99422999999999995</v>
      </c>
      <c r="Y7">
        <v>30</v>
      </c>
      <c r="Z7">
        <v>0</v>
      </c>
      <c r="AA7">
        <v>0</v>
      </c>
      <c r="AB7">
        <v>0</v>
      </c>
      <c r="AC7">
        <v>0.16083500000000001</v>
      </c>
      <c r="AD7">
        <v>1.806827</v>
      </c>
      <c r="AE7" s="14">
        <v>1.850312E-6</v>
      </c>
      <c r="AF7">
        <v>0.111553</v>
      </c>
      <c r="AG7">
        <v>0.10573200000000001</v>
      </c>
      <c r="AH7">
        <v>0.34984700000000002</v>
      </c>
      <c r="AI7">
        <v>0.17280799999999999</v>
      </c>
      <c r="AJ7">
        <v>0</v>
      </c>
      <c r="AK7">
        <v>4.8637E-2</v>
      </c>
      <c r="AL7" s="14">
        <v>3.2866710000000002E-5</v>
      </c>
      <c r="AM7">
        <v>1.108E-3</v>
      </c>
      <c r="AN7" s="14">
        <v>1.1565399999999999E-5</v>
      </c>
      <c r="AO7">
        <v>0</v>
      </c>
      <c r="AP7">
        <v>0</v>
      </c>
      <c r="AQ7">
        <v>0</v>
      </c>
      <c r="AR7" s="14">
        <v>2.2571500000000001E-16</v>
      </c>
      <c r="AS7">
        <v>0</v>
      </c>
      <c r="AT7">
        <v>8.5959999999999995E-3</v>
      </c>
      <c r="AU7">
        <v>3.7599999999999998E-4</v>
      </c>
      <c r="AV7">
        <v>0</v>
      </c>
      <c r="AW7" s="5"/>
      <c r="AX7" s="8"/>
      <c r="AY7" s="7"/>
      <c r="AZ7" s="8"/>
      <c r="BA7" s="8"/>
      <c r="BB7" s="8"/>
      <c r="BE7" s="6"/>
      <c r="BF7" s="8"/>
      <c r="BG7" s="5"/>
      <c r="BK7" s="8"/>
      <c r="BL7" s="8"/>
      <c r="BM7" s="8"/>
      <c r="BN7" s="9"/>
      <c r="BO7" s="6"/>
      <c r="BP7" s="6"/>
    </row>
    <row r="8" spans="1:68" x14ac:dyDescent="0.25">
      <c r="A8">
        <v>1</v>
      </c>
      <c r="B8">
        <v>3</v>
      </c>
      <c r="C8">
        <v>14</v>
      </c>
      <c r="D8">
        <v>0</v>
      </c>
      <c r="E8">
        <v>3</v>
      </c>
      <c r="F8">
        <v>58.373333000000002</v>
      </c>
      <c r="G8">
        <v>1501.0129030000001</v>
      </c>
      <c r="H8">
        <v>8.9800000000000004E-4</v>
      </c>
      <c r="I8">
        <v>70.694871000000006</v>
      </c>
      <c r="J8">
        <v>75.052722000000003</v>
      </c>
      <c r="K8">
        <v>473.10361699999999</v>
      </c>
      <c r="L8">
        <v>91.050639000000004</v>
      </c>
      <c r="M8">
        <v>32.700000000000003</v>
      </c>
      <c r="N8">
        <v>10.690322999999999</v>
      </c>
      <c r="O8">
        <v>1.1653E-2</v>
      </c>
      <c r="P8">
        <v>0.491261</v>
      </c>
      <c r="Q8">
        <v>0.97018000000000004</v>
      </c>
      <c r="R8">
        <v>25</v>
      </c>
      <c r="S8">
        <v>-21</v>
      </c>
      <c r="T8">
        <v>-21</v>
      </c>
      <c r="U8">
        <v>1.175</v>
      </c>
      <c r="V8">
        <v>0.876332</v>
      </c>
      <c r="W8">
        <v>0.87136400000000003</v>
      </c>
      <c r="X8">
        <v>1.035309</v>
      </c>
      <c r="Y8">
        <v>30</v>
      </c>
      <c r="Z8">
        <v>0</v>
      </c>
      <c r="AA8">
        <v>0</v>
      </c>
      <c r="AB8">
        <v>0</v>
      </c>
      <c r="AC8">
        <v>0.65899799999999997</v>
      </c>
      <c r="AD8">
        <v>2.206315</v>
      </c>
      <c r="AE8" s="14">
        <v>4.8364650000000003E-6</v>
      </c>
      <c r="AF8">
        <v>6.0179000000000003E-2</v>
      </c>
      <c r="AG8">
        <v>6.8570999999999993E-2</v>
      </c>
      <c r="AH8">
        <v>0.70863799999999999</v>
      </c>
      <c r="AI8">
        <v>0.17995700000000001</v>
      </c>
      <c r="AJ8">
        <v>0</v>
      </c>
      <c r="AK8">
        <v>3.9621999999999997E-2</v>
      </c>
      <c r="AL8">
        <v>1.5699999999999999E-4</v>
      </c>
      <c r="AM8">
        <v>4.6730000000000001E-3</v>
      </c>
      <c r="AN8" s="14">
        <v>1.008785E-5</v>
      </c>
      <c r="AO8">
        <v>0</v>
      </c>
      <c r="AP8">
        <v>0</v>
      </c>
      <c r="AQ8">
        <v>0</v>
      </c>
      <c r="AR8" s="14">
        <v>2.2571500000000001E-16</v>
      </c>
      <c r="AS8">
        <v>2.5683000000000001E-2</v>
      </c>
      <c r="AT8">
        <v>2.4634E-2</v>
      </c>
      <c r="AU8">
        <v>6.2049999999999996E-3</v>
      </c>
      <c r="AV8">
        <v>0</v>
      </c>
      <c r="AW8" s="5"/>
      <c r="AX8" s="8"/>
      <c r="AY8" s="7"/>
      <c r="AZ8" s="8"/>
      <c r="BA8" s="8"/>
      <c r="BB8" s="8"/>
      <c r="BE8" s="6"/>
      <c r="BF8" s="8"/>
      <c r="BG8" s="5"/>
      <c r="BK8" s="8"/>
      <c r="BL8" s="8"/>
      <c r="BM8" s="8"/>
      <c r="BN8" s="9"/>
      <c r="BO8" s="6"/>
      <c r="BP8" s="6"/>
    </row>
    <row r="9" spans="1:68" x14ac:dyDescent="0.25">
      <c r="A9">
        <v>1</v>
      </c>
      <c r="B9">
        <v>4</v>
      </c>
      <c r="C9">
        <v>14</v>
      </c>
      <c r="D9">
        <v>0</v>
      </c>
      <c r="E9">
        <v>4</v>
      </c>
      <c r="F9">
        <v>65.051828</v>
      </c>
      <c r="G9">
        <v>1499.729032</v>
      </c>
      <c r="H9">
        <v>9.4799999999999995E-4</v>
      </c>
      <c r="I9">
        <v>69.313894000000005</v>
      </c>
      <c r="J9">
        <v>73.360944000000003</v>
      </c>
      <c r="K9">
        <v>455.38456600000001</v>
      </c>
      <c r="L9">
        <v>91.057139000000006</v>
      </c>
      <c r="M9">
        <v>32.9</v>
      </c>
      <c r="N9">
        <v>10.6</v>
      </c>
      <c r="O9">
        <v>1.7509E-2</v>
      </c>
      <c r="P9">
        <v>0.68668899999999999</v>
      </c>
      <c r="Q9">
        <v>0.97014199999999995</v>
      </c>
      <c r="R9">
        <v>25</v>
      </c>
      <c r="S9">
        <v>-41</v>
      </c>
      <c r="T9">
        <v>-41</v>
      </c>
      <c r="U9">
        <v>1.375</v>
      </c>
      <c r="V9">
        <v>0.90518699999999996</v>
      </c>
      <c r="W9">
        <v>0.90997799999999995</v>
      </c>
      <c r="X9">
        <v>1.410687</v>
      </c>
      <c r="Y9">
        <v>30</v>
      </c>
      <c r="Z9">
        <v>0</v>
      </c>
      <c r="AA9">
        <v>0</v>
      </c>
      <c r="AB9">
        <v>0</v>
      </c>
      <c r="AC9">
        <v>1.0712900000000001</v>
      </c>
      <c r="AD9">
        <v>6.0858410000000003</v>
      </c>
      <c r="AE9" s="14">
        <v>9.6428700000000001E-6</v>
      </c>
      <c r="AF9">
        <v>0.13587199999999999</v>
      </c>
      <c r="AG9">
        <v>0.145901</v>
      </c>
      <c r="AH9">
        <v>0.335032</v>
      </c>
      <c r="AI9">
        <v>0.20008699999999999</v>
      </c>
      <c r="AJ9">
        <v>0</v>
      </c>
      <c r="AK9">
        <v>0</v>
      </c>
      <c r="AL9">
        <v>2.8600000000000001E-4</v>
      </c>
      <c r="AM9">
        <v>1.0198E-2</v>
      </c>
      <c r="AN9" s="14">
        <v>1.2773289999999999E-5</v>
      </c>
      <c r="AO9">
        <v>0</v>
      </c>
      <c r="AP9">
        <v>0</v>
      </c>
      <c r="AQ9">
        <v>0</v>
      </c>
      <c r="AR9" s="14">
        <v>2.2571500000000001E-16</v>
      </c>
      <c r="AS9">
        <v>7.3002999999999998E-2</v>
      </c>
      <c r="AT9">
        <v>7.0483000000000004E-2</v>
      </c>
      <c r="AU9">
        <v>8.9879999999999995E-3</v>
      </c>
      <c r="AV9">
        <v>0</v>
      </c>
      <c r="AW9" s="5"/>
      <c r="AX9" s="8"/>
      <c r="AY9" s="7"/>
      <c r="AZ9" s="8"/>
      <c r="BA9" s="8"/>
      <c r="BB9" s="8"/>
      <c r="BE9" s="6"/>
      <c r="BF9" s="8"/>
      <c r="BG9" s="5"/>
      <c r="BK9" s="8"/>
      <c r="BL9" s="8"/>
      <c r="BM9" s="8"/>
      <c r="BN9" s="9"/>
      <c r="BO9" s="6"/>
      <c r="BP9" s="6"/>
    </row>
    <row r="10" spans="1:68" x14ac:dyDescent="0.25">
      <c r="A10">
        <v>2</v>
      </c>
      <c r="B10">
        <v>5</v>
      </c>
      <c r="C10">
        <v>14</v>
      </c>
      <c r="D10">
        <v>0</v>
      </c>
      <c r="E10">
        <v>5</v>
      </c>
      <c r="F10">
        <v>30.021075</v>
      </c>
      <c r="G10">
        <v>1500.1709679999999</v>
      </c>
      <c r="H10">
        <v>6.2299999999999996E-4</v>
      </c>
      <c r="I10">
        <v>63.185735999999999</v>
      </c>
      <c r="J10">
        <v>66.745170999999999</v>
      </c>
      <c r="K10">
        <v>409.16226699999999</v>
      </c>
      <c r="L10">
        <v>87.828312999999994</v>
      </c>
      <c r="M10">
        <v>33.283870999999998</v>
      </c>
      <c r="N10">
        <v>10.480645000000001</v>
      </c>
      <c r="O10">
        <v>8.2559999999999995E-3</v>
      </c>
      <c r="P10">
        <v>0.35629100000000002</v>
      </c>
      <c r="Q10">
        <v>0.97008399999999995</v>
      </c>
      <c r="R10">
        <v>25</v>
      </c>
      <c r="S10">
        <v>-48</v>
      </c>
      <c r="T10">
        <v>-48</v>
      </c>
      <c r="U10">
        <v>1.0549999999999999</v>
      </c>
      <c r="V10">
        <v>0.69423500000000005</v>
      </c>
      <c r="W10">
        <v>0.687033</v>
      </c>
      <c r="X10">
        <v>1.0605439999999999</v>
      </c>
      <c r="Y10">
        <v>30</v>
      </c>
      <c r="Z10">
        <v>0</v>
      </c>
      <c r="AA10">
        <v>0</v>
      </c>
      <c r="AB10">
        <v>0</v>
      </c>
      <c r="AC10">
        <v>0.14616199999999999</v>
      </c>
      <c r="AD10">
        <v>2.0106700000000002</v>
      </c>
      <c r="AE10" s="14">
        <v>2.4318670000000001E-6</v>
      </c>
      <c r="AF10">
        <v>8.2827999999999999E-2</v>
      </c>
      <c r="AG10">
        <v>8.6554000000000006E-2</v>
      </c>
      <c r="AH10">
        <v>0.41451100000000002</v>
      </c>
      <c r="AI10">
        <v>0.13166600000000001</v>
      </c>
      <c r="AJ10">
        <v>3.7387999999999998E-2</v>
      </c>
      <c r="AK10">
        <v>5.4279000000000001E-2</v>
      </c>
      <c r="AL10" s="14">
        <v>3.2593840000000002E-5</v>
      </c>
      <c r="AM10">
        <v>2.5700000000000001E-4</v>
      </c>
      <c r="AN10" s="14">
        <v>8.4452039999999993E-6</v>
      </c>
      <c r="AO10">
        <v>0</v>
      </c>
      <c r="AP10">
        <v>0</v>
      </c>
      <c r="AQ10">
        <v>0</v>
      </c>
      <c r="AR10" s="14">
        <v>2.2571500000000001E-16</v>
      </c>
      <c r="AS10" s="14">
        <v>1.1285750000000001E-16</v>
      </c>
      <c r="AT10">
        <v>8.1679999999999999E-3</v>
      </c>
      <c r="AU10">
        <v>7.5900000000000002E-4</v>
      </c>
      <c r="AV10">
        <v>0</v>
      </c>
      <c r="AW10" s="5"/>
      <c r="AX10" s="8"/>
      <c r="AY10" s="7"/>
      <c r="AZ10" s="8"/>
      <c r="BA10" s="8"/>
      <c r="BB10" s="8"/>
      <c r="BE10" s="6"/>
      <c r="BF10" s="8"/>
      <c r="BG10" s="5"/>
      <c r="BK10" s="8"/>
      <c r="BL10" s="8"/>
      <c r="BM10" s="8"/>
      <c r="BN10" s="9"/>
      <c r="BO10" s="6"/>
      <c r="BP10" s="6"/>
    </row>
    <row r="11" spans="1:68" x14ac:dyDescent="0.25">
      <c r="A11">
        <v>2</v>
      </c>
      <c r="B11">
        <v>6</v>
      </c>
      <c r="C11">
        <v>14</v>
      </c>
      <c r="D11">
        <v>0</v>
      </c>
      <c r="E11">
        <v>6</v>
      </c>
      <c r="F11">
        <v>60.289031999999999</v>
      </c>
      <c r="G11">
        <v>1500.46129</v>
      </c>
      <c r="H11">
        <v>9.1299999999999997E-4</v>
      </c>
      <c r="I11">
        <v>63.611643000000001</v>
      </c>
      <c r="J11">
        <v>67.704363999999998</v>
      </c>
      <c r="K11">
        <v>461.53009300000002</v>
      </c>
      <c r="L11">
        <v>87.127026999999998</v>
      </c>
      <c r="M11">
        <v>33.4</v>
      </c>
      <c r="N11">
        <v>10.43871</v>
      </c>
      <c r="O11">
        <v>1.226E-2</v>
      </c>
      <c r="P11">
        <v>0.50941999999999998</v>
      </c>
      <c r="Q11">
        <v>0.97003899999999998</v>
      </c>
      <c r="R11">
        <v>25</v>
      </c>
      <c r="S11">
        <v>-23</v>
      </c>
      <c r="T11">
        <v>-23</v>
      </c>
      <c r="U11">
        <v>1.19</v>
      </c>
      <c r="V11">
        <v>0.82118100000000005</v>
      </c>
      <c r="W11">
        <v>0.84241900000000003</v>
      </c>
      <c r="X11">
        <v>1.0704290000000001</v>
      </c>
      <c r="Y11">
        <v>30</v>
      </c>
      <c r="Z11">
        <v>0</v>
      </c>
      <c r="AA11">
        <v>0</v>
      </c>
      <c r="AB11">
        <v>0</v>
      </c>
      <c r="AC11">
        <v>0.36735899999999999</v>
      </c>
      <c r="AD11">
        <v>2.2492480000000001</v>
      </c>
      <c r="AE11" s="14">
        <v>3.8071809999999998E-6</v>
      </c>
      <c r="AF11">
        <v>0.13319400000000001</v>
      </c>
      <c r="AG11">
        <v>0.124836</v>
      </c>
      <c r="AH11">
        <v>0.41467399999999999</v>
      </c>
      <c r="AI11">
        <v>0.175147</v>
      </c>
      <c r="AJ11">
        <v>0</v>
      </c>
      <c r="AK11">
        <v>4.9514000000000002E-2</v>
      </c>
      <c r="AL11" s="14">
        <v>9.4717949999999993E-5</v>
      </c>
      <c r="AM11">
        <v>3.5019999999999999E-3</v>
      </c>
      <c r="AN11" s="14">
        <v>2.0720910000000001E-5</v>
      </c>
      <c r="AO11">
        <v>0</v>
      </c>
      <c r="AP11">
        <v>0</v>
      </c>
      <c r="AQ11">
        <v>0</v>
      </c>
      <c r="AR11" s="14">
        <v>2.2571500000000001E-16</v>
      </c>
      <c r="AS11">
        <v>1.6952999999999999E-2</v>
      </c>
      <c r="AT11">
        <v>2.3071999999999999E-2</v>
      </c>
      <c r="AU11">
        <v>3.6489999999999999E-3</v>
      </c>
      <c r="AV11">
        <v>0</v>
      </c>
      <c r="AW11" s="5"/>
      <c r="AX11" s="8"/>
      <c r="AY11" s="7"/>
      <c r="AZ11" s="8"/>
      <c r="BA11" s="8"/>
      <c r="BB11" s="8"/>
      <c r="BE11" s="6"/>
      <c r="BF11" s="8"/>
      <c r="BG11" s="5"/>
      <c r="BK11" s="8"/>
      <c r="BL11" s="8"/>
      <c r="BM11" s="8"/>
      <c r="BN11" s="9"/>
      <c r="BO11" s="6"/>
      <c r="BP11" s="6"/>
    </row>
    <row r="12" spans="1:68" x14ac:dyDescent="0.25">
      <c r="A12">
        <v>2</v>
      </c>
      <c r="B12">
        <v>7</v>
      </c>
      <c r="C12">
        <v>14</v>
      </c>
      <c r="D12">
        <v>0</v>
      </c>
      <c r="E12">
        <v>7</v>
      </c>
      <c r="F12">
        <v>92.281075000000001</v>
      </c>
      <c r="G12">
        <v>1500.606452</v>
      </c>
      <c r="H12">
        <v>1.2260000000000001E-3</v>
      </c>
      <c r="I12">
        <v>66.446624999999997</v>
      </c>
      <c r="J12">
        <v>71.146912999999998</v>
      </c>
      <c r="K12">
        <v>499.41145899999998</v>
      </c>
      <c r="L12">
        <v>87.713359999999994</v>
      </c>
      <c r="M12">
        <v>33.229031999999997</v>
      </c>
      <c r="N12">
        <v>10.283871</v>
      </c>
      <c r="O12">
        <v>1.6254999999999999E-2</v>
      </c>
      <c r="P12">
        <v>0.66769999999999996</v>
      </c>
      <c r="Q12">
        <v>0.96997900000000004</v>
      </c>
      <c r="R12">
        <v>25</v>
      </c>
      <c r="S12">
        <v>1</v>
      </c>
      <c r="T12">
        <v>1</v>
      </c>
      <c r="U12">
        <v>1.343871</v>
      </c>
      <c r="V12">
        <v>0.86664699999999995</v>
      </c>
      <c r="W12">
        <v>0.86450700000000003</v>
      </c>
      <c r="X12">
        <v>1.058664</v>
      </c>
      <c r="Y12">
        <v>30</v>
      </c>
      <c r="Z12">
        <v>0</v>
      </c>
      <c r="AA12">
        <v>0</v>
      </c>
      <c r="AB12">
        <v>0</v>
      </c>
      <c r="AC12">
        <v>1.0123869999999999</v>
      </c>
      <c r="AD12">
        <v>2.2246999999999999</v>
      </c>
      <c r="AE12" s="14">
        <v>8.3776460000000001E-6</v>
      </c>
      <c r="AF12">
        <v>0.269071</v>
      </c>
      <c r="AG12">
        <v>0.28299600000000003</v>
      </c>
      <c r="AH12">
        <v>0.52422000000000002</v>
      </c>
      <c r="AI12">
        <v>0.14960699999999999</v>
      </c>
      <c r="AJ12">
        <v>5.2873999999999997E-2</v>
      </c>
      <c r="AK12">
        <v>5.2261000000000002E-2</v>
      </c>
      <c r="AL12">
        <v>1.7100000000000001E-4</v>
      </c>
      <c r="AM12">
        <v>7.0959999999999999E-3</v>
      </c>
      <c r="AN12" s="14">
        <v>7.3727580000000001E-6</v>
      </c>
      <c r="AO12">
        <v>0</v>
      </c>
      <c r="AP12">
        <v>0</v>
      </c>
      <c r="AQ12">
        <v>0</v>
      </c>
      <c r="AR12">
        <v>2.8019999999999998E-3</v>
      </c>
      <c r="AS12">
        <v>7.3856000000000005E-2</v>
      </c>
      <c r="AT12">
        <v>7.1303000000000005E-2</v>
      </c>
      <c r="AU12">
        <v>4.0359999999999997E-3</v>
      </c>
      <c r="AV12">
        <v>0</v>
      </c>
      <c r="AW12" s="5"/>
      <c r="AX12" s="8"/>
      <c r="AY12" s="7"/>
      <c r="AZ12" s="8"/>
      <c r="BA12" s="8"/>
      <c r="BB12" s="8"/>
      <c r="BE12" s="6"/>
      <c r="BF12" s="8"/>
      <c r="BG12" s="5"/>
      <c r="BK12" s="8"/>
      <c r="BL12" s="8"/>
      <c r="BM12" s="8"/>
      <c r="BN12" s="9"/>
      <c r="BO12" s="6"/>
      <c r="BP12" s="6"/>
    </row>
    <row r="13" spans="1:68" x14ac:dyDescent="0.25">
      <c r="A13">
        <v>2</v>
      </c>
      <c r="B13">
        <v>8</v>
      </c>
      <c r="C13">
        <v>14</v>
      </c>
      <c r="D13">
        <v>0</v>
      </c>
      <c r="E13">
        <v>8</v>
      </c>
      <c r="F13">
        <v>120.64688200000001</v>
      </c>
      <c r="G13">
        <v>1500.4096770000001</v>
      </c>
      <c r="H13">
        <v>1.5070000000000001E-3</v>
      </c>
      <c r="I13">
        <v>70.266107000000005</v>
      </c>
      <c r="J13">
        <v>75.579033999999993</v>
      </c>
      <c r="K13">
        <v>518.79642000000001</v>
      </c>
      <c r="L13">
        <v>88.959301999999994</v>
      </c>
      <c r="M13">
        <v>32.758065000000002</v>
      </c>
      <c r="N13">
        <v>10.816129</v>
      </c>
      <c r="O13">
        <v>1.9917000000000001E-2</v>
      </c>
      <c r="P13">
        <v>0.80708400000000002</v>
      </c>
      <c r="Q13">
        <v>0.96998899999999999</v>
      </c>
      <c r="R13">
        <v>25</v>
      </c>
      <c r="S13">
        <v>21</v>
      </c>
      <c r="T13">
        <v>21</v>
      </c>
      <c r="U13">
        <v>1.575</v>
      </c>
      <c r="V13">
        <v>0.94258200000000003</v>
      </c>
      <c r="W13">
        <v>0.96736500000000003</v>
      </c>
      <c r="X13">
        <v>1.0543659999999999</v>
      </c>
      <c r="Y13">
        <v>30</v>
      </c>
      <c r="Z13">
        <v>0</v>
      </c>
      <c r="AA13">
        <v>0</v>
      </c>
      <c r="AB13">
        <v>0</v>
      </c>
      <c r="AC13">
        <v>0.24098900000000001</v>
      </c>
      <c r="AD13">
        <v>1.965597</v>
      </c>
      <c r="AE13" s="14">
        <v>1.50197E-6</v>
      </c>
      <c r="AF13">
        <v>0.32939600000000002</v>
      </c>
      <c r="AG13">
        <v>0.332478</v>
      </c>
      <c r="AH13">
        <v>0.78373000000000004</v>
      </c>
      <c r="AI13">
        <v>0.248085</v>
      </c>
      <c r="AJ13">
        <v>5.0160999999999997E-2</v>
      </c>
      <c r="AK13">
        <v>8.2044000000000006E-2</v>
      </c>
      <c r="AL13" s="14">
        <v>4.0016370000000003E-5</v>
      </c>
      <c r="AM13">
        <v>3.1770000000000001E-3</v>
      </c>
      <c r="AN13" s="14">
        <v>1.3870430000000001E-5</v>
      </c>
      <c r="AO13">
        <v>0</v>
      </c>
      <c r="AP13">
        <v>0</v>
      </c>
      <c r="AQ13">
        <v>0</v>
      </c>
      <c r="AR13" s="14">
        <v>2.2571500000000001E-16</v>
      </c>
      <c r="AS13">
        <v>0</v>
      </c>
      <c r="AT13">
        <v>1.5629000000000001E-2</v>
      </c>
      <c r="AU13">
        <v>3.28E-4</v>
      </c>
      <c r="AV13">
        <v>0</v>
      </c>
      <c r="AW13" s="5"/>
      <c r="AX13" s="8"/>
      <c r="AY13" s="7"/>
      <c r="AZ13" s="8"/>
      <c r="BA13" s="8"/>
      <c r="BB13" s="8"/>
      <c r="BE13" s="6"/>
      <c r="BF13" s="8"/>
      <c r="BG13" s="5"/>
      <c r="BK13" s="8"/>
      <c r="BL13" s="8"/>
      <c r="BM13" s="8"/>
      <c r="BN13" s="9"/>
      <c r="BO13" s="6"/>
      <c r="BP13" s="6"/>
    </row>
    <row r="14" spans="1:68" x14ac:dyDescent="0.25">
      <c r="A14">
        <v>3</v>
      </c>
      <c r="B14">
        <v>9</v>
      </c>
      <c r="C14">
        <v>15</v>
      </c>
      <c r="D14">
        <v>0</v>
      </c>
      <c r="E14">
        <v>91</v>
      </c>
      <c r="F14">
        <v>60.169677</v>
      </c>
      <c r="G14">
        <v>1800.003226</v>
      </c>
      <c r="H14">
        <v>1.093E-3</v>
      </c>
      <c r="I14">
        <v>69.122801999999993</v>
      </c>
      <c r="J14">
        <v>73.885540000000006</v>
      </c>
      <c r="K14">
        <v>515.67557799999997</v>
      </c>
      <c r="L14">
        <v>91.854500000000002</v>
      </c>
      <c r="M14">
        <v>30.1</v>
      </c>
      <c r="N14">
        <v>13.206452000000001</v>
      </c>
      <c r="O14">
        <v>1.426E-2</v>
      </c>
      <c r="P14">
        <v>0.498641</v>
      </c>
      <c r="Q14">
        <v>0.96959700000000004</v>
      </c>
      <c r="R14">
        <v>25</v>
      </c>
      <c r="S14">
        <v>2</v>
      </c>
      <c r="T14">
        <v>2</v>
      </c>
      <c r="U14">
        <v>1.25</v>
      </c>
      <c r="V14">
        <v>0.83424100000000001</v>
      </c>
      <c r="W14">
        <v>0.83156200000000002</v>
      </c>
      <c r="X14">
        <v>1.0454650000000001</v>
      </c>
      <c r="Y14">
        <v>30</v>
      </c>
      <c r="Z14">
        <v>0</v>
      </c>
      <c r="AA14">
        <v>0</v>
      </c>
      <c r="AB14">
        <v>0</v>
      </c>
      <c r="AC14">
        <v>0.29782799999999998</v>
      </c>
      <c r="AD14">
        <v>1.416212</v>
      </c>
      <c r="AE14" s="14">
        <v>3.424139E-6</v>
      </c>
      <c r="AF14">
        <v>0.14157900000000001</v>
      </c>
      <c r="AG14">
        <v>0.15694</v>
      </c>
      <c r="AH14">
        <v>0.241008</v>
      </c>
      <c r="AI14">
        <v>0.393733</v>
      </c>
      <c r="AJ14" s="14">
        <v>3.6114400000000002E-15</v>
      </c>
      <c r="AK14">
        <v>6.2905000000000003E-2</v>
      </c>
      <c r="AL14" s="14">
        <v>6.0897719999999999E-5</v>
      </c>
      <c r="AM14">
        <v>2.0279999999999999E-3</v>
      </c>
      <c r="AN14" s="14">
        <v>1.230059E-5</v>
      </c>
      <c r="AO14">
        <v>0</v>
      </c>
      <c r="AP14">
        <v>0</v>
      </c>
      <c r="AQ14">
        <v>0</v>
      </c>
      <c r="AR14" s="14">
        <v>0</v>
      </c>
      <c r="AS14">
        <v>3.7178000000000003E-2</v>
      </c>
      <c r="AT14">
        <v>3.2176999999999997E-2</v>
      </c>
      <c r="AU14">
        <v>1.621E-3</v>
      </c>
      <c r="AV14">
        <v>0</v>
      </c>
      <c r="AW14" s="5"/>
      <c r="AX14" s="8"/>
      <c r="AY14" s="7"/>
      <c r="AZ14" s="8"/>
      <c r="BA14" s="8"/>
      <c r="BB14" s="8"/>
      <c r="BE14" s="6"/>
      <c r="BF14" s="8"/>
      <c r="BG14" s="5"/>
      <c r="BK14" s="8"/>
      <c r="BL14" s="8"/>
      <c r="BM14" s="8"/>
      <c r="BN14" s="9"/>
      <c r="BO14" s="6"/>
      <c r="BP14" s="6"/>
    </row>
    <row r="15" spans="1:68" x14ac:dyDescent="0.25">
      <c r="A15">
        <v>3</v>
      </c>
      <c r="B15">
        <v>10</v>
      </c>
      <c r="C15">
        <v>15</v>
      </c>
      <c r="D15">
        <v>0</v>
      </c>
      <c r="E15">
        <v>101</v>
      </c>
      <c r="F15">
        <v>63.630322999999997</v>
      </c>
      <c r="G15">
        <v>1499.467742</v>
      </c>
      <c r="H15">
        <v>9.4399999999999996E-4</v>
      </c>
      <c r="I15">
        <v>69.584757999999994</v>
      </c>
      <c r="J15">
        <v>74.028447999999997</v>
      </c>
      <c r="K15">
        <v>476.85587299999997</v>
      </c>
      <c r="L15">
        <v>91.776883999999995</v>
      </c>
      <c r="M15">
        <v>29.7</v>
      </c>
      <c r="N15">
        <v>13.429031999999999</v>
      </c>
      <c r="O15">
        <v>1.2463999999999999E-2</v>
      </c>
      <c r="P15">
        <v>0.52154999999999996</v>
      </c>
      <c r="Q15">
        <v>0.96964799999999995</v>
      </c>
      <c r="R15">
        <v>25</v>
      </c>
      <c r="S15">
        <v>-15</v>
      </c>
      <c r="T15">
        <v>-15</v>
      </c>
      <c r="U15">
        <v>1.2</v>
      </c>
      <c r="V15">
        <v>0.84306400000000004</v>
      </c>
      <c r="W15">
        <v>0.87550899999999998</v>
      </c>
      <c r="X15">
        <v>1.058465</v>
      </c>
      <c r="Y15">
        <v>30</v>
      </c>
      <c r="Z15">
        <v>0</v>
      </c>
      <c r="AA15">
        <v>0</v>
      </c>
      <c r="AB15">
        <v>0</v>
      </c>
      <c r="AC15">
        <v>0.15854699999999999</v>
      </c>
      <c r="AD15">
        <v>1.3760779999999999</v>
      </c>
      <c r="AE15" s="14">
        <v>1.814517E-6</v>
      </c>
      <c r="AF15">
        <v>9.1610000000000007E-3</v>
      </c>
      <c r="AG15">
        <v>1.5803999999999999E-2</v>
      </c>
      <c r="AH15">
        <v>0.305197</v>
      </c>
      <c r="AI15">
        <v>0.33172400000000002</v>
      </c>
      <c r="AJ15">
        <v>0</v>
      </c>
      <c r="AK15">
        <v>7.8287999999999996E-2</v>
      </c>
      <c r="AL15" s="14">
        <v>2.8244850000000001E-5</v>
      </c>
      <c r="AM15">
        <v>1.6590000000000001E-3</v>
      </c>
      <c r="AN15" s="14">
        <v>1.131797E-5</v>
      </c>
      <c r="AO15">
        <v>0</v>
      </c>
      <c r="AP15">
        <v>0</v>
      </c>
      <c r="AQ15">
        <v>0</v>
      </c>
      <c r="AR15" s="14">
        <v>0</v>
      </c>
      <c r="AS15" s="14">
        <v>2.2245000000000001E-2</v>
      </c>
      <c r="AT15">
        <v>9.4900000000000002E-3</v>
      </c>
      <c r="AU15">
        <v>6.6399999999999999E-4</v>
      </c>
      <c r="AV15">
        <v>0</v>
      </c>
      <c r="AW15" s="5"/>
      <c r="AX15" s="8"/>
      <c r="AY15" s="7"/>
      <c r="AZ15" s="8"/>
      <c r="BA15" s="8"/>
      <c r="BB15" s="8"/>
      <c r="BE15" s="6"/>
      <c r="BF15" s="8"/>
      <c r="BG15" s="5"/>
      <c r="BK15" s="8"/>
      <c r="BL15" s="8"/>
      <c r="BM15" s="8"/>
      <c r="BN15" s="9"/>
      <c r="BO15" s="6"/>
      <c r="BP15" s="6"/>
    </row>
    <row r="16" spans="1:68" x14ac:dyDescent="0.25">
      <c r="A16">
        <v>3</v>
      </c>
      <c r="B16">
        <v>11</v>
      </c>
      <c r="C16">
        <v>15</v>
      </c>
      <c r="D16">
        <v>0</v>
      </c>
      <c r="E16">
        <v>11</v>
      </c>
      <c r="F16">
        <v>59.134408999999998</v>
      </c>
      <c r="G16">
        <v>1200.032258</v>
      </c>
      <c r="H16">
        <v>7.2400000000000003E-4</v>
      </c>
      <c r="I16">
        <v>67.812427</v>
      </c>
      <c r="J16">
        <v>71.666938999999999</v>
      </c>
      <c r="K16">
        <v>417.83394800000002</v>
      </c>
      <c r="L16">
        <v>90.466615000000004</v>
      </c>
      <c r="M16">
        <v>29.632258</v>
      </c>
      <c r="N16">
        <v>13.380644999999999</v>
      </c>
      <c r="O16">
        <v>9.3600000000000003E-3</v>
      </c>
      <c r="P16">
        <v>0.49841299999999999</v>
      </c>
      <c r="Q16">
        <v>0.96964399999999995</v>
      </c>
      <c r="R16">
        <v>25</v>
      </c>
      <c r="S16">
        <v>-26</v>
      </c>
      <c r="T16">
        <v>-26</v>
      </c>
      <c r="U16">
        <v>1.105</v>
      </c>
      <c r="V16">
        <v>0.83442499999999997</v>
      </c>
      <c r="W16">
        <v>0.83293099999999998</v>
      </c>
      <c r="X16">
        <v>1.041938</v>
      </c>
      <c r="Y16">
        <v>30</v>
      </c>
      <c r="Z16">
        <v>0</v>
      </c>
      <c r="AA16">
        <v>0</v>
      </c>
      <c r="AB16">
        <v>0</v>
      </c>
      <c r="AC16">
        <v>0.324602</v>
      </c>
      <c r="AD16">
        <v>2.1008550000000001</v>
      </c>
      <c r="AE16" s="14">
        <v>2.5610819999999999E-6</v>
      </c>
      <c r="AF16">
        <v>0.17488899999999999</v>
      </c>
      <c r="AG16">
        <v>0.174204</v>
      </c>
      <c r="AH16">
        <v>0.46747899999999998</v>
      </c>
      <c r="AI16">
        <v>0.119586</v>
      </c>
      <c r="AJ16">
        <v>4.7518999999999999E-2</v>
      </c>
      <c r="AK16">
        <v>0.10138800000000001</v>
      </c>
      <c r="AL16" s="14">
        <v>7.2323059999999996E-5</v>
      </c>
      <c r="AM16">
        <v>2.8800000000000002E-3</v>
      </c>
      <c r="AN16" s="14">
        <v>1.2313659999999999E-5</v>
      </c>
      <c r="AO16">
        <v>0</v>
      </c>
      <c r="AP16">
        <v>0</v>
      </c>
      <c r="AQ16">
        <v>0</v>
      </c>
      <c r="AR16" s="14">
        <v>2.2571500000000001E-16</v>
      </c>
      <c r="AS16">
        <v>2.6453000000000001E-2</v>
      </c>
      <c r="AT16">
        <v>2.3609000000000002E-2</v>
      </c>
      <c r="AU16">
        <v>3.6459999999999999E-3</v>
      </c>
      <c r="AV16">
        <v>0</v>
      </c>
      <c r="AW16" s="5"/>
      <c r="AX16" s="8"/>
      <c r="AY16" s="7"/>
      <c r="AZ16" s="8"/>
      <c r="BA16" s="8"/>
      <c r="BB16" s="8"/>
      <c r="BE16" s="6"/>
      <c r="BF16" s="8"/>
      <c r="BG16" s="5"/>
      <c r="BK16" s="8"/>
      <c r="BL16" s="8"/>
      <c r="BM16" s="8"/>
      <c r="BN16" s="9"/>
      <c r="BO16" s="6"/>
      <c r="BP16" s="6"/>
    </row>
    <row r="17" spans="1:68" x14ac:dyDescent="0.25">
      <c r="A17">
        <v>3</v>
      </c>
      <c r="B17">
        <v>12</v>
      </c>
      <c r="C17">
        <v>15</v>
      </c>
      <c r="D17">
        <v>0</v>
      </c>
      <c r="E17">
        <v>12</v>
      </c>
      <c r="F17">
        <v>61.197634000000001</v>
      </c>
      <c r="G17">
        <v>1500.6741939999999</v>
      </c>
      <c r="H17">
        <v>9.5799999999999998E-4</v>
      </c>
      <c r="I17">
        <v>67.660086000000007</v>
      </c>
      <c r="J17">
        <v>72.078792000000007</v>
      </c>
      <c r="K17">
        <v>504.74442299999998</v>
      </c>
      <c r="L17">
        <v>89.511956999999995</v>
      </c>
      <c r="M17">
        <v>29.261289999999999</v>
      </c>
      <c r="N17">
        <v>13.732258</v>
      </c>
      <c r="O17">
        <v>1.2765E-2</v>
      </c>
      <c r="P17">
        <v>0.52784500000000001</v>
      </c>
      <c r="Q17">
        <v>0.96960100000000005</v>
      </c>
      <c r="R17">
        <v>10</v>
      </c>
      <c r="S17">
        <v>-12</v>
      </c>
      <c r="T17">
        <v>-12</v>
      </c>
      <c r="U17">
        <v>1.2050000000000001</v>
      </c>
      <c r="V17">
        <v>0.79102600000000001</v>
      </c>
      <c r="W17">
        <v>0.79656800000000005</v>
      </c>
      <c r="X17">
        <v>1.06297</v>
      </c>
      <c r="Y17">
        <v>30</v>
      </c>
      <c r="Z17">
        <v>0</v>
      </c>
      <c r="AA17">
        <v>0</v>
      </c>
      <c r="AB17">
        <v>0</v>
      </c>
      <c r="AC17">
        <v>1.362419</v>
      </c>
      <c r="AD17">
        <v>4.5798079999999999</v>
      </c>
      <c r="AE17" s="14">
        <v>1.176088E-5</v>
      </c>
      <c r="AF17">
        <v>7.6254000000000002E-2</v>
      </c>
      <c r="AG17">
        <v>8.8833999999999996E-2</v>
      </c>
      <c r="AH17">
        <v>0.67223200000000005</v>
      </c>
      <c r="AI17">
        <v>0.29511999999999999</v>
      </c>
      <c r="AJ17">
        <v>4.9514000000000002E-2</v>
      </c>
      <c r="AK17">
        <v>7.9107999999999998E-2</v>
      </c>
      <c r="AL17" s="14">
        <v>2.9300000000000002E-4</v>
      </c>
      <c r="AM17">
        <v>9.9819999999999996E-3</v>
      </c>
      <c r="AN17" s="14">
        <v>6.6466710000000001E-6</v>
      </c>
      <c r="AO17">
        <v>0</v>
      </c>
      <c r="AP17">
        <v>0</v>
      </c>
      <c r="AQ17">
        <v>0</v>
      </c>
      <c r="AR17" s="14">
        <v>0</v>
      </c>
      <c r="AS17" s="14">
        <v>6.4672999999999994E-2</v>
      </c>
      <c r="AT17">
        <v>6.1425E-2</v>
      </c>
      <c r="AU17">
        <v>1.0028E-2</v>
      </c>
      <c r="AV17">
        <v>0</v>
      </c>
      <c r="AW17" s="5"/>
      <c r="AX17" s="8"/>
      <c r="AY17" s="7"/>
      <c r="AZ17" s="8"/>
      <c r="BA17" s="8"/>
      <c r="BB17" s="8"/>
      <c r="BE17" s="6"/>
      <c r="BF17" s="8"/>
      <c r="BG17" s="5"/>
      <c r="BK17" s="8"/>
      <c r="BL17" s="8"/>
      <c r="BM17" s="8"/>
      <c r="BN17" s="9"/>
      <c r="BO17" s="6"/>
      <c r="BP17" s="6"/>
    </row>
    <row r="18" spans="1:68" x14ac:dyDescent="0.25">
      <c r="A18">
        <v>3</v>
      </c>
      <c r="B18">
        <v>13</v>
      </c>
      <c r="C18">
        <v>15</v>
      </c>
      <c r="D18">
        <v>0</v>
      </c>
      <c r="E18">
        <v>13</v>
      </c>
      <c r="F18">
        <v>58.783656000000001</v>
      </c>
      <c r="G18">
        <v>1499.880645</v>
      </c>
      <c r="H18">
        <v>8.9899999999999995E-4</v>
      </c>
      <c r="I18">
        <v>67.975633000000002</v>
      </c>
      <c r="J18">
        <v>72.268665999999996</v>
      </c>
      <c r="K18">
        <v>467.64010999999999</v>
      </c>
      <c r="L18">
        <v>89.620890000000003</v>
      </c>
      <c r="M18">
        <v>29.1</v>
      </c>
      <c r="N18">
        <v>13.832257999999999</v>
      </c>
      <c r="O18">
        <v>1.1871E-2</v>
      </c>
      <c r="P18">
        <v>0.49504799999999999</v>
      </c>
      <c r="Q18">
        <v>0.96958699999999998</v>
      </c>
      <c r="R18">
        <v>25</v>
      </c>
      <c r="S18">
        <v>-15</v>
      </c>
      <c r="T18">
        <v>-15</v>
      </c>
      <c r="U18">
        <v>1.175</v>
      </c>
      <c r="V18">
        <v>0.87444999999999995</v>
      </c>
      <c r="W18">
        <v>0.85394300000000001</v>
      </c>
      <c r="X18">
        <v>1.0559350000000001</v>
      </c>
      <c r="Y18">
        <v>30</v>
      </c>
      <c r="Z18">
        <v>0</v>
      </c>
      <c r="AA18">
        <v>0</v>
      </c>
      <c r="AB18">
        <v>0</v>
      </c>
      <c r="AC18">
        <v>0.33696599999999999</v>
      </c>
      <c r="AD18">
        <v>2.016667</v>
      </c>
      <c r="AE18" s="14">
        <v>2.599835E-6</v>
      </c>
      <c r="AF18">
        <v>1.8534999999999999E-2</v>
      </c>
      <c r="AG18">
        <v>1.1754000000000001E-2</v>
      </c>
      <c r="AH18">
        <v>0.17216000000000001</v>
      </c>
      <c r="AI18">
        <v>0.38564599999999999</v>
      </c>
      <c r="AJ18" s="14">
        <v>3.6114400000000002E-15</v>
      </c>
      <c r="AK18">
        <v>5.9928000000000002E-2</v>
      </c>
      <c r="AL18" s="14">
        <v>5.5739139999999999E-5</v>
      </c>
      <c r="AM18">
        <v>2.395E-3</v>
      </c>
      <c r="AN18" s="14">
        <v>6.1397720000000001E-6</v>
      </c>
      <c r="AO18">
        <v>0</v>
      </c>
      <c r="AP18">
        <v>0</v>
      </c>
      <c r="AQ18">
        <v>0</v>
      </c>
      <c r="AR18" s="14">
        <v>0</v>
      </c>
      <c r="AS18">
        <v>4.8432999999999997E-2</v>
      </c>
      <c r="AT18">
        <v>1.8627999999999999E-2</v>
      </c>
      <c r="AU18">
        <v>1.7650000000000001E-3</v>
      </c>
      <c r="AV18">
        <v>0</v>
      </c>
    </row>
    <row r="19" spans="1:68" x14ac:dyDescent="0.25">
      <c r="A19">
        <v>3</v>
      </c>
      <c r="B19">
        <v>14</v>
      </c>
      <c r="C19">
        <v>15</v>
      </c>
      <c r="D19">
        <v>0</v>
      </c>
      <c r="E19">
        <v>14</v>
      </c>
      <c r="F19">
        <v>60.330753000000001</v>
      </c>
      <c r="G19">
        <v>1499.1387099999999</v>
      </c>
      <c r="H19">
        <v>9.4300000000000004E-4</v>
      </c>
      <c r="I19">
        <v>68.135278</v>
      </c>
      <c r="J19">
        <v>72.606570000000005</v>
      </c>
      <c r="K19">
        <v>471.26856099999998</v>
      </c>
      <c r="L19">
        <v>89.873800000000003</v>
      </c>
      <c r="M19">
        <v>29.154838999999999</v>
      </c>
      <c r="N19">
        <v>13.929031999999999</v>
      </c>
      <c r="O19">
        <v>1.2288E-2</v>
      </c>
      <c r="P19">
        <v>0.51486200000000004</v>
      </c>
      <c r="Q19">
        <v>0.96959399999999996</v>
      </c>
      <c r="R19">
        <v>40</v>
      </c>
      <c r="S19">
        <v>-14</v>
      </c>
      <c r="T19">
        <v>-14</v>
      </c>
      <c r="U19">
        <v>1.19</v>
      </c>
      <c r="V19">
        <v>0.83298799999999995</v>
      </c>
      <c r="W19">
        <v>0.79786800000000002</v>
      </c>
      <c r="X19">
        <v>1.04518</v>
      </c>
      <c r="Y19">
        <v>30</v>
      </c>
      <c r="Z19">
        <v>0</v>
      </c>
      <c r="AA19">
        <v>0</v>
      </c>
      <c r="AB19">
        <v>0</v>
      </c>
      <c r="AC19">
        <v>0.26876800000000001</v>
      </c>
      <c r="AD19">
        <v>2.1190690000000001</v>
      </c>
      <c r="AE19" s="14">
        <v>2.044137E-6</v>
      </c>
      <c r="AF19">
        <v>4.0806000000000002E-2</v>
      </c>
      <c r="AG19">
        <v>4.9181000000000002E-2</v>
      </c>
      <c r="AH19">
        <v>0.191859</v>
      </c>
      <c r="AI19">
        <v>0.29569200000000001</v>
      </c>
      <c r="AJ19">
        <v>5.0588000000000001E-2</v>
      </c>
      <c r="AK19">
        <v>0.141877</v>
      </c>
      <c r="AL19" s="14">
        <v>3.5288079999999997E-5</v>
      </c>
      <c r="AM19">
        <v>2.2590000000000002E-3</v>
      </c>
      <c r="AN19" s="14">
        <v>8.7524740000000002E-6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1.2118E-2</v>
      </c>
      <c r="AU19">
        <v>3.9500000000000001E-4</v>
      </c>
      <c r="AV19">
        <v>0</v>
      </c>
    </row>
    <row r="22" spans="1:68" x14ac:dyDescent="0.25">
      <c r="C22" t="s">
        <v>33</v>
      </c>
      <c r="D22" t="s">
        <v>34</v>
      </c>
      <c r="E22" t="s">
        <v>35</v>
      </c>
      <c r="F22" t="s">
        <v>36</v>
      </c>
      <c r="G22" t="s">
        <v>182</v>
      </c>
      <c r="H22" t="s">
        <v>38</v>
      </c>
      <c r="I22" t="s">
        <v>37</v>
      </c>
    </row>
    <row r="23" spans="1:68" x14ac:dyDescent="0.25">
      <c r="C23" t="s">
        <v>39</v>
      </c>
      <c r="D23" t="s">
        <v>40</v>
      </c>
      <c r="E23" t="s">
        <v>41</v>
      </c>
      <c r="F23" t="s">
        <v>42</v>
      </c>
      <c r="G23" t="s">
        <v>40</v>
      </c>
      <c r="H23" t="s">
        <v>44</v>
      </c>
      <c r="I23" t="s">
        <v>43</v>
      </c>
    </row>
    <row r="24" spans="1:68" x14ac:dyDescent="0.25">
      <c r="C24" t="s">
        <v>45</v>
      </c>
      <c r="D24" t="s">
        <v>183</v>
      </c>
      <c r="E24" t="s">
        <v>46</v>
      </c>
      <c r="F24" t="s">
        <v>46</v>
      </c>
      <c r="G24" t="s">
        <v>47</v>
      </c>
      <c r="H24" t="s">
        <v>45</v>
      </c>
    </row>
    <row r="25" spans="1:68" x14ac:dyDescent="0.25">
      <c r="A25">
        <v>1</v>
      </c>
      <c r="B25">
        <v>1</v>
      </c>
      <c r="C25">
        <v>10.5</v>
      </c>
      <c r="D25">
        <f>11750/10000</f>
        <v>1.175</v>
      </c>
      <c r="E25">
        <v>2150</v>
      </c>
      <c r="F25">
        <v>-8.3000000000000007</v>
      </c>
      <c r="G25">
        <v>84.9</v>
      </c>
      <c r="H25">
        <v>0.3</v>
      </c>
      <c r="I25">
        <v>1180</v>
      </c>
    </row>
    <row r="26" spans="1:68" x14ac:dyDescent="0.25">
      <c r="A26">
        <v>1</v>
      </c>
      <c r="B26">
        <v>2</v>
      </c>
      <c r="C26" s="15">
        <v>10.75</v>
      </c>
      <c r="D26">
        <f>5850/10000</f>
        <v>0.58499999999999996</v>
      </c>
      <c r="E26">
        <v>1920</v>
      </c>
      <c r="F26">
        <v>-9.6999999999999993</v>
      </c>
      <c r="G26">
        <v>80.900000000000006</v>
      </c>
      <c r="H26">
        <v>0.5</v>
      </c>
      <c r="I26">
        <v>1020</v>
      </c>
    </row>
    <row r="27" spans="1:68" x14ac:dyDescent="0.25">
      <c r="A27">
        <v>1</v>
      </c>
      <c r="B27">
        <v>3</v>
      </c>
      <c r="C27">
        <v>10.8</v>
      </c>
      <c r="D27">
        <f>540/10000</f>
        <v>5.3999999999999999E-2</v>
      </c>
      <c r="E27">
        <v>2250</v>
      </c>
      <c r="F27">
        <v>-6.4</v>
      </c>
      <c r="G27">
        <v>71.8</v>
      </c>
      <c r="H27">
        <v>1.1000000000000001</v>
      </c>
      <c r="I27">
        <v>864</v>
      </c>
    </row>
    <row r="28" spans="1:68" x14ac:dyDescent="0.25">
      <c r="A28">
        <v>1</v>
      </c>
      <c r="B28">
        <v>4</v>
      </c>
      <c r="C28">
        <v>7.12</v>
      </c>
      <c r="D28">
        <f>520/10000</f>
        <v>5.1999999999999998E-2</v>
      </c>
      <c r="E28">
        <v>106</v>
      </c>
      <c r="F28">
        <v>5</v>
      </c>
      <c r="G28">
        <v>93.5</v>
      </c>
      <c r="H28">
        <v>7.25</v>
      </c>
      <c r="I28">
        <v>1216</v>
      </c>
    </row>
    <row r="29" spans="1:68" x14ac:dyDescent="0.25">
      <c r="A29">
        <v>2</v>
      </c>
      <c r="B29">
        <v>5</v>
      </c>
      <c r="C29">
        <v>10.42</v>
      </c>
      <c r="D29">
        <v>6.0999999999999999E-2</v>
      </c>
      <c r="E29">
        <v>950</v>
      </c>
      <c r="F29">
        <v>1.6</v>
      </c>
      <c r="G29">
        <v>68.3</v>
      </c>
      <c r="H29">
        <v>1.7</v>
      </c>
      <c r="I29">
        <v>779</v>
      </c>
    </row>
    <row r="30" spans="1:68" x14ac:dyDescent="0.25">
      <c r="A30">
        <v>2</v>
      </c>
      <c r="B30">
        <v>6</v>
      </c>
      <c r="C30">
        <v>10.3</v>
      </c>
      <c r="D30">
        <v>0.05</v>
      </c>
      <c r="E30">
        <v>2200</v>
      </c>
      <c r="F30">
        <v>5.6</v>
      </c>
      <c r="G30">
        <v>73.3</v>
      </c>
      <c r="H30">
        <v>1.9</v>
      </c>
      <c r="I30">
        <v>833</v>
      </c>
    </row>
    <row r="31" spans="1:68" x14ac:dyDescent="0.25">
      <c r="A31">
        <v>2</v>
      </c>
      <c r="B31">
        <v>7</v>
      </c>
      <c r="C31">
        <v>10.44</v>
      </c>
      <c r="D31">
        <v>0.04</v>
      </c>
      <c r="E31">
        <v>3200</v>
      </c>
      <c r="F31">
        <v>5.4</v>
      </c>
      <c r="G31">
        <v>60.8</v>
      </c>
      <c r="H31">
        <v>1.7</v>
      </c>
      <c r="I31">
        <v>632</v>
      </c>
    </row>
    <row r="32" spans="1:68" x14ac:dyDescent="0.25">
      <c r="A32">
        <v>2</v>
      </c>
      <c r="B32">
        <v>8</v>
      </c>
      <c r="C32">
        <v>10.47</v>
      </c>
      <c r="D32">
        <v>3.9E-2</v>
      </c>
      <c r="E32">
        <v>3800</v>
      </c>
      <c r="F32">
        <v>4.9000000000000004</v>
      </c>
      <c r="G32">
        <v>53.1</v>
      </c>
      <c r="H32">
        <v>1.5</v>
      </c>
      <c r="I32">
        <v>525</v>
      </c>
    </row>
    <row r="33" spans="1:35" x14ac:dyDescent="0.25">
      <c r="A33">
        <v>3</v>
      </c>
      <c r="B33" s="12" t="s">
        <v>184</v>
      </c>
      <c r="C33">
        <v>10.69</v>
      </c>
      <c r="D33">
        <f>537.5/10000</f>
        <v>5.3749999999999999E-2</v>
      </c>
      <c r="E33">
        <v>1999</v>
      </c>
      <c r="F33">
        <v>5.5</v>
      </c>
      <c r="G33">
        <v>57.174999999999997</v>
      </c>
      <c r="H33">
        <v>1.2</v>
      </c>
      <c r="I33" s="17">
        <v>670.52499999999998</v>
      </c>
    </row>
    <row r="34" spans="1:35" x14ac:dyDescent="0.25">
      <c r="A34">
        <v>3</v>
      </c>
      <c r="B34" s="12" t="s">
        <v>185</v>
      </c>
      <c r="C34">
        <v>10.53</v>
      </c>
      <c r="D34">
        <f>512.5/10000</f>
        <v>5.1249999999999997E-2</v>
      </c>
      <c r="E34">
        <v>2439</v>
      </c>
      <c r="F34">
        <v>11.68</v>
      </c>
      <c r="G34">
        <v>69.099999999999994</v>
      </c>
      <c r="H34">
        <v>1.6</v>
      </c>
      <c r="I34">
        <v>833.85</v>
      </c>
    </row>
    <row r="35" spans="1:35" x14ac:dyDescent="0.25">
      <c r="A35">
        <v>3</v>
      </c>
      <c r="B35">
        <v>11</v>
      </c>
      <c r="C35">
        <v>10.7</v>
      </c>
      <c r="D35">
        <f>557.5/10000</f>
        <v>5.5750000000000001E-2</v>
      </c>
      <c r="E35">
        <v>2218</v>
      </c>
      <c r="F35">
        <v>5.18</v>
      </c>
      <c r="G35">
        <v>75.125</v>
      </c>
      <c r="H35">
        <v>1.2</v>
      </c>
      <c r="I35">
        <v>932.75</v>
      </c>
    </row>
    <row r="36" spans="1:35" x14ac:dyDescent="0.25">
      <c r="A36">
        <v>3</v>
      </c>
      <c r="B36">
        <v>12</v>
      </c>
      <c r="C36">
        <v>10.47</v>
      </c>
      <c r="D36">
        <f>495/10000</f>
        <v>4.9500000000000002E-2</v>
      </c>
      <c r="E36">
        <v>1006</v>
      </c>
      <c r="F36">
        <v>7.08</v>
      </c>
      <c r="G36">
        <v>58.024999999999999</v>
      </c>
      <c r="H36">
        <v>1.75</v>
      </c>
      <c r="I36">
        <v>709.77499999999998</v>
      </c>
    </row>
    <row r="37" spans="1:35" x14ac:dyDescent="0.25">
      <c r="A37">
        <v>3</v>
      </c>
      <c r="B37">
        <v>13</v>
      </c>
      <c r="C37">
        <v>10.52</v>
      </c>
      <c r="D37">
        <f>540/10000</f>
        <v>5.3999999999999999E-2</v>
      </c>
      <c r="E37">
        <v>2195</v>
      </c>
      <c r="F37">
        <v>9.98</v>
      </c>
      <c r="G37">
        <v>70.125</v>
      </c>
      <c r="H37">
        <v>1.55</v>
      </c>
      <c r="I37">
        <v>853.2</v>
      </c>
    </row>
    <row r="38" spans="1:35" x14ac:dyDescent="0.25">
      <c r="A38">
        <v>3</v>
      </c>
      <c r="B38">
        <v>14</v>
      </c>
      <c r="C38">
        <v>10.67</v>
      </c>
      <c r="D38">
        <f>532.5/10000</f>
        <v>5.3249999999999999E-2</v>
      </c>
      <c r="E38">
        <v>2976</v>
      </c>
      <c r="F38">
        <v>10.98</v>
      </c>
      <c r="G38">
        <v>66.974999999999994</v>
      </c>
      <c r="H38">
        <v>1.3</v>
      </c>
      <c r="I38">
        <v>813.85</v>
      </c>
    </row>
    <row r="42" spans="1:35" x14ac:dyDescent="0.25">
      <c r="B42" t="s">
        <v>87</v>
      </c>
      <c r="I42" s="11">
        <v>0.71099999999999997</v>
      </c>
      <c r="J42" t="s">
        <v>88</v>
      </c>
    </row>
    <row r="43" spans="1:35" ht="18" x14ac:dyDescent="0.35">
      <c r="B43" t="s">
        <v>57</v>
      </c>
      <c r="H43" t="s">
        <v>58</v>
      </c>
      <c r="I43" s="13">
        <v>17.12</v>
      </c>
      <c r="J43" t="s">
        <v>29</v>
      </c>
      <c r="M43" t="s">
        <v>59</v>
      </c>
      <c r="N43" t="s">
        <v>60</v>
      </c>
      <c r="O43" t="s">
        <v>61</v>
      </c>
      <c r="P43" t="s">
        <v>86</v>
      </c>
      <c r="Q43" s="10" t="s">
        <v>62</v>
      </c>
      <c r="R43" s="10" t="s">
        <v>85</v>
      </c>
      <c r="S43" t="s">
        <v>63</v>
      </c>
      <c r="T43" t="s">
        <v>64</v>
      </c>
    </row>
    <row r="44" spans="1:35" x14ac:dyDescent="0.25">
      <c r="B44" t="s">
        <v>65</v>
      </c>
      <c r="H44" t="s">
        <v>66</v>
      </c>
      <c r="I44" s="11">
        <v>43</v>
      </c>
      <c r="J44" t="s">
        <v>67</v>
      </c>
      <c r="M44" t="s">
        <v>68</v>
      </c>
      <c r="N44" t="s">
        <v>68</v>
      </c>
      <c r="O44" t="s">
        <v>68</v>
      </c>
      <c r="P44" t="s">
        <v>68</v>
      </c>
      <c r="Q44" t="s">
        <v>68</v>
      </c>
      <c r="R44" t="s">
        <v>68</v>
      </c>
      <c r="S44" t="s">
        <v>68</v>
      </c>
      <c r="T44" t="s">
        <v>68</v>
      </c>
    </row>
    <row r="45" spans="1:35" x14ac:dyDescent="0.25">
      <c r="B45" t="s">
        <v>69</v>
      </c>
      <c r="H45" t="s">
        <v>70</v>
      </c>
      <c r="I45" s="11">
        <v>4</v>
      </c>
      <c r="J45" t="s">
        <v>29</v>
      </c>
      <c r="M45" s="12">
        <v>18.015000000000001</v>
      </c>
      <c r="N45" s="12">
        <v>28.01</v>
      </c>
      <c r="O45" s="12">
        <v>44.009</v>
      </c>
      <c r="P45" s="12">
        <v>16.042999999999999</v>
      </c>
      <c r="Q45" s="12">
        <v>30.006</v>
      </c>
      <c r="R45" s="12">
        <v>46.005000000000003</v>
      </c>
      <c r="S45" s="12">
        <v>32</v>
      </c>
      <c r="T45" s="12">
        <v>28.01</v>
      </c>
    </row>
    <row r="46" spans="1:35" x14ac:dyDescent="0.25">
      <c r="B46" t="s">
        <v>71</v>
      </c>
      <c r="I46" s="11">
        <v>0</v>
      </c>
      <c r="J46" t="s">
        <v>29</v>
      </c>
    </row>
    <row r="47" spans="1:35" x14ac:dyDescent="0.25">
      <c r="I47" s="11"/>
    </row>
    <row r="48" spans="1:35" ht="18" x14ac:dyDescent="0.35">
      <c r="A48" t="s">
        <v>100</v>
      </c>
      <c r="B48" t="s">
        <v>48</v>
      </c>
      <c r="C48" t="s">
        <v>50</v>
      </c>
      <c r="D48" t="s">
        <v>51</v>
      </c>
      <c r="E48" t="s">
        <v>52</v>
      </c>
      <c r="F48" t="s">
        <v>53</v>
      </c>
      <c r="G48" t="s">
        <v>54</v>
      </c>
      <c r="H48" t="s">
        <v>55</v>
      </c>
      <c r="I48" t="s">
        <v>72</v>
      </c>
      <c r="J48" t="s">
        <v>73</v>
      </c>
      <c r="K48" t="s">
        <v>74</v>
      </c>
      <c r="L48" t="s">
        <v>79</v>
      </c>
      <c r="M48" t="s">
        <v>80</v>
      </c>
      <c r="N48" t="s">
        <v>38</v>
      </c>
      <c r="O48" t="s">
        <v>75</v>
      </c>
      <c r="P48" t="s">
        <v>81</v>
      </c>
      <c r="Q48" t="s">
        <v>82</v>
      </c>
      <c r="R48" t="s">
        <v>83</v>
      </c>
      <c r="S48" t="s">
        <v>89</v>
      </c>
      <c r="T48" t="s">
        <v>95</v>
      </c>
      <c r="U48" t="s">
        <v>90</v>
      </c>
      <c r="V48" t="s">
        <v>91</v>
      </c>
      <c r="W48" t="s">
        <v>92</v>
      </c>
      <c r="X48" t="s">
        <v>97</v>
      </c>
      <c r="Z48" t="s">
        <v>96</v>
      </c>
      <c r="AA48" t="s">
        <v>93</v>
      </c>
      <c r="AB48" t="s">
        <v>89</v>
      </c>
      <c r="AC48" t="s">
        <v>95</v>
      </c>
      <c r="AD48" t="s">
        <v>90</v>
      </c>
      <c r="AE48" t="s">
        <v>91</v>
      </c>
      <c r="AF48" t="s">
        <v>92</v>
      </c>
      <c r="AG48" t="s">
        <v>97</v>
      </c>
      <c r="AH48" t="s">
        <v>96</v>
      </c>
      <c r="AI48" t="s">
        <v>93</v>
      </c>
    </row>
    <row r="49" spans="1:35" x14ac:dyDescent="0.25">
      <c r="A49" t="s">
        <v>101</v>
      </c>
      <c r="B49" t="s">
        <v>49</v>
      </c>
      <c r="C49" t="s">
        <v>49</v>
      </c>
      <c r="H49" t="s">
        <v>56</v>
      </c>
      <c r="I49" t="s">
        <v>76</v>
      </c>
      <c r="J49" t="s">
        <v>76</v>
      </c>
      <c r="K49" t="s">
        <v>77</v>
      </c>
      <c r="L49" t="s">
        <v>78</v>
      </c>
      <c r="M49" t="s">
        <v>78</v>
      </c>
      <c r="N49" t="s">
        <v>76</v>
      </c>
      <c r="O49" t="s">
        <v>76</v>
      </c>
      <c r="P49" t="s">
        <v>68</v>
      </c>
      <c r="Q49" t="s">
        <v>84</v>
      </c>
      <c r="R49" t="s">
        <v>28</v>
      </c>
      <c r="S49" t="s">
        <v>28</v>
      </c>
      <c r="T49" t="s">
        <v>28</v>
      </c>
      <c r="U49" t="s">
        <v>28</v>
      </c>
      <c r="V49" t="s">
        <v>94</v>
      </c>
      <c r="W49" t="s">
        <v>28</v>
      </c>
      <c r="X49" t="s">
        <v>94</v>
      </c>
      <c r="Z49" t="s">
        <v>94</v>
      </c>
      <c r="AA49" t="s">
        <v>28</v>
      </c>
      <c r="AB49" t="s">
        <v>99</v>
      </c>
      <c r="AC49" t="s">
        <v>98</v>
      </c>
      <c r="AD49" t="s">
        <v>99</v>
      </c>
      <c r="AE49" t="s">
        <v>98</v>
      </c>
      <c r="AF49" t="s">
        <v>98</v>
      </c>
      <c r="AG49" t="s">
        <v>98</v>
      </c>
      <c r="AH49" t="s">
        <v>98</v>
      </c>
      <c r="AI49" t="s">
        <v>99</v>
      </c>
    </row>
    <row r="50" spans="1:35" x14ac:dyDescent="0.25">
      <c r="A50" s="5">
        <f t="shared" ref="A50:A57" si="0">ABS(F6*G6/60*2*PI()/1000)</f>
        <v>9.6298525921766007</v>
      </c>
      <c r="B50">
        <f t="shared" ref="B50:B57" si="1">EXP(-6096.9385/(M6+273.15)+21.2409642-2.711193*10^(-2)*(M6+273.15)+1.673952*10^(-5)*(M6+273.15)^2+2.433502*LN(M6+273.15))*N6/(Q6*100000)/100</f>
        <v>5.4652331257931267E-3</v>
      </c>
      <c r="C50">
        <f>B50/(1-B50)</f>
        <v>5.4952660357668456E-3</v>
      </c>
      <c r="D50">
        <f t="shared" ref="D50:D57" si="2">C25/100+D25/100+G25/1000000</f>
        <v>0.11683489999999999</v>
      </c>
      <c r="E50">
        <f t="shared" ref="E50:E57" si="3">1/(1-1/2*(D25/100-$I$45/2*D50-F25/1000000))</f>
        <v>0.90012586009838824</v>
      </c>
      <c r="F50">
        <f>$I$45/2*D50+C50/E50</f>
        <v>0.23977479740021487</v>
      </c>
      <c r="G50">
        <f>F50/(1+F50)</f>
        <v>0.19340189678239811</v>
      </c>
      <c r="H50" s="9">
        <f>G50*100</f>
        <v>19.34018967823981</v>
      </c>
      <c r="I50" s="8">
        <f t="shared" ref="I50:I57" si="4">D25*(1-G50)</f>
        <v>0.94775277128068236</v>
      </c>
      <c r="J50" s="9">
        <f t="shared" ref="J50:J57" si="5">C25*(1-G50)</f>
        <v>8.4692800837848203</v>
      </c>
      <c r="K50" s="6">
        <f t="shared" ref="K50:K57" si="6">G25</f>
        <v>84.9</v>
      </c>
      <c r="L50" s="6">
        <f t="shared" ref="L50:L57" si="7">E25*(1-G50)</f>
        <v>1734.1859219178441</v>
      </c>
      <c r="M50" s="6">
        <f t="shared" ref="M50:M57" si="8">F25*(1-G50)</f>
        <v>-6.6947642567060965</v>
      </c>
      <c r="N50" s="9">
        <f t="shared" ref="N50:N57" si="9">H25*(1-G50)</f>
        <v>0.24197943096528057</v>
      </c>
      <c r="O50" s="9">
        <f>100-H50-I50-J50-K50/10000-L50/10000-M50/10000-N50</f>
        <v>70.819558919963299</v>
      </c>
      <c r="P50">
        <f>H50/100*($M$45)+I50/100*$N$45+J50/100*$O$45+L50/1000000*$Q$45+K50/1000000*$P$45+N50/100*$S$45+O50/100*$T$45-M50/1000000*$R$45</f>
        <v>27.444544091336791</v>
      </c>
      <c r="Q50">
        <f>8.314459848/P50*1000</f>
        <v>302.95492686375366</v>
      </c>
      <c r="R50" s="9">
        <f t="shared" ref="R50:R57" si="10">$I$42*H6*3600+O6*3600</f>
        <v>45.069606</v>
      </c>
      <c r="S50" s="9">
        <f>H50/100*$M$45/P50*R50</f>
        <v>5.7216690816270059</v>
      </c>
      <c r="T50" s="8">
        <f>I50/100*$N$45/P50*R50</f>
        <v>0.43594922768432487</v>
      </c>
      <c r="U50" s="9">
        <f>J50/100*$O$45/P50*R50</f>
        <v>6.1209063751448713</v>
      </c>
      <c r="V50" s="9">
        <f t="shared" ref="V50:V57" si="11">K50/1000000*$P$45/P50*R50*1000</f>
        <v>2.2367683790528621</v>
      </c>
      <c r="W50" s="9">
        <f t="shared" ref="W50:W57" si="12">N50/100*$S$45/P50*R50</f>
        <v>0.12716165459963441</v>
      </c>
      <c r="X50" s="9">
        <f t="shared" ref="X50:X57" si="13">L50/1000000*$Q$45/P50*R50*1000</f>
        <v>85.453824031466183</v>
      </c>
      <c r="Y50" s="9"/>
      <c r="Z50" s="9">
        <f t="shared" ref="Z50:Z57" si="14">M50/1000000*$R$45/P50*R50*1000</f>
        <v>-0.50578746807089914</v>
      </c>
      <c r="AA50" s="9">
        <f t="shared" ref="AA50:AA57" si="15">O50/100*$T$45/P50*R50</f>
        <v>32.575723281065571</v>
      </c>
      <c r="AB50" s="8">
        <f t="shared" ref="AB50:AB57" si="16">S50/A50</f>
        <v>0.59415957065379732</v>
      </c>
      <c r="AC50" s="8">
        <f t="shared" ref="AC50:AC57" si="17">T50/A50*1000</f>
        <v>45.270602380611187</v>
      </c>
      <c r="AD50" s="8">
        <f t="shared" ref="AD50:AD57" si="18">U50/A50</f>
        <v>0.63561786814032473</v>
      </c>
      <c r="AE50" s="8">
        <f t="shared" ref="AE50:AE57" si="19">V50/A50</f>
        <v>0.23227441517329533</v>
      </c>
      <c r="AF50" s="8">
        <f t="shared" ref="AF50:AF57" si="20">W50/A50*1000</f>
        <v>13.20494300223681</v>
      </c>
      <c r="AG50" s="8">
        <f t="shared" ref="AG50:AG57" si="21">X50/A50</f>
        <v>8.8738454938437812</v>
      </c>
      <c r="AH50" s="8">
        <f t="shared" ref="AH50:AH57" si="22">Z50/A50</f>
        <v>-5.2522867118631335E-2</v>
      </c>
      <c r="AI50" s="8">
        <f t="shared" ref="AI50:AI57" si="23">AA50/A50</f>
        <v>3.3827852471522202</v>
      </c>
    </row>
    <row r="51" spans="1:35" x14ac:dyDescent="0.25">
      <c r="A51" s="5">
        <f t="shared" si="0"/>
        <v>9.6159994501599328</v>
      </c>
      <c r="B51">
        <f t="shared" si="1"/>
        <v>5.5563973200319647E-3</v>
      </c>
      <c r="C51">
        <f t="shared" ref="C51:C57" si="24">B51/(1-B51)</f>
        <v>5.5874433754290291E-3</v>
      </c>
      <c r="D51">
        <f t="shared" si="2"/>
        <v>0.11343089999999999</v>
      </c>
      <c r="E51">
        <f t="shared" si="3"/>
        <v>0.90049442096430266</v>
      </c>
      <c r="F51">
        <f t="shared" ref="F51:F57" si="25">$I$45/2*D51+C51/E51</f>
        <v>0.23306666173522944</v>
      </c>
      <c r="G51">
        <f t="shared" ref="G51:G57" si="26">F51/(1+F51)</f>
        <v>0.1890138375870507</v>
      </c>
      <c r="H51" s="9">
        <f t="shared" ref="H51:H57" si="27">G51*100</f>
        <v>18.901383758705069</v>
      </c>
      <c r="I51" s="8">
        <f t="shared" si="4"/>
        <v>0.47442690501157531</v>
      </c>
      <c r="J51" s="9">
        <f t="shared" si="5"/>
        <v>8.7181012459392058</v>
      </c>
      <c r="K51" s="6">
        <f t="shared" si="6"/>
        <v>80.900000000000006</v>
      </c>
      <c r="L51" s="6">
        <f t="shared" si="7"/>
        <v>1557.0934318328627</v>
      </c>
      <c r="M51" s="6">
        <f t="shared" si="8"/>
        <v>-7.8665657754056078</v>
      </c>
      <c r="N51" s="9">
        <f t="shared" si="9"/>
        <v>0.40549308120647465</v>
      </c>
      <c r="O51" s="9">
        <f t="shared" ref="O51:O57" si="28">100-H51-I51-J51-K51/10000-L51/10000-M51/10000-N51</f>
        <v>71.337582322531944</v>
      </c>
      <c r="P51">
        <f t="shared" ref="P51:P57" si="29">H51/100*($M$45)+I51/100*$N$45+J51/100*$O$45+L51/1000000*$Q$45+K51/1000000*$P$45+N51/100*$S$45+O51/100*$T$45-M51/1000000*$R$45</f>
        <v>27.534516957651192</v>
      </c>
      <c r="Q51">
        <f t="shared" ref="Q51:Q57" si="30">8.314459848/P51*1000</f>
        <v>301.96497947604661</v>
      </c>
      <c r="R51" s="9">
        <f t="shared" si="10"/>
        <v>44.749141200000004</v>
      </c>
      <c r="S51" s="9">
        <f t="shared" ref="S51:S57" si="31">H51/100*$M$45/P51*R51</f>
        <v>5.5339484496068181</v>
      </c>
      <c r="T51" s="8">
        <f t="shared" ref="T51:T57" si="32">I51/100*$N$45/P51*R51</f>
        <v>0.21596812706051424</v>
      </c>
      <c r="U51" s="9">
        <f t="shared" ref="U51:U57" si="33">J51/100*$O$45/P51*R51</f>
        <v>6.2354909275940127</v>
      </c>
      <c r="V51" s="9">
        <f t="shared" si="11"/>
        <v>2.1093145485754992</v>
      </c>
      <c r="W51" s="9">
        <f t="shared" si="12"/>
        <v>0.21088256226977714</v>
      </c>
      <c r="X51" s="9">
        <f t="shared" si="13"/>
        <v>75.932905961603211</v>
      </c>
      <c r="Y51" s="9"/>
      <c r="Z51" s="9">
        <f t="shared" si="14"/>
        <v>-0.58816266930652905</v>
      </c>
      <c r="AA51" s="9">
        <f t="shared" si="15"/>
        <v>32.474220750289398</v>
      </c>
      <c r="AB51" s="8">
        <f t="shared" si="16"/>
        <v>0.57549384006202053</v>
      </c>
      <c r="AC51" s="8">
        <f t="shared" si="17"/>
        <v>22.459249106646141</v>
      </c>
      <c r="AD51" s="8">
        <f t="shared" si="18"/>
        <v>0.64844959277637071</v>
      </c>
      <c r="AE51" s="8">
        <f t="shared" si="19"/>
        <v>0.21935468689533016</v>
      </c>
      <c r="AF51" s="8">
        <f t="shared" si="20"/>
        <v>21.930384185522158</v>
      </c>
      <c r="AG51" s="8">
        <f t="shared" si="21"/>
        <v>7.8965172944493354</v>
      </c>
      <c r="AH51" s="8">
        <f t="shared" si="22"/>
        <v>-6.1165006545081155E-2</v>
      </c>
      <c r="AI51" s="8">
        <f t="shared" si="23"/>
        <v>3.3771030165511591</v>
      </c>
    </row>
    <row r="52" spans="1:35" x14ac:dyDescent="0.25">
      <c r="A52" s="5">
        <f t="shared" si="0"/>
        <v>9.175453421044006</v>
      </c>
      <c r="B52">
        <f t="shared" si="1"/>
        <v>5.4558762361365011E-3</v>
      </c>
      <c r="C52">
        <f t="shared" si="24"/>
        <v>5.4858061153573315E-3</v>
      </c>
      <c r="D52">
        <f t="shared" si="2"/>
        <v>0.10861180000000001</v>
      </c>
      <c r="E52">
        <f t="shared" si="3"/>
        <v>0.90225135170786264</v>
      </c>
      <c r="F52">
        <f t="shared" si="25"/>
        <v>0.22330373066976661</v>
      </c>
      <c r="G52">
        <f t="shared" si="26"/>
        <v>0.18254152674537044</v>
      </c>
      <c r="H52" s="9">
        <f t="shared" si="27"/>
        <v>18.254152674537043</v>
      </c>
      <c r="I52" s="8">
        <f t="shared" si="4"/>
        <v>4.4142757555749992E-2</v>
      </c>
      <c r="J52" s="9">
        <f t="shared" si="5"/>
        <v>8.8285515111499997</v>
      </c>
      <c r="K52" s="6">
        <f t="shared" si="6"/>
        <v>71.8</v>
      </c>
      <c r="L52" s="6">
        <f t="shared" si="7"/>
        <v>1839.2815648229164</v>
      </c>
      <c r="M52" s="6">
        <f t="shared" si="8"/>
        <v>-5.2317342288296294</v>
      </c>
      <c r="N52" s="9">
        <f t="shared" si="9"/>
        <v>0.89920432058009248</v>
      </c>
      <c r="O52" s="9">
        <f t="shared" si="28"/>
        <v>71.783363753117698</v>
      </c>
      <c r="P52">
        <f t="shared" si="29"/>
        <v>27.637054851052387</v>
      </c>
      <c r="Q52">
        <f t="shared" si="30"/>
        <v>300.844641109919</v>
      </c>
      <c r="R52" s="9">
        <f t="shared" si="10"/>
        <v>44.2493208</v>
      </c>
      <c r="S52" s="9">
        <f t="shared" si="31"/>
        <v>5.2651505464628539</v>
      </c>
      <c r="T52" s="8">
        <f t="shared" si="32"/>
        <v>1.9796454538130937E-2</v>
      </c>
      <c r="U52" s="9">
        <f t="shared" si="33"/>
        <v>6.2207937720000324</v>
      </c>
      <c r="V52" s="9">
        <f t="shared" si="11"/>
        <v>1.8442715898194564</v>
      </c>
      <c r="W52" s="9">
        <f t="shared" si="12"/>
        <v>0.46070530349095495</v>
      </c>
      <c r="X52" s="9">
        <f t="shared" si="13"/>
        <v>88.363146327376654</v>
      </c>
      <c r="Y52" s="9"/>
      <c r="Z52" s="9">
        <f t="shared" si="14"/>
        <v>-0.38535904522002512</v>
      </c>
      <c r="AA52" s="9">
        <f t="shared" si="15"/>
        <v>32.192281946545613</v>
      </c>
      <c r="AB52" s="8">
        <f t="shared" si="16"/>
        <v>0.57383001197381389</v>
      </c>
      <c r="AC52" s="8">
        <f t="shared" si="17"/>
        <v>2.1575450966518499</v>
      </c>
      <c r="AD52" s="8">
        <f t="shared" si="18"/>
        <v>0.67798216464513583</v>
      </c>
      <c r="AE52" s="8">
        <f t="shared" si="19"/>
        <v>0.20100059421473371</v>
      </c>
      <c r="AF52" s="8">
        <f t="shared" si="20"/>
        <v>50.210630728539492</v>
      </c>
      <c r="AG52" s="8">
        <f t="shared" si="21"/>
        <v>9.6303847093501425</v>
      </c>
      <c r="AH52" s="8">
        <f t="shared" si="22"/>
        <v>-4.1998910303026528E-2</v>
      </c>
      <c r="AI52" s="8">
        <f t="shared" si="23"/>
        <v>3.508522191689432</v>
      </c>
    </row>
    <row r="53" spans="1:35" x14ac:dyDescent="0.25">
      <c r="A53" s="5">
        <f t="shared" si="0"/>
        <v>10.216471356044083</v>
      </c>
      <c r="B53">
        <f t="shared" si="1"/>
        <v>5.4711637376533943E-3</v>
      </c>
      <c r="C53">
        <f t="shared" si="24"/>
        <v>5.5012620430546846E-3</v>
      </c>
      <c r="D53">
        <f t="shared" si="2"/>
        <v>7.1813500000000002E-2</v>
      </c>
      <c r="E53">
        <f t="shared" si="3"/>
        <v>0.93322234208944754</v>
      </c>
      <c r="F53">
        <f t="shared" si="25"/>
        <v>0.1495219103498075</v>
      </c>
      <c r="G53">
        <f t="shared" si="26"/>
        <v>0.13007312779650015</v>
      </c>
      <c r="H53" s="9">
        <f t="shared" si="27"/>
        <v>13.007312779650015</v>
      </c>
      <c r="I53" s="8">
        <f t="shared" si="4"/>
        <v>4.5236197354581988E-2</v>
      </c>
      <c r="J53" s="9">
        <f t="shared" si="5"/>
        <v>6.1938793300889188</v>
      </c>
      <c r="K53" s="6">
        <f t="shared" si="6"/>
        <v>93.5</v>
      </c>
      <c r="L53" s="6">
        <f t="shared" si="7"/>
        <v>92.212248453570979</v>
      </c>
      <c r="M53" s="6">
        <f t="shared" si="8"/>
        <v>4.3496343610174995</v>
      </c>
      <c r="N53" s="9">
        <f t="shared" si="9"/>
        <v>6.3069698234753737</v>
      </c>
      <c r="O53" s="9">
        <f t="shared" si="28"/>
        <v>74.42759568114964</v>
      </c>
      <c r="P53">
        <f t="shared" si="29"/>
        <v>27.951269140612254</v>
      </c>
      <c r="Q53">
        <f t="shared" si="30"/>
        <v>297.46269502730274</v>
      </c>
      <c r="R53" s="9">
        <f t="shared" si="10"/>
        <v>65.458900800000009</v>
      </c>
      <c r="S53" s="9">
        <f t="shared" si="31"/>
        <v>5.4876831292734884</v>
      </c>
      <c r="T53" s="8">
        <f t="shared" si="32"/>
        <v>2.9673336064272117E-2</v>
      </c>
      <c r="U53" s="9">
        <f t="shared" si="33"/>
        <v>6.3836845285956709</v>
      </c>
      <c r="V53" s="9">
        <f t="shared" si="11"/>
        <v>3.5128885423238292</v>
      </c>
      <c r="W53" s="9">
        <f t="shared" si="12"/>
        <v>4.7264809044236475</v>
      </c>
      <c r="X53" s="9">
        <f t="shared" si="13"/>
        <v>6.4798341887596589</v>
      </c>
      <c r="Y53" s="9"/>
      <c r="Z53" s="9">
        <f t="shared" si="14"/>
        <v>0.4686244698448489</v>
      </c>
      <c r="AA53" s="9">
        <f t="shared" si="15"/>
        <v>48.821854803381697</v>
      </c>
      <c r="AB53" s="8">
        <f t="shared" si="16"/>
        <v>0.53714075418289753</v>
      </c>
      <c r="AC53" s="8">
        <f t="shared" si="17"/>
        <v>2.9044603591745317</v>
      </c>
      <c r="AD53" s="8">
        <f t="shared" si="18"/>
        <v>0.62484240459589513</v>
      </c>
      <c r="AE53" s="8">
        <f t="shared" si="19"/>
        <v>0.34384558228566831</v>
      </c>
      <c r="AF53" s="8">
        <f t="shared" si="20"/>
        <v>462.63340244451945</v>
      </c>
      <c r="AG53" s="8">
        <f t="shared" si="21"/>
        <v>0.63425364423169228</v>
      </c>
      <c r="AH53" s="8">
        <f t="shared" si="22"/>
        <v>4.586950361952611E-2</v>
      </c>
      <c r="AI53" s="8">
        <f t="shared" si="23"/>
        <v>4.77873945924574</v>
      </c>
    </row>
    <row r="54" spans="1:35" x14ac:dyDescent="0.25">
      <c r="A54" s="5">
        <f t="shared" si="0"/>
        <v>4.7162369227772567</v>
      </c>
      <c r="B54">
        <f t="shared" si="1"/>
        <v>5.5276432152297043E-3</v>
      </c>
      <c r="C54">
        <f t="shared" si="24"/>
        <v>5.558367889783416E-3</v>
      </c>
      <c r="D54">
        <f t="shared" si="2"/>
        <v>0.10487829999999999</v>
      </c>
      <c r="E54">
        <f t="shared" si="3"/>
        <v>0.90532631536444685</v>
      </c>
      <c r="F54">
        <f t="shared" si="25"/>
        <v>0.21589622920932641</v>
      </c>
      <c r="G54">
        <f t="shared" si="26"/>
        <v>0.17756139382858313</v>
      </c>
      <c r="H54" s="9">
        <f t="shared" si="27"/>
        <v>17.756139382858311</v>
      </c>
      <c r="I54" s="8">
        <f t="shared" si="4"/>
        <v>5.0168754976456426E-2</v>
      </c>
      <c r="J54" s="9">
        <f t="shared" si="5"/>
        <v>8.5698102763061641</v>
      </c>
      <c r="K54" s="6">
        <f t="shared" si="6"/>
        <v>68.3</v>
      </c>
      <c r="L54" s="6">
        <f t="shared" si="7"/>
        <v>781.31667586284595</v>
      </c>
      <c r="M54" s="6">
        <f t="shared" si="8"/>
        <v>1.315901769874267</v>
      </c>
      <c r="N54" s="9">
        <f t="shared" si="9"/>
        <v>1.3981456304914086</v>
      </c>
      <c r="O54" s="9">
        <f t="shared" si="28"/>
        <v>72.140642697604378</v>
      </c>
      <c r="P54">
        <f t="shared" si="29"/>
        <v>27.662788590961664</v>
      </c>
      <c r="Q54">
        <f t="shared" si="30"/>
        <v>300.56477569714741</v>
      </c>
      <c r="R54" s="9">
        <f t="shared" si="10"/>
        <v>31.3162308</v>
      </c>
      <c r="S54" s="9">
        <f t="shared" si="31"/>
        <v>3.6212319159350899</v>
      </c>
      <c r="T54" s="8">
        <f t="shared" si="32"/>
        <v>1.5908160340579066E-2</v>
      </c>
      <c r="U54" s="9">
        <f t="shared" si="33"/>
        <v>4.2695906147250859</v>
      </c>
      <c r="V54" s="9">
        <f t="shared" si="11"/>
        <v>1.2404515742743352</v>
      </c>
      <c r="W54" s="9">
        <f t="shared" si="12"/>
        <v>0.50649587824459719</v>
      </c>
      <c r="X54" s="9">
        <f t="shared" si="13"/>
        <v>26.540477125876862</v>
      </c>
      <c r="Y54" s="9"/>
      <c r="Z54" s="9">
        <f t="shared" si="14"/>
        <v>6.8533361407772622E-2</v>
      </c>
      <c r="AA54" s="9">
        <f t="shared" si="15"/>
        <v>22.875291835415904</v>
      </c>
      <c r="AB54" s="8">
        <f t="shared" si="16"/>
        <v>0.76782230732434242</v>
      </c>
      <c r="AC54" s="8">
        <f t="shared" si="17"/>
        <v>3.3730621682193194</v>
      </c>
      <c r="AD54" s="8">
        <f t="shared" si="18"/>
        <v>0.90529604102476824</v>
      </c>
      <c r="AE54" s="8">
        <f t="shared" si="19"/>
        <v>0.26301723059830268</v>
      </c>
      <c r="AF54" s="8">
        <f t="shared" si="20"/>
        <v>107.39407000493442</v>
      </c>
      <c r="AG54" s="8">
        <f t="shared" si="21"/>
        <v>5.6274690098155489</v>
      </c>
      <c r="AH54" s="8">
        <f t="shared" si="22"/>
        <v>1.4531365266402963E-2</v>
      </c>
      <c r="AI54" s="8">
        <f t="shared" si="23"/>
        <v>4.8503271167185771</v>
      </c>
    </row>
    <row r="55" spans="1:35" x14ac:dyDescent="0.25">
      <c r="A55" s="5">
        <f t="shared" si="0"/>
        <v>9.4730913337429605</v>
      </c>
      <c r="B55">
        <f t="shared" si="1"/>
        <v>5.5416992022973652E-3</v>
      </c>
      <c r="C55">
        <f t="shared" si="24"/>
        <v>5.5725807686979965E-3</v>
      </c>
      <c r="D55">
        <f t="shared" si="2"/>
        <v>0.10357330000000001</v>
      </c>
      <c r="E55">
        <f t="shared" si="3"/>
        <v>0.90635035281047005</v>
      </c>
      <c r="F55">
        <f t="shared" si="25"/>
        <v>0.21329497380646259</v>
      </c>
      <c r="G55">
        <f t="shared" si="26"/>
        <v>0.17579811868608802</v>
      </c>
      <c r="H55" s="9">
        <f t="shared" si="27"/>
        <v>17.579811868608804</v>
      </c>
      <c r="I55" s="8">
        <f t="shared" si="4"/>
        <v>4.1210094065695604E-2</v>
      </c>
      <c r="J55" s="9">
        <f t="shared" si="5"/>
        <v>8.4892793775332951</v>
      </c>
      <c r="K55" s="6">
        <f t="shared" si="6"/>
        <v>73.3</v>
      </c>
      <c r="L55" s="6">
        <f t="shared" si="7"/>
        <v>1813.2441388906066</v>
      </c>
      <c r="M55" s="6">
        <f t="shared" si="8"/>
        <v>4.615530535357907</v>
      </c>
      <c r="N55" s="9">
        <f t="shared" si="9"/>
        <v>1.5659835744964328</v>
      </c>
      <c r="O55" s="9">
        <f t="shared" si="28"/>
        <v>72.134599118353194</v>
      </c>
      <c r="P55">
        <f t="shared" si="29"/>
        <v>27.675980791675169</v>
      </c>
      <c r="Q55">
        <f t="shared" si="30"/>
        <v>300.42150666981814</v>
      </c>
      <c r="R55" s="9">
        <f t="shared" si="10"/>
        <v>46.472914800000005</v>
      </c>
      <c r="S55" s="9">
        <f t="shared" si="31"/>
        <v>5.3179638591065252</v>
      </c>
      <c r="T55" s="8">
        <f t="shared" si="32"/>
        <v>1.9382670217657296E-2</v>
      </c>
      <c r="U55" s="9">
        <f t="shared" si="33"/>
        <v>6.2734901222216806</v>
      </c>
      <c r="V55" s="9">
        <f t="shared" si="11"/>
        <v>1.9746332702339715</v>
      </c>
      <c r="W55" s="9">
        <f t="shared" si="12"/>
        <v>0.84146115618248007</v>
      </c>
      <c r="X55" s="9">
        <f t="shared" si="13"/>
        <v>91.361091439646884</v>
      </c>
      <c r="Y55" s="9"/>
      <c r="Z55" s="9">
        <f t="shared" si="14"/>
        <v>0.3565525571463487</v>
      </c>
      <c r="AA55" s="9">
        <f t="shared" si="15"/>
        <v>33.927637820118925</v>
      </c>
      <c r="AB55" s="8">
        <f t="shared" si="16"/>
        <v>0.56137576127489086</v>
      </c>
      <c r="AC55" s="8">
        <f t="shared" si="17"/>
        <v>2.0460765693894043</v>
      </c>
      <c r="AD55" s="8">
        <f t="shared" si="18"/>
        <v>0.66224317925402398</v>
      </c>
      <c r="AE55" s="8">
        <f t="shared" si="19"/>
        <v>0.20844655674334814</v>
      </c>
      <c r="AF55" s="8">
        <f t="shared" si="20"/>
        <v>88.826458706801702</v>
      </c>
      <c r="AG55" s="8">
        <f t="shared" si="21"/>
        <v>9.6442743156313213</v>
      </c>
      <c r="AH55" s="8">
        <f t="shared" si="22"/>
        <v>3.7638458723216958E-2</v>
      </c>
      <c r="AI55" s="8">
        <f t="shared" si="23"/>
        <v>3.5814747926338852</v>
      </c>
    </row>
    <row r="56" spans="1:35" x14ac:dyDescent="0.25">
      <c r="A56" s="5">
        <f t="shared" si="0"/>
        <v>14.501337905094113</v>
      </c>
      <c r="B56">
        <f t="shared" si="1"/>
        <v>5.4078074922084161E-3</v>
      </c>
      <c r="C56">
        <f t="shared" si="24"/>
        <v>5.4372108819525557E-3</v>
      </c>
      <c r="D56">
        <f t="shared" si="2"/>
        <v>0.10486079999999999</v>
      </c>
      <c r="E56">
        <f t="shared" si="3"/>
        <v>0.90525304764754155</v>
      </c>
      <c r="F56">
        <f t="shared" si="25"/>
        <v>0.21572788840309579</v>
      </c>
      <c r="G56">
        <f t="shared" si="26"/>
        <v>0.17744751145460888</v>
      </c>
      <c r="H56" s="9">
        <f t="shared" si="27"/>
        <v>17.744751145460889</v>
      </c>
      <c r="I56" s="8">
        <f t="shared" si="4"/>
        <v>3.2902099541815645E-2</v>
      </c>
      <c r="J56" s="9">
        <f t="shared" si="5"/>
        <v>8.5874479804138826</v>
      </c>
      <c r="K56" s="6">
        <f t="shared" si="6"/>
        <v>60.8</v>
      </c>
      <c r="L56" s="6">
        <f t="shared" si="7"/>
        <v>2632.1679633452513</v>
      </c>
      <c r="M56" s="6">
        <f t="shared" si="8"/>
        <v>4.4417834381451122</v>
      </c>
      <c r="N56" s="9">
        <f t="shared" si="9"/>
        <v>1.3983392305271649</v>
      </c>
      <c r="O56" s="9">
        <f t="shared" si="28"/>
        <v>71.966818569377907</v>
      </c>
      <c r="P56">
        <f t="shared" si="29"/>
        <v>27.670309115749298</v>
      </c>
      <c r="Q56">
        <f t="shared" si="30"/>
        <v>300.48308507213613</v>
      </c>
      <c r="R56" s="9">
        <f t="shared" si="10"/>
        <v>61.656069599999995</v>
      </c>
      <c r="S56" s="9">
        <f t="shared" si="31"/>
        <v>7.1230501985330106</v>
      </c>
      <c r="T56" s="8">
        <f t="shared" si="32"/>
        <v>2.0535181520783468E-2</v>
      </c>
      <c r="U56" s="9">
        <f t="shared" si="33"/>
        <v>8.4210732497704264</v>
      </c>
      <c r="V56" s="9">
        <f t="shared" si="11"/>
        <v>2.173456678191275</v>
      </c>
      <c r="W56" s="9">
        <f t="shared" si="12"/>
        <v>0.99706700707838336</v>
      </c>
      <c r="X56" s="9">
        <f t="shared" si="13"/>
        <v>175.98819184937628</v>
      </c>
      <c r="Y56" s="9"/>
      <c r="Z56" s="9">
        <f t="shared" si="14"/>
        <v>0.45532787751371612</v>
      </c>
      <c r="AA56" s="9">
        <f t="shared" si="15"/>
        <v>44.916637642447341</v>
      </c>
      <c r="AB56" s="8">
        <f t="shared" si="16"/>
        <v>0.49119951863412442</v>
      </c>
      <c r="AC56" s="8">
        <f t="shared" si="17"/>
        <v>1.4160887536845652</v>
      </c>
      <c r="AD56" s="8">
        <f t="shared" si="18"/>
        <v>0.58071009067461443</v>
      </c>
      <c r="AE56" s="8">
        <f t="shared" si="19"/>
        <v>0.14987973471246199</v>
      </c>
      <c r="AF56" s="8">
        <f t="shared" si="20"/>
        <v>68.756897715494787</v>
      </c>
      <c r="AG56" s="8">
        <f t="shared" si="21"/>
        <v>12.135996899124331</v>
      </c>
      <c r="AH56" s="8">
        <f t="shared" si="22"/>
        <v>3.1399025420527985E-2</v>
      </c>
      <c r="AI56" s="8">
        <f t="shared" si="23"/>
        <v>3.0974133515410855</v>
      </c>
    </row>
    <row r="57" spans="1:35" x14ac:dyDescent="0.25">
      <c r="A57" s="5">
        <f t="shared" si="0"/>
        <v>18.956343813562562</v>
      </c>
      <c r="B57">
        <f t="shared" si="1"/>
        <v>5.5392312912160135E-3</v>
      </c>
      <c r="C57">
        <f t="shared" si="24"/>
        <v>5.5700852819042792E-3</v>
      </c>
      <c r="D57">
        <f t="shared" si="2"/>
        <v>0.1051431</v>
      </c>
      <c r="E57">
        <f t="shared" si="3"/>
        <v>0.90501787613934392</v>
      </c>
      <c r="F57">
        <f t="shared" si="25"/>
        <v>0.21644086879578706</v>
      </c>
      <c r="G57">
        <f t="shared" si="26"/>
        <v>0.17792962596698367</v>
      </c>
      <c r="H57" s="9">
        <f t="shared" si="27"/>
        <v>17.792962596698366</v>
      </c>
      <c r="I57" s="8">
        <f t="shared" si="4"/>
        <v>3.2060744587287637E-2</v>
      </c>
      <c r="J57" s="9">
        <f t="shared" si="5"/>
        <v>8.6070768161256819</v>
      </c>
      <c r="K57" s="6">
        <f t="shared" si="6"/>
        <v>53.1</v>
      </c>
      <c r="L57" s="6">
        <f t="shared" si="7"/>
        <v>3123.8674213254621</v>
      </c>
      <c r="M57" s="6">
        <f t="shared" si="8"/>
        <v>4.0281448327617806</v>
      </c>
      <c r="N57" s="9">
        <f t="shared" si="9"/>
        <v>1.2331055610495245</v>
      </c>
      <c r="O57" s="9">
        <f t="shared" si="28"/>
        <v>72.016694724923312</v>
      </c>
      <c r="P57">
        <f t="shared" si="29"/>
        <v>27.663142168690992</v>
      </c>
      <c r="Q57">
        <f t="shared" si="30"/>
        <v>300.5609340145844</v>
      </c>
      <c r="R57" s="9">
        <f t="shared" si="10"/>
        <v>75.558517199999997</v>
      </c>
      <c r="S57" s="9">
        <f t="shared" si="31"/>
        <v>8.7551673152647886</v>
      </c>
      <c r="T57" s="8">
        <f t="shared" si="32"/>
        <v>2.4528366736886437E-2</v>
      </c>
      <c r="U57" s="9">
        <f t="shared" si="33"/>
        <v>10.346157779132417</v>
      </c>
      <c r="V57" s="9">
        <f t="shared" si="11"/>
        <v>2.3268158975914552</v>
      </c>
      <c r="W57" s="9">
        <f t="shared" si="12"/>
        <v>1.0777850432268228</v>
      </c>
      <c r="X57" s="9">
        <f t="shared" si="13"/>
        <v>256.02514255592371</v>
      </c>
      <c r="Y57" s="9"/>
      <c r="Z57" s="9">
        <f t="shared" si="14"/>
        <v>0.50616490516017698</v>
      </c>
      <c r="AA57" s="9">
        <f t="shared" si="15"/>
        <v>55.097032902090717</v>
      </c>
      <c r="AB57" s="8">
        <f t="shared" si="16"/>
        <v>0.46185949154397543</v>
      </c>
      <c r="AC57" s="8">
        <f t="shared" si="17"/>
        <v>1.293939747987547</v>
      </c>
      <c r="AD57" s="8">
        <f t="shared" si="18"/>
        <v>0.54578867533148057</v>
      </c>
      <c r="AE57" s="8">
        <f t="shared" si="19"/>
        <v>0.12274602742363772</v>
      </c>
      <c r="AF57" s="8">
        <f t="shared" si="20"/>
        <v>56.85616666520405</v>
      </c>
      <c r="AG57" s="8">
        <f t="shared" si="21"/>
        <v>13.506040250902561</v>
      </c>
      <c r="AH57" s="8">
        <f t="shared" si="22"/>
        <v>2.6701610296708943E-2</v>
      </c>
      <c r="AI57" s="8">
        <f t="shared" si="23"/>
        <v>2.9065221354906443</v>
      </c>
    </row>
    <row r="59" spans="1:35" x14ac:dyDescent="0.25">
      <c r="G59" t="s">
        <v>102</v>
      </c>
      <c r="H59" t="s">
        <v>103</v>
      </c>
      <c r="I59" t="s">
        <v>104</v>
      </c>
    </row>
    <row r="60" spans="1:35" x14ac:dyDescent="0.25">
      <c r="G60" t="s">
        <v>29</v>
      </c>
      <c r="H60" t="s">
        <v>29</v>
      </c>
      <c r="I60" t="s">
        <v>29</v>
      </c>
    </row>
    <row r="61" spans="1:35" x14ac:dyDescent="0.25">
      <c r="G61" s="8">
        <f t="shared" ref="G61:G68" si="34">X6</f>
        <v>0.95425800000000005</v>
      </c>
      <c r="H61" s="8">
        <f t="shared" ref="H61:H68" si="35">(J50+I50/2+N50+L50/10000/2+(($I$45/4*3.5/(3.5+(I50/J50)))-0/2)*(I50+J50))/(1+$I$45/4-0/2)/(J50+I50+K50/10000)</f>
        <v>0.97592027110743429</v>
      </c>
      <c r="I61" s="8">
        <f t="shared" ref="I61:I68" si="36">O6/H6/$I$42/$I$43</f>
        <v>0.98575988567287109</v>
      </c>
    </row>
    <row r="62" spans="1:35" x14ac:dyDescent="0.25">
      <c r="G62" s="8">
        <f t="shared" si="34"/>
        <v>0.99422999999999995</v>
      </c>
      <c r="H62" s="8">
        <f t="shared" si="35"/>
        <v>1.0048483435569147</v>
      </c>
      <c r="I62" s="8">
        <f t="shared" si="36"/>
        <v>1.019936603718022</v>
      </c>
    </row>
    <row r="63" spans="1:35" x14ac:dyDescent="0.25">
      <c r="G63" s="8">
        <f t="shared" si="34"/>
        <v>1.035309</v>
      </c>
      <c r="H63" s="8">
        <f t="shared" si="35"/>
        <v>1.0530457862193505</v>
      </c>
      <c r="I63" s="8">
        <f t="shared" si="36"/>
        <v>1.0660757110667358</v>
      </c>
    </row>
    <row r="64" spans="1:35" x14ac:dyDescent="0.25">
      <c r="G64" s="8">
        <f t="shared" si="34"/>
        <v>1.410687</v>
      </c>
      <c r="H64" s="8">
        <f t="shared" si="35"/>
        <v>1.5007045648648392</v>
      </c>
      <c r="I64" s="8">
        <f t="shared" si="36"/>
        <v>1.517328601507389</v>
      </c>
    </row>
    <row r="65" spans="7:9" x14ac:dyDescent="0.25">
      <c r="G65" s="8">
        <f t="shared" si="34"/>
        <v>1.0605439999999999</v>
      </c>
      <c r="H65" s="8">
        <f t="shared" si="35"/>
        <v>1.0802193090323067</v>
      </c>
      <c r="I65" s="8">
        <f t="shared" si="36"/>
        <v>1.0887001344481368</v>
      </c>
    </row>
    <row r="66" spans="7:9" x14ac:dyDescent="0.25">
      <c r="G66" s="8">
        <f t="shared" si="34"/>
        <v>1.0704290000000001</v>
      </c>
      <c r="H66" s="8">
        <f t="shared" si="35"/>
        <v>1.0942609326299118</v>
      </c>
      <c r="I66" s="8">
        <f t="shared" si="36"/>
        <v>1.1031798776650181</v>
      </c>
    </row>
    <row r="67" spans="7:9" x14ac:dyDescent="0.25">
      <c r="G67" s="8">
        <f t="shared" si="34"/>
        <v>1.058664</v>
      </c>
      <c r="H67" s="8">
        <f t="shared" si="35"/>
        <v>1.0864732146719009</v>
      </c>
      <c r="I67" s="8">
        <f t="shared" si="36"/>
        <v>1.0892388991740378</v>
      </c>
    </row>
    <row r="68" spans="7:9" x14ac:dyDescent="0.25">
      <c r="G68" s="8">
        <f t="shared" si="34"/>
        <v>1.0543659999999999</v>
      </c>
      <c r="H68" s="8">
        <f t="shared" si="35"/>
        <v>1.0782851646243345</v>
      </c>
      <c r="I68" s="8">
        <f t="shared" si="36"/>
        <v>1.0857686802649977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7" sqref="G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opLeftCell="AF1" workbookViewId="0">
      <selection activeCell="B23" sqref="B23:AU28"/>
    </sheetView>
  </sheetViews>
  <sheetFormatPr defaultRowHeight="15" x14ac:dyDescent="0.25"/>
  <cols>
    <col min="1" max="1" width="22" bestFit="1" customWidth="1"/>
    <col min="2" max="5" width="10.7109375" bestFit="1" customWidth="1"/>
    <col min="6" max="6" width="12" bestFit="1" customWidth="1"/>
    <col min="7" max="9" width="10.7109375" bestFit="1" customWidth="1"/>
    <col min="10" max="10" width="11" bestFit="1" customWidth="1"/>
    <col min="11" max="47" width="10.7109375" bestFit="1" customWidth="1"/>
    <col min="48" max="48" width="9.7109375" bestFit="1" customWidth="1"/>
  </cols>
  <sheetData>
    <row r="1" spans="1:47" x14ac:dyDescent="0.25">
      <c r="A1" t="s">
        <v>112</v>
      </c>
    </row>
    <row r="2" spans="1:47" x14ac:dyDescent="0.25">
      <c r="A2" t="s">
        <v>113</v>
      </c>
      <c r="B2">
        <v>2</v>
      </c>
    </row>
    <row r="3" spans="1:47" x14ac:dyDescent="0.25">
      <c r="A3" t="s">
        <v>114</v>
      </c>
      <c r="B3">
        <v>2</v>
      </c>
    </row>
    <row r="4" spans="1:47" x14ac:dyDescent="0.25">
      <c r="A4" t="s">
        <v>115</v>
      </c>
      <c r="B4" t="s">
        <v>116</v>
      </c>
    </row>
    <row r="5" spans="1:47" x14ac:dyDescent="0.25">
      <c r="A5" t="s">
        <v>117</v>
      </c>
      <c r="B5" t="s">
        <v>118</v>
      </c>
    </row>
    <row r="6" spans="1:47" x14ac:dyDescent="0.25">
      <c r="A6" t="s">
        <v>119</v>
      </c>
      <c r="B6" t="s">
        <v>120</v>
      </c>
    </row>
    <row r="7" spans="1:47" x14ac:dyDescent="0.25">
      <c r="A7" t="s">
        <v>121</v>
      </c>
      <c r="B7" t="s">
        <v>120</v>
      </c>
    </row>
    <row r="8" spans="1:47" x14ac:dyDescent="0.25">
      <c r="A8" t="s">
        <v>122</v>
      </c>
      <c r="B8" t="s">
        <v>123</v>
      </c>
    </row>
    <row r="9" spans="1:47" x14ac:dyDescent="0.25">
      <c r="A9" t="s">
        <v>124</v>
      </c>
      <c r="B9" t="s">
        <v>125</v>
      </c>
    </row>
    <row r="10" spans="1:47" x14ac:dyDescent="0.25">
      <c r="A10" t="s">
        <v>0</v>
      </c>
      <c r="B10" s="1">
        <v>43811</v>
      </c>
    </row>
    <row r="11" spans="1:47" x14ac:dyDescent="0.25">
      <c r="A11" t="s">
        <v>1</v>
      </c>
      <c r="B11" s="16">
        <v>0.62617619212962961</v>
      </c>
    </row>
    <row r="12" spans="1:47" x14ac:dyDescent="0.25">
      <c r="A12" t="s">
        <v>126</v>
      </c>
    </row>
    <row r="13" spans="1:47" x14ac:dyDescent="0.25">
      <c r="B13" s="1"/>
    </row>
    <row r="14" spans="1:47" x14ac:dyDescent="0.25">
      <c r="A14" t="s">
        <v>127</v>
      </c>
      <c r="B14" s="16">
        <v>46</v>
      </c>
    </row>
    <row r="15" spans="1:47" x14ac:dyDescent="0.25">
      <c r="A15" t="s">
        <v>128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</row>
    <row r="16" spans="1:47" x14ac:dyDescent="0.25">
      <c r="A16" t="s">
        <v>0</v>
      </c>
      <c r="B16" s="1">
        <v>43811</v>
      </c>
      <c r="C16" s="1">
        <v>43811</v>
      </c>
      <c r="D16" s="1">
        <v>43811</v>
      </c>
      <c r="E16" s="1">
        <v>43811</v>
      </c>
      <c r="F16" s="1">
        <v>43811</v>
      </c>
      <c r="G16" s="1">
        <v>43811</v>
      </c>
      <c r="H16" s="1">
        <v>43811</v>
      </c>
      <c r="I16" s="1">
        <v>43811</v>
      </c>
      <c r="J16" s="1">
        <v>43811</v>
      </c>
      <c r="K16" s="1">
        <v>43811</v>
      </c>
      <c r="L16" s="1">
        <v>43811</v>
      </c>
      <c r="M16" s="1">
        <v>43811</v>
      </c>
      <c r="N16" s="1">
        <v>43811</v>
      </c>
      <c r="O16" s="1">
        <v>43811</v>
      </c>
      <c r="P16" s="1">
        <v>43811</v>
      </c>
      <c r="Q16" s="1">
        <v>43811</v>
      </c>
      <c r="R16" s="1">
        <v>43811</v>
      </c>
      <c r="S16" s="1">
        <v>43811</v>
      </c>
      <c r="T16" s="1">
        <v>43811</v>
      </c>
      <c r="U16" s="1">
        <v>43811</v>
      </c>
      <c r="V16" s="1">
        <v>43811</v>
      </c>
      <c r="W16" s="1">
        <v>43811</v>
      </c>
      <c r="X16" s="1">
        <v>43811</v>
      </c>
      <c r="Y16" s="1">
        <v>43811</v>
      </c>
      <c r="Z16" s="1">
        <v>43811</v>
      </c>
      <c r="AA16" s="1">
        <v>43811</v>
      </c>
      <c r="AB16" s="1">
        <v>43811</v>
      </c>
      <c r="AC16" s="1">
        <v>43811</v>
      </c>
      <c r="AD16" s="1">
        <v>43811</v>
      </c>
      <c r="AE16" s="1">
        <v>43811</v>
      </c>
      <c r="AF16" s="1">
        <v>43811</v>
      </c>
      <c r="AG16" s="1">
        <v>43811</v>
      </c>
      <c r="AH16" s="1">
        <v>43811</v>
      </c>
      <c r="AI16" s="1">
        <v>43811</v>
      </c>
      <c r="AJ16" s="1">
        <v>43811</v>
      </c>
      <c r="AK16" s="1">
        <v>43811</v>
      </c>
      <c r="AL16" s="1">
        <v>43811</v>
      </c>
      <c r="AM16" s="1">
        <v>43811</v>
      </c>
      <c r="AN16" s="1">
        <v>43811</v>
      </c>
      <c r="AO16" s="1">
        <v>43811</v>
      </c>
      <c r="AP16" s="1">
        <v>43811</v>
      </c>
      <c r="AQ16" s="1">
        <v>43811</v>
      </c>
      <c r="AR16" s="1">
        <v>43811</v>
      </c>
      <c r="AS16" s="1">
        <v>43811</v>
      </c>
      <c r="AT16" s="1">
        <v>43811</v>
      </c>
      <c r="AU16" s="1">
        <v>43811</v>
      </c>
    </row>
    <row r="17" spans="1:48" x14ac:dyDescent="0.25">
      <c r="A17" t="s">
        <v>1</v>
      </c>
      <c r="B17" s="16">
        <v>0.62617619212962961</v>
      </c>
      <c r="C17" s="16">
        <v>0.62617619212962961</v>
      </c>
      <c r="D17" s="16">
        <v>0.62617619212962961</v>
      </c>
      <c r="E17" s="16">
        <v>0.62617619212962961</v>
      </c>
      <c r="F17" s="16">
        <v>0.62617619212962961</v>
      </c>
      <c r="G17" s="16">
        <v>0.62617619212962961</v>
      </c>
      <c r="H17" s="16">
        <v>0.62617619212962961</v>
      </c>
      <c r="I17" s="16">
        <v>0.62617619212962961</v>
      </c>
      <c r="J17" s="16">
        <v>0.62617619212962961</v>
      </c>
      <c r="K17" s="16">
        <v>0.62617619212962961</v>
      </c>
      <c r="L17" s="16">
        <v>0.62617619212962961</v>
      </c>
      <c r="M17" s="16">
        <v>0.62617619212962961</v>
      </c>
      <c r="N17" s="16">
        <v>0.62617619212962961</v>
      </c>
      <c r="O17" s="16">
        <v>0.62617619212962961</v>
      </c>
      <c r="P17" s="16">
        <v>0.62617619212962961</v>
      </c>
      <c r="Q17" s="16">
        <v>0.62617619212962961</v>
      </c>
      <c r="R17" s="16">
        <v>0.62617619212962961</v>
      </c>
      <c r="S17" s="16">
        <v>0.62617619212962961</v>
      </c>
      <c r="T17" s="16">
        <v>0.62617619212962961</v>
      </c>
      <c r="U17" s="16">
        <v>0.62617619212962961</v>
      </c>
      <c r="V17" s="16">
        <v>0.62617619212962961</v>
      </c>
      <c r="W17" s="16">
        <v>0.62617619212962961</v>
      </c>
      <c r="X17" s="16">
        <v>0.62617619212962961</v>
      </c>
      <c r="Y17" s="16">
        <v>0.62617619212962961</v>
      </c>
      <c r="Z17" s="16">
        <v>0.62617619212962961</v>
      </c>
      <c r="AA17" s="16">
        <v>0.62617619212962961</v>
      </c>
      <c r="AB17" s="16">
        <v>0.62617619212962961</v>
      </c>
      <c r="AC17" s="16">
        <v>0.62617619212962961</v>
      </c>
      <c r="AD17" s="16">
        <v>0.62617619212962961</v>
      </c>
      <c r="AE17" s="16">
        <v>0.62617619212962961</v>
      </c>
      <c r="AF17" s="16">
        <v>0.62617619212962961</v>
      </c>
      <c r="AG17" s="16">
        <v>0.62617619212962961</v>
      </c>
      <c r="AH17" s="16">
        <v>0.62617619212962961</v>
      </c>
      <c r="AI17" s="16">
        <v>0.62617619212962961</v>
      </c>
      <c r="AJ17" s="16">
        <v>0.62617619212962961</v>
      </c>
      <c r="AK17" s="16">
        <v>0.62617619212962961</v>
      </c>
      <c r="AL17" s="16">
        <v>0.62617619212962961</v>
      </c>
      <c r="AM17" s="16">
        <v>0.62617619212962961</v>
      </c>
      <c r="AN17" s="16">
        <v>0.62617619212962961</v>
      </c>
      <c r="AO17" s="16">
        <v>0.62617619212962961</v>
      </c>
      <c r="AP17" s="16">
        <v>0.62617619212962961</v>
      </c>
      <c r="AQ17" s="16">
        <v>0.62617619212962961</v>
      </c>
      <c r="AR17" s="16">
        <v>0.62617619212962961</v>
      </c>
      <c r="AS17" s="16">
        <v>0.62617619212962961</v>
      </c>
      <c r="AT17" s="16">
        <v>0.62617619212962961</v>
      </c>
      <c r="AU17" s="16">
        <v>0.62617619212962961</v>
      </c>
    </row>
    <row r="18" spans="1:48" x14ac:dyDescent="0.25">
      <c r="A18" t="s">
        <v>129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</row>
    <row r="19" spans="1:48" x14ac:dyDescent="0.25">
      <c r="A19" t="s">
        <v>130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</row>
    <row r="20" spans="1:48" x14ac:dyDescent="0.25">
      <c r="A20" t="s">
        <v>131</v>
      </c>
      <c r="B20" s="16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I20" s="16">
        <v>1</v>
      </c>
      <c r="AJ20" s="16">
        <v>1</v>
      </c>
      <c r="AK20" s="16">
        <v>1</v>
      </c>
      <c r="AL20" s="16">
        <v>1</v>
      </c>
      <c r="AM20" s="16">
        <v>1</v>
      </c>
      <c r="AN20" s="16">
        <v>1</v>
      </c>
      <c r="AO20" s="16">
        <v>1</v>
      </c>
      <c r="AP20" s="16">
        <v>1</v>
      </c>
      <c r="AQ20" s="16">
        <v>1</v>
      </c>
      <c r="AR20" s="16">
        <v>1</v>
      </c>
      <c r="AS20" s="16">
        <v>1</v>
      </c>
      <c r="AT20" s="16">
        <v>1</v>
      </c>
      <c r="AU20" s="16">
        <v>1</v>
      </c>
    </row>
    <row r="21" spans="1:48" x14ac:dyDescent="0.25">
      <c r="A21" t="s">
        <v>126</v>
      </c>
    </row>
    <row r="22" spans="1:48" x14ac:dyDescent="0.25">
      <c r="A22" t="s">
        <v>132</v>
      </c>
      <c r="B22" s="14" t="s">
        <v>133</v>
      </c>
      <c r="C22" s="14" t="s">
        <v>134</v>
      </c>
      <c r="D22" s="14" t="s">
        <v>135</v>
      </c>
      <c r="E22" s="14" t="s">
        <v>136</v>
      </c>
      <c r="F22" s="14" t="s">
        <v>137</v>
      </c>
      <c r="G22" s="14" t="s">
        <v>138</v>
      </c>
      <c r="H22" s="14" t="s">
        <v>139</v>
      </c>
      <c r="I22" s="14" t="s">
        <v>140</v>
      </c>
      <c r="J22" s="14" t="s">
        <v>141</v>
      </c>
      <c r="K22" s="14" t="s">
        <v>142</v>
      </c>
      <c r="L22" s="14" t="s">
        <v>143</v>
      </c>
      <c r="M22" s="14" t="s">
        <v>144</v>
      </c>
      <c r="N22" s="14" t="s">
        <v>145</v>
      </c>
      <c r="O22" s="14" t="s">
        <v>146</v>
      </c>
      <c r="P22" s="14" t="s">
        <v>147</v>
      </c>
      <c r="Q22" s="14" t="s">
        <v>148</v>
      </c>
      <c r="R22" s="14" t="s">
        <v>149</v>
      </c>
      <c r="S22" s="14" t="s">
        <v>150</v>
      </c>
      <c r="T22" s="14" t="s">
        <v>151</v>
      </c>
      <c r="U22" s="14" t="s">
        <v>152</v>
      </c>
      <c r="V22" s="14" t="s">
        <v>153</v>
      </c>
      <c r="W22" s="14" t="s">
        <v>154</v>
      </c>
      <c r="X22" s="14" t="s">
        <v>155</v>
      </c>
      <c r="Y22" s="14" t="s">
        <v>156</v>
      </c>
      <c r="Z22" s="14" t="s">
        <v>157</v>
      </c>
      <c r="AA22" s="14" t="s">
        <v>158</v>
      </c>
      <c r="AB22" s="14" t="s">
        <v>159</v>
      </c>
      <c r="AC22" s="14" t="s">
        <v>160</v>
      </c>
      <c r="AD22" s="14" t="s">
        <v>161</v>
      </c>
      <c r="AE22" s="14" t="s">
        <v>162</v>
      </c>
      <c r="AF22" s="14" t="s">
        <v>163</v>
      </c>
      <c r="AG22" s="14" t="s">
        <v>164</v>
      </c>
      <c r="AH22" s="14" t="s">
        <v>165</v>
      </c>
      <c r="AI22" s="14" t="s">
        <v>166</v>
      </c>
      <c r="AJ22" s="14" t="s">
        <v>167</v>
      </c>
      <c r="AK22" s="14" t="s">
        <v>168</v>
      </c>
      <c r="AL22" s="14" t="s">
        <v>169</v>
      </c>
      <c r="AM22" s="14" t="s">
        <v>170</v>
      </c>
      <c r="AN22" s="14" t="s">
        <v>171</v>
      </c>
      <c r="AO22" s="14" t="s">
        <v>172</v>
      </c>
      <c r="AP22" s="14" t="s">
        <v>173</v>
      </c>
      <c r="AQ22" s="14" t="s">
        <v>174</v>
      </c>
      <c r="AR22" s="14" t="s">
        <v>175</v>
      </c>
      <c r="AS22" s="14" t="s">
        <v>176</v>
      </c>
      <c r="AT22" s="14" t="s">
        <v>177</v>
      </c>
      <c r="AU22" s="14" t="s">
        <v>178</v>
      </c>
      <c r="AV22" t="s">
        <v>179</v>
      </c>
    </row>
    <row r="23" spans="1:48" x14ac:dyDescent="0.25">
      <c r="B23">
        <v>15</v>
      </c>
      <c r="C23">
        <v>0</v>
      </c>
      <c r="D23">
        <v>91</v>
      </c>
      <c r="E23">
        <v>60.169677</v>
      </c>
      <c r="F23">
        <v>1800.003226</v>
      </c>
      <c r="G23">
        <v>1.093E-3</v>
      </c>
      <c r="H23">
        <v>69.122801999999993</v>
      </c>
      <c r="I23">
        <v>73.885540000000006</v>
      </c>
      <c r="J23">
        <v>515.67557799999997</v>
      </c>
      <c r="K23">
        <v>91.854500000000002</v>
      </c>
      <c r="L23">
        <v>30.1</v>
      </c>
      <c r="M23">
        <v>13.206452000000001</v>
      </c>
      <c r="N23">
        <v>1.426E-2</v>
      </c>
      <c r="O23">
        <v>0.498641</v>
      </c>
      <c r="P23">
        <v>0.96959700000000004</v>
      </c>
      <c r="Q23">
        <v>25</v>
      </c>
      <c r="R23">
        <v>2</v>
      </c>
      <c r="S23">
        <v>2</v>
      </c>
      <c r="T23">
        <v>1.25</v>
      </c>
      <c r="U23">
        <v>0.83424100000000001</v>
      </c>
      <c r="V23">
        <v>0.83156200000000002</v>
      </c>
      <c r="W23">
        <v>1.0454650000000001</v>
      </c>
      <c r="X23">
        <v>30</v>
      </c>
      <c r="Y23">
        <v>0</v>
      </c>
      <c r="Z23">
        <v>0</v>
      </c>
      <c r="AA23">
        <v>0</v>
      </c>
      <c r="AB23">
        <v>0.29782799999999998</v>
      </c>
      <c r="AC23">
        <v>1.416212</v>
      </c>
      <c r="AD23" s="14">
        <v>3.424139E-6</v>
      </c>
      <c r="AE23">
        <v>0.14157900000000001</v>
      </c>
      <c r="AF23">
        <v>0.15694</v>
      </c>
      <c r="AG23">
        <v>0.241008</v>
      </c>
      <c r="AH23">
        <v>0.393733</v>
      </c>
      <c r="AI23" s="14">
        <v>3.6114400000000002E-15</v>
      </c>
      <c r="AJ23">
        <v>6.2905000000000003E-2</v>
      </c>
      <c r="AK23" s="14">
        <v>6.0897719999999999E-5</v>
      </c>
      <c r="AL23">
        <v>2.0279999999999999E-3</v>
      </c>
      <c r="AM23" s="14">
        <v>1.230059E-5</v>
      </c>
      <c r="AN23">
        <v>0</v>
      </c>
      <c r="AO23">
        <v>0</v>
      </c>
      <c r="AP23">
        <v>0</v>
      </c>
      <c r="AQ23" s="14">
        <v>0</v>
      </c>
      <c r="AR23">
        <v>3.7178000000000003E-2</v>
      </c>
      <c r="AS23">
        <v>3.2176999999999997E-2</v>
      </c>
      <c r="AT23">
        <v>1.621E-3</v>
      </c>
      <c r="AU23">
        <v>0</v>
      </c>
    </row>
    <row r="24" spans="1:48" x14ac:dyDescent="0.25">
      <c r="B24">
        <v>15</v>
      </c>
      <c r="C24">
        <v>0</v>
      </c>
      <c r="D24">
        <v>101</v>
      </c>
      <c r="E24">
        <v>63.630322999999997</v>
      </c>
      <c r="F24">
        <v>1499.467742</v>
      </c>
      <c r="G24">
        <v>9.4399999999999996E-4</v>
      </c>
      <c r="H24">
        <v>69.584757999999994</v>
      </c>
      <c r="I24">
        <v>74.028447999999997</v>
      </c>
      <c r="J24">
        <v>476.85587299999997</v>
      </c>
      <c r="K24">
        <v>91.776883999999995</v>
      </c>
      <c r="L24">
        <v>29.7</v>
      </c>
      <c r="M24">
        <v>13.429031999999999</v>
      </c>
      <c r="N24">
        <v>1.2463999999999999E-2</v>
      </c>
      <c r="O24">
        <v>0.52154999999999996</v>
      </c>
      <c r="P24">
        <v>0.96964799999999995</v>
      </c>
      <c r="Q24">
        <v>25</v>
      </c>
      <c r="R24">
        <v>-15</v>
      </c>
      <c r="S24">
        <v>-15</v>
      </c>
      <c r="T24">
        <v>1.2</v>
      </c>
      <c r="U24">
        <v>0.84306400000000004</v>
      </c>
      <c r="V24">
        <v>0.87550899999999998</v>
      </c>
      <c r="W24">
        <v>1.058465</v>
      </c>
      <c r="X24">
        <v>30</v>
      </c>
      <c r="Y24">
        <v>0</v>
      </c>
      <c r="Z24">
        <v>0</v>
      </c>
      <c r="AA24">
        <v>0</v>
      </c>
      <c r="AB24">
        <v>0.15854699999999999</v>
      </c>
      <c r="AC24">
        <v>1.3760779999999999</v>
      </c>
      <c r="AD24" s="14">
        <v>1.814517E-6</v>
      </c>
      <c r="AE24">
        <v>9.1610000000000007E-3</v>
      </c>
      <c r="AF24">
        <v>1.5803999999999999E-2</v>
      </c>
      <c r="AG24">
        <v>0.305197</v>
      </c>
      <c r="AH24">
        <v>0.33172400000000002</v>
      </c>
      <c r="AI24">
        <v>0</v>
      </c>
      <c r="AJ24">
        <v>7.8287999999999996E-2</v>
      </c>
      <c r="AK24" s="14">
        <v>2.8244850000000001E-5</v>
      </c>
      <c r="AL24">
        <v>1.6590000000000001E-3</v>
      </c>
      <c r="AM24" s="14">
        <v>1.131797E-5</v>
      </c>
      <c r="AN24">
        <v>0</v>
      </c>
      <c r="AO24">
        <v>0</v>
      </c>
      <c r="AP24">
        <v>0</v>
      </c>
      <c r="AQ24" s="14">
        <v>0</v>
      </c>
      <c r="AR24" s="14">
        <v>2.2245000000000001E-2</v>
      </c>
      <c r="AS24">
        <v>9.4900000000000002E-3</v>
      </c>
      <c r="AT24">
        <v>6.6399999999999999E-4</v>
      </c>
      <c r="AU24">
        <v>0</v>
      </c>
    </row>
    <row r="25" spans="1:48" x14ac:dyDescent="0.25">
      <c r="B25">
        <v>15</v>
      </c>
      <c r="C25">
        <v>0</v>
      </c>
      <c r="D25">
        <v>11</v>
      </c>
      <c r="E25">
        <v>59.134408999999998</v>
      </c>
      <c r="F25">
        <v>1200.032258</v>
      </c>
      <c r="G25">
        <v>7.2400000000000003E-4</v>
      </c>
      <c r="H25">
        <v>67.812427</v>
      </c>
      <c r="I25">
        <v>71.666938999999999</v>
      </c>
      <c r="J25">
        <v>417.83394800000002</v>
      </c>
      <c r="K25">
        <v>90.466615000000004</v>
      </c>
      <c r="L25">
        <v>29.632258</v>
      </c>
      <c r="M25">
        <v>13.380644999999999</v>
      </c>
      <c r="N25">
        <v>9.3600000000000003E-3</v>
      </c>
      <c r="O25">
        <v>0.49841299999999999</v>
      </c>
      <c r="P25">
        <v>0.96964399999999995</v>
      </c>
      <c r="Q25">
        <v>25</v>
      </c>
      <c r="R25">
        <v>-26</v>
      </c>
      <c r="S25">
        <v>-26</v>
      </c>
      <c r="T25">
        <v>1.105</v>
      </c>
      <c r="U25">
        <v>0.83442499999999997</v>
      </c>
      <c r="V25">
        <v>0.83293099999999998</v>
      </c>
      <c r="W25">
        <v>1.041938</v>
      </c>
      <c r="X25">
        <v>30</v>
      </c>
      <c r="Y25">
        <v>0</v>
      </c>
      <c r="Z25">
        <v>0</v>
      </c>
      <c r="AA25">
        <v>0</v>
      </c>
      <c r="AB25">
        <v>0.324602</v>
      </c>
      <c r="AC25">
        <v>2.1008550000000001</v>
      </c>
      <c r="AD25" s="14">
        <v>2.5610819999999999E-6</v>
      </c>
      <c r="AE25">
        <v>0.17488899999999999</v>
      </c>
      <c r="AF25">
        <v>0.174204</v>
      </c>
      <c r="AG25">
        <v>0.46747899999999998</v>
      </c>
      <c r="AH25">
        <v>0.119586</v>
      </c>
      <c r="AI25">
        <v>4.7518999999999999E-2</v>
      </c>
      <c r="AJ25">
        <v>0.10138800000000001</v>
      </c>
      <c r="AK25" s="14">
        <v>7.2323059999999996E-5</v>
      </c>
      <c r="AL25">
        <v>2.8800000000000002E-3</v>
      </c>
      <c r="AM25" s="14">
        <v>1.2313659999999999E-5</v>
      </c>
      <c r="AN25">
        <v>0</v>
      </c>
      <c r="AO25">
        <v>0</v>
      </c>
      <c r="AP25">
        <v>0</v>
      </c>
      <c r="AQ25" s="14">
        <v>2.2571500000000001E-16</v>
      </c>
      <c r="AR25">
        <v>2.6453000000000001E-2</v>
      </c>
      <c r="AS25">
        <v>2.3609000000000002E-2</v>
      </c>
      <c r="AT25">
        <v>3.6459999999999999E-3</v>
      </c>
      <c r="AU25">
        <v>0</v>
      </c>
    </row>
    <row r="26" spans="1:48" x14ac:dyDescent="0.25">
      <c r="B26">
        <v>15</v>
      </c>
      <c r="C26">
        <v>0</v>
      </c>
      <c r="D26">
        <v>12</v>
      </c>
      <c r="E26">
        <v>61.197634000000001</v>
      </c>
      <c r="F26">
        <v>1500.6741939999999</v>
      </c>
      <c r="G26">
        <v>9.5799999999999998E-4</v>
      </c>
      <c r="H26">
        <v>67.660086000000007</v>
      </c>
      <c r="I26">
        <v>72.078792000000007</v>
      </c>
      <c r="J26">
        <v>504.74442299999998</v>
      </c>
      <c r="K26">
        <v>89.511956999999995</v>
      </c>
      <c r="L26">
        <v>29.261289999999999</v>
      </c>
      <c r="M26">
        <v>13.732258</v>
      </c>
      <c r="N26">
        <v>1.2765E-2</v>
      </c>
      <c r="O26">
        <v>0.52784500000000001</v>
      </c>
      <c r="P26">
        <v>0.96960100000000005</v>
      </c>
      <c r="Q26">
        <v>10</v>
      </c>
      <c r="R26">
        <v>-12</v>
      </c>
      <c r="S26">
        <v>-12</v>
      </c>
      <c r="T26">
        <v>1.2050000000000001</v>
      </c>
      <c r="U26">
        <v>0.79102600000000001</v>
      </c>
      <c r="V26">
        <v>0.79656800000000005</v>
      </c>
      <c r="W26">
        <v>1.06297</v>
      </c>
      <c r="X26">
        <v>30</v>
      </c>
      <c r="Y26">
        <v>0</v>
      </c>
      <c r="Z26">
        <v>0</v>
      </c>
      <c r="AA26">
        <v>0</v>
      </c>
      <c r="AB26">
        <v>1.362419</v>
      </c>
      <c r="AC26">
        <v>4.5798079999999999</v>
      </c>
      <c r="AD26" s="14">
        <v>1.176088E-5</v>
      </c>
      <c r="AE26">
        <v>7.6254000000000002E-2</v>
      </c>
      <c r="AF26">
        <v>8.8833999999999996E-2</v>
      </c>
      <c r="AG26">
        <v>0.67223200000000005</v>
      </c>
      <c r="AH26">
        <v>0.29511999999999999</v>
      </c>
      <c r="AI26">
        <v>4.9514000000000002E-2</v>
      </c>
      <c r="AJ26">
        <v>7.9107999999999998E-2</v>
      </c>
      <c r="AK26" s="14">
        <v>2.9300000000000002E-4</v>
      </c>
      <c r="AL26">
        <v>9.9819999999999996E-3</v>
      </c>
      <c r="AM26" s="14">
        <v>6.6466710000000001E-6</v>
      </c>
      <c r="AN26">
        <v>0</v>
      </c>
      <c r="AO26">
        <v>0</v>
      </c>
      <c r="AP26">
        <v>0</v>
      </c>
      <c r="AQ26" s="14">
        <v>0</v>
      </c>
      <c r="AR26" s="14">
        <v>6.4672999999999994E-2</v>
      </c>
      <c r="AS26">
        <v>6.1425E-2</v>
      </c>
      <c r="AT26">
        <v>1.0028E-2</v>
      </c>
      <c r="AU26">
        <v>0</v>
      </c>
    </row>
    <row r="27" spans="1:48" x14ac:dyDescent="0.25">
      <c r="B27">
        <v>15</v>
      </c>
      <c r="C27">
        <v>0</v>
      </c>
      <c r="D27">
        <v>13</v>
      </c>
      <c r="E27">
        <v>58.783656000000001</v>
      </c>
      <c r="F27">
        <v>1499.880645</v>
      </c>
      <c r="G27">
        <v>8.9899999999999995E-4</v>
      </c>
      <c r="H27">
        <v>67.975633000000002</v>
      </c>
      <c r="I27">
        <v>72.268665999999996</v>
      </c>
      <c r="J27">
        <v>467.64010999999999</v>
      </c>
      <c r="K27">
        <v>89.620890000000003</v>
      </c>
      <c r="L27">
        <v>29.1</v>
      </c>
      <c r="M27">
        <v>13.832257999999999</v>
      </c>
      <c r="N27">
        <v>1.1871E-2</v>
      </c>
      <c r="O27">
        <v>0.49504799999999999</v>
      </c>
      <c r="P27">
        <v>0.96958699999999998</v>
      </c>
      <c r="Q27">
        <v>25</v>
      </c>
      <c r="R27">
        <v>-15</v>
      </c>
      <c r="S27">
        <v>-15</v>
      </c>
      <c r="T27">
        <v>1.175</v>
      </c>
      <c r="U27">
        <v>0.87444999999999995</v>
      </c>
      <c r="V27">
        <v>0.85394300000000001</v>
      </c>
      <c r="W27">
        <v>1.0559350000000001</v>
      </c>
      <c r="X27">
        <v>30</v>
      </c>
      <c r="Y27">
        <v>0</v>
      </c>
      <c r="Z27">
        <v>0</v>
      </c>
      <c r="AA27">
        <v>0</v>
      </c>
      <c r="AB27">
        <v>0.33696599999999999</v>
      </c>
      <c r="AC27">
        <v>2.016667</v>
      </c>
      <c r="AD27" s="14">
        <v>2.599835E-6</v>
      </c>
      <c r="AE27">
        <v>1.8534999999999999E-2</v>
      </c>
      <c r="AF27">
        <v>1.1754000000000001E-2</v>
      </c>
      <c r="AG27">
        <v>0.17216000000000001</v>
      </c>
      <c r="AH27">
        <v>0.38564599999999999</v>
      </c>
      <c r="AI27" s="14">
        <v>3.6114400000000002E-15</v>
      </c>
      <c r="AJ27">
        <v>5.9928000000000002E-2</v>
      </c>
      <c r="AK27" s="14">
        <v>5.5739139999999999E-5</v>
      </c>
      <c r="AL27">
        <v>2.395E-3</v>
      </c>
      <c r="AM27" s="14">
        <v>6.1397720000000001E-6</v>
      </c>
      <c r="AN27">
        <v>0</v>
      </c>
      <c r="AO27">
        <v>0</v>
      </c>
      <c r="AP27">
        <v>0</v>
      </c>
      <c r="AQ27" s="14">
        <v>0</v>
      </c>
      <c r="AR27">
        <v>4.8432999999999997E-2</v>
      </c>
      <c r="AS27">
        <v>1.8627999999999999E-2</v>
      </c>
      <c r="AT27">
        <v>1.7650000000000001E-3</v>
      </c>
      <c r="AU27">
        <v>0</v>
      </c>
    </row>
    <row r="28" spans="1:48" x14ac:dyDescent="0.25">
      <c r="B28">
        <v>15</v>
      </c>
      <c r="C28">
        <v>0</v>
      </c>
      <c r="D28">
        <v>14</v>
      </c>
      <c r="E28">
        <v>60.330753000000001</v>
      </c>
      <c r="F28">
        <v>1499.1387099999999</v>
      </c>
      <c r="G28">
        <v>9.4300000000000004E-4</v>
      </c>
      <c r="H28">
        <v>68.135278</v>
      </c>
      <c r="I28">
        <v>72.606570000000005</v>
      </c>
      <c r="J28">
        <v>471.26856099999998</v>
      </c>
      <c r="K28">
        <v>89.873800000000003</v>
      </c>
      <c r="L28">
        <v>29.154838999999999</v>
      </c>
      <c r="M28">
        <v>13.929031999999999</v>
      </c>
      <c r="N28">
        <v>1.2288E-2</v>
      </c>
      <c r="O28">
        <v>0.51486200000000004</v>
      </c>
      <c r="P28">
        <v>0.96959399999999996</v>
      </c>
      <c r="Q28">
        <v>40</v>
      </c>
      <c r="R28">
        <v>-14</v>
      </c>
      <c r="S28">
        <v>-14</v>
      </c>
      <c r="T28">
        <v>1.19</v>
      </c>
      <c r="U28">
        <v>0.83298799999999995</v>
      </c>
      <c r="V28">
        <v>0.79786800000000002</v>
      </c>
      <c r="W28">
        <v>1.04518</v>
      </c>
      <c r="X28">
        <v>30</v>
      </c>
      <c r="Y28">
        <v>0</v>
      </c>
      <c r="Z28">
        <v>0</v>
      </c>
      <c r="AA28">
        <v>0</v>
      </c>
      <c r="AB28">
        <v>0.26876800000000001</v>
      </c>
      <c r="AC28">
        <v>2.1190690000000001</v>
      </c>
      <c r="AD28" s="14">
        <v>2.044137E-6</v>
      </c>
      <c r="AE28">
        <v>4.0806000000000002E-2</v>
      </c>
      <c r="AF28">
        <v>4.9181000000000002E-2</v>
      </c>
      <c r="AG28">
        <v>0.191859</v>
      </c>
      <c r="AH28">
        <v>0.29569200000000001</v>
      </c>
      <c r="AI28">
        <v>5.0588000000000001E-2</v>
      </c>
      <c r="AJ28">
        <v>0.141877</v>
      </c>
      <c r="AK28" s="14">
        <v>3.5288079999999997E-5</v>
      </c>
      <c r="AL28">
        <v>2.2590000000000002E-3</v>
      </c>
      <c r="AM28" s="14">
        <v>8.7524740000000002E-6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1.2118E-2</v>
      </c>
      <c r="AT28">
        <v>3.9500000000000001E-4</v>
      </c>
      <c r="AU28">
        <v>0</v>
      </c>
    </row>
    <row r="29" spans="1:48" x14ac:dyDescent="0.25">
      <c r="AD29" s="14"/>
      <c r="AK29" s="14"/>
      <c r="AM29" s="14"/>
      <c r="AQ29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EDE0306ACA4F838A2D787CD51A0C" ma:contentTypeVersion="11" ma:contentTypeDescription="Create a new document." ma:contentTypeScope="" ma:versionID="2d8a21fc1e09dcbfba3b9e639b3ee819">
  <xsd:schema xmlns:xsd="http://www.w3.org/2001/XMLSchema" xmlns:xs="http://www.w3.org/2001/XMLSchema" xmlns:p="http://schemas.microsoft.com/office/2006/metadata/properties" xmlns:ns3="633a4c86-2d81-4066-a08e-01e0f7dc0eaa" xmlns:ns4="ed4a7255-1eee-4097-8386-0386a4637515" targetNamespace="http://schemas.microsoft.com/office/2006/metadata/properties" ma:root="true" ma:fieldsID="4bc27c01aa45c5827184870986cb23cf" ns3:_="" ns4:_="">
    <xsd:import namespace="633a4c86-2d81-4066-a08e-01e0f7dc0eaa"/>
    <xsd:import namespace="ed4a7255-1eee-4097-8386-0386a4637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a4c86-2d81-4066-a08e-01e0f7dc0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a7255-1eee-4097-8386-0386a4637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83FF54-F733-45B5-802B-7364B15A6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3a4c86-2d81-4066-a08e-01e0f7dc0eaa"/>
    <ds:schemaRef ds:uri="ed4a7255-1eee-4097-8386-0386a4637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5F2A77-E73A-476A-B976-ECEFA9000E24}">
  <ds:schemaRefs>
    <ds:schemaRef ds:uri="http://purl.org/dc/dcmitype/"/>
    <ds:schemaRef ds:uri="http://schemas.openxmlformats.org/package/2006/metadata/core-properties"/>
    <ds:schemaRef ds:uri="http://purl.org/dc/elements/1.1/"/>
    <ds:schemaRef ds:uri="633a4c86-2d81-4066-a08e-01e0f7dc0eaa"/>
    <ds:schemaRef ds:uri="http://purl.org/dc/terms/"/>
    <ds:schemaRef ds:uri="http://schemas.microsoft.com/office/2006/metadata/properties"/>
    <ds:schemaRef ds:uri="http://schemas.microsoft.com/office/2006/documentManagement/types"/>
    <ds:schemaRef ds:uri="ed4a7255-1eee-4097-8386-0386a4637515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723661-BAC1-440D-9EA7-A659BA2F41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MNZ 10. vaja - povprečje</vt:lpstr>
      <vt:lpstr>Nicenje in span</vt:lpstr>
      <vt:lpstr>Import podatkov</vt:lpstr>
      <vt:lpstr>CO, O2, CO2, H2O</vt:lpstr>
      <vt:lpstr>HC, NO, NO2</vt:lpstr>
      <vt:lpstr>'Import podatkov'!Meritve_skupina3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Rodman Oprešnik Samuel</dc:creator>
  <cp:lastModifiedBy>SEMTECH</cp:lastModifiedBy>
  <dcterms:created xsi:type="dcterms:W3CDTF">2017-12-21T19:01:33Z</dcterms:created>
  <dcterms:modified xsi:type="dcterms:W3CDTF">2019-12-12T14:27:49Z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0x010100E146EDE0306ACA4F838A2D787CD51A0C</vt:lpwstr>
  </property>
</Properties>
</file>