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024" firstSheet="12" activeTab="17"/>
  </bookViews>
  <sheets>
    <sheet name="Sheet3" sheetId="38" state="hidden" r:id="rId1"/>
    <sheet name="01.Vhodni podatki" sheetId="11" r:id="rId2"/>
    <sheet name="Customer calculations MS" sheetId="13" state="hidden" r:id="rId3"/>
    <sheet name="Customer calculations" sheetId="9" state="hidden" r:id="rId4"/>
    <sheet name="Info data" sheetId="10" state="hidden" r:id="rId5"/>
    <sheet name="Calculation list" sheetId="4" state="hidden" r:id="rId6"/>
    <sheet name="230 kg smeti v metan-stara" sheetId="14" state="hidden" r:id="rId7"/>
    <sheet name="2300 kg smeti v metan (2)" sheetId="18" state="hidden" r:id="rId8"/>
    <sheet name="2300 kg smeti v metanol (2)" sheetId="20" state="hidden" r:id="rId9"/>
    <sheet name="2300 kg smeti v metanol" sheetId="15" state="hidden" r:id="rId10"/>
    <sheet name="2300 kg smeti v metanol bre (2" sheetId="25" state="hidden" r:id="rId11"/>
    <sheet name="01.1 Dodajane adsorbenta" sheetId="36" r:id="rId12"/>
    <sheet name="02. Pripravljeno gorivo" sheetId="29" r:id="rId13"/>
    <sheet name="03.1 Enacbe" sheetId="32" r:id="rId14"/>
    <sheet name="Thermodynamics" sheetId="7" r:id="rId15"/>
    <sheet name="03. Uplinjanje" sheetId="33" r:id="rId16"/>
    <sheet name="04.1 Enacbe" sheetId="35" r:id="rId17"/>
    <sheet name="04.Katrani" sheetId="34" r:id="rId18"/>
    <sheet name="05.bilanca energije" sheetId="43" r:id="rId19"/>
    <sheet name=" Uplinjanje-DELO" sheetId="28" state="hidden" r:id="rId20"/>
    <sheet name="03.1 Enacbe1" sheetId="31" state="hidden" r:id="rId21"/>
    <sheet name="03. Uplinjanje1" sheetId="30" state="hidden" r:id="rId22"/>
    <sheet name="2500 kg smeti v metanol brezWGS" sheetId="23" state="hidden" r:id="rId23"/>
    <sheet name="2300kg smeti v met.brezW z H2" sheetId="24" state="hidden" r:id="rId24"/>
    <sheet name="Makedonja Kisik" sheetId="27" state="hidden" r:id="rId25"/>
    <sheet name="375 kg smeti v H2-nov" sheetId="26" state="hidden" r:id="rId26"/>
    <sheet name="PODATKI ZA SHEMO" sheetId="21" state="hidden" r:id="rId27"/>
    <sheet name="03.1 Enacbe (2)" sheetId="37" state="hidden" r:id="rId28"/>
    <sheet name="eq" sheetId="22" state="hidden" r:id="rId29"/>
    <sheet name="Customer calculations metanol" sheetId="19" state="hidden" r:id="rId30"/>
    <sheet name="Slike" sheetId="17" state="hidden" r:id="rId31"/>
    <sheet name="Popravki" sheetId="12" state="hidden" r:id="rId32"/>
    <sheet name="Control model 100" sheetId="8" state="hidden" r:id="rId33"/>
  </sheets>
  <externalReferences>
    <externalReference r:id="rId34"/>
    <externalReference r:id="rId35"/>
    <externalReference r:id="rId36"/>
  </externalReferences>
  <definedNames>
    <definedName name="_Fill" hidden="1">[1]AN_JZP1!#REF!</definedName>
    <definedName name="_Table1_In1" hidden="1">[1]AN_JZP1!#REF!</definedName>
    <definedName name="_Table1_Out" hidden="1">#REF!</definedName>
    <definedName name="baseEcoBenefits">[2]Calculation!$G$146</definedName>
    <definedName name="baseEcoCostsA">[2]Calculation!$G$154</definedName>
    <definedName name="baseEcoCostsB">[2]Calculation!$G$161</definedName>
    <definedName name="baseENPV">[2]Calculation!$G$163</definedName>
    <definedName name="baseFNPVK">[2]Calculation!$G$129</definedName>
    <definedName name="baseInvestment">[2]Calculation!$G$78</definedName>
    <definedName name="baseOandM">[2]Calculation!$G$80</definedName>
    <definedName name="baseResidual">[2]Calculation!$G$83</definedName>
    <definedName name="baseRevenues">[2]Calculation!$G$79</definedName>
    <definedName name="baseTaxShieldDepreciation">[2]Calculation!$G$82</definedName>
    <definedName name="CASHFLOWS">#REF!</definedName>
    <definedName name="endMacro">'[2]Output-E'!$B$113</definedName>
    <definedName name="FA_O2" hidden="1">[1]AN_JZP1!#REF!</definedName>
    <definedName name="IRR_NPV">#REF!</definedName>
    <definedName name="lowerEcoBenefits">[2]Input!$F$128</definedName>
    <definedName name="lowerEcoCostsA">[2]Input!$F$129</definedName>
    <definedName name="lowerEcoCostsB">[2]Input!$F$130</definedName>
    <definedName name="lowerENPV">[2]Sensitivity!$D$54</definedName>
    <definedName name="lowerFNPVK">[2]Sensitivity!$D$26</definedName>
    <definedName name="lowerInvestment">[2]Input!$F$125</definedName>
    <definedName name="lowerOandM">[2]Input!$F$127</definedName>
    <definedName name="lowerRevenues">[2]Input!$F$126</definedName>
    <definedName name="meanENPV">[2]Sensitivity!$E$52</definedName>
    <definedName name="meanFNPVK">[2]Sensitivity!$E$24</definedName>
    <definedName name="printOutCalc1">[2]Calculation!$B$6:$AR$72</definedName>
    <definedName name="printOutCalc2">[2]Calculation!$B$72:$AR$169</definedName>
    <definedName name="printOutInput">[2]Input!$B$2:$AQ$134</definedName>
    <definedName name="solver_adj" localSheetId="19" hidden="1">' Uplinjanje-DELO'!$N$42</definedName>
    <definedName name="solver_adj" localSheetId="15" hidden="1">'03. Uplinjanje'!$P$32</definedName>
    <definedName name="solver_adj" localSheetId="13" hidden="1">'03.1 Enacbe'!$K$4:$K$5</definedName>
    <definedName name="solver_adj" localSheetId="6" hidden="1">'230 kg smeti v metan-stara'!$M$18</definedName>
    <definedName name="solver_adj" localSheetId="7" hidden="1">'2300 kg smeti v metan (2)'!$N$21</definedName>
    <definedName name="solver_adj" localSheetId="9" hidden="1">'2300 kg smeti v metanol'!$N$41</definedName>
    <definedName name="solver_adj" localSheetId="8" hidden="1">'2300 kg smeti v metanol (2)'!$N$23</definedName>
    <definedName name="solver_adj" localSheetId="10" hidden="1">'2300 kg smeti v metanol bre (2'!$N$42</definedName>
    <definedName name="solver_adj" localSheetId="23" hidden="1">'2300kg smeti v met.brezW z H2'!$N$41</definedName>
    <definedName name="solver_adj" localSheetId="22" hidden="1">'2500 kg smeti v metanol brezWGS'!$N$42</definedName>
    <definedName name="solver_adj" localSheetId="25" hidden="1">'375 kg smeti v H2-nov'!$N$42</definedName>
    <definedName name="solver_adj" localSheetId="0" hidden="1">Sheet3!$G$3:$I$3</definedName>
    <definedName name="solver_cvg" localSheetId="19" hidden="1">0.0001</definedName>
    <definedName name="solver_cvg" localSheetId="15" hidden="1">0.0001</definedName>
    <definedName name="solver_cvg" localSheetId="13" hidden="1">0.0001</definedName>
    <definedName name="solver_cvg" localSheetId="6" hidden="1">0.0001</definedName>
    <definedName name="solver_cvg" localSheetId="7" hidden="1">0.0001</definedName>
    <definedName name="solver_cvg" localSheetId="9" hidden="1">0.0001</definedName>
    <definedName name="solver_cvg" localSheetId="8" hidden="1">0.0001</definedName>
    <definedName name="solver_cvg" localSheetId="10" hidden="1">0.0001</definedName>
    <definedName name="solver_cvg" localSheetId="23" hidden="1">0.0001</definedName>
    <definedName name="solver_cvg" localSheetId="22" hidden="1">0.0001</definedName>
    <definedName name="solver_cvg" localSheetId="25" hidden="1">0.0001</definedName>
    <definedName name="solver_cvg" localSheetId="0" hidden="1">0.0001</definedName>
    <definedName name="solver_drv" localSheetId="19" hidden="1">1</definedName>
    <definedName name="solver_drv" localSheetId="15" hidden="1">1</definedName>
    <definedName name="solver_drv" localSheetId="13" hidden="1">2</definedName>
    <definedName name="solver_drv" localSheetId="6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0" hidden="1">1</definedName>
    <definedName name="solver_drv" localSheetId="23" hidden="1">1</definedName>
    <definedName name="solver_drv" localSheetId="22" hidden="1">1</definedName>
    <definedName name="solver_drv" localSheetId="25" hidden="1">1</definedName>
    <definedName name="solver_drv" localSheetId="0" hidden="1">1</definedName>
    <definedName name="solver_eng" localSheetId="19" hidden="1">1</definedName>
    <definedName name="solver_eng" localSheetId="15" hidden="1">1</definedName>
    <definedName name="solver_eng" localSheetId="13" hidden="1">1</definedName>
    <definedName name="solver_eng" localSheetId="6" hidden="1">1</definedName>
    <definedName name="solver_eng" localSheetId="7" hidden="1">1</definedName>
    <definedName name="solver_eng" localSheetId="9" hidden="1">1</definedName>
    <definedName name="solver_eng" localSheetId="8" hidden="1">1</definedName>
    <definedName name="solver_eng" localSheetId="10" hidden="1">1</definedName>
    <definedName name="solver_eng" localSheetId="23" hidden="1">1</definedName>
    <definedName name="solver_eng" localSheetId="22" hidden="1">1</definedName>
    <definedName name="solver_eng" localSheetId="25" hidden="1">1</definedName>
    <definedName name="solver_eng" localSheetId="5" hidden="1">1</definedName>
    <definedName name="solver_eng" localSheetId="0" hidden="1">1</definedName>
    <definedName name="solver_est" localSheetId="19" hidden="1">1</definedName>
    <definedName name="solver_est" localSheetId="15" hidden="1">1</definedName>
    <definedName name="solver_est" localSheetId="13" hidden="1">1</definedName>
    <definedName name="solver_est" localSheetId="6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0" hidden="1">1</definedName>
    <definedName name="solver_est" localSheetId="23" hidden="1">1</definedName>
    <definedName name="solver_est" localSheetId="22" hidden="1">1</definedName>
    <definedName name="solver_est" localSheetId="25" hidden="1">1</definedName>
    <definedName name="solver_est" localSheetId="0" hidden="1">1</definedName>
    <definedName name="solver_itr" localSheetId="19" hidden="1">2147483647</definedName>
    <definedName name="solver_itr" localSheetId="15" hidden="1">2147483647</definedName>
    <definedName name="solver_itr" localSheetId="13" hidden="1">2147483647</definedName>
    <definedName name="solver_itr" localSheetId="6" hidden="1">2147483647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0" hidden="1">2147483647</definedName>
    <definedName name="solver_itr" localSheetId="23" hidden="1">2147483647</definedName>
    <definedName name="solver_itr" localSheetId="22" hidden="1">2147483647</definedName>
    <definedName name="solver_itr" localSheetId="25" hidden="1">2147483647</definedName>
    <definedName name="solver_itr" localSheetId="0" hidden="1">2147483647</definedName>
    <definedName name="solver_lhs1" localSheetId="13" hidden="1">'03.1 Enacbe'!$K$7</definedName>
    <definedName name="solver_lhs1" localSheetId="0" hidden="1">Sheet3!$G$3</definedName>
    <definedName name="solver_lhs2" localSheetId="13" hidden="1">'03.1 Enacbe'!$K$4:$K$5</definedName>
    <definedName name="solver_lhs2" localSheetId="0" hidden="1">Sheet3!$G$3</definedName>
    <definedName name="solver_lhs3" localSheetId="13" hidden="1">'03.1 Enacbe'!$K$4:$K$5</definedName>
    <definedName name="solver_lhs3" localSheetId="0" hidden="1">Sheet3!$H$3</definedName>
    <definedName name="solver_lhs4" localSheetId="13" hidden="1">'03.1 Enacbe'!$K$5</definedName>
    <definedName name="solver_lhs4" localSheetId="0" hidden="1">Sheet3!$H$3</definedName>
    <definedName name="solver_lhs5" localSheetId="13" hidden="1">'03.1 Enacbe'!$K$6</definedName>
    <definedName name="solver_lhs5" localSheetId="0" hidden="1">Sheet3!$I$3</definedName>
    <definedName name="solver_lhs6" localSheetId="13" hidden="1">'03.1 Enacbe'!$K$7</definedName>
    <definedName name="solver_lhs6" localSheetId="0" hidden="1">Sheet3!$I$3</definedName>
    <definedName name="solver_mip" localSheetId="19" hidden="1">2147483647</definedName>
    <definedName name="solver_mip" localSheetId="15" hidden="1">2147483647</definedName>
    <definedName name="solver_mip" localSheetId="13" hidden="1">2147483647</definedName>
    <definedName name="solver_mip" localSheetId="6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0" hidden="1">2147483647</definedName>
    <definedName name="solver_mip" localSheetId="23" hidden="1">2147483647</definedName>
    <definedName name="solver_mip" localSheetId="22" hidden="1">2147483647</definedName>
    <definedName name="solver_mip" localSheetId="25" hidden="1">2147483647</definedName>
    <definedName name="solver_mip" localSheetId="0" hidden="1">2147483647</definedName>
    <definedName name="solver_mni" localSheetId="19" hidden="1">30</definedName>
    <definedName name="solver_mni" localSheetId="15" hidden="1">30</definedName>
    <definedName name="solver_mni" localSheetId="13" hidden="1">30</definedName>
    <definedName name="solver_mni" localSheetId="6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0" hidden="1">30</definedName>
    <definedName name="solver_mni" localSheetId="23" hidden="1">30</definedName>
    <definedName name="solver_mni" localSheetId="22" hidden="1">30</definedName>
    <definedName name="solver_mni" localSheetId="25" hidden="1">30</definedName>
    <definedName name="solver_mni" localSheetId="0" hidden="1">30</definedName>
    <definedName name="solver_mrt" localSheetId="19" hidden="1">0.075</definedName>
    <definedName name="solver_mrt" localSheetId="15" hidden="1">0.075</definedName>
    <definedName name="solver_mrt" localSheetId="13" hidden="1">0.075</definedName>
    <definedName name="solver_mrt" localSheetId="6" hidden="1">0.075</definedName>
    <definedName name="solver_mrt" localSheetId="7" hidden="1">0.075</definedName>
    <definedName name="solver_mrt" localSheetId="9" hidden="1">0.075</definedName>
    <definedName name="solver_mrt" localSheetId="8" hidden="1">0.075</definedName>
    <definedName name="solver_mrt" localSheetId="10" hidden="1">0.075</definedName>
    <definedName name="solver_mrt" localSheetId="23" hidden="1">0.075</definedName>
    <definedName name="solver_mrt" localSheetId="22" hidden="1">0.075</definedName>
    <definedName name="solver_mrt" localSheetId="25" hidden="1">0.075</definedName>
    <definedName name="solver_mrt" localSheetId="0" hidden="1">0.075</definedName>
    <definedName name="solver_msl" localSheetId="19" hidden="1">2</definedName>
    <definedName name="solver_msl" localSheetId="15" hidden="1">2</definedName>
    <definedName name="solver_msl" localSheetId="13" hidden="1">2</definedName>
    <definedName name="solver_msl" localSheetId="6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0" hidden="1">2</definedName>
    <definedName name="solver_msl" localSheetId="23" hidden="1">2</definedName>
    <definedName name="solver_msl" localSheetId="22" hidden="1">2</definedName>
    <definedName name="solver_msl" localSheetId="25" hidden="1">2</definedName>
    <definedName name="solver_msl" localSheetId="0" hidden="1">2</definedName>
    <definedName name="solver_neg" localSheetId="19" hidden="1">1</definedName>
    <definedName name="solver_neg" localSheetId="15" hidden="1">1</definedName>
    <definedName name="solver_neg" localSheetId="13" hidden="1">1</definedName>
    <definedName name="solver_neg" localSheetId="6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0" hidden="1">1</definedName>
    <definedName name="solver_neg" localSheetId="23" hidden="1">1</definedName>
    <definedName name="solver_neg" localSheetId="22" hidden="1">1</definedName>
    <definedName name="solver_neg" localSheetId="25" hidden="1">1</definedName>
    <definedName name="solver_neg" localSheetId="5" hidden="1">1</definedName>
    <definedName name="solver_neg" localSheetId="0" hidden="1">1</definedName>
    <definedName name="solver_nod" localSheetId="19" hidden="1">2147483647</definedName>
    <definedName name="solver_nod" localSheetId="15" hidden="1">2147483647</definedName>
    <definedName name="solver_nod" localSheetId="13" hidden="1">2147483647</definedName>
    <definedName name="solver_nod" localSheetId="6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0" hidden="1">2147483647</definedName>
    <definedName name="solver_nod" localSheetId="23" hidden="1">2147483647</definedName>
    <definedName name="solver_nod" localSheetId="22" hidden="1">2147483647</definedName>
    <definedName name="solver_nod" localSheetId="25" hidden="1">2147483647</definedName>
    <definedName name="solver_nod" localSheetId="0" hidden="1">2147483647</definedName>
    <definedName name="solver_num" localSheetId="19" hidden="1">0</definedName>
    <definedName name="solver_num" localSheetId="15" hidden="1">0</definedName>
    <definedName name="solver_num" localSheetId="13" hidden="1">3</definedName>
    <definedName name="solver_num" localSheetId="6" hidden="1">0</definedName>
    <definedName name="solver_num" localSheetId="7" hidden="1">0</definedName>
    <definedName name="solver_num" localSheetId="9" hidden="1">0</definedName>
    <definedName name="solver_num" localSheetId="8" hidden="1">0</definedName>
    <definedName name="solver_num" localSheetId="10" hidden="1">0</definedName>
    <definedName name="solver_num" localSheetId="23" hidden="1">0</definedName>
    <definedName name="solver_num" localSheetId="22" hidden="1">0</definedName>
    <definedName name="solver_num" localSheetId="25" hidden="1">0</definedName>
    <definedName name="solver_num" localSheetId="5" hidden="1">0</definedName>
    <definedName name="solver_num" localSheetId="0" hidden="1">6</definedName>
    <definedName name="solver_nwt" localSheetId="19" hidden="1">1</definedName>
    <definedName name="solver_nwt" localSheetId="15" hidden="1">1</definedName>
    <definedName name="solver_nwt" localSheetId="13" hidden="1">1</definedName>
    <definedName name="solver_nwt" localSheetId="6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0" hidden="1">1</definedName>
    <definedName name="solver_nwt" localSheetId="23" hidden="1">1</definedName>
    <definedName name="solver_nwt" localSheetId="22" hidden="1">1</definedName>
    <definedName name="solver_nwt" localSheetId="25" hidden="1">1</definedName>
    <definedName name="solver_nwt" localSheetId="0" hidden="1">1</definedName>
    <definedName name="solver_opt" localSheetId="19" hidden="1">' Uplinjanje-DELO'!$N$43</definedName>
    <definedName name="solver_opt" localSheetId="15" hidden="1">'03. Uplinjanje'!$P$31</definedName>
    <definedName name="solver_opt" localSheetId="13" hidden="1">'03.1 Enacbe'!$I$8</definedName>
    <definedName name="solver_opt" localSheetId="6" hidden="1">'230 kg smeti v metan-stara'!$H$18</definedName>
    <definedName name="solver_opt" localSheetId="7" hidden="1">'2300 kg smeti v metan (2)'!$N$22</definedName>
    <definedName name="solver_opt" localSheetId="9" hidden="1">'2300 kg smeti v metanol'!$N$42</definedName>
    <definedName name="solver_opt" localSheetId="8" hidden="1">'2300 kg smeti v metanol (2)'!$N$24</definedName>
    <definedName name="solver_opt" localSheetId="10" hidden="1">'2300 kg smeti v metanol bre (2'!$N$43</definedName>
    <definedName name="solver_opt" localSheetId="23" hidden="1">'2300kg smeti v met.brezW z H2'!$N$42</definedName>
    <definedName name="solver_opt" localSheetId="22" hidden="1">'2500 kg smeti v metanol brezWGS'!$N$43</definedName>
    <definedName name="solver_opt" localSheetId="25" hidden="1">'375 kg smeti v H2-nov'!$N$43</definedName>
    <definedName name="solver_opt" localSheetId="5" hidden="1">'Calculation list'!$D$27</definedName>
    <definedName name="solver_opt" localSheetId="0" hidden="1">Sheet3!$H$14</definedName>
    <definedName name="solver_pre" localSheetId="19" hidden="1">0.000001</definedName>
    <definedName name="solver_pre" localSheetId="15" hidden="1">0.000001</definedName>
    <definedName name="solver_pre" localSheetId="13" hidden="1">0.00001</definedName>
    <definedName name="solver_pre" localSheetId="6" hidden="1">0.000001</definedName>
    <definedName name="solver_pre" localSheetId="7" hidden="1">0.000001</definedName>
    <definedName name="solver_pre" localSheetId="9" hidden="1">0.000001</definedName>
    <definedName name="solver_pre" localSheetId="8" hidden="1">0.000001</definedName>
    <definedName name="solver_pre" localSheetId="10" hidden="1">0.000001</definedName>
    <definedName name="solver_pre" localSheetId="23" hidden="1">0.000001</definedName>
    <definedName name="solver_pre" localSheetId="22" hidden="1">0.000001</definedName>
    <definedName name="solver_pre" localSheetId="25" hidden="1">0.000001</definedName>
    <definedName name="solver_pre" localSheetId="0" hidden="1">0.000001</definedName>
    <definedName name="solver_rbv" localSheetId="19" hidden="1">1</definedName>
    <definedName name="solver_rbv" localSheetId="15" hidden="1">1</definedName>
    <definedName name="solver_rbv" localSheetId="13" hidden="1">2</definedName>
    <definedName name="solver_rbv" localSheetId="6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0" hidden="1">1</definedName>
    <definedName name="solver_rbv" localSheetId="23" hidden="1">1</definedName>
    <definedName name="solver_rbv" localSheetId="22" hidden="1">1</definedName>
    <definedName name="solver_rbv" localSheetId="25" hidden="1">1</definedName>
    <definedName name="solver_rbv" localSheetId="0" hidden="1">1</definedName>
    <definedName name="solver_rel1" localSheetId="13" hidden="1">3</definedName>
    <definedName name="solver_rel1" localSheetId="0" hidden="1">1</definedName>
    <definedName name="solver_rel2" localSheetId="13" hidden="1">3</definedName>
    <definedName name="solver_rel2" localSheetId="0" hidden="1">3</definedName>
    <definedName name="solver_rel3" localSheetId="13" hidden="1">1</definedName>
    <definedName name="solver_rel3" localSheetId="0" hidden="1">1</definedName>
    <definedName name="solver_rel4" localSheetId="13" hidden="1">3</definedName>
    <definedName name="solver_rel4" localSheetId="0" hidden="1">3</definedName>
    <definedName name="solver_rel5" localSheetId="13" hidden="1">3</definedName>
    <definedName name="solver_rel5" localSheetId="0" hidden="1">1</definedName>
    <definedName name="solver_rel6" localSheetId="13" hidden="1">3</definedName>
    <definedName name="solver_rel6" localSheetId="0" hidden="1">3</definedName>
    <definedName name="solver_rhs1" localSheetId="13" hidden="1">0</definedName>
    <definedName name="solver_rhs1" localSheetId="0" hidden="1">200</definedName>
    <definedName name="solver_rhs2" localSheetId="13" hidden="1">0</definedName>
    <definedName name="solver_rhs2" localSheetId="0" hidden="1">5</definedName>
    <definedName name="solver_rhs3" localSheetId="13" hidden="1">8</definedName>
    <definedName name="solver_rhs3" localSheetId="0" hidden="1">200</definedName>
    <definedName name="solver_rhs4" localSheetId="13" hidden="1">0</definedName>
    <definedName name="solver_rhs4" localSheetId="0" hidden="1">5</definedName>
    <definedName name="solver_rhs5" localSheetId="13" hidden="1">0</definedName>
    <definedName name="solver_rhs5" localSheetId="0" hidden="1">-20</definedName>
    <definedName name="solver_rhs6" localSheetId="13" hidden="1">0</definedName>
    <definedName name="solver_rhs6" localSheetId="0" hidden="1">-1000</definedName>
    <definedName name="solver_rlx" localSheetId="19" hidden="1">2</definedName>
    <definedName name="solver_rlx" localSheetId="15" hidden="1">2</definedName>
    <definedName name="solver_rlx" localSheetId="13" hidden="1">2</definedName>
    <definedName name="solver_rlx" localSheetId="6" hidden="1">2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0" hidden="1">2</definedName>
    <definedName name="solver_rlx" localSheetId="23" hidden="1">2</definedName>
    <definedName name="solver_rlx" localSheetId="22" hidden="1">2</definedName>
    <definedName name="solver_rlx" localSheetId="25" hidden="1">2</definedName>
    <definedName name="solver_rlx" localSheetId="0" hidden="1">2</definedName>
    <definedName name="solver_rsd" localSheetId="19" hidden="1">0</definedName>
    <definedName name="solver_rsd" localSheetId="15" hidden="1">0</definedName>
    <definedName name="solver_rsd" localSheetId="13" hidden="1">0</definedName>
    <definedName name="solver_rsd" localSheetId="6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0" hidden="1">0</definedName>
    <definedName name="solver_rsd" localSheetId="23" hidden="1">0</definedName>
    <definedName name="solver_rsd" localSheetId="22" hidden="1">0</definedName>
    <definedName name="solver_rsd" localSheetId="25" hidden="1">0</definedName>
    <definedName name="solver_rsd" localSheetId="0" hidden="1">0</definedName>
    <definedName name="solver_scl" localSheetId="19" hidden="1">1</definedName>
    <definedName name="solver_scl" localSheetId="15" hidden="1">1</definedName>
    <definedName name="solver_scl" localSheetId="13" hidden="1">2</definedName>
    <definedName name="solver_scl" localSheetId="6" hidden="1">1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0" hidden="1">1</definedName>
    <definedName name="solver_scl" localSheetId="23" hidden="1">1</definedName>
    <definedName name="solver_scl" localSheetId="22" hidden="1">1</definedName>
    <definedName name="solver_scl" localSheetId="25" hidden="1">1</definedName>
    <definedName name="solver_scl" localSheetId="0" hidden="1">1</definedName>
    <definedName name="solver_sho" localSheetId="19" hidden="1">2</definedName>
    <definedName name="solver_sho" localSheetId="15" hidden="1">2</definedName>
    <definedName name="solver_sho" localSheetId="13" hidden="1">2</definedName>
    <definedName name="solver_sho" localSheetId="6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0" hidden="1">2</definedName>
    <definedName name="solver_sho" localSheetId="23" hidden="1">2</definedName>
    <definedName name="solver_sho" localSheetId="22" hidden="1">2</definedName>
    <definedName name="solver_sho" localSheetId="25" hidden="1">2</definedName>
    <definedName name="solver_sho" localSheetId="0" hidden="1">2</definedName>
    <definedName name="solver_ssz" localSheetId="19" hidden="1">100</definedName>
    <definedName name="solver_ssz" localSheetId="15" hidden="1">100</definedName>
    <definedName name="solver_ssz" localSheetId="13" hidden="1">100</definedName>
    <definedName name="solver_ssz" localSheetId="6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0" hidden="1">100</definedName>
    <definedName name="solver_ssz" localSheetId="23" hidden="1">100</definedName>
    <definedName name="solver_ssz" localSheetId="22" hidden="1">100</definedName>
    <definedName name="solver_ssz" localSheetId="25" hidden="1">100</definedName>
    <definedName name="solver_ssz" localSheetId="0" hidden="1">100</definedName>
    <definedName name="solver_tim" localSheetId="19" hidden="1">2147483647</definedName>
    <definedName name="solver_tim" localSheetId="15" hidden="1">2147483647</definedName>
    <definedName name="solver_tim" localSheetId="13" hidden="1">2147483647</definedName>
    <definedName name="solver_tim" localSheetId="6" hidden="1">2147483647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0" hidden="1">2147483647</definedName>
    <definedName name="solver_tim" localSheetId="23" hidden="1">2147483647</definedName>
    <definedName name="solver_tim" localSheetId="22" hidden="1">2147483647</definedName>
    <definedName name="solver_tim" localSheetId="25" hidden="1">2147483647</definedName>
    <definedName name="solver_tim" localSheetId="0" hidden="1">2147483647</definedName>
    <definedName name="solver_tol" localSheetId="19" hidden="1">0.01</definedName>
    <definedName name="solver_tol" localSheetId="15" hidden="1">0.01</definedName>
    <definedName name="solver_tol" localSheetId="13" hidden="1">0.1</definedName>
    <definedName name="solver_tol" localSheetId="6" hidden="1">0.01</definedName>
    <definedName name="solver_tol" localSheetId="7" hidden="1">0.01</definedName>
    <definedName name="solver_tol" localSheetId="9" hidden="1">0.01</definedName>
    <definedName name="solver_tol" localSheetId="8" hidden="1">0.01</definedName>
    <definedName name="solver_tol" localSheetId="10" hidden="1">0.01</definedName>
    <definedName name="solver_tol" localSheetId="23" hidden="1">0.01</definedName>
    <definedName name="solver_tol" localSheetId="22" hidden="1">0.01</definedName>
    <definedName name="solver_tol" localSheetId="25" hidden="1">0.01</definedName>
    <definedName name="solver_tol" localSheetId="0" hidden="1">0.01</definedName>
    <definedName name="solver_typ" localSheetId="19" hidden="1">3</definedName>
    <definedName name="solver_typ" localSheetId="15" hidden="1">3</definedName>
    <definedName name="solver_typ" localSheetId="13" hidden="1">3</definedName>
    <definedName name="solver_typ" localSheetId="6" hidden="1">3</definedName>
    <definedName name="solver_typ" localSheetId="7" hidden="1">3</definedName>
    <definedName name="solver_typ" localSheetId="9" hidden="1">3</definedName>
    <definedName name="solver_typ" localSheetId="8" hidden="1">3</definedName>
    <definedName name="solver_typ" localSheetId="10" hidden="1">3</definedName>
    <definedName name="solver_typ" localSheetId="23" hidden="1">3</definedName>
    <definedName name="solver_typ" localSheetId="22" hidden="1">3</definedName>
    <definedName name="solver_typ" localSheetId="25" hidden="1">3</definedName>
    <definedName name="solver_typ" localSheetId="5" hidden="1">1</definedName>
    <definedName name="solver_typ" localSheetId="0" hidden="1">2</definedName>
    <definedName name="solver_val" localSheetId="19" hidden="1">2</definedName>
    <definedName name="solver_val" localSheetId="15" hidden="1">0</definedName>
    <definedName name="solver_val" localSheetId="13" hidden="1">0</definedName>
    <definedName name="solver_val" localSheetId="6" hidden="1">3.9</definedName>
    <definedName name="solver_val" localSheetId="7" hidden="1">3</definedName>
    <definedName name="solver_val" localSheetId="9" hidden="1">2</definedName>
    <definedName name="solver_val" localSheetId="8" hidden="1">2</definedName>
    <definedName name="solver_val" localSheetId="10" hidden="1">2</definedName>
    <definedName name="solver_val" localSheetId="23" hidden="1">2</definedName>
    <definedName name="solver_val" localSheetId="22" hidden="1">2</definedName>
    <definedName name="solver_val" localSheetId="25" hidden="1">1</definedName>
    <definedName name="solver_val" localSheetId="5" hidden="1">0</definedName>
    <definedName name="solver_val" localSheetId="0" hidden="1">0</definedName>
    <definedName name="solver_ver" localSheetId="19" hidden="1">3</definedName>
    <definedName name="solver_ver" localSheetId="15" hidden="1">3</definedName>
    <definedName name="solver_ver" localSheetId="13" hidden="1">3</definedName>
    <definedName name="solver_ver" localSheetId="6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0" hidden="1">3</definedName>
    <definedName name="solver_ver" localSheetId="23" hidden="1">3</definedName>
    <definedName name="solver_ver" localSheetId="22" hidden="1">3</definedName>
    <definedName name="solver_ver" localSheetId="25" hidden="1">3</definedName>
    <definedName name="solver_ver" localSheetId="5" hidden="1">3</definedName>
    <definedName name="solver_ver" localSheetId="0" hidden="1">3</definedName>
    <definedName name="stdevENPV">[2]Sensitivity!$G$52</definedName>
    <definedName name="stdevFNPVK">[2]Sensitivity!$G$24</definedName>
    <definedName name="taxRate">[2]Input!$F$17</definedName>
    <definedName name="totalIterations">[2]Input!$F$132</definedName>
    <definedName name="upperEcoBenefits">[2]Input!$G$128</definedName>
    <definedName name="upperEcoCostsA">[2]Input!$G$129</definedName>
    <definedName name="upperEcoCostsB">[2]Input!$G$130</definedName>
    <definedName name="upperInvestment">[2]Input!$G$125</definedName>
    <definedName name="upperOandM">[2]Input!$G$127</definedName>
    <definedName name="upperRevenues">[2]Input!$G$126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34" l="1"/>
  <c r="X4" i="34"/>
  <c r="Q4" i="34"/>
  <c r="W15" i="34" s="1"/>
  <c r="B55" i="11"/>
  <c r="F9" i="36"/>
  <c r="B5" i="36"/>
  <c r="B6" i="36"/>
  <c r="E32" i="11"/>
  <c r="L40" i="11"/>
  <c r="L39" i="11"/>
  <c r="W4" i="34" l="1"/>
  <c r="M40" i="11"/>
  <c r="M32" i="11"/>
  <c r="L32" i="11"/>
  <c r="L58" i="11"/>
  <c r="L52" i="11"/>
  <c r="L56" i="11"/>
  <c r="L55" i="11"/>
  <c r="L50" i="11"/>
  <c r="L49" i="11"/>
  <c r="L51" i="11" l="1"/>
  <c r="L53" i="11" s="1"/>
  <c r="L57" i="11"/>
  <c r="L59" i="11" s="1"/>
  <c r="L44" i="32"/>
  <c r="L61" i="11" l="1"/>
  <c r="E46" i="7"/>
  <c r="D17" i="43"/>
  <c r="D8" i="43"/>
  <c r="D5" i="43"/>
  <c r="L41" i="11" l="1"/>
  <c r="L33" i="11" s="1"/>
  <c r="W21" i="34"/>
  <c r="Q2" i="34"/>
  <c r="M38" i="11" l="1"/>
  <c r="M35" i="11"/>
  <c r="M42" i="11"/>
  <c r="M43" i="11"/>
  <c r="G16" i="33"/>
  <c r="L3" i="33" l="1"/>
  <c r="N27" i="33"/>
  <c r="E36" i="11"/>
  <c r="W6" i="33" l="1"/>
  <c r="I7" i="11"/>
  <c r="R15" i="34"/>
  <c r="Q14" i="34"/>
  <c r="N39" i="11"/>
  <c r="N35" i="11" s="1"/>
  <c r="N34" i="11" s="1"/>
  <c r="M12" i="11"/>
  <c r="M47" i="11" s="1"/>
  <c r="M13" i="11"/>
  <c r="M14" i="11"/>
  <c r="M15" i="11"/>
  <c r="M16" i="11"/>
  <c r="M17" i="11"/>
  <c r="M11" i="11"/>
  <c r="M10" i="11"/>
  <c r="Q15" i="34"/>
  <c r="V25" i="34"/>
  <c r="V23" i="34"/>
  <c r="N10" i="33"/>
  <c r="N11" i="33" s="1"/>
  <c r="D50" i="32"/>
  <c r="E50" i="32"/>
  <c r="M5" i="29"/>
  <c r="M6" i="29"/>
  <c r="M4" i="29"/>
  <c r="L6" i="29"/>
  <c r="L5" i="29"/>
  <c r="L4" i="29"/>
  <c r="V7" i="33"/>
  <c r="V8" i="33"/>
  <c r="V9" i="33"/>
  <c r="V10" i="33"/>
  <c r="V11" i="33"/>
  <c r="V12" i="33"/>
  <c r="X9" i="33"/>
  <c r="Y9" i="33" s="1"/>
  <c r="X7" i="33"/>
  <c r="Y7" i="33" s="1"/>
  <c r="Q22" i="34" l="1"/>
  <c r="D11" i="43"/>
  <c r="M39" i="11"/>
  <c r="M41" i="11" s="1"/>
  <c r="M33" i="11" s="1"/>
  <c r="M46" i="11"/>
  <c r="I10" i="11"/>
  <c r="I11" i="11"/>
  <c r="I9" i="11"/>
  <c r="I8" i="11"/>
  <c r="P27" i="34"/>
  <c r="Q9" i="34"/>
  <c r="X8" i="33"/>
  <c r="Y8" i="33" s="1"/>
  <c r="I55" i="32" l="1"/>
  <c r="I54" i="32"/>
  <c r="I53" i="32" a="1"/>
  <c r="I53" i="32" s="1"/>
  <c r="I51" i="32" a="1"/>
  <c r="I51" i="32" s="1"/>
  <c r="I48" i="32"/>
  <c r="I4" i="32" l="1"/>
  <c r="I31" i="33" l="1"/>
  <c r="I30" i="33" l="1"/>
  <c r="G11" i="38"/>
  <c r="H11" i="38" s="1"/>
  <c r="G12" i="38"/>
  <c r="H12" i="38" s="1"/>
  <c r="G13" i="38"/>
  <c r="H13" i="38" s="1"/>
  <c r="G10" i="38"/>
  <c r="H10" i="38" s="1"/>
  <c r="K6" i="38"/>
  <c r="K7" i="38"/>
  <c r="K8" i="38"/>
  <c r="A6" i="38"/>
  <c r="A7" i="38"/>
  <c r="A8" i="38"/>
  <c r="A5" i="38"/>
  <c r="B6" i="38"/>
  <c r="B7" i="38"/>
  <c r="B8" i="38"/>
  <c r="B5" i="38"/>
  <c r="C6" i="38"/>
  <c r="C7" i="38"/>
  <c r="C8" i="38"/>
  <c r="C5" i="38"/>
  <c r="D5" i="38"/>
  <c r="K5" i="38" s="1"/>
  <c r="D6" i="38"/>
  <c r="D7" i="38"/>
  <c r="D8" i="38"/>
  <c r="H14" i="38" l="1"/>
  <c r="F16" i="32" l="1"/>
  <c r="D16" i="32"/>
  <c r="B2" i="32"/>
  <c r="B4" i="32"/>
  <c r="C4" i="32"/>
  <c r="C5" i="32"/>
  <c r="C6" i="32"/>
  <c r="B7" i="32"/>
  <c r="C32" i="37"/>
  <c r="C28" i="37"/>
  <c r="D28" i="37" s="1"/>
  <c r="E28" i="37" s="1"/>
  <c r="A28" i="37"/>
  <c r="C27" i="37"/>
  <c r="A27" i="37"/>
  <c r="C23" i="37"/>
  <c r="D23" i="37" s="1"/>
  <c r="D25" i="37" s="1"/>
  <c r="H17" i="37"/>
  <c r="H16" i="37"/>
  <c r="H15" i="37"/>
  <c r="A14" i="37"/>
  <c r="E11" i="37"/>
  <c r="D11" i="37"/>
  <c r="F9" i="37"/>
  <c r="C9" i="37"/>
  <c r="D9" i="37" s="1"/>
  <c r="E9" i="37" s="1"/>
  <c r="I8" i="37"/>
  <c r="C8" i="37"/>
  <c r="I7" i="37"/>
  <c r="I6" i="37"/>
  <c r="E4" i="37"/>
  <c r="C3" i="37"/>
  <c r="B3" i="37"/>
  <c r="C21" i="11"/>
  <c r="F21" i="11" s="1"/>
  <c r="D27" i="37" l="1"/>
  <c r="E27" i="37" s="1"/>
  <c r="E29" i="37" s="1"/>
  <c r="B5" i="34"/>
  <c r="B6" i="34"/>
  <c r="B7" i="34"/>
  <c r="B9" i="34"/>
  <c r="B10" i="34"/>
  <c r="B11" i="34"/>
  <c r="B14" i="34"/>
  <c r="D14" i="34"/>
  <c r="G20" i="33"/>
  <c r="B19" i="33"/>
  <c r="B18" i="33"/>
  <c r="D17" i="33"/>
  <c r="B17" i="33"/>
  <c r="D16" i="33"/>
  <c r="B16" i="33"/>
  <c r="D15" i="33"/>
  <c r="B15" i="33"/>
  <c r="D14" i="33"/>
  <c r="B14" i="33"/>
  <c r="D13" i="33"/>
  <c r="B13" i="33"/>
  <c r="D12" i="33"/>
  <c r="B12" i="33"/>
  <c r="B11" i="33"/>
  <c r="B10" i="33"/>
  <c r="B9" i="33"/>
  <c r="B8" i="33"/>
  <c r="B7" i="33"/>
  <c r="B6" i="33"/>
  <c r="D5" i="33"/>
  <c r="B5" i="33"/>
  <c r="D4" i="33"/>
  <c r="B4" i="33"/>
  <c r="G4" i="33" s="1"/>
  <c r="C39" i="32"/>
  <c r="C35" i="32"/>
  <c r="C34" i="32"/>
  <c r="C30" i="32"/>
  <c r="D30" i="32" s="1"/>
  <c r="D32" i="32" s="1"/>
  <c r="D18" i="32"/>
  <c r="E18" i="32" s="1"/>
  <c r="S15" i="32"/>
  <c r="S14" i="32"/>
  <c r="S13" i="32"/>
  <c r="N11" i="32"/>
  <c r="L9" i="32"/>
  <c r="B8" i="34" l="1"/>
  <c r="G5" i="33"/>
  <c r="V5" i="33" s="1"/>
  <c r="I20" i="30"/>
  <c r="J20" i="30" s="1"/>
  <c r="G19" i="30"/>
  <c r="F9" i="31"/>
  <c r="H16" i="31"/>
  <c r="H15" i="31"/>
  <c r="I8" i="31"/>
  <c r="I7" i="31"/>
  <c r="I6" i="31"/>
  <c r="C32" i="31"/>
  <c r="C28" i="31"/>
  <c r="A28" i="31"/>
  <c r="C27" i="31"/>
  <c r="A27" i="31"/>
  <c r="C23" i="31"/>
  <c r="D23" i="31" s="1"/>
  <c r="D25" i="31" s="1"/>
  <c r="A14" i="31"/>
  <c r="E11" i="31"/>
  <c r="D11" i="31"/>
  <c r="C9" i="31"/>
  <c r="D9" i="31" s="1"/>
  <c r="E9" i="31" s="1"/>
  <c r="C8" i="31"/>
  <c r="E4" i="31"/>
  <c r="C3" i="31"/>
  <c r="B3" i="31"/>
  <c r="B4" i="30"/>
  <c r="G4" i="30" s="1"/>
  <c r="D4" i="30"/>
  <c r="B5" i="30"/>
  <c r="G5" i="30" s="1"/>
  <c r="D5" i="30"/>
  <c r="B6" i="30"/>
  <c r="B7" i="30"/>
  <c r="B8" i="30"/>
  <c r="B9" i="30"/>
  <c r="B10" i="30"/>
  <c r="B11" i="30"/>
  <c r="B12" i="30"/>
  <c r="D12" i="30"/>
  <c r="B13" i="30"/>
  <c r="D13" i="30"/>
  <c r="B14" i="30"/>
  <c r="D14" i="30"/>
  <c r="B15" i="30"/>
  <c r="D15" i="30"/>
  <c r="B16" i="30"/>
  <c r="D16" i="30"/>
  <c r="B17" i="30"/>
  <c r="D17" i="30"/>
  <c r="B18" i="30"/>
  <c r="B19" i="30"/>
  <c r="E24" i="29"/>
  <c r="C4" i="33" s="1"/>
  <c r="K136" i="28"/>
  <c r="K135" i="28"/>
  <c r="N133" i="28"/>
  <c r="M133" i="28"/>
  <c r="K133" i="28"/>
  <c r="K137" i="28" s="1"/>
  <c r="J129" i="28"/>
  <c r="I129" i="28"/>
  <c r="G129" i="28"/>
  <c r="G127" i="28"/>
  <c r="G126" i="28"/>
  <c r="J125" i="28"/>
  <c r="G122" i="28"/>
  <c r="G128" i="28" s="1"/>
  <c r="K113" i="28"/>
  <c r="K114" i="28" s="1"/>
  <c r="M114" i="28" s="1"/>
  <c r="K112" i="28"/>
  <c r="J96" i="28"/>
  <c r="I96" i="28"/>
  <c r="H96" i="28" s="1"/>
  <c r="J76" i="28"/>
  <c r="H76" i="28"/>
  <c r="G59" i="28"/>
  <c r="G55" i="28"/>
  <c r="C48" i="28"/>
  <c r="I47" i="28"/>
  <c r="H47" i="28"/>
  <c r="C44" i="28"/>
  <c r="D44" i="28" s="1"/>
  <c r="E44" i="28" s="1"/>
  <c r="A44" i="28"/>
  <c r="C43" i="28"/>
  <c r="A43" i="28"/>
  <c r="I41" i="28"/>
  <c r="I36" i="28"/>
  <c r="H36" i="28" s="1"/>
  <c r="I35" i="28"/>
  <c r="H35" i="28" s="1"/>
  <c r="I34" i="28"/>
  <c r="H34" i="28"/>
  <c r="I31" i="28"/>
  <c r="A30" i="28"/>
  <c r="J27" i="28"/>
  <c r="I27" i="28"/>
  <c r="H27" i="28"/>
  <c r="H31" i="28" s="1"/>
  <c r="B24" i="28"/>
  <c r="E20" i="28"/>
  <c r="B19" i="28"/>
  <c r="N14" i="28"/>
  <c r="L14" i="28"/>
  <c r="J14" i="28"/>
  <c r="I14" i="28"/>
  <c r="H14" i="28"/>
  <c r="D9" i="28"/>
  <c r="N8" i="28"/>
  <c r="K5" i="28"/>
  <c r="K6" i="28" s="1"/>
  <c r="J5" i="28"/>
  <c r="J6" i="28" s="1"/>
  <c r="N4" i="28"/>
  <c r="N5" i="28" s="1"/>
  <c r="N9" i="28" s="1"/>
  <c r="N10" i="28" s="1"/>
  <c r="M4" i="28"/>
  <c r="M5" i="28" s="1"/>
  <c r="M9" i="28" s="1"/>
  <c r="L4" i="28"/>
  <c r="K4" i="28"/>
  <c r="H17" i="28" s="1"/>
  <c r="I17" i="28" s="1"/>
  <c r="J4" i="28"/>
  <c r="H16" i="28" s="1"/>
  <c r="I16" i="28" s="1"/>
  <c r="I4" i="28"/>
  <c r="H15" i="28" s="1"/>
  <c r="H4" i="28"/>
  <c r="Q3" i="28"/>
  <c r="O4" i="28" s="1"/>
  <c r="C16" i="11"/>
  <c r="C12" i="11"/>
  <c r="C11" i="11"/>
  <c r="C15" i="11"/>
  <c r="C9" i="11"/>
  <c r="C13" i="11"/>
  <c r="C10" i="11"/>
  <c r="M24" i="11"/>
  <c r="M30" i="11" s="1"/>
  <c r="N24" i="11"/>
  <c r="C20" i="11"/>
  <c r="C17" i="11"/>
  <c r="C18" i="11"/>
  <c r="C19" i="11"/>
  <c r="F13" i="11" l="1"/>
  <c r="C5" i="36"/>
  <c r="D27" i="31"/>
  <c r="E27" i="31" s="1"/>
  <c r="E29" i="31" s="1"/>
  <c r="F17" i="11"/>
  <c r="D15" i="11"/>
  <c r="F15" i="11"/>
  <c r="F20" i="11"/>
  <c r="D10" i="11"/>
  <c r="F10" i="11"/>
  <c r="D11" i="11"/>
  <c r="F11" i="11"/>
  <c r="F19" i="11"/>
  <c r="D12" i="11"/>
  <c r="F12" i="11"/>
  <c r="F18" i="11"/>
  <c r="D9" i="11"/>
  <c r="F9" i="11"/>
  <c r="F16" i="11"/>
  <c r="C4" i="30"/>
  <c r="J6" i="37"/>
  <c r="K6" i="37" s="1"/>
  <c r="D13" i="11"/>
  <c r="T15" i="32"/>
  <c r="U15" i="32" s="1"/>
  <c r="H20" i="30"/>
  <c r="D28" i="31"/>
  <c r="E28" i="31" s="1"/>
  <c r="H18" i="28"/>
  <c r="H118" i="28" s="1"/>
  <c r="H129" i="28" s="1"/>
  <c r="I70" i="28"/>
  <c r="J41" i="28"/>
  <c r="H41" i="28"/>
  <c r="I52" i="28"/>
  <c r="I15" i="28"/>
  <c r="H20" i="28"/>
  <c r="M10" i="28"/>
  <c r="Q10" i="28" s="1"/>
  <c r="R10" i="28" s="1"/>
  <c r="Q9" i="28"/>
  <c r="R9" i="28" s="1"/>
  <c r="Q4" i="28"/>
  <c r="H13" i="28"/>
  <c r="L13" i="28" s="1"/>
  <c r="O13" i="28" s="1"/>
  <c r="I28" i="28"/>
  <c r="D43" i="28"/>
  <c r="E43" i="28" s="1"/>
  <c r="E45" i="28" s="1"/>
  <c r="I32" i="28"/>
  <c r="I45" i="28"/>
  <c r="I5" i="28"/>
  <c r="I6" i="28" s="1"/>
  <c r="I7" i="28" s="1"/>
  <c r="I8" i="28" s="1"/>
  <c r="C14" i="11"/>
  <c r="C6" i="36" s="1"/>
  <c r="D41" i="11" l="1"/>
  <c r="D44" i="11"/>
  <c r="D4" i="32" s="1"/>
  <c r="E44" i="11"/>
  <c r="E4" i="32" s="1"/>
  <c r="D43" i="11"/>
  <c r="D3" i="32" s="1"/>
  <c r="E43" i="11"/>
  <c r="D42" i="11"/>
  <c r="D2" i="32" s="1"/>
  <c r="J7" i="37"/>
  <c r="K7" i="37" s="1"/>
  <c r="D45" i="11"/>
  <c r="D5" i="32" s="1"/>
  <c r="E45" i="11"/>
  <c r="J8" i="37"/>
  <c r="K8" i="37" s="1"/>
  <c r="E46" i="11"/>
  <c r="E6" i="32" s="1"/>
  <c r="H5" i="32" s="1"/>
  <c r="K7" i="32" s="1"/>
  <c r="I52" i="32" s="1"/>
  <c r="D46" i="11"/>
  <c r="D6" i="32" s="1"/>
  <c r="H12" i="36"/>
  <c r="C12" i="36"/>
  <c r="H10" i="36"/>
  <c r="I12" i="36"/>
  <c r="C10" i="36"/>
  <c r="H11" i="36"/>
  <c r="C11" i="36"/>
  <c r="E11" i="36" s="1"/>
  <c r="F11" i="36" s="1"/>
  <c r="D10" i="36"/>
  <c r="D11" i="36"/>
  <c r="D12" i="36"/>
  <c r="E3" i="32"/>
  <c r="G6" i="33" s="1"/>
  <c r="V6" i="33" s="1"/>
  <c r="J8" i="31"/>
  <c r="K8" i="31" s="1"/>
  <c r="J7" i="31"/>
  <c r="K7" i="31" s="1"/>
  <c r="T14" i="32"/>
  <c r="U14" i="32" s="1"/>
  <c r="J6" i="31"/>
  <c r="K6" i="31" s="1"/>
  <c r="T13" i="32"/>
  <c r="U13" i="32" s="1"/>
  <c r="E5" i="32"/>
  <c r="G48" i="32" s="1"/>
  <c r="F14" i="11"/>
  <c r="E30" i="37"/>
  <c r="D14" i="11"/>
  <c r="H45" i="28"/>
  <c r="N45" i="28"/>
  <c r="J28" i="28"/>
  <c r="H28" i="28"/>
  <c r="J32" i="28"/>
  <c r="I33" i="28"/>
  <c r="H32" i="28"/>
  <c r="I20" i="28"/>
  <c r="D19" i="28" s="1"/>
  <c r="A23" i="28" s="1"/>
  <c r="C19" i="28"/>
  <c r="J52" i="28"/>
  <c r="H52" i="28"/>
  <c r="J18" i="28" s="1"/>
  <c r="J70" i="28"/>
  <c r="H70" i="28"/>
  <c r="L24" i="11"/>
  <c r="H6" i="27"/>
  <c r="G9" i="27"/>
  <c r="G5" i="27"/>
  <c r="G6" i="27"/>
  <c r="G7" i="27"/>
  <c r="G8" i="27"/>
  <c r="G4" i="27"/>
  <c r="I8" i="27"/>
  <c r="I4" i="27"/>
  <c r="F4" i="27"/>
  <c r="E8" i="27"/>
  <c r="F8" i="27" s="1"/>
  <c r="E5" i="27"/>
  <c r="I5" i="27" s="1"/>
  <c r="E6" i="27"/>
  <c r="I6" i="27" s="1"/>
  <c r="E7" i="27"/>
  <c r="F7" i="27" s="1"/>
  <c r="E4" i="27"/>
  <c r="E12" i="36" l="1"/>
  <c r="F12" i="36" s="1"/>
  <c r="E10" i="36"/>
  <c r="F10" i="36" s="1"/>
  <c r="D9" i="32"/>
  <c r="D14" i="32"/>
  <c r="B14" i="32"/>
  <c r="L7" i="32"/>
  <c r="M7" i="32"/>
  <c r="B13" i="32"/>
  <c r="H16" i="32"/>
  <c r="H4" i="32"/>
  <c r="K3" i="32" s="1"/>
  <c r="F49" i="11"/>
  <c r="N7" i="32"/>
  <c r="E47" i="11"/>
  <c r="B50" i="32"/>
  <c r="F50" i="11"/>
  <c r="Q7" i="32"/>
  <c r="I5" i="32" s="1"/>
  <c r="O7" i="32"/>
  <c r="B48" i="32"/>
  <c r="F51" i="11"/>
  <c r="D13" i="32"/>
  <c r="G14" i="32"/>
  <c r="E14" i="32" s="1"/>
  <c r="P7" i="32"/>
  <c r="R7" i="32"/>
  <c r="A11" i="7"/>
  <c r="D47" i="11"/>
  <c r="D7" i="32" s="1"/>
  <c r="E30" i="31"/>
  <c r="C13" i="32"/>
  <c r="H3" i="32"/>
  <c r="H6" i="32" s="1"/>
  <c r="K6" i="32" s="1"/>
  <c r="B16" i="32" s="1"/>
  <c r="F48" i="32"/>
  <c r="C48" i="32"/>
  <c r="E13" i="32"/>
  <c r="C17" i="36"/>
  <c r="C15" i="36"/>
  <c r="G16" i="32"/>
  <c r="J33" i="28"/>
  <c r="H33" i="28"/>
  <c r="I24" i="28"/>
  <c r="I23" i="28"/>
  <c r="I22" i="28"/>
  <c r="A21" i="28"/>
  <c r="A24" i="28"/>
  <c r="I3" i="27"/>
  <c r="J3" i="27" s="1"/>
  <c r="K3" i="27" s="1"/>
  <c r="F6" i="27"/>
  <c r="F5" i="27"/>
  <c r="D8" i="27"/>
  <c r="D9" i="27" s="1"/>
  <c r="E9" i="27" s="1"/>
  <c r="F9" i="27" s="1"/>
  <c r="I29" i="26"/>
  <c r="C11" i="7" l="1"/>
  <c r="E7" i="32"/>
  <c r="Q6" i="32"/>
  <c r="I6" i="32" s="1"/>
  <c r="I8" i="32" s="1"/>
  <c r="I47" i="32" s="1"/>
  <c r="L6" i="32"/>
  <c r="F52" i="11"/>
  <c r="O6" i="32"/>
  <c r="P6" i="32"/>
  <c r="R6" i="32"/>
  <c r="N6" i="32"/>
  <c r="M6" i="32"/>
  <c r="E16" i="32"/>
  <c r="J22" i="28"/>
  <c r="H22" i="28"/>
  <c r="J23" i="28"/>
  <c r="I37" i="28"/>
  <c r="H23" i="28"/>
  <c r="I21" i="28"/>
  <c r="I25" i="28"/>
  <c r="J24" i="28"/>
  <c r="I38" i="28"/>
  <c r="H24" i="28"/>
  <c r="F3" i="27"/>
  <c r="H3" i="27" s="1"/>
  <c r="E61" i="26"/>
  <c r="F61" i="26"/>
  <c r="I26" i="26"/>
  <c r="J26" i="26" s="1"/>
  <c r="H25" i="28" l="1"/>
  <c r="N27" i="28" s="1"/>
  <c r="I39" i="28"/>
  <c r="J25" i="28"/>
  <c r="J37" i="28"/>
  <c r="I66" i="28"/>
  <c r="H37" i="28"/>
  <c r="I48" i="28"/>
  <c r="J19" i="28"/>
  <c r="I19" i="28"/>
  <c r="H114" i="28"/>
  <c r="I114" i="28" s="1"/>
  <c r="J114" i="28" s="1"/>
  <c r="L22" i="28"/>
  <c r="J38" i="28"/>
  <c r="I67" i="28"/>
  <c r="I49" i="28"/>
  <c r="N43" i="28"/>
  <c r="I42" i="28"/>
  <c r="H42" i="28" s="1"/>
  <c r="H38" i="28"/>
  <c r="I109" i="28"/>
  <c r="H21" i="28"/>
  <c r="I26" i="28"/>
  <c r="J21" i="28"/>
  <c r="I42" i="26"/>
  <c r="H42" i="26" s="1"/>
  <c r="I53" i="26"/>
  <c r="I61" i="26" s="1"/>
  <c r="J42" i="26"/>
  <c r="H26" i="26"/>
  <c r="A26" i="26"/>
  <c r="A30" i="23"/>
  <c r="H109" i="28" l="1"/>
  <c r="J109" i="28"/>
  <c r="L32" i="28"/>
  <c r="I50" i="28"/>
  <c r="J39" i="28"/>
  <c r="I68" i="28"/>
  <c r="H39" i="28"/>
  <c r="J26" i="28"/>
  <c r="J29" i="28" s="1"/>
  <c r="L27" i="28" s="1"/>
  <c r="H26" i="28"/>
  <c r="H115" i="28" s="1"/>
  <c r="I40" i="28"/>
  <c r="J67" i="28"/>
  <c r="I77" i="28"/>
  <c r="H67" i="28"/>
  <c r="J66" i="28"/>
  <c r="I81" i="28"/>
  <c r="H66" i="28"/>
  <c r="J48" i="28"/>
  <c r="H48" i="28"/>
  <c r="I56" i="28"/>
  <c r="K53" i="28"/>
  <c r="K54" i="28" s="1"/>
  <c r="H49" i="28"/>
  <c r="J49" i="28"/>
  <c r="I57" i="28"/>
  <c r="H113" i="28"/>
  <c r="I113" i="28" s="1"/>
  <c r="J113" i="28" s="1"/>
  <c r="H19" i="28"/>
  <c r="L21" i="28"/>
  <c r="J8" i="28"/>
  <c r="N26" i="28"/>
  <c r="N28" i="28" s="1"/>
  <c r="H61" i="26"/>
  <c r="J61" i="26"/>
  <c r="J53" i="26"/>
  <c r="H53" i="26"/>
  <c r="I63" i="26"/>
  <c r="C29" i="26"/>
  <c r="I49" i="26"/>
  <c r="H49" i="26" s="1"/>
  <c r="A48" i="26"/>
  <c r="I33" i="26" s="1"/>
  <c r="I34" i="26" s="1"/>
  <c r="A33" i="26"/>
  <c r="K156" i="26"/>
  <c r="K155" i="26"/>
  <c r="N150" i="26"/>
  <c r="M150" i="26"/>
  <c r="K153" i="26"/>
  <c r="J150" i="26"/>
  <c r="I150" i="26"/>
  <c r="G150" i="26"/>
  <c r="G148" i="26"/>
  <c r="G147" i="26"/>
  <c r="J146" i="26"/>
  <c r="G143" i="26"/>
  <c r="G149" i="26" s="1"/>
  <c r="K132" i="26"/>
  <c r="K133" i="26" s="1"/>
  <c r="K134" i="26" s="1"/>
  <c r="M131" i="26" s="1"/>
  <c r="I117" i="26"/>
  <c r="H117" i="26" s="1"/>
  <c r="J97" i="26"/>
  <c r="H97" i="26"/>
  <c r="G80" i="26"/>
  <c r="G76" i="26"/>
  <c r="C53" i="26"/>
  <c r="C49" i="26"/>
  <c r="C48" i="26"/>
  <c r="B24" i="26"/>
  <c r="E20" i="26"/>
  <c r="B19" i="26"/>
  <c r="H14" i="26"/>
  <c r="I14" i="26" s="1"/>
  <c r="D9" i="26"/>
  <c r="N8" i="26"/>
  <c r="K5" i="26"/>
  <c r="K6" i="26" s="1"/>
  <c r="J5" i="26"/>
  <c r="J6" i="26" s="1"/>
  <c r="N4" i="26"/>
  <c r="N5" i="26" s="1"/>
  <c r="M4" i="26"/>
  <c r="M5" i="26" s="1"/>
  <c r="L4" i="26"/>
  <c r="K4" i="26"/>
  <c r="H17" i="26" s="1"/>
  <c r="I17" i="26" s="1"/>
  <c r="J4" i="26"/>
  <c r="H16" i="26" s="1"/>
  <c r="I16" i="26" s="1"/>
  <c r="I4" i="26"/>
  <c r="H15" i="26" s="1"/>
  <c r="H4" i="26"/>
  <c r="Q3" i="26"/>
  <c r="O4" i="26" s="1"/>
  <c r="J81" i="28" l="1"/>
  <c r="H81" i="28"/>
  <c r="I51" i="28"/>
  <c r="J40" i="28"/>
  <c r="N52" i="28" s="1"/>
  <c r="I69" i="28"/>
  <c r="H40" i="28"/>
  <c r="H57" i="28"/>
  <c r="J57" i="28"/>
  <c r="O110" i="28"/>
  <c r="H77" i="28"/>
  <c r="H78" i="28" s="1"/>
  <c r="J77" i="28"/>
  <c r="J78" i="28" s="1"/>
  <c r="I115" i="28"/>
  <c r="H122" i="28"/>
  <c r="J68" i="28"/>
  <c r="I83" i="28"/>
  <c r="H68" i="28"/>
  <c r="N54" i="28"/>
  <c r="I71" i="28"/>
  <c r="I61" i="28"/>
  <c r="J56" i="28"/>
  <c r="J58" i="28" s="1"/>
  <c r="H56" i="28"/>
  <c r="I60" i="28"/>
  <c r="H71" i="28"/>
  <c r="I82" i="28"/>
  <c r="E46" i="28"/>
  <c r="H50" i="28"/>
  <c r="H121" i="28" s="1"/>
  <c r="J50" i="28"/>
  <c r="J53" i="28" s="1"/>
  <c r="L34" i="28"/>
  <c r="M9" i="26"/>
  <c r="N9" i="26"/>
  <c r="N10" i="26" s="1"/>
  <c r="Q9" i="26"/>
  <c r="A49" i="26"/>
  <c r="D49" i="26" s="1"/>
  <c r="E49" i="26" s="1"/>
  <c r="J117" i="26"/>
  <c r="K157" i="26"/>
  <c r="I28" i="26"/>
  <c r="D48" i="26"/>
  <c r="H20" i="26"/>
  <c r="I15" i="26"/>
  <c r="I5" i="26"/>
  <c r="I6" i="26" s="1"/>
  <c r="I7" i="26" s="1"/>
  <c r="I8" i="26" s="1"/>
  <c r="J14" i="26"/>
  <c r="N14" i="26"/>
  <c r="H18" i="26"/>
  <c r="H139" i="26" s="1"/>
  <c r="H150" i="26" s="1"/>
  <c r="H13" i="26"/>
  <c r="L13" i="26" s="1"/>
  <c r="O13" i="26" s="1"/>
  <c r="Q4" i="26"/>
  <c r="L14" i="26"/>
  <c r="J33" i="26"/>
  <c r="H33" i="26"/>
  <c r="K136" i="25"/>
  <c r="K135" i="25"/>
  <c r="N133" i="25"/>
  <c r="M133" i="25"/>
  <c r="K133" i="25"/>
  <c r="J129" i="25"/>
  <c r="I129" i="25"/>
  <c r="G129" i="25"/>
  <c r="G127" i="25"/>
  <c r="G126" i="25"/>
  <c r="J125" i="25"/>
  <c r="G122" i="25"/>
  <c r="G128" i="25" s="1"/>
  <c r="K112" i="25"/>
  <c r="K113" i="25" s="1"/>
  <c r="K114" i="25" s="1"/>
  <c r="M114" i="25" s="1"/>
  <c r="I96" i="25"/>
  <c r="H96" i="25" s="1"/>
  <c r="J76" i="25"/>
  <c r="H76" i="25"/>
  <c r="G59" i="25"/>
  <c r="G55" i="25"/>
  <c r="C48" i="25"/>
  <c r="I47" i="25"/>
  <c r="H47" i="25" s="1"/>
  <c r="C44" i="25"/>
  <c r="A44" i="25"/>
  <c r="I34" i="25" s="1"/>
  <c r="H34" i="25" s="1"/>
  <c r="C43" i="25"/>
  <c r="D43" i="25" s="1"/>
  <c r="E43" i="25" s="1"/>
  <c r="A43" i="25"/>
  <c r="I32" i="25" s="1"/>
  <c r="I36" i="25"/>
  <c r="I35" i="25"/>
  <c r="H35" i="25" s="1"/>
  <c r="I27" i="25"/>
  <c r="J27" i="25" s="1"/>
  <c r="H27" i="25"/>
  <c r="B24" i="25"/>
  <c r="E20" i="25"/>
  <c r="B19" i="25"/>
  <c r="H14" i="25"/>
  <c r="I14" i="25" s="1"/>
  <c r="D9" i="25"/>
  <c r="N8" i="25"/>
  <c r="K5" i="25"/>
  <c r="K6" i="25" s="1"/>
  <c r="J5" i="25"/>
  <c r="J6" i="25" s="1"/>
  <c r="N4" i="25"/>
  <c r="N5" i="25" s="1"/>
  <c r="M4" i="25"/>
  <c r="M5" i="25" s="1"/>
  <c r="L4" i="25"/>
  <c r="K4" i="25"/>
  <c r="H17" i="25" s="1"/>
  <c r="I17" i="25" s="1"/>
  <c r="J4" i="25"/>
  <c r="H16" i="25" s="1"/>
  <c r="I16" i="25" s="1"/>
  <c r="I4" i="25"/>
  <c r="I5" i="25" s="1"/>
  <c r="I6" i="25" s="1"/>
  <c r="H4" i="25"/>
  <c r="Q3" i="25"/>
  <c r="O4" i="25" s="1"/>
  <c r="I121" i="28" l="1"/>
  <c r="H127" i="28"/>
  <c r="H61" i="28"/>
  <c r="H120" i="28" s="1"/>
  <c r="I120" i="28" s="1"/>
  <c r="J120" i="28" s="1"/>
  <c r="J61" i="28"/>
  <c r="O111" i="28"/>
  <c r="J51" i="28"/>
  <c r="I55" i="28"/>
  <c r="I59" i="28"/>
  <c r="H51" i="28"/>
  <c r="H60" i="28"/>
  <c r="H119" i="28" s="1"/>
  <c r="I119" i="28" s="1"/>
  <c r="J119" i="28" s="1"/>
  <c r="K119" i="28" s="1"/>
  <c r="K120" i="28" s="1"/>
  <c r="K121" i="28" s="1"/>
  <c r="J60" i="28"/>
  <c r="J62" i="28" s="1"/>
  <c r="J71" i="28"/>
  <c r="J73" i="28" s="1"/>
  <c r="J82" i="28"/>
  <c r="J85" i="28" s="1"/>
  <c r="H82" i="28"/>
  <c r="H85" i="28" s="1"/>
  <c r="I89" i="28"/>
  <c r="J83" i="28"/>
  <c r="H83" i="28"/>
  <c r="I92" i="28"/>
  <c r="I122" i="28"/>
  <c r="J115" i="28"/>
  <c r="J69" i="28"/>
  <c r="J72" i="28" s="1"/>
  <c r="I84" i="28"/>
  <c r="I72" i="28"/>
  <c r="I73" i="28" s="1"/>
  <c r="H69" i="28"/>
  <c r="H72" i="28" s="1"/>
  <c r="H73" i="28" s="1"/>
  <c r="I85" i="28"/>
  <c r="D44" i="25"/>
  <c r="E44" i="25" s="1"/>
  <c r="E45" i="25" s="1"/>
  <c r="I31" i="25"/>
  <c r="I45" i="25"/>
  <c r="J96" i="25"/>
  <c r="I33" i="25"/>
  <c r="H33" i="25" s="1"/>
  <c r="J32" i="25"/>
  <c r="M9" i="25"/>
  <c r="Q9" i="25" s="1"/>
  <c r="N9" i="25"/>
  <c r="N10" i="25" s="1"/>
  <c r="I35" i="26"/>
  <c r="I47" i="26" s="1"/>
  <c r="H47" i="26" s="1"/>
  <c r="M10" i="26"/>
  <c r="Q10" i="26" s="1"/>
  <c r="R10" i="26" s="1"/>
  <c r="K137" i="25"/>
  <c r="E48" i="26"/>
  <c r="E50" i="26" s="1"/>
  <c r="K32" i="26" s="1"/>
  <c r="D50" i="26"/>
  <c r="K31" i="26" s="1"/>
  <c r="I37" i="26"/>
  <c r="H37" i="26" s="1"/>
  <c r="J28" i="26"/>
  <c r="I36" i="26"/>
  <c r="H36" i="26" s="1"/>
  <c r="H28" i="26"/>
  <c r="H32" i="26" s="1"/>
  <c r="I32" i="26"/>
  <c r="H29" i="26"/>
  <c r="J29" i="26"/>
  <c r="J34" i="26"/>
  <c r="H34" i="26"/>
  <c r="F35" i="26" s="1"/>
  <c r="I20" i="26"/>
  <c r="D19" i="26" s="1"/>
  <c r="A23" i="26" s="1"/>
  <c r="C19" i="26"/>
  <c r="R9" i="26"/>
  <c r="H13" i="25"/>
  <c r="L13" i="25" s="1"/>
  <c r="O13" i="25" s="1"/>
  <c r="I7" i="25"/>
  <c r="I8" i="25" s="1"/>
  <c r="H45" i="25"/>
  <c r="N45" i="25"/>
  <c r="J14" i="25"/>
  <c r="H15" i="25"/>
  <c r="H36" i="25"/>
  <c r="H18" i="25"/>
  <c r="H118" i="25" s="1"/>
  <c r="H129" i="25" s="1"/>
  <c r="Q4" i="25"/>
  <c r="L14" i="25"/>
  <c r="I28" i="25"/>
  <c r="I41" i="25"/>
  <c r="N14" i="25"/>
  <c r="H31" i="25"/>
  <c r="H32" i="25"/>
  <c r="L67" i="28" l="1"/>
  <c r="L66" i="28"/>
  <c r="L68" i="28"/>
  <c r="L69" i="28"/>
  <c r="H128" i="28"/>
  <c r="H59" i="28"/>
  <c r="H55" i="28"/>
  <c r="I127" i="28"/>
  <c r="J121" i="28"/>
  <c r="J127" i="28" s="1"/>
  <c r="J122" i="28"/>
  <c r="J128" i="28" s="1"/>
  <c r="I128" i="28"/>
  <c r="I101" i="28"/>
  <c r="J92" i="28"/>
  <c r="H92" i="28"/>
  <c r="J89" i="28"/>
  <c r="H89" i="28"/>
  <c r="I107" i="28"/>
  <c r="I90" i="28"/>
  <c r="I91" i="28"/>
  <c r="I93" i="28"/>
  <c r="I94" i="28" s="1"/>
  <c r="J84" i="28"/>
  <c r="H84" i="28"/>
  <c r="I86" i="28"/>
  <c r="K139" i="28"/>
  <c r="M121" i="28"/>
  <c r="L139" i="28" s="1"/>
  <c r="J55" i="28"/>
  <c r="J59" i="28"/>
  <c r="K69" i="28"/>
  <c r="I24" i="26"/>
  <c r="M10" i="25"/>
  <c r="Q10" i="25" s="1"/>
  <c r="R10" i="25" s="1"/>
  <c r="J33" i="25"/>
  <c r="H35" i="26"/>
  <c r="I43" i="26"/>
  <c r="H43" i="26" s="1"/>
  <c r="H63" i="26"/>
  <c r="J63" i="26"/>
  <c r="N45" i="26"/>
  <c r="A21" i="26"/>
  <c r="A24" i="26"/>
  <c r="I22" i="26"/>
  <c r="A27" i="26" s="1"/>
  <c r="I70" i="25"/>
  <c r="J41" i="25"/>
  <c r="I52" i="25"/>
  <c r="H41" i="25"/>
  <c r="H20" i="25"/>
  <c r="I15" i="25"/>
  <c r="H28" i="25"/>
  <c r="J28" i="25"/>
  <c r="R9" i="25"/>
  <c r="K63" i="21"/>
  <c r="K62" i="21"/>
  <c r="K61" i="21"/>
  <c r="K60" i="21"/>
  <c r="K59" i="21"/>
  <c r="K58" i="21"/>
  <c r="L92" i="28" l="1"/>
  <c r="M92" i="28" s="1"/>
  <c r="L89" i="28"/>
  <c r="M89" i="28" s="1"/>
  <c r="L86" i="28"/>
  <c r="J86" i="28"/>
  <c r="J87" i="28" s="1"/>
  <c r="H86" i="28"/>
  <c r="H87" i="28" s="1"/>
  <c r="I126" i="28"/>
  <c r="H107" i="28"/>
  <c r="I87" i="28"/>
  <c r="I97" i="28"/>
  <c r="L91" i="28"/>
  <c r="M91" i="28" s="1"/>
  <c r="H91" i="28"/>
  <c r="J91" i="28"/>
  <c r="J93" i="28"/>
  <c r="J94" i="28" s="1"/>
  <c r="I102" i="28"/>
  <c r="H93" i="28"/>
  <c r="L93" i="28"/>
  <c r="M93" i="28" s="1"/>
  <c r="H101" i="28"/>
  <c r="J101" i="28"/>
  <c r="J90" i="28"/>
  <c r="K91" i="28" s="1"/>
  <c r="L90" i="28"/>
  <c r="M90" i="28" s="1"/>
  <c r="H90" i="28"/>
  <c r="H94" i="28" s="1"/>
  <c r="I100" i="28"/>
  <c r="I21" i="26"/>
  <c r="I27" i="26" s="1"/>
  <c r="I25" i="26"/>
  <c r="I23" i="26"/>
  <c r="I91" i="26"/>
  <c r="H91" i="26" s="1"/>
  <c r="I55" i="26"/>
  <c r="J43" i="26"/>
  <c r="A28" i="26"/>
  <c r="F25" i="26"/>
  <c r="F23" i="26" s="1"/>
  <c r="H22" i="26"/>
  <c r="J22" i="26"/>
  <c r="H24" i="26"/>
  <c r="J24" i="26"/>
  <c r="I39" i="26"/>
  <c r="J52" i="25"/>
  <c r="H52" i="25"/>
  <c r="J18" i="25" s="1"/>
  <c r="C19" i="25"/>
  <c r="I20" i="25"/>
  <c r="D19" i="25" s="1"/>
  <c r="A23" i="25" s="1"/>
  <c r="J70" i="25"/>
  <c r="H70" i="25"/>
  <c r="J107" i="28" l="1"/>
  <c r="J126" i="28" s="1"/>
  <c r="H126" i="28"/>
  <c r="K126" i="28" s="1"/>
  <c r="K127" i="28" s="1"/>
  <c r="K128" i="28" s="1"/>
  <c r="K93" i="28"/>
  <c r="J97" i="28"/>
  <c r="J98" i="28" s="1"/>
  <c r="I98" i="28"/>
  <c r="H97" i="28"/>
  <c r="H98" i="28" s="1"/>
  <c r="H100" i="28"/>
  <c r="J100" i="28"/>
  <c r="J102" i="28"/>
  <c r="H102" i="28"/>
  <c r="L87" i="28"/>
  <c r="L81" i="28"/>
  <c r="L82" i="28"/>
  <c r="L83" i="28"/>
  <c r="L85" i="28"/>
  <c r="L84" i="28"/>
  <c r="K25" i="26"/>
  <c r="J91" i="26"/>
  <c r="K26" i="26"/>
  <c r="J55" i="26"/>
  <c r="H55" i="26"/>
  <c r="J18" i="26" s="1"/>
  <c r="K23" i="26"/>
  <c r="K29" i="26"/>
  <c r="K28" i="26"/>
  <c r="K27" i="26"/>
  <c r="K24" i="26"/>
  <c r="A29" i="26"/>
  <c r="D29" i="26" s="1"/>
  <c r="E29" i="26" s="1"/>
  <c r="I130" i="26"/>
  <c r="J21" i="26"/>
  <c r="H21" i="26"/>
  <c r="J39" i="26"/>
  <c r="I88" i="26"/>
  <c r="I51" i="26"/>
  <c r="I59" i="26" s="1"/>
  <c r="H39" i="26"/>
  <c r="I44" i="26"/>
  <c r="H44" i="26" s="1"/>
  <c r="H135" i="26"/>
  <c r="I135" i="26" s="1"/>
  <c r="J135" i="26" s="1"/>
  <c r="L22" i="26"/>
  <c r="J19" i="26"/>
  <c r="I40" i="26"/>
  <c r="J25" i="26"/>
  <c r="H25" i="26"/>
  <c r="I38" i="26"/>
  <c r="H23" i="26"/>
  <c r="J23" i="26"/>
  <c r="A21" i="25"/>
  <c r="A24" i="25"/>
  <c r="I23" i="25" s="1"/>
  <c r="I24" i="25"/>
  <c r="I22" i="25"/>
  <c r="I65" i="24"/>
  <c r="J65" i="24" s="1"/>
  <c r="K136" i="24"/>
  <c r="K135" i="24"/>
  <c r="N133" i="24"/>
  <c r="M133" i="24"/>
  <c r="K133" i="24"/>
  <c r="J129" i="24"/>
  <c r="I129" i="24"/>
  <c r="G129" i="24"/>
  <c r="G127" i="24"/>
  <c r="G126" i="24"/>
  <c r="J125" i="24"/>
  <c r="G122" i="24"/>
  <c r="G128" i="24" s="1"/>
  <c r="K112" i="24"/>
  <c r="K113" i="24" s="1"/>
  <c r="K114" i="24" s="1"/>
  <c r="M114" i="24" s="1"/>
  <c r="I96" i="24"/>
  <c r="H96" i="24" s="1"/>
  <c r="J76" i="24"/>
  <c r="H76" i="24"/>
  <c r="G58" i="24"/>
  <c r="G54" i="24"/>
  <c r="C47" i="24"/>
  <c r="I46" i="24"/>
  <c r="H46" i="24" s="1"/>
  <c r="C43" i="24"/>
  <c r="A43" i="24"/>
  <c r="I33" i="24" s="1"/>
  <c r="H33" i="24" s="1"/>
  <c r="C42" i="24"/>
  <c r="A42" i="24"/>
  <c r="I27" i="24"/>
  <c r="J27" i="24" s="1"/>
  <c r="B24" i="24"/>
  <c r="E20" i="24"/>
  <c r="B19" i="24"/>
  <c r="H14" i="24"/>
  <c r="I14" i="24" s="1"/>
  <c r="D9" i="24"/>
  <c r="N8" i="24"/>
  <c r="K5" i="24"/>
  <c r="K6" i="24" s="1"/>
  <c r="J5" i="24"/>
  <c r="J6" i="24" s="1"/>
  <c r="N4" i="24"/>
  <c r="N5" i="24" s="1"/>
  <c r="M4" i="24"/>
  <c r="M5" i="24" s="1"/>
  <c r="L4" i="24"/>
  <c r="K4" i="24"/>
  <c r="H17" i="24" s="1"/>
  <c r="I17" i="24" s="1"/>
  <c r="J4" i="24"/>
  <c r="H16" i="24" s="1"/>
  <c r="I16" i="24" s="1"/>
  <c r="I4" i="24"/>
  <c r="H15" i="24" s="1"/>
  <c r="H4" i="24"/>
  <c r="Q3" i="24"/>
  <c r="O4" i="24" s="1"/>
  <c r="C22" i="22"/>
  <c r="D22" i="22" s="1"/>
  <c r="H76" i="23"/>
  <c r="I96" i="23"/>
  <c r="J96" i="23" s="1"/>
  <c r="A32" i="22"/>
  <c r="B32" i="22"/>
  <c r="C32" i="22"/>
  <c r="D32" i="22"/>
  <c r="E32" i="22"/>
  <c r="F32" i="22"/>
  <c r="G32" i="22"/>
  <c r="H32" i="22"/>
  <c r="A33" i="22"/>
  <c r="B33" i="22"/>
  <c r="F33" i="22"/>
  <c r="B34" i="22"/>
  <c r="F34" i="22"/>
  <c r="B35" i="22"/>
  <c r="B36" i="22"/>
  <c r="F36" i="22"/>
  <c r="B37" i="22"/>
  <c r="B38" i="22"/>
  <c r="F38" i="22"/>
  <c r="G38" i="22"/>
  <c r="H38" i="22"/>
  <c r="K136" i="23"/>
  <c r="K135" i="23"/>
  <c r="N133" i="23"/>
  <c r="M133" i="23"/>
  <c r="K133" i="23"/>
  <c r="J129" i="23"/>
  <c r="I129" i="23"/>
  <c r="G129" i="23"/>
  <c r="G127" i="23"/>
  <c r="G126" i="23"/>
  <c r="J125" i="23"/>
  <c r="G122" i="23"/>
  <c r="G128" i="23" s="1"/>
  <c r="K112" i="23"/>
  <c r="K113" i="23" s="1"/>
  <c r="K114" i="23" s="1"/>
  <c r="M114" i="23" s="1"/>
  <c r="G59" i="23"/>
  <c r="G55" i="23"/>
  <c r="C48" i="23"/>
  <c r="I47" i="23"/>
  <c r="H47" i="23" s="1"/>
  <c r="C44" i="23"/>
  <c r="A44" i="23"/>
  <c r="I34" i="23" s="1"/>
  <c r="H34" i="23" s="1"/>
  <c r="C43" i="23"/>
  <c r="A43" i="23"/>
  <c r="I27" i="23"/>
  <c r="I31" i="23" s="1"/>
  <c r="B24" i="23"/>
  <c r="E20" i="23"/>
  <c r="B19" i="23"/>
  <c r="H14" i="23"/>
  <c r="I14" i="23" s="1"/>
  <c r="D9" i="23"/>
  <c r="N8" i="23"/>
  <c r="K5" i="23"/>
  <c r="K6" i="23" s="1"/>
  <c r="J5" i="23"/>
  <c r="J6" i="23" s="1"/>
  <c r="N4" i="23"/>
  <c r="N5" i="23" s="1"/>
  <c r="N9" i="23" s="1"/>
  <c r="N10" i="23" s="1"/>
  <c r="M4" i="23"/>
  <c r="M5" i="23" s="1"/>
  <c r="M9" i="23" s="1"/>
  <c r="L4" i="23"/>
  <c r="K4" i="23"/>
  <c r="H17" i="23" s="1"/>
  <c r="I17" i="23" s="1"/>
  <c r="J4" i="23"/>
  <c r="H16" i="23" s="1"/>
  <c r="I16" i="23" s="1"/>
  <c r="I4" i="23"/>
  <c r="I5" i="23" s="1"/>
  <c r="I6" i="23" s="1"/>
  <c r="H4" i="23"/>
  <c r="Q3" i="23"/>
  <c r="O4" i="23" s="1"/>
  <c r="C47" i="15"/>
  <c r="E62" i="22"/>
  <c r="M128" i="28" l="1"/>
  <c r="L140" i="28" s="1"/>
  <c r="K140" i="28"/>
  <c r="J96" i="24"/>
  <c r="I35" i="23"/>
  <c r="H35" i="23" s="1"/>
  <c r="K137" i="23"/>
  <c r="D43" i="24"/>
  <c r="E43" i="24" s="1"/>
  <c r="H96" i="23"/>
  <c r="I34" i="24"/>
  <c r="H34" i="24" s="1"/>
  <c r="H27" i="24"/>
  <c r="K137" i="24"/>
  <c r="I30" i="24"/>
  <c r="D13" i="21"/>
  <c r="D4" i="21"/>
  <c r="H18" i="23"/>
  <c r="H118" i="23" s="1"/>
  <c r="H129" i="23" s="1"/>
  <c r="I7" i="23"/>
  <c r="I8" i="23" s="1"/>
  <c r="M9" i="24"/>
  <c r="N9" i="24"/>
  <c r="N10" i="24" s="1"/>
  <c r="I19" i="26"/>
  <c r="J59" i="26"/>
  <c r="H59" i="26"/>
  <c r="J38" i="26"/>
  <c r="I87" i="26"/>
  <c r="I50" i="26"/>
  <c r="K54" i="26" s="1"/>
  <c r="H38" i="26"/>
  <c r="J88" i="26"/>
  <c r="H88" i="26"/>
  <c r="I98" i="26"/>
  <c r="I103" i="26" s="1"/>
  <c r="H27" i="26"/>
  <c r="H136" i="26" s="1"/>
  <c r="J27" i="26"/>
  <c r="L35" i="26" s="1"/>
  <c r="I41" i="26"/>
  <c r="H51" i="26"/>
  <c r="J51" i="26"/>
  <c r="I78" i="26"/>
  <c r="L21" i="26"/>
  <c r="H19" i="26"/>
  <c r="H134" i="26"/>
  <c r="I134" i="26" s="1"/>
  <c r="J134" i="26" s="1"/>
  <c r="J8" i="26"/>
  <c r="N26" i="26"/>
  <c r="N27" i="26"/>
  <c r="I52" i="26"/>
  <c r="I60" i="26" s="1"/>
  <c r="J40" i="26"/>
  <c r="I89" i="26"/>
  <c r="H40" i="26"/>
  <c r="N43" i="26"/>
  <c r="H130" i="26"/>
  <c r="J130" i="26"/>
  <c r="I36" i="23"/>
  <c r="H36" i="23" s="1"/>
  <c r="J27" i="23"/>
  <c r="D43" i="23"/>
  <c r="E43" i="23" s="1"/>
  <c r="H27" i="23"/>
  <c r="I32" i="23"/>
  <c r="H32" i="23" s="1"/>
  <c r="C24" i="21" s="1"/>
  <c r="D44" i="23"/>
  <c r="E44" i="23" s="1"/>
  <c r="I37" i="25"/>
  <c r="H23" i="25"/>
  <c r="J23" i="25"/>
  <c r="H24" i="25"/>
  <c r="J24" i="25"/>
  <c r="I38" i="25"/>
  <c r="I25" i="25"/>
  <c r="I21" i="25"/>
  <c r="H22" i="25"/>
  <c r="J22" i="25"/>
  <c r="N14" i="23"/>
  <c r="L14" i="23"/>
  <c r="J14" i="23"/>
  <c r="C4" i="21"/>
  <c r="C13" i="21"/>
  <c r="C19" i="21"/>
  <c r="H20" i="24"/>
  <c r="I15" i="24"/>
  <c r="Q9" i="24"/>
  <c r="M10" i="24"/>
  <c r="Q10" i="24" s="1"/>
  <c r="I5" i="24"/>
  <c r="I6" i="24" s="1"/>
  <c r="I7" i="24" s="1"/>
  <c r="I8" i="24" s="1"/>
  <c r="I44" i="24"/>
  <c r="J14" i="24"/>
  <c r="N14" i="24"/>
  <c r="H30" i="24"/>
  <c r="D14" i="21" s="1"/>
  <c r="I28" i="24"/>
  <c r="Q4" i="24"/>
  <c r="L14" i="24"/>
  <c r="I40" i="24"/>
  <c r="I35" i="24"/>
  <c r="D42" i="24"/>
  <c r="E42" i="24" s="1"/>
  <c r="I31" i="24"/>
  <c r="I32" i="24" s="1"/>
  <c r="H13" i="24"/>
  <c r="H18" i="24"/>
  <c r="M10" i="23"/>
  <c r="Q10" i="23" s="1"/>
  <c r="Q9" i="23"/>
  <c r="Q4" i="23"/>
  <c r="H15" i="23"/>
  <c r="I28" i="23"/>
  <c r="I45" i="23"/>
  <c r="I41" i="23"/>
  <c r="I70" i="23" s="1"/>
  <c r="H13" i="23"/>
  <c r="J30" i="26" l="1"/>
  <c r="L28" i="26" s="1"/>
  <c r="F27" i="26"/>
  <c r="F28" i="26" s="1"/>
  <c r="E45" i="23"/>
  <c r="F30" i="26"/>
  <c r="F31" i="26" s="1"/>
  <c r="F32" i="26" s="1"/>
  <c r="H30" i="26"/>
  <c r="C20" i="21"/>
  <c r="C8" i="21"/>
  <c r="L13" i="24"/>
  <c r="O13" i="24" s="1"/>
  <c r="D3" i="21"/>
  <c r="E44" i="24"/>
  <c r="C21" i="21"/>
  <c r="I58" i="26"/>
  <c r="K63" i="26" s="1"/>
  <c r="K64" i="26" s="1"/>
  <c r="H118" i="24"/>
  <c r="H129" i="24" s="1"/>
  <c r="D19" i="21"/>
  <c r="D20" i="21"/>
  <c r="D8" i="21"/>
  <c r="H60" i="26"/>
  <c r="I68" i="26"/>
  <c r="I71" i="26" s="1"/>
  <c r="J60" i="26"/>
  <c r="L33" i="26"/>
  <c r="E51" i="26"/>
  <c r="N28" i="26"/>
  <c r="J103" i="26"/>
  <c r="I110" i="26"/>
  <c r="I112" i="26" s="1"/>
  <c r="H103" i="26"/>
  <c r="J89" i="26"/>
  <c r="I104" i="26"/>
  <c r="H89" i="26"/>
  <c r="I54" i="26"/>
  <c r="H54" i="26" s="1"/>
  <c r="J41" i="26"/>
  <c r="J45" i="26" s="1"/>
  <c r="K42" i="26" s="1"/>
  <c r="I90" i="26"/>
  <c r="H41" i="26"/>
  <c r="H45" i="26" s="1"/>
  <c r="H78" i="26"/>
  <c r="J78" i="26"/>
  <c r="J50" i="26"/>
  <c r="I77" i="26"/>
  <c r="H77" i="26" s="1"/>
  <c r="K55" i="26"/>
  <c r="H50" i="26"/>
  <c r="I136" i="26"/>
  <c r="H143" i="26"/>
  <c r="J87" i="26"/>
  <c r="I102" i="26"/>
  <c r="I92" i="26"/>
  <c r="H87" i="26"/>
  <c r="H52" i="26"/>
  <c r="H142" i="26" s="1"/>
  <c r="J52" i="26"/>
  <c r="H98" i="26"/>
  <c r="H99" i="26" s="1"/>
  <c r="J98" i="26"/>
  <c r="J99" i="26" s="1"/>
  <c r="H31" i="23"/>
  <c r="C14" i="21" s="1"/>
  <c r="I33" i="23"/>
  <c r="J32" i="23"/>
  <c r="I39" i="25"/>
  <c r="J25" i="25"/>
  <c r="H25" i="25"/>
  <c r="N27" i="25" s="1"/>
  <c r="J37" i="25"/>
  <c r="I66" i="25"/>
  <c r="I48" i="25"/>
  <c r="H37" i="25"/>
  <c r="H114" i="25"/>
  <c r="I114" i="25" s="1"/>
  <c r="J114" i="25" s="1"/>
  <c r="L22" i="25"/>
  <c r="J19" i="25"/>
  <c r="I19" i="25"/>
  <c r="I109" i="25"/>
  <c r="I26" i="25"/>
  <c r="J21" i="25"/>
  <c r="H21" i="25"/>
  <c r="J38" i="25"/>
  <c r="I67" i="25"/>
  <c r="N43" i="25"/>
  <c r="I42" i="25"/>
  <c r="H42" i="25" s="1"/>
  <c r="I49" i="25"/>
  <c r="H38" i="25"/>
  <c r="J70" i="23"/>
  <c r="H70" i="23"/>
  <c r="L13" i="23"/>
  <c r="O13" i="23" s="1"/>
  <c r="C3" i="21"/>
  <c r="R10" i="23"/>
  <c r="H35" i="24"/>
  <c r="H28" i="24"/>
  <c r="J28" i="24"/>
  <c r="R10" i="24"/>
  <c r="H40" i="24"/>
  <c r="D30" i="21" s="1"/>
  <c r="D41" i="21" s="1"/>
  <c r="D51" i="21" s="1"/>
  <c r="I70" i="24"/>
  <c r="J40" i="24"/>
  <c r="I51" i="24"/>
  <c r="J31" i="24"/>
  <c r="H31" i="24"/>
  <c r="D24" i="21" s="1"/>
  <c r="H44" i="24"/>
  <c r="N44" i="24"/>
  <c r="R9" i="24"/>
  <c r="I20" i="24"/>
  <c r="D19" i="24" s="1"/>
  <c r="A23" i="24" s="1"/>
  <c r="C19" i="24"/>
  <c r="H28" i="23"/>
  <c r="J28" i="23"/>
  <c r="I15" i="23"/>
  <c r="H20" i="23"/>
  <c r="J41" i="23"/>
  <c r="I52" i="23"/>
  <c r="H41" i="23"/>
  <c r="C30" i="21" s="1"/>
  <c r="C41" i="21" s="1"/>
  <c r="C51" i="21" s="1"/>
  <c r="H45" i="23"/>
  <c r="N45" i="23"/>
  <c r="R9" i="23"/>
  <c r="K30" i="26" l="1"/>
  <c r="K45" i="26"/>
  <c r="K43" i="26"/>
  <c r="K39" i="26"/>
  <c r="K38" i="26"/>
  <c r="K40" i="26"/>
  <c r="N52" i="26"/>
  <c r="K41" i="26"/>
  <c r="N63" i="26"/>
  <c r="H58" i="26"/>
  <c r="D21" i="21"/>
  <c r="J58" i="26"/>
  <c r="L50" i="26"/>
  <c r="I62" i="26"/>
  <c r="H68" i="26"/>
  <c r="J68" i="26"/>
  <c r="I70" i="26"/>
  <c r="J92" i="26"/>
  <c r="N53" i="26"/>
  <c r="J90" i="26"/>
  <c r="J93" i="26" s="1"/>
  <c r="I105" i="26"/>
  <c r="H90" i="26"/>
  <c r="H93" i="26" s="1"/>
  <c r="I93" i="26"/>
  <c r="I94" i="26" s="1"/>
  <c r="J104" i="26"/>
  <c r="I113" i="26"/>
  <c r="H104" i="26"/>
  <c r="J110" i="26"/>
  <c r="I128" i="26"/>
  <c r="H110" i="26"/>
  <c r="I82" i="26"/>
  <c r="J77" i="26"/>
  <c r="J79" i="26" s="1"/>
  <c r="I81" i="26"/>
  <c r="I142" i="26"/>
  <c r="H148" i="26"/>
  <c r="H92" i="26"/>
  <c r="I111" i="26"/>
  <c r="J102" i="26"/>
  <c r="I106" i="26"/>
  <c r="H102" i="26"/>
  <c r="I143" i="26"/>
  <c r="J136" i="26"/>
  <c r="O127" i="26"/>
  <c r="J56" i="26"/>
  <c r="J54" i="26"/>
  <c r="I76" i="26"/>
  <c r="I80" i="26"/>
  <c r="I118" i="26"/>
  <c r="H112" i="26"/>
  <c r="J112" i="26"/>
  <c r="J33" i="23"/>
  <c r="H33" i="23"/>
  <c r="C25" i="21" s="1"/>
  <c r="C26" i="21" s="1"/>
  <c r="H26" i="25"/>
  <c r="H115" i="25" s="1"/>
  <c r="J26" i="25"/>
  <c r="L34" i="25" s="1"/>
  <c r="I40" i="25"/>
  <c r="L21" i="25"/>
  <c r="H19" i="25"/>
  <c r="H113" i="25"/>
  <c r="I113" i="25" s="1"/>
  <c r="J113" i="25" s="1"/>
  <c r="J8" i="25"/>
  <c r="N26" i="25"/>
  <c r="N28" i="25" s="1"/>
  <c r="L32" i="25"/>
  <c r="J67" i="25"/>
  <c r="I77" i="25"/>
  <c r="I82" i="25" s="1"/>
  <c r="H67" i="25"/>
  <c r="J48" i="25"/>
  <c r="I56" i="25"/>
  <c r="K53" i="25"/>
  <c r="K54" i="25" s="1"/>
  <c r="H48" i="25"/>
  <c r="H49" i="25"/>
  <c r="J49" i="25"/>
  <c r="I57" i="25"/>
  <c r="H109" i="25"/>
  <c r="J109" i="25"/>
  <c r="J66" i="25"/>
  <c r="I81" i="25"/>
  <c r="H66" i="25"/>
  <c r="I50" i="25"/>
  <c r="J39" i="25"/>
  <c r="I68" i="25"/>
  <c r="I71" i="25" s="1"/>
  <c r="H39" i="25"/>
  <c r="A21" i="24"/>
  <c r="A24" i="24"/>
  <c r="I23" i="24"/>
  <c r="I22" i="24"/>
  <c r="I24" i="24"/>
  <c r="H51" i="24"/>
  <c r="J18" i="24" s="1"/>
  <c r="J51" i="24"/>
  <c r="J32" i="24"/>
  <c r="H32" i="24"/>
  <c r="D25" i="21" s="1"/>
  <c r="D26" i="21" s="1"/>
  <c r="J70" i="24"/>
  <c r="H70" i="24"/>
  <c r="I20" i="23"/>
  <c r="D19" i="23" s="1"/>
  <c r="A23" i="23" s="1"/>
  <c r="C19" i="23"/>
  <c r="J52" i="23"/>
  <c r="H52" i="23"/>
  <c r="O19" i="7"/>
  <c r="O20" i="7" s="1"/>
  <c r="O21" i="7" s="1"/>
  <c r="N21" i="7" s="1"/>
  <c r="P21" i="7" s="1"/>
  <c r="N18" i="7"/>
  <c r="P18" i="7" s="1"/>
  <c r="I66" i="26" l="1"/>
  <c r="I67" i="26"/>
  <c r="J67" i="26" s="1"/>
  <c r="J62" i="26"/>
  <c r="J64" i="26" s="1"/>
  <c r="I69" i="26"/>
  <c r="H62" i="26"/>
  <c r="L58" i="26"/>
  <c r="H70" i="26"/>
  <c r="J70" i="26"/>
  <c r="H106" i="26"/>
  <c r="H94" i="26"/>
  <c r="O128" i="26"/>
  <c r="L87" i="26"/>
  <c r="L88" i="26"/>
  <c r="L86" i="26"/>
  <c r="L89" i="26"/>
  <c r="J106" i="26"/>
  <c r="H81" i="26"/>
  <c r="H140" i="26" s="1"/>
  <c r="I140" i="26" s="1"/>
  <c r="J140" i="26" s="1"/>
  <c r="K139" i="26" s="1"/>
  <c r="K140" i="26" s="1"/>
  <c r="K141" i="26" s="1"/>
  <c r="J81" i="26"/>
  <c r="I114" i="26"/>
  <c r="I115" i="26" s="1"/>
  <c r="L110" i="26" s="1"/>
  <c r="M107" i="26" s="1"/>
  <c r="J105" i="26"/>
  <c r="I107" i="26"/>
  <c r="I108" i="26" s="1"/>
  <c r="L104" i="26" s="1"/>
  <c r="H105" i="26"/>
  <c r="J118" i="26"/>
  <c r="J119" i="26" s="1"/>
  <c r="H118" i="26"/>
  <c r="H119" i="26" s="1"/>
  <c r="I119" i="26"/>
  <c r="J76" i="26"/>
  <c r="J80" i="26"/>
  <c r="J143" i="26"/>
  <c r="J149" i="26" s="1"/>
  <c r="I149" i="26"/>
  <c r="J111" i="26"/>
  <c r="K111" i="26" s="1"/>
  <c r="H111" i="26"/>
  <c r="I121" i="26"/>
  <c r="I148" i="26"/>
  <c r="J142" i="26"/>
  <c r="J148" i="26" s="1"/>
  <c r="J94" i="26"/>
  <c r="H149" i="26"/>
  <c r="H76" i="26"/>
  <c r="H80" i="26"/>
  <c r="H82" i="26"/>
  <c r="H141" i="26" s="1"/>
  <c r="I141" i="26" s="1"/>
  <c r="J141" i="26" s="1"/>
  <c r="J82" i="26"/>
  <c r="I147" i="26"/>
  <c r="H128" i="26"/>
  <c r="I122" i="26"/>
  <c r="J113" i="26"/>
  <c r="H113" i="26"/>
  <c r="K89" i="26"/>
  <c r="J82" i="25"/>
  <c r="I89" i="25"/>
  <c r="I91" i="25" s="1"/>
  <c r="H82" i="25"/>
  <c r="I61" i="25"/>
  <c r="J56" i="25"/>
  <c r="I60" i="25"/>
  <c r="H56" i="25"/>
  <c r="I115" i="25"/>
  <c r="H122" i="25"/>
  <c r="O110" i="25"/>
  <c r="J81" i="25"/>
  <c r="H81" i="25"/>
  <c r="I51" i="25"/>
  <c r="J40" i="25"/>
  <c r="N52" i="25" s="1"/>
  <c r="I69" i="25"/>
  <c r="H40" i="25"/>
  <c r="H50" i="25"/>
  <c r="H121" i="25" s="1"/>
  <c r="J50" i="25"/>
  <c r="J53" i="25" s="1"/>
  <c r="N54" i="25"/>
  <c r="H77" i="25"/>
  <c r="H78" i="25" s="1"/>
  <c r="J77" i="25"/>
  <c r="J78" i="25" s="1"/>
  <c r="H57" i="25"/>
  <c r="J57" i="25"/>
  <c r="J68" i="25"/>
  <c r="J71" i="25" s="1"/>
  <c r="I83" i="25"/>
  <c r="I85" i="25" s="1"/>
  <c r="H68" i="25"/>
  <c r="H71" i="25" s="1"/>
  <c r="E46" i="25"/>
  <c r="J29" i="25"/>
  <c r="L27" i="25" s="1"/>
  <c r="H22" i="24"/>
  <c r="D7" i="21" s="1"/>
  <c r="J22" i="24"/>
  <c r="I25" i="24"/>
  <c r="I21" i="24"/>
  <c r="I26" i="24" s="1"/>
  <c r="H23" i="24"/>
  <c r="I36" i="24"/>
  <c r="J23" i="24"/>
  <c r="H24" i="24"/>
  <c r="J24" i="24"/>
  <c r="I37" i="24"/>
  <c r="I67" i="24" s="1"/>
  <c r="J18" i="23"/>
  <c r="A21" i="23"/>
  <c r="A24" i="23"/>
  <c r="I23" i="23" s="1"/>
  <c r="I24" i="23"/>
  <c r="I22" i="23"/>
  <c r="N19" i="7"/>
  <c r="P19" i="7" s="1"/>
  <c r="N20" i="7"/>
  <c r="P20" i="7" s="1"/>
  <c r="I46" i="15"/>
  <c r="H46" i="15" s="1"/>
  <c r="H67" i="26" l="1"/>
  <c r="F59" i="26"/>
  <c r="F60" i="26"/>
  <c r="F58" i="26"/>
  <c r="H64" i="26"/>
  <c r="F62" i="26"/>
  <c r="J66" i="26"/>
  <c r="H66" i="26"/>
  <c r="J69" i="26"/>
  <c r="H69" i="26"/>
  <c r="J83" i="26"/>
  <c r="L112" i="26"/>
  <c r="M109" i="26" s="1"/>
  <c r="J128" i="26"/>
  <c r="J147" i="26" s="1"/>
  <c r="H147" i="26"/>
  <c r="K146" i="26" s="1"/>
  <c r="K147" i="26" s="1"/>
  <c r="K148" i="26" s="1"/>
  <c r="L106" i="26"/>
  <c r="J107" i="26"/>
  <c r="J108" i="26" s="1"/>
  <c r="H107" i="26"/>
  <c r="H108" i="26" s="1"/>
  <c r="L109" i="26"/>
  <c r="M106" i="26" s="1"/>
  <c r="L111" i="26"/>
  <c r="M108" i="26" s="1"/>
  <c r="H121" i="26"/>
  <c r="J121" i="26"/>
  <c r="L107" i="26"/>
  <c r="L102" i="26"/>
  <c r="L101" i="26"/>
  <c r="L103" i="26"/>
  <c r="H122" i="26"/>
  <c r="J122" i="26"/>
  <c r="J114" i="26"/>
  <c r="K113" i="26" s="1"/>
  <c r="I123" i="26"/>
  <c r="L113" i="26"/>
  <c r="M110" i="26" s="1"/>
  <c r="H114" i="26"/>
  <c r="H115" i="26" s="1"/>
  <c r="K159" i="26"/>
  <c r="M138" i="26"/>
  <c r="L159" i="26" s="1"/>
  <c r="L105" i="26"/>
  <c r="H61" i="25"/>
  <c r="H120" i="25" s="1"/>
  <c r="I120" i="25" s="1"/>
  <c r="J120" i="25" s="1"/>
  <c r="J61" i="25"/>
  <c r="I97" i="25"/>
  <c r="H91" i="25"/>
  <c r="J91" i="25"/>
  <c r="J83" i="25"/>
  <c r="I92" i="25"/>
  <c r="H83" i="25"/>
  <c r="H85" i="25" s="1"/>
  <c r="J89" i="25"/>
  <c r="I107" i="25"/>
  <c r="H89" i="25"/>
  <c r="I121" i="25"/>
  <c r="H127" i="25"/>
  <c r="J51" i="25"/>
  <c r="O111" i="25" s="1"/>
  <c r="I55" i="25"/>
  <c r="I59" i="25"/>
  <c r="H51" i="25"/>
  <c r="I90" i="25"/>
  <c r="H60" i="25"/>
  <c r="H119" i="25" s="1"/>
  <c r="I119" i="25" s="1"/>
  <c r="J119" i="25" s="1"/>
  <c r="K119" i="25" s="1"/>
  <c r="K120" i="25" s="1"/>
  <c r="K121" i="25" s="1"/>
  <c r="J60" i="25"/>
  <c r="I122" i="25"/>
  <c r="J115" i="25"/>
  <c r="J58" i="25"/>
  <c r="J69" i="25"/>
  <c r="I84" i="25"/>
  <c r="H69" i="25"/>
  <c r="H72" i="25" s="1"/>
  <c r="H73" i="25" s="1"/>
  <c r="I72" i="25"/>
  <c r="I73" i="25" s="1"/>
  <c r="J85" i="25"/>
  <c r="J21" i="24"/>
  <c r="I109" i="24"/>
  <c r="H21" i="24"/>
  <c r="D5" i="21" s="1"/>
  <c r="J36" i="24"/>
  <c r="I66" i="24"/>
  <c r="I47" i="24"/>
  <c r="H36" i="24"/>
  <c r="J25" i="24"/>
  <c r="I38" i="24"/>
  <c r="H25" i="24"/>
  <c r="D12" i="21" s="1"/>
  <c r="H114" i="24"/>
  <c r="I114" i="24" s="1"/>
  <c r="J114" i="24" s="1"/>
  <c r="L22" i="24"/>
  <c r="J19" i="24"/>
  <c r="I19" i="24"/>
  <c r="I48" i="24"/>
  <c r="I41" i="24"/>
  <c r="H41" i="24" s="1"/>
  <c r="H37" i="24"/>
  <c r="J37" i="24"/>
  <c r="N42" i="24"/>
  <c r="N27" i="24"/>
  <c r="H24" i="23"/>
  <c r="I38" i="23"/>
  <c r="I67" i="23" s="1"/>
  <c r="J24" i="23"/>
  <c r="H23" i="23"/>
  <c r="I37" i="23"/>
  <c r="I66" i="23" s="1"/>
  <c r="J23" i="23"/>
  <c r="I25" i="23"/>
  <c r="I21" i="23"/>
  <c r="I26" i="23" s="1"/>
  <c r="H22" i="23"/>
  <c r="C7" i="21" s="1"/>
  <c r="J22" i="23"/>
  <c r="A43" i="15"/>
  <c r="I33" i="15" s="1"/>
  <c r="A42" i="15"/>
  <c r="I31" i="15" s="1"/>
  <c r="I32" i="15" s="1"/>
  <c r="C43" i="15"/>
  <c r="C42" i="15"/>
  <c r="I27" i="15"/>
  <c r="K76" i="20"/>
  <c r="K75" i="20"/>
  <c r="N73" i="20"/>
  <c r="M73" i="20"/>
  <c r="K73" i="20"/>
  <c r="K77" i="20" s="1"/>
  <c r="J69" i="20"/>
  <c r="I69" i="20"/>
  <c r="G69" i="20"/>
  <c r="G67" i="20"/>
  <c r="G66" i="20"/>
  <c r="J65" i="20"/>
  <c r="G62" i="20"/>
  <c r="G68" i="20" s="1"/>
  <c r="K52" i="20"/>
  <c r="K53" i="20" s="1"/>
  <c r="K54" i="20" s="1"/>
  <c r="M54" i="20" s="1"/>
  <c r="G34" i="20"/>
  <c r="G37" i="20" s="1"/>
  <c r="B24" i="20"/>
  <c r="I21" i="20"/>
  <c r="I49" i="20" s="1"/>
  <c r="H21" i="20"/>
  <c r="H53" i="20" s="1"/>
  <c r="I53" i="20" s="1"/>
  <c r="J53" i="20" s="1"/>
  <c r="E20" i="20"/>
  <c r="B19" i="20"/>
  <c r="H18" i="20"/>
  <c r="H58" i="20" s="1"/>
  <c r="H69" i="20" s="1"/>
  <c r="H14" i="20"/>
  <c r="I14" i="20" s="1"/>
  <c r="D9" i="20"/>
  <c r="N8" i="20"/>
  <c r="K5" i="20"/>
  <c r="K6" i="20" s="1"/>
  <c r="J5" i="20"/>
  <c r="J6" i="20" s="1"/>
  <c r="N4" i="20"/>
  <c r="N5" i="20" s="1"/>
  <c r="M4" i="20"/>
  <c r="M5" i="20" s="1"/>
  <c r="L4" i="20"/>
  <c r="K4" i="20"/>
  <c r="H17" i="20" s="1"/>
  <c r="I17" i="20" s="1"/>
  <c r="J4" i="20"/>
  <c r="H16" i="20" s="1"/>
  <c r="I16" i="20" s="1"/>
  <c r="I4" i="20"/>
  <c r="I5" i="20" s="1"/>
  <c r="I6" i="20" s="1"/>
  <c r="H4" i="20"/>
  <c r="Q3" i="20"/>
  <c r="O4" i="20" s="1"/>
  <c r="N8" i="15"/>
  <c r="D9" i="15"/>
  <c r="C29" i="19"/>
  <c r="G41" i="20" l="1"/>
  <c r="E59" i="26"/>
  <c r="E60" i="26"/>
  <c r="E58" i="26"/>
  <c r="E62" i="26"/>
  <c r="H13" i="20"/>
  <c r="L13" i="20" s="1"/>
  <c r="O13" i="20" s="1"/>
  <c r="I28" i="20"/>
  <c r="N28" i="20" s="1"/>
  <c r="I29" i="20" s="1"/>
  <c r="L14" i="20"/>
  <c r="I30" i="15"/>
  <c r="J27" i="15"/>
  <c r="M9" i="20"/>
  <c r="J21" i="20"/>
  <c r="J71" i="26"/>
  <c r="H71" i="26"/>
  <c r="N9" i="20"/>
  <c r="H15" i="20"/>
  <c r="I15" i="20" s="1"/>
  <c r="J123" i="26"/>
  <c r="H123" i="26"/>
  <c r="J115" i="26"/>
  <c r="M145" i="26"/>
  <c r="L160" i="26" s="1"/>
  <c r="K160" i="26"/>
  <c r="I93" i="25"/>
  <c r="J84" i="25"/>
  <c r="I86" i="25"/>
  <c r="H84" i="25"/>
  <c r="J55" i="25"/>
  <c r="J59" i="25"/>
  <c r="L67" i="25"/>
  <c r="L66" i="25"/>
  <c r="L68" i="25"/>
  <c r="H128" i="25"/>
  <c r="H55" i="25"/>
  <c r="H59" i="25"/>
  <c r="L69" i="25"/>
  <c r="K139" i="25"/>
  <c r="M121" i="25"/>
  <c r="L139" i="25" s="1"/>
  <c r="J122" i="25"/>
  <c r="J128" i="25" s="1"/>
  <c r="I128" i="25"/>
  <c r="J72" i="25"/>
  <c r="J73" i="25" s="1"/>
  <c r="K69" i="25"/>
  <c r="I126" i="25"/>
  <c r="H107" i="25"/>
  <c r="J90" i="25"/>
  <c r="K91" i="25" s="1"/>
  <c r="H90" i="25"/>
  <c r="I100" i="25"/>
  <c r="I94" i="25"/>
  <c r="L92" i="25" s="1"/>
  <c r="M92" i="25" s="1"/>
  <c r="J97" i="25"/>
  <c r="J98" i="25" s="1"/>
  <c r="H97" i="25"/>
  <c r="H98" i="25" s="1"/>
  <c r="I98" i="25"/>
  <c r="J62" i="25"/>
  <c r="I127" i="25"/>
  <c r="J121" i="25"/>
  <c r="J127" i="25" s="1"/>
  <c r="I101" i="25"/>
  <c r="J92" i="25"/>
  <c r="H92" i="25"/>
  <c r="H67" i="23"/>
  <c r="J67" i="23"/>
  <c r="J66" i="23"/>
  <c r="H66" i="23"/>
  <c r="H67" i="24"/>
  <c r="J67" i="24"/>
  <c r="I77" i="24"/>
  <c r="I82" i="24" s="1"/>
  <c r="H47" i="24"/>
  <c r="I107" i="24"/>
  <c r="J47" i="24"/>
  <c r="K52" i="24"/>
  <c r="K53" i="24" s="1"/>
  <c r="I55" i="24"/>
  <c r="H109" i="24"/>
  <c r="J109" i="24"/>
  <c r="I56" i="24"/>
  <c r="H48" i="24"/>
  <c r="J48" i="24"/>
  <c r="H113" i="24"/>
  <c r="I113" i="24" s="1"/>
  <c r="J113" i="24" s="1"/>
  <c r="L21" i="24"/>
  <c r="H19" i="24"/>
  <c r="J8" i="24"/>
  <c r="N26" i="24"/>
  <c r="N28" i="24" s="1"/>
  <c r="I68" i="24"/>
  <c r="I71" i="24" s="1"/>
  <c r="I49" i="24"/>
  <c r="J38" i="24"/>
  <c r="H38" i="24"/>
  <c r="D29" i="21" s="1"/>
  <c r="H66" i="24"/>
  <c r="I81" i="24"/>
  <c r="J66" i="24"/>
  <c r="H26" i="24"/>
  <c r="J26" i="24"/>
  <c r="L33" i="24" s="1"/>
  <c r="I39" i="24"/>
  <c r="L22" i="23"/>
  <c r="H114" i="23"/>
  <c r="I114" i="23" s="1"/>
  <c r="J114" i="23" s="1"/>
  <c r="J19" i="23"/>
  <c r="I19" i="23"/>
  <c r="I109" i="23"/>
  <c r="J21" i="23"/>
  <c r="H21" i="23"/>
  <c r="C5" i="21" s="1"/>
  <c r="J38" i="23"/>
  <c r="N43" i="23"/>
  <c r="I49" i="23"/>
  <c r="I42" i="23"/>
  <c r="H42" i="23" s="1"/>
  <c r="H38" i="23"/>
  <c r="J25" i="23"/>
  <c r="I39" i="23"/>
  <c r="I68" i="23" s="1"/>
  <c r="H25" i="23"/>
  <c r="C12" i="21" s="1"/>
  <c r="J37" i="23"/>
  <c r="I48" i="23"/>
  <c r="H37" i="23"/>
  <c r="J31" i="15"/>
  <c r="J32" i="15"/>
  <c r="H33" i="15"/>
  <c r="H31" i="15"/>
  <c r="B24" i="21" s="1"/>
  <c r="I35" i="15"/>
  <c r="I34" i="15"/>
  <c r="H34" i="15" s="1"/>
  <c r="D42" i="15"/>
  <c r="H27" i="15"/>
  <c r="B14" i="21" s="1"/>
  <c r="D43" i="15"/>
  <c r="J49" i="20"/>
  <c r="H49" i="20"/>
  <c r="I7" i="20"/>
  <c r="I8" i="20" s="1"/>
  <c r="J8" i="20" s="1"/>
  <c r="H28" i="20"/>
  <c r="J14" i="20"/>
  <c r="Q4" i="20"/>
  <c r="I26" i="20"/>
  <c r="N14" i="20"/>
  <c r="K35" i="19"/>
  <c r="I38" i="19" s="1"/>
  <c r="M30" i="19"/>
  <c r="Z27" i="19"/>
  <c r="AB27" i="19" s="1"/>
  <c r="Z25" i="19"/>
  <c r="AB25" i="19" s="1"/>
  <c r="K2" i="19"/>
  <c r="I5" i="19" s="1"/>
  <c r="J72" i="26" l="1"/>
  <c r="N27" i="23"/>
  <c r="I30" i="20"/>
  <c r="D40" i="21"/>
  <c r="H20" i="20"/>
  <c r="H19" i="20" s="1"/>
  <c r="H115" i="24"/>
  <c r="D6" i="21"/>
  <c r="D9" i="21" s="1"/>
  <c r="D15" i="21"/>
  <c r="D16" i="21" s="1"/>
  <c r="L90" i="25"/>
  <c r="M90" i="25" s="1"/>
  <c r="H100" i="25"/>
  <c r="J100" i="25"/>
  <c r="J107" i="25"/>
  <c r="J126" i="25" s="1"/>
  <c r="H126" i="25"/>
  <c r="K126" i="25" s="1"/>
  <c r="K127" i="25" s="1"/>
  <c r="K128" i="25" s="1"/>
  <c r="L86" i="25"/>
  <c r="J86" i="25"/>
  <c r="J87" i="25" s="1"/>
  <c r="H86" i="25"/>
  <c r="H87" i="25" s="1"/>
  <c r="I87" i="25"/>
  <c r="L91" i="25"/>
  <c r="M91" i="25" s="1"/>
  <c r="L89" i="25"/>
  <c r="M89" i="25" s="1"/>
  <c r="J93" i="25"/>
  <c r="J94" i="25" s="1"/>
  <c r="I102" i="25"/>
  <c r="L93" i="25"/>
  <c r="M93" i="25" s="1"/>
  <c r="H93" i="25"/>
  <c r="H94" i="25" s="1"/>
  <c r="H101" i="25"/>
  <c r="J101" i="25"/>
  <c r="J68" i="23"/>
  <c r="J71" i="23" s="1"/>
  <c r="H68" i="23"/>
  <c r="H71" i="23" s="1"/>
  <c r="I71" i="23"/>
  <c r="J68" i="24"/>
  <c r="J71" i="24" s="1"/>
  <c r="G46" i="21" s="1"/>
  <c r="I83" i="24"/>
  <c r="I85" i="24" s="1"/>
  <c r="H68" i="24"/>
  <c r="H71" i="24" s="1"/>
  <c r="H56" i="24"/>
  <c r="J56" i="24"/>
  <c r="H122" i="24"/>
  <c r="I115" i="24"/>
  <c r="L31" i="24"/>
  <c r="I59" i="24"/>
  <c r="H55" i="24"/>
  <c r="I60" i="24"/>
  <c r="J55" i="24"/>
  <c r="J57" i="24" s="1"/>
  <c r="J82" i="24"/>
  <c r="I89" i="24"/>
  <c r="I91" i="24" s="1"/>
  <c r="H82" i="24"/>
  <c r="O110" i="24"/>
  <c r="H77" i="24"/>
  <c r="J77" i="24"/>
  <c r="J78" i="24" s="1"/>
  <c r="G54" i="21" s="1"/>
  <c r="L27" i="24"/>
  <c r="H39" i="24"/>
  <c r="D31" i="21" s="1"/>
  <c r="D42" i="21" s="1"/>
  <c r="I69" i="24"/>
  <c r="I50" i="24"/>
  <c r="J39" i="24"/>
  <c r="N51" i="24" s="1"/>
  <c r="J81" i="24"/>
  <c r="H81" i="24"/>
  <c r="J49" i="24"/>
  <c r="J52" i="24" s="1"/>
  <c r="H49" i="24"/>
  <c r="H121" i="24" s="1"/>
  <c r="E45" i="24"/>
  <c r="I126" i="24"/>
  <c r="H107" i="24"/>
  <c r="H109" i="23"/>
  <c r="J109" i="23"/>
  <c r="L21" i="23"/>
  <c r="H19" i="23"/>
  <c r="J8" i="23"/>
  <c r="H113" i="23"/>
  <c r="I113" i="23" s="1"/>
  <c r="J113" i="23" s="1"/>
  <c r="N26" i="23"/>
  <c r="N28" i="23" s="1"/>
  <c r="I50" i="23"/>
  <c r="J39" i="23"/>
  <c r="H39" i="23"/>
  <c r="C29" i="21" s="1"/>
  <c r="H49" i="23"/>
  <c r="J49" i="23"/>
  <c r="I57" i="23"/>
  <c r="J48" i="23"/>
  <c r="I56" i="23"/>
  <c r="K53" i="23"/>
  <c r="K54" i="23" s="1"/>
  <c r="H48" i="23"/>
  <c r="H26" i="23"/>
  <c r="J26" i="23"/>
  <c r="L32" i="23" s="1"/>
  <c r="I40" i="23"/>
  <c r="I69" i="23" s="1"/>
  <c r="H30" i="15"/>
  <c r="D19" i="19" s="1"/>
  <c r="H35" i="15"/>
  <c r="H29" i="20"/>
  <c r="J18" i="20" s="1"/>
  <c r="J26" i="20"/>
  <c r="J34" i="20" s="1"/>
  <c r="H26" i="20"/>
  <c r="I34" i="20"/>
  <c r="I20" i="20"/>
  <c r="C19" i="20"/>
  <c r="H6" i="19"/>
  <c r="H39" i="19"/>
  <c r="AB28" i="19"/>
  <c r="AC27" i="19" s="1"/>
  <c r="Q3" i="18"/>
  <c r="H4" i="18"/>
  <c r="I4" i="18"/>
  <c r="J4" i="18"/>
  <c r="K4" i="18"/>
  <c r="L4" i="18"/>
  <c r="M4" i="18"/>
  <c r="N4" i="18"/>
  <c r="O4" i="18"/>
  <c r="J5" i="18"/>
  <c r="J6" i="18" s="1"/>
  <c r="K5" i="18"/>
  <c r="K6" i="18" s="1"/>
  <c r="H12" i="18"/>
  <c r="I12" i="18" s="1"/>
  <c r="H14" i="18"/>
  <c r="I14" i="18" s="1"/>
  <c r="H15" i="18"/>
  <c r="I15" i="18" s="1"/>
  <c r="H16" i="18"/>
  <c r="H56" i="18" s="1"/>
  <c r="H67" i="18" s="1"/>
  <c r="B17" i="18"/>
  <c r="E18" i="18"/>
  <c r="I19" i="18"/>
  <c r="H19" i="18" s="1"/>
  <c r="J19" i="18"/>
  <c r="C20" i="18"/>
  <c r="D20" i="18" s="1"/>
  <c r="E20" i="18" s="1"/>
  <c r="C21" i="18"/>
  <c r="B22" i="18"/>
  <c r="C22" i="18"/>
  <c r="I24" i="18"/>
  <c r="I32" i="18" s="1"/>
  <c r="C30" i="18"/>
  <c r="C32" i="18"/>
  <c r="G32" i="18"/>
  <c r="G39" i="18" s="1"/>
  <c r="C35" i="18"/>
  <c r="D35" i="18" s="1"/>
  <c r="D37" i="18" s="1"/>
  <c r="I47" i="18"/>
  <c r="H47" i="18" s="1"/>
  <c r="K50" i="18"/>
  <c r="K51" i="18"/>
  <c r="K52" i="18" s="1"/>
  <c r="M52" i="18" s="1"/>
  <c r="G60" i="18"/>
  <c r="G66" i="18" s="1"/>
  <c r="J63" i="18"/>
  <c r="G64" i="18"/>
  <c r="G65" i="18"/>
  <c r="G67" i="18"/>
  <c r="I67" i="18"/>
  <c r="J67" i="18"/>
  <c r="K71" i="18"/>
  <c r="M71" i="18"/>
  <c r="N71" i="18"/>
  <c r="K73" i="18"/>
  <c r="K74" i="18"/>
  <c r="F69" i="26" l="1"/>
  <c r="F66" i="26"/>
  <c r="F68" i="26"/>
  <c r="F67" i="26"/>
  <c r="F70" i="26"/>
  <c r="F71" i="26"/>
  <c r="K75" i="18"/>
  <c r="G35" i="18"/>
  <c r="H78" i="24"/>
  <c r="D54" i="21"/>
  <c r="J47" i="18"/>
  <c r="J24" i="18"/>
  <c r="J32" i="18" s="1"/>
  <c r="J35" i="18" s="1"/>
  <c r="H11" i="18"/>
  <c r="L11" i="18" s="1"/>
  <c r="O11" i="18" s="1"/>
  <c r="D32" i="21"/>
  <c r="I5" i="18"/>
  <c r="I6" i="18" s="1"/>
  <c r="I72" i="24"/>
  <c r="I73" i="24" s="1"/>
  <c r="L69" i="24" s="1"/>
  <c r="D43" i="21"/>
  <c r="D46" i="21"/>
  <c r="J29" i="23"/>
  <c r="L27" i="23" s="1"/>
  <c r="K93" i="25"/>
  <c r="J102" i="25"/>
  <c r="H102" i="25"/>
  <c r="L87" i="25"/>
  <c r="L82" i="25"/>
  <c r="L81" i="25"/>
  <c r="L85" i="25"/>
  <c r="L83" i="25"/>
  <c r="L84" i="25"/>
  <c r="M128" i="25"/>
  <c r="L140" i="25" s="1"/>
  <c r="K140" i="25"/>
  <c r="C40" i="21"/>
  <c r="F46" i="21"/>
  <c r="H115" i="23"/>
  <c r="I115" i="23" s="1"/>
  <c r="C15" i="21"/>
  <c r="C16" i="21" s="1"/>
  <c r="C6" i="21"/>
  <c r="C9" i="21" s="1"/>
  <c r="I72" i="23"/>
  <c r="I73" i="23" s="1"/>
  <c r="H69" i="23"/>
  <c r="J69" i="23"/>
  <c r="J72" i="23" s="1"/>
  <c r="F47" i="21" s="1"/>
  <c r="I90" i="24"/>
  <c r="I100" i="24" s="1"/>
  <c r="J69" i="24"/>
  <c r="I84" i="24"/>
  <c r="H69" i="24"/>
  <c r="H72" i="24" s="1"/>
  <c r="I97" i="24"/>
  <c r="H91" i="24"/>
  <c r="J91" i="24"/>
  <c r="J89" i="24"/>
  <c r="H89" i="24"/>
  <c r="D62" i="21" s="1"/>
  <c r="H59" i="24"/>
  <c r="H119" i="24" s="1"/>
  <c r="I119" i="24" s="1"/>
  <c r="J119" i="24" s="1"/>
  <c r="K119" i="24" s="1"/>
  <c r="K120" i="24" s="1"/>
  <c r="K121" i="24" s="1"/>
  <c r="J59" i="24"/>
  <c r="N53" i="24"/>
  <c r="I122" i="24"/>
  <c r="J115" i="24"/>
  <c r="J83" i="24"/>
  <c r="J85" i="24" s="1"/>
  <c r="G57" i="21" s="1"/>
  <c r="I92" i="24"/>
  <c r="H83" i="24"/>
  <c r="H85" i="24" s="1"/>
  <c r="D57" i="21" s="1"/>
  <c r="J107" i="24"/>
  <c r="J126" i="24" s="1"/>
  <c r="H126" i="24"/>
  <c r="K126" i="24" s="1"/>
  <c r="K127" i="24" s="1"/>
  <c r="K128" i="24" s="1"/>
  <c r="H127" i="24"/>
  <c r="I121" i="24"/>
  <c r="J50" i="24"/>
  <c r="O111" i="24" s="1"/>
  <c r="I54" i="24"/>
  <c r="I58" i="24"/>
  <c r="H50" i="24"/>
  <c r="J60" i="24"/>
  <c r="H60" i="24"/>
  <c r="H120" i="24" s="1"/>
  <c r="I120" i="24" s="1"/>
  <c r="J120" i="24" s="1"/>
  <c r="I51" i="23"/>
  <c r="J40" i="23"/>
  <c r="N52" i="23" s="1"/>
  <c r="H40" i="23"/>
  <c r="C31" i="21" s="1"/>
  <c r="C42" i="21" s="1"/>
  <c r="O110" i="23"/>
  <c r="I83" i="23"/>
  <c r="H83" i="23" s="1"/>
  <c r="H50" i="23"/>
  <c r="J50" i="23"/>
  <c r="I61" i="23"/>
  <c r="J56" i="23"/>
  <c r="I60" i="23"/>
  <c r="H56" i="23"/>
  <c r="L34" i="23"/>
  <c r="I81" i="23"/>
  <c r="J76" i="23"/>
  <c r="H57" i="23"/>
  <c r="J57" i="23"/>
  <c r="I77" i="23"/>
  <c r="E46" i="23"/>
  <c r="H34" i="20"/>
  <c r="H55" i="20"/>
  <c r="I37" i="20"/>
  <c r="I41" i="20"/>
  <c r="J41" i="20"/>
  <c r="J37" i="20"/>
  <c r="D19" i="20"/>
  <c r="A23" i="20" s="1"/>
  <c r="H30" i="20"/>
  <c r="H15" i="19"/>
  <c r="I4" i="19"/>
  <c r="I37" i="19"/>
  <c r="H42" i="19"/>
  <c r="AC25" i="19"/>
  <c r="M12" i="18"/>
  <c r="I26" i="18"/>
  <c r="L12" i="18"/>
  <c r="N12" i="18"/>
  <c r="I7" i="18"/>
  <c r="I8" i="18" s="1"/>
  <c r="J8" i="18" s="1"/>
  <c r="I35" i="18"/>
  <c r="I39" i="18"/>
  <c r="H51" i="18"/>
  <c r="I51" i="18" s="1"/>
  <c r="J51" i="18" s="1"/>
  <c r="H24" i="18"/>
  <c r="H13" i="18"/>
  <c r="Q4" i="18"/>
  <c r="J39" i="18" l="1"/>
  <c r="H73" i="24"/>
  <c r="D47" i="21"/>
  <c r="D48" i="21" s="1"/>
  <c r="H90" i="24"/>
  <c r="L67" i="24"/>
  <c r="L66" i="24"/>
  <c r="L68" i="24"/>
  <c r="H122" i="23"/>
  <c r="J73" i="23"/>
  <c r="F43" i="21" s="1"/>
  <c r="F48" i="21"/>
  <c r="L67" i="23"/>
  <c r="L66" i="23"/>
  <c r="L68" i="23"/>
  <c r="C32" i="21"/>
  <c r="L69" i="23"/>
  <c r="C43" i="21"/>
  <c r="C46" i="21"/>
  <c r="J58" i="23"/>
  <c r="H100" i="24"/>
  <c r="J100" i="24"/>
  <c r="J90" i="24"/>
  <c r="K91" i="24" s="1"/>
  <c r="K69" i="24"/>
  <c r="J72" i="24"/>
  <c r="J122" i="24"/>
  <c r="J128" i="24" s="1"/>
  <c r="I128" i="24"/>
  <c r="I101" i="24"/>
  <c r="J92" i="24"/>
  <c r="H92" i="24"/>
  <c r="J121" i="24"/>
  <c r="J127" i="24" s="1"/>
  <c r="I127" i="24"/>
  <c r="J97" i="24"/>
  <c r="J98" i="24" s="1"/>
  <c r="G63" i="21" s="1"/>
  <c r="H97" i="24"/>
  <c r="I98" i="24"/>
  <c r="J54" i="24"/>
  <c r="J58" i="24"/>
  <c r="K140" i="24"/>
  <c r="M128" i="24"/>
  <c r="L140" i="24" s="1"/>
  <c r="J61" i="24"/>
  <c r="I93" i="24"/>
  <c r="J84" i="24"/>
  <c r="I86" i="24"/>
  <c r="H84" i="24"/>
  <c r="H58" i="24"/>
  <c r="H54" i="24"/>
  <c r="H128" i="24"/>
  <c r="K139" i="24"/>
  <c r="M121" i="24"/>
  <c r="L139" i="24" s="1"/>
  <c r="J77" i="23"/>
  <c r="J78" i="23" s="1"/>
  <c r="F54" i="21" s="1"/>
  <c r="H77" i="23"/>
  <c r="I82" i="23"/>
  <c r="H121" i="23"/>
  <c r="H81" i="23"/>
  <c r="J81" i="23"/>
  <c r="H61" i="23"/>
  <c r="H120" i="23" s="1"/>
  <c r="I120" i="23" s="1"/>
  <c r="J120" i="23" s="1"/>
  <c r="J61" i="23"/>
  <c r="I92" i="23"/>
  <c r="J83" i="23"/>
  <c r="J53" i="23"/>
  <c r="N54" i="23"/>
  <c r="J51" i="23"/>
  <c r="I84" i="23"/>
  <c r="I55" i="23"/>
  <c r="I59" i="23"/>
  <c r="H51" i="23"/>
  <c r="I122" i="23"/>
  <c r="J115" i="23"/>
  <c r="H60" i="23"/>
  <c r="H119" i="23" s="1"/>
  <c r="I119" i="23" s="1"/>
  <c r="J119" i="23" s="1"/>
  <c r="K119" i="23" s="1"/>
  <c r="K120" i="23" s="1"/>
  <c r="K121" i="23" s="1"/>
  <c r="J60" i="23"/>
  <c r="O12" i="18"/>
  <c r="O10" i="18" s="1"/>
  <c r="I55" i="20"/>
  <c r="H62" i="20"/>
  <c r="H68" i="20" s="1"/>
  <c r="A24" i="20"/>
  <c r="I22" i="20"/>
  <c r="A21" i="20"/>
  <c r="H41" i="20"/>
  <c r="H37" i="20"/>
  <c r="I36" i="19"/>
  <c r="I3" i="19"/>
  <c r="H32" i="18"/>
  <c r="H53" i="18"/>
  <c r="N26" i="18"/>
  <c r="I27" i="18" s="1"/>
  <c r="H26" i="18"/>
  <c r="H18" i="18"/>
  <c r="I13" i="18"/>
  <c r="H101" i="24" l="1"/>
  <c r="J101" i="24"/>
  <c r="H98" i="24"/>
  <c r="D63" i="21" s="1"/>
  <c r="K97" i="24"/>
  <c r="J73" i="24"/>
  <c r="G43" i="21" s="1"/>
  <c r="G47" i="21"/>
  <c r="G48" i="21" s="1"/>
  <c r="H78" i="23"/>
  <c r="C54" i="21"/>
  <c r="J62" i="23"/>
  <c r="J86" i="24"/>
  <c r="H86" i="24"/>
  <c r="H87" i="24" s="1"/>
  <c r="I87" i="24"/>
  <c r="J93" i="24"/>
  <c r="J94" i="24" s="1"/>
  <c r="H93" i="24"/>
  <c r="I102" i="24"/>
  <c r="I94" i="24"/>
  <c r="L93" i="24" s="1"/>
  <c r="M93" i="24" s="1"/>
  <c r="H84" i="23"/>
  <c r="I86" i="23"/>
  <c r="D36" i="22"/>
  <c r="I101" i="23"/>
  <c r="I89" i="23"/>
  <c r="D33" i="22" s="1"/>
  <c r="I85" i="23"/>
  <c r="H82" i="23"/>
  <c r="H85" i="23" s="1"/>
  <c r="C57" i="21" s="1"/>
  <c r="J82" i="23"/>
  <c r="J85" i="23" s="1"/>
  <c r="F57" i="21" s="1"/>
  <c r="J122" i="23"/>
  <c r="J128" i="23" s="1"/>
  <c r="I128" i="23"/>
  <c r="H128" i="23"/>
  <c r="H55" i="23"/>
  <c r="H59" i="23"/>
  <c r="K69" i="23"/>
  <c r="J55" i="23"/>
  <c r="J59" i="23"/>
  <c r="O111" i="23"/>
  <c r="I93" i="23"/>
  <c r="J84" i="23"/>
  <c r="H92" i="23"/>
  <c r="C36" i="22" s="1"/>
  <c r="J92" i="23"/>
  <c r="E36" i="22" s="1"/>
  <c r="K139" i="23"/>
  <c r="M121" i="23"/>
  <c r="L139" i="23" s="1"/>
  <c r="I121" i="23"/>
  <c r="H127" i="23"/>
  <c r="D24" i="18"/>
  <c r="E24" i="18" s="1"/>
  <c r="H22" i="20"/>
  <c r="J22" i="20"/>
  <c r="I24" i="20"/>
  <c r="I25" i="20"/>
  <c r="I62" i="20"/>
  <c r="J55" i="20"/>
  <c r="C17" i="18"/>
  <c r="I18" i="18"/>
  <c r="H17" i="18"/>
  <c r="K27" i="18"/>
  <c r="K28" i="18" s="1"/>
  <c r="H27" i="18"/>
  <c r="J16" i="18" s="1"/>
  <c r="H60" i="18"/>
  <c r="H66" i="18" s="1"/>
  <c r="I53" i="18"/>
  <c r="I28" i="18"/>
  <c r="H35" i="18"/>
  <c r="H39" i="18"/>
  <c r="J87" i="24" l="1"/>
  <c r="G58" i="21"/>
  <c r="G59" i="21" s="1"/>
  <c r="K93" i="24"/>
  <c r="H94" i="24"/>
  <c r="D58" i="21"/>
  <c r="D59" i="21" s="1"/>
  <c r="J89" i="23"/>
  <c r="I107" i="23"/>
  <c r="H101" i="23"/>
  <c r="J101" i="23"/>
  <c r="H102" i="24"/>
  <c r="D64" i="21" s="1"/>
  <c r="D65" i="21" s="1"/>
  <c r="J102" i="24"/>
  <c r="G64" i="21" s="1"/>
  <c r="G65" i="21" s="1"/>
  <c r="L87" i="24"/>
  <c r="L82" i="24"/>
  <c r="L81" i="24"/>
  <c r="L83" i="24"/>
  <c r="L85" i="24"/>
  <c r="L84" i="24"/>
  <c r="L91" i="24"/>
  <c r="M91" i="24" s="1"/>
  <c r="L89" i="24"/>
  <c r="M89" i="24" s="1"/>
  <c r="L90" i="24"/>
  <c r="M90" i="24" s="1"/>
  <c r="L92" i="24"/>
  <c r="M92" i="24" s="1"/>
  <c r="L86" i="24"/>
  <c r="I87" i="23"/>
  <c r="L85" i="23" s="1"/>
  <c r="D37" i="22"/>
  <c r="I102" i="23"/>
  <c r="H86" i="23"/>
  <c r="J86" i="23"/>
  <c r="I90" i="23"/>
  <c r="I100" i="23" s="1"/>
  <c r="I91" i="23"/>
  <c r="I97" i="23" s="1"/>
  <c r="H89" i="23"/>
  <c r="E33" i="22"/>
  <c r="I127" i="23"/>
  <c r="J121" i="23"/>
  <c r="J127" i="23" s="1"/>
  <c r="J93" i="23"/>
  <c r="H93" i="23"/>
  <c r="C37" i="22" s="1"/>
  <c r="H72" i="23"/>
  <c r="J62" i="20"/>
  <c r="J68" i="20" s="1"/>
  <c r="I68" i="20"/>
  <c r="N24" i="20"/>
  <c r="H24" i="20"/>
  <c r="I32" i="20"/>
  <c r="J24" i="20"/>
  <c r="I33" i="20"/>
  <c r="J25" i="20"/>
  <c r="H25" i="20"/>
  <c r="I23" i="20"/>
  <c r="J19" i="20"/>
  <c r="H54" i="20"/>
  <c r="I54" i="20" s="1"/>
  <c r="J54" i="20" s="1"/>
  <c r="I19" i="20"/>
  <c r="D17" i="18"/>
  <c r="A21" i="18" s="1"/>
  <c r="H28" i="18"/>
  <c r="J53" i="18"/>
  <c r="I60" i="18"/>
  <c r="H102" i="23" l="1"/>
  <c r="J102" i="23"/>
  <c r="H100" i="23"/>
  <c r="J100" i="23"/>
  <c r="F64" i="21" s="1"/>
  <c r="H107" i="23"/>
  <c r="I126" i="23"/>
  <c r="C33" i="22"/>
  <c r="C62" i="21"/>
  <c r="H87" i="23"/>
  <c r="C58" i="21"/>
  <c r="C59" i="21" s="1"/>
  <c r="C47" i="21"/>
  <c r="C48" i="21" s="1"/>
  <c r="H73" i="23"/>
  <c r="J87" i="23"/>
  <c r="F58" i="21"/>
  <c r="F59" i="21" s="1"/>
  <c r="L87" i="23"/>
  <c r="L81" i="23"/>
  <c r="L83" i="23"/>
  <c r="L86" i="23"/>
  <c r="L84" i="23"/>
  <c r="L82" i="23"/>
  <c r="J97" i="23"/>
  <c r="J98" i="23" s="1"/>
  <c r="F63" i="21" s="1"/>
  <c r="H97" i="23"/>
  <c r="I98" i="23"/>
  <c r="D35" i="22"/>
  <c r="H91" i="23"/>
  <c r="J91" i="23"/>
  <c r="E35" i="22" s="1"/>
  <c r="D34" i="22"/>
  <c r="H90" i="23"/>
  <c r="J90" i="23"/>
  <c r="I94" i="23"/>
  <c r="L91" i="23" s="1"/>
  <c r="K93" i="23"/>
  <c r="F37" i="22" s="1"/>
  <c r="E37" i="22"/>
  <c r="H32" i="20"/>
  <c r="I39" i="20"/>
  <c r="J32" i="20"/>
  <c r="H33" i="20"/>
  <c r="H61" i="20" s="1"/>
  <c r="J33" i="20"/>
  <c r="H23" i="20"/>
  <c r="I31" i="20"/>
  <c r="J23" i="20"/>
  <c r="I66" i="18"/>
  <c r="J60" i="18"/>
  <c r="J66" i="18" s="1"/>
  <c r="A19" i="18"/>
  <c r="I20" i="18"/>
  <c r="A22" i="18"/>
  <c r="D21" i="18"/>
  <c r="C64" i="21" l="1"/>
  <c r="F65" i="21"/>
  <c r="J107" i="23"/>
  <c r="J126" i="23" s="1"/>
  <c r="H126" i="23"/>
  <c r="K126" i="23" s="1"/>
  <c r="K127" i="23" s="1"/>
  <c r="K128" i="23" s="1"/>
  <c r="H94" i="23"/>
  <c r="C38" i="22" s="1"/>
  <c r="M91" i="23"/>
  <c r="H35" i="22" s="1"/>
  <c r="G35" i="22"/>
  <c r="E34" i="22"/>
  <c r="K91" i="23"/>
  <c r="F35" i="22" s="1"/>
  <c r="J94" i="23"/>
  <c r="E38" i="22" s="1"/>
  <c r="C34" i="22"/>
  <c r="C35" i="22"/>
  <c r="L90" i="23"/>
  <c r="L93" i="23"/>
  <c r="D38" i="22"/>
  <c r="L92" i="23"/>
  <c r="L89" i="23"/>
  <c r="H39" i="20"/>
  <c r="J39" i="20"/>
  <c r="I61" i="20"/>
  <c r="H67" i="20"/>
  <c r="K35" i="20"/>
  <c r="K36" i="20" s="1"/>
  <c r="H31" i="20"/>
  <c r="I47" i="20"/>
  <c r="I38" i="20"/>
  <c r="J31" i="20"/>
  <c r="J35" i="20" s="1"/>
  <c r="J20" i="18"/>
  <c r="H20" i="18"/>
  <c r="I22" i="18"/>
  <c r="E21" i="18"/>
  <c r="D22" i="18"/>
  <c r="E22" i="18" s="1"/>
  <c r="I23" i="18"/>
  <c r="M128" i="23" l="1"/>
  <c r="L140" i="23" s="1"/>
  <c r="K140" i="23"/>
  <c r="D23" i="18"/>
  <c r="E23" i="18" s="1"/>
  <c r="G37" i="22"/>
  <c r="M93" i="23"/>
  <c r="H37" i="22" s="1"/>
  <c r="M89" i="23"/>
  <c r="H33" i="22" s="1"/>
  <c r="G33" i="22"/>
  <c r="H98" i="23"/>
  <c r="C63" i="21" s="1"/>
  <c r="C65" i="21" s="1"/>
  <c r="M90" i="23"/>
  <c r="H34" i="22" s="1"/>
  <c r="G34" i="22"/>
  <c r="M92" i="23"/>
  <c r="H36" i="22" s="1"/>
  <c r="G36" i="22"/>
  <c r="I43" i="20"/>
  <c r="H38" i="20"/>
  <c r="I42" i="20"/>
  <c r="J38" i="20"/>
  <c r="J40" i="20" s="1"/>
  <c r="I66" i="20"/>
  <c r="H47" i="20"/>
  <c r="I67" i="20"/>
  <c r="J61" i="20"/>
  <c r="J67" i="20" s="1"/>
  <c r="H23" i="18"/>
  <c r="J23" i="18"/>
  <c r="I31" i="18"/>
  <c r="I21" i="18"/>
  <c r="J22" i="18"/>
  <c r="I30" i="18"/>
  <c r="H22" i="18"/>
  <c r="N22" i="18"/>
  <c r="J17" i="18"/>
  <c r="I17" i="18"/>
  <c r="H52" i="18"/>
  <c r="I52" i="18" s="1"/>
  <c r="J52" i="18" s="1"/>
  <c r="D25" i="18" l="1"/>
  <c r="E25" i="18" s="1"/>
  <c r="F24" i="22"/>
  <c r="H43" i="20"/>
  <c r="H60" i="20" s="1"/>
  <c r="I60" i="20" s="1"/>
  <c r="J60" i="20" s="1"/>
  <c r="J43" i="20"/>
  <c r="J47" i="20"/>
  <c r="J66" i="20" s="1"/>
  <c r="H66" i="20"/>
  <c r="K66" i="20" s="1"/>
  <c r="K67" i="20" s="1"/>
  <c r="K68" i="20" s="1"/>
  <c r="H42" i="20"/>
  <c r="H59" i="20" s="1"/>
  <c r="I59" i="20" s="1"/>
  <c r="J59" i="20" s="1"/>
  <c r="K59" i="20" s="1"/>
  <c r="K60" i="20" s="1"/>
  <c r="K61" i="20" s="1"/>
  <c r="J42" i="20"/>
  <c r="J44" i="20" s="1"/>
  <c r="I37" i="18"/>
  <c r="J30" i="18"/>
  <c r="H30" i="18"/>
  <c r="J21" i="18"/>
  <c r="I29" i="18"/>
  <c r="H21" i="18"/>
  <c r="J31" i="18"/>
  <c r="H31" i="18"/>
  <c r="H59" i="18" s="1"/>
  <c r="K17" i="18" l="1"/>
  <c r="K18" i="18" s="1"/>
  <c r="M68" i="20"/>
  <c r="L80" i="20" s="1"/>
  <c r="K80" i="20"/>
  <c r="K79" i="20"/>
  <c r="M61" i="20"/>
  <c r="L79" i="20" s="1"/>
  <c r="H65" i="18"/>
  <c r="I59" i="18"/>
  <c r="I36" i="18"/>
  <c r="J29" i="18"/>
  <c r="J33" i="18" s="1"/>
  <c r="H29" i="18"/>
  <c r="K33" i="18"/>
  <c r="K34" i="18" s="1"/>
  <c r="J37" i="18"/>
  <c r="H37" i="18"/>
  <c r="I40" i="18" l="1"/>
  <c r="K42" i="18"/>
  <c r="K43" i="18" s="1"/>
  <c r="K80" i="18" s="1"/>
  <c r="J36" i="18"/>
  <c r="J38" i="18" s="1"/>
  <c r="I45" i="18"/>
  <c r="H36" i="18"/>
  <c r="I41" i="18"/>
  <c r="J59" i="18"/>
  <c r="J65" i="18" s="1"/>
  <c r="I65" i="18"/>
  <c r="J41" i="18" l="1"/>
  <c r="H41" i="18"/>
  <c r="H58" i="18" s="1"/>
  <c r="I58" i="18" s="1"/>
  <c r="J58" i="18" s="1"/>
  <c r="H45" i="18"/>
  <c r="I64" i="18"/>
  <c r="K45" i="18"/>
  <c r="K46" i="18" s="1"/>
  <c r="K81" i="18" s="1"/>
  <c r="H40" i="18"/>
  <c r="H57" i="18" s="1"/>
  <c r="I57" i="18" s="1"/>
  <c r="J57" i="18" s="1"/>
  <c r="K57" i="18" s="1"/>
  <c r="K58" i="18" s="1"/>
  <c r="K59" i="18" s="1"/>
  <c r="J40" i="18"/>
  <c r="J42" i="18" l="1"/>
  <c r="M59" i="18"/>
  <c r="L77" i="18" s="1"/>
  <c r="K77" i="18"/>
  <c r="H64" i="18"/>
  <c r="K64" i="18" s="1"/>
  <c r="K65" i="18" s="1"/>
  <c r="K66" i="18" s="1"/>
  <c r="J45" i="18"/>
  <c r="J64" i="18" s="1"/>
  <c r="K78" i="18" l="1"/>
  <c r="M66" i="18"/>
  <c r="L78" i="18" s="1"/>
  <c r="K5" i="15" l="1"/>
  <c r="K6" i="15" s="1"/>
  <c r="J5" i="15"/>
  <c r="J6" i="15" s="1"/>
  <c r="K128" i="15" l="1"/>
  <c r="N128" i="15"/>
  <c r="M128" i="15"/>
  <c r="E35" i="7" l="1"/>
  <c r="C23" i="28" s="1"/>
  <c r="D23" i="28" s="1"/>
  <c r="E23" i="28" s="1"/>
  <c r="E34" i="7"/>
  <c r="C22" i="28" s="1"/>
  <c r="D22" i="28" s="1"/>
  <c r="G124" i="15"/>
  <c r="I124" i="15"/>
  <c r="J124" i="15"/>
  <c r="G122" i="15"/>
  <c r="E22" i="28" l="1"/>
  <c r="C22" i="26"/>
  <c r="D22" i="26" s="1"/>
  <c r="C22" i="25"/>
  <c r="D22" i="25" s="1"/>
  <c r="C22" i="23"/>
  <c r="D22" i="23" s="1"/>
  <c r="C22" i="24"/>
  <c r="D22" i="24" s="1"/>
  <c r="C22" i="20"/>
  <c r="D22" i="20" s="1"/>
  <c r="C23" i="26"/>
  <c r="D23" i="26" s="1"/>
  <c r="E23" i="26" s="1"/>
  <c r="C23" i="25"/>
  <c r="D23" i="25" s="1"/>
  <c r="E23" i="25" s="1"/>
  <c r="C23" i="24"/>
  <c r="D23" i="24" s="1"/>
  <c r="E23" i="24" s="1"/>
  <c r="C23" i="23"/>
  <c r="D23" i="23" s="1"/>
  <c r="E23" i="23" s="1"/>
  <c r="C23" i="20"/>
  <c r="D23" i="20" s="1"/>
  <c r="E23" i="20" s="1"/>
  <c r="E20" i="15"/>
  <c r="E22" i="24" l="1"/>
  <c r="E22" i="23"/>
  <c r="E22" i="25"/>
  <c r="E22" i="20"/>
  <c r="E22" i="26"/>
  <c r="E42" i="15"/>
  <c r="E43" i="15"/>
  <c r="K131" i="15"/>
  <c r="K130" i="15"/>
  <c r="K107" i="15"/>
  <c r="K108" i="15" s="1"/>
  <c r="K109" i="15" s="1"/>
  <c r="M109" i="15" s="1"/>
  <c r="J120" i="15"/>
  <c r="G121" i="15"/>
  <c r="G117" i="15"/>
  <c r="G123" i="15" s="1"/>
  <c r="G54" i="15"/>
  <c r="C23" i="15"/>
  <c r="C22" i="15"/>
  <c r="D22" i="15" s="1"/>
  <c r="B19" i="15"/>
  <c r="B24" i="15"/>
  <c r="B27" i="7"/>
  <c r="C20" i="7" s="1"/>
  <c r="H14" i="15"/>
  <c r="N4" i="15"/>
  <c r="N5" i="15" s="1"/>
  <c r="N9" i="15" s="1"/>
  <c r="N10" i="15" s="1"/>
  <c r="M4" i="15"/>
  <c r="M5" i="15" s="1"/>
  <c r="L4" i="15"/>
  <c r="K4" i="15"/>
  <c r="J4" i="15"/>
  <c r="I4" i="15"/>
  <c r="H4" i="15"/>
  <c r="Q3" i="15"/>
  <c r="O4" i="15" s="1"/>
  <c r="B4" i="21" l="1"/>
  <c r="B13" i="21"/>
  <c r="H18" i="15"/>
  <c r="B19" i="21" s="1"/>
  <c r="H16" i="15"/>
  <c r="I16" i="15" s="1"/>
  <c r="H17" i="15"/>
  <c r="I17" i="15" s="1"/>
  <c r="M9" i="15"/>
  <c r="E44" i="15"/>
  <c r="I14" i="15"/>
  <c r="I28" i="15" s="1"/>
  <c r="H113" i="15"/>
  <c r="H124" i="15" s="1"/>
  <c r="H15" i="15"/>
  <c r="I15" i="15" s="1"/>
  <c r="I5" i="15"/>
  <c r="I6" i="15" s="1"/>
  <c r="I7" i="15" s="1"/>
  <c r="I8" i="15" s="1"/>
  <c r="E22" i="15"/>
  <c r="K132" i="15"/>
  <c r="G58" i="15"/>
  <c r="H13" i="15"/>
  <c r="B3" i="21" s="1"/>
  <c r="Q4" i="15"/>
  <c r="C18" i="14"/>
  <c r="J6" i="14"/>
  <c r="E25" i="19" l="1"/>
  <c r="H28" i="15"/>
  <c r="J28" i="15"/>
  <c r="I44" i="15"/>
  <c r="N14" i="15"/>
  <c r="I40" i="15"/>
  <c r="J14" i="15"/>
  <c r="M10" i="15"/>
  <c r="Q10" i="15" s="1"/>
  <c r="Q9" i="15"/>
  <c r="R9" i="15" s="1"/>
  <c r="L13" i="15"/>
  <c r="O13" i="15" s="1"/>
  <c r="L14" i="15"/>
  <c r="C28" i="19"/>
  <c r="H20" i="15"/>
  <c r="M18" i="14"/>
  <c r="H19" i="14" s="1"/>
  <c r="G19" i="14" s="1"/>
  <c r="M15" i="14"/>
  <c r="H23" i="14"/>
  <c r="G23" i="14" s="1"/>
  <c r="D17" i="14"/>
  <c r="D16" i="14"/>
  <c r="E37" i="7"/>
  <c r="G7" i="14"/>
  <c r="H7" i="14" s="1"/>
  <c r="M4" i="14"/>
  <c r="L4" i="14"/>
  <c r="K4" i="14"/>
  <c r="J4" i="14"/>
  <c r="G10" i="14" s="1"/>
  <c r="H10" i="14" s="1"/>
  <c r="I4" i="14"/>
  <c r="G9" i="14" s="1"/>
  <c r="H9" i="14" s="1"/>
  <c r="H4" i="14"/>
  <c r="G8" i="14" s="1"/>
  <c r="H8" i="14" s="1"/>
  <c r="G4" i="14"/>
  <c r="I20" i="15" l="1"/>
  <c r="H18" i="14"/>
  <c r="K7" i="14"/>
  <c r="M7" i="14"/>
  <c r="R10" i="15"/>
  <c r="B8" i="21"/>
  <c r="B20" i="21"/>
  <c r="B21" i="21" s="1"/>
  <c r="J40" i="15"/>
  <c r="H40" i="15"/>
  <c r="B30" i="21" s="1"/>
  <c r="I51" i="15"/>
  <c r="N44" i="15"/>
  <c r="H44" i="15"/>
  <c r="C19" i="15"/>
  <c r="D19" i="15"/>
  <c r="G18" i="14"/>
  <c r="G20" i="14" s="1"/>
  <c r="H20" i="14"/>
  <c r="I23" i="14"/>
  <c r="G12" i="14"/>
  <c r="H12" i="14" s="1"/>
  <c r="J11" i="14" s="1"/>
  <c r="P3" i="14"/>
  <c r="N4" i="14" s="1"/>
  <c r="P4" i="14" s="1"/>
  <c r="B10" i="4"/>
  <c r="C10" i="4" s="1"/>
  <c r="B24" i="7"/>
  <c r="F35" i="7" s="1"/>
  <c r="G35" i="7" s="1"/>
  <c r="E25" i="7"/>
  <c r="F25" i="7" s="1"/>
  <c r="G25" i="7" s="1"/>
  <c r="E26" i="7"/>
  <c r="F26" i="7" s="1"/>
  <c r="G26" i="7" s="1"/>
  <c r="E28" i="7"/>
  <c r="J27" i="7"/>
  <c r="J26" i="7"/>
  <c r="J28" i="7"/>
  <c r="J25" i="7"/>
  <c r="E22" i="7"/>
  <c r="F22" i="7" s="1"/>
  <c r="E23" i="7"/>
  <c r="F23" i="7" s="1"/>
  <c r="B11" i="4" l="1"/>
  <c r="F34" i="7"/>
  <c r="G34" i="7" s="1"/>
  <c r="E31" i="7"/>
  <c r="F37" i="7"/>
  <c r="G37" i="7" s="1"/>
  <c r="I69" i="15"/>
  <c r="J51" i="15"/>
  <c r="J69" i="15" s="1"/>
  <c r="H51" i="15"/>
  <c r="B41" i="21" s="1"/>
  <c r="B51" i="21" s="1"/>
  <c r="A23" i="15"/>
  <c r="H14" i="14"/>
  <c r="H13" i="14"/>
  <c r="H36" i="14" s="1"/>
  <c r="H15" i="14"/>
  <c r="I15" i="14" s="1"/>
  <c r="F28" i="7"/>
  <c r="G28" i="7" s="1"/>
  <c r="J29" i="7"/>
  <c r="K28" i="7" s="1"/>
  <c r="K26" i="13"/>
  <c r="I29" i="13" s="1"/>
  <c r="M21" i="13"/>
  <c r="Z18" i="13"/>
  <c r="AB18" i="13" s="1"/>
  <c r="Z17" i="13"/>
  <c r="AB17" i="13" s="1"/>
  <c r="I5" i="13"/>
  <c r="E9" i="7"/>
  <c r="H9" i="7" s="1"/>
  <c r="E8" i="7"/>
  <c r="F8" i="7" s="1"/>
  <c r="G8" i="7" s="1"/>
  <c r="B18" i="7"/>
  <c r="E19" i="7" s="1"/>
  <c r="C20" i="37" l="1"/>
  <c r="C7" i="37"/>
  <c r="C27" i="32"/>
  <c r="C7" i="31"/>
  <c r="C36" i="28"/>
  <c r="K107" i="28" s="1"/>
  <c r="K108" i="28" s="1"/>
  <c r="C20" i="31"/>
  <c r="F19" i="7"/>
  <c r="G19" i="7" s="1"/>
  <c r="C41" i="26"/>
  <c r="K127" i="26" s="1"/>
  <c r="K128" i="26" s="1"/>
  <c r="C36" i="25"/>
  <c r="K107" i="25" s="1"/>
  <c r="K108" i="25" s="1"/>
  <c r="C35" i="24"/>
  <c r="K107" i="24" s="1"/>
  <c r="K108" i="24" s="1"/>
  <c r="C36" i="23"/>
  <c r="K107" i="23" s="1"/>
  <c r="K108" i="23" s="1"/>
  <c r="C34" i="20"/>
  <c r="K47" i="20" s="1"/>
  <c r="K48" i="20" s="1"/>
  <c r="K83" i="20" s="1"/>
  <c r="C22" i="14"/>
  <c r="C35" i="15"/>
  <c r="F9" i="7"/>
  <c r="G9" i="7" s="1"/>
  <c r="I22" i="15"/>
  <c r="I24" i="15"/>
  <c r="H24" i="15" s="1"/>
  <c r="H69" i="15"/>
  <c r="J18" i="15"/>
  <c r="E13" i="19"/>
  <c r="A24" i="15"/>
  <c r="I21" i="15" s="1"/>
  <c r="I26" i="15" s="1"/>
  <c r="A21" i="15"/>
  <c r="D23" i="15"/>
  <c r="E23" i="15" s="1"/>
  <c r="J22" i="15"/>
  <c r="H22" i="15"/>
  <c r="B7" i="21" s="1"/>
  <c r="I36" i="14"/>
  <c r="G36" i="14"/>
  <c r="G13" i="14"/>
  <c r="I13" i="14"/>
  <c r="G14" i="14"/>
  <c r="I14" i="14"/>
  <c r="G15" i="14"/>
  <c r="H21" i="14"/>
  <c r="J24" i="14" s="1"/>
  <c r="H16" i="14"/>
  <c r="I16" i="14" s="1"/>
  <c r="H19" i="7"/>
  <c r="H8" i="7"/>
  <c r="H6" i="13"/>
  <c r="H30" i="13"/>
  <c r="AB19" i="13"/>
  <c r="AC18" i="13" s="1"/>
  <c r="K143" i="28" l="1"/>
  <c r="N108" i="28"/>
  <c r="N109" i="28" s="1"/>
  <c r="I23" i="15"/>
  <c r="I36" i="15" s="1"/>
  <c r="J36" i="15" s="1"/>
  <c r="N108" i="23"/>
  <c r="N109" i="23" s="1"/>
  <c r="K143" i="23"/>
  <c r="N108" i="24"/>
  <c r="N109" i="24" s="1"/>
  <c r="K143" i="24"/>
  <c r="I37" i="15"/>
  <c r="N108" i="25"/>
  <c r="N109" i="25" s="1"/>
  <c r="K143" i="25"/>
  <c r="K163" i="26"/>
  <c r="N125" i="26"/>
  <c r="N126" i="26" s="1"/>
  <c r="J24" i="15"/>
  <c r="I25" i="15"/>
  <c r="J25" i="15" s="1"/>
  <c r="C26" i="19"/>
  <c r="L22" i="15"/>
  <c r="I104" i="15"/>
  <c r="H21" i="15"/>
  <c r="J21" i="15"/>
  <c r="H109" i="15"/>
  <c r="I109" i="15" s="1"/>
  <c r="J109" i="15" s="1"/>
  <c r="J19" i="15"/>
  <c r="I19" i="15"/>
  <c r="I21" i="14"/>
  <c r="G21" i="14"/>
  <c r="H26" i="14"/>
  <c r="G16" i="14"/>
  <c r="M16" i="14"/>
  <c r="H22" i="14"/>
  <c r="I22" i="14" s="1"/>
  <c r="AC17" i="13"/>
  <c r="I28" i="13"/>
  <c r="H33" i="13"/>
  <c r="H9" i="13"/>
  <c r="I4" i="13"/>
  <c r="I24" i="14" l="1"/>
  <c r="J37" i="15"/>
  <c r="I41" i="15"/>
  <c r="H41" i="15" s="1"/>
  <c r="H37" i="15"/>
  <c r="I48" i="15"/>
  <c r="B5" i="21"/>
  <c r="N26" i="15"/>
  <c r="I38" i="15"/>
  <c r="J38" i="15" s="1"/>
  <c r="H23" i="15"/>
  <c r="H25" i="15"/>
  <c r="J23" i="15"/>
  <c r="C27" i="19"/>
  <c r="L21" i="15"/>
  <c r="I39" i="15"/>
  <c r="J39" i="15" s="1"/>
  <c r="H26" i="15"/>
  <c r="H36" i="15"/>
  <c r="I47" i="15"/>
  <c r="N42" i="15"/>
  <c r="H32" i="15"/>
  <c r="H104" i="15"/>
  <c r="J104" i="15"/>
  <c r="J8" i="15"/>
  <c r="H19" i="15"/>
  <c r="H108" i="15"/>
  <c r="I108" i="15" s="1"/>
  <c r="J108" i="15" s="1"/>
  <c r="J26" i="15"/>
  <c r="I26" i="14"/>
  <c r="H34" i="14"/>
  <c r="G26" i="14"/>
  <c r="H30" i="14"/>
  <c r="H29" i="14"/>
  <c r="H27" i="14"/>
  <c r="G22" i="14"/>
  <c r="I3" i="13"/>
  <c r="I27" i="13"/>
  <c r="I66" i="15" l="1"/>
  <c r="I56" i="15"/>
  <c r="H48" i="15"/>
  <c r="H66" i="15" s="1"/>
  <c r="H76" i="15" s="1"/>
  <c r="J48" i="15"/>
  <c r="J66" i="15" s="1"/>
  <c r="C20" i="19"/>
  <c r="B25" i="21"/>
  <c r="B26" i="21" s="1"/>
  <c r="H38" i="15"/>
  <c r="B29" i="21" s="1"/>
  <c r="B32" i="21" s="1"/>
  <c r="B12" i="21"/>
  <c r="B16" i="21" s="1"/>
  <c r="G34" i="14"/>
  <c r="I34" i="14" s="1"/>
  <c r="J34" i="14"/>
  <c r="B6" i="21"/>
  <c r="B15" i="21"/>
  <c r="B9" i="21"/>
  <c r="D24" i="19"/>
  <c r="N27" i="15"/>
  <c r="N28" i="15" s="1"/>
  <c r="I49" i="15"/>
  <c r="I67" i="15" s="1"/>
  <c r="I82" i="15" s="1"/>
  <c r="I102" i="15"/>
  <c r="H102" i="15" s="1"/>
  <c r="E8" i="19" s="1"/>
  <c r="I65" i="15"/>
  <c r="L27" i="15"/>
  <c r="L33" i="15"/>
  <c r="L31" i="15"/>
  <c r="E45" i="15"/>
  <c r="N51" i="15"/>
  <c r="I55" i="15"/>
  <c r="K52" i="15"/>
  <c r="K53" i="15" s="1"/>
  <c r="N53" i="15" s="1"/>
  <c r="J47" i="15"/>
  <c r="H47" i="15"/>
  <c r="I50" i="15"/>
  <c r="H39" i="15"/>
  <c r="B31" i="21" s="1"/>
  <c r="H110" i="15"/>
  <c r="I121" i="15"/>
  <c r="G29" i="14"/>
  <c r="I29" i="14"/>
  <c r="G30" i="14"/>
  <c r="I30" i="14"/>
  <c r="G27" i="14"/>
  <c r="I27" i="14"/>
  <c r="I28" i="14" s="1"/>
  <c r="E18" i="7"/>
  <c r="C18" i="37" l="1"/>
  <c r="C6" i="37"/>
  <c r="D6" i="37" s="1"/>
  <c r="E6" i="37" s="1"/>
  <c r="C25" i="32"/>
  <c r="C18" i="31"/>
  <c r="C34" i="28"/>
  <c r="K62" i="28" s="1"/>
  <c r="K63" i="28" s="1"/>
  <c r="K142" i="28" s="1"/>
  <c r="C6" i="31"/>
  <c r="D6" i="31" s="1"/>
  <c r="E6" i="31" s="1"/>
  <c r="F18" i="7"/>
  <c r="G18" i="7" s="1"/>
  <c r="C39" i="26"/>
  <c r="C34" i="25"/>
  <c r="K62" i="25" s="1"/>
  <c r="K63" i="25" s="1"/>
  <c r="K142" i="25" s="1"/>
  <c r="C34" i="23"/>
  <c r="K62" i="23" s="1"/>
  <c r="K63" i="23" s="1"/>
  <c r="K142" i="23" s="1"/>
  <c r="C33" i="24"/>
  <c r="K61" i="24" s="1"/>
  <c r="K62" i="24" s="1"/>
  <c r="K142" i="24" s="1"/>
  <c r="C32" i="20"/>
  <c r="K44" i="20" s="1"/>
  <c r="K45" i="20" s="1"/>
  <c r="K82" i="20" s="1"/>
  <c r="C33" i="15"/>
  <c r="K61" i="15" s="1"/>
  <c r="K62" i="15" s="1"/>
  <c r="K137" i="15" s="1"/>
  <c r="C20" i="14"/>
  <c r="J31" i="14" s="1"/>
  <c r="H56" i="15"/>
  <c r="J56" i="15"/>
  <c r="H65" i="15"/>
  <c r="B40" i="21"/>
  <c r="I76" i="15"/>
  <c r="J76" i="15" s="1"/>
  <c r="I75" i="15"/>
  <c r="I80" i="15" s="1"/>
  <c r="I70" i="15"/>
  <c r="J49" i="15"/>
  <c r="J67" i="15" s="1"/>
  <c r="H49" i="15"/>
  <c r="H67" i="15" s="1"/>
  <c r="H82" i="15" s="1"/>
  <c r="I91" i="15"/>
  <c r="J82" i="15"/>
  <c r="I59" i="15"/>
  <c r="J59" i="15" s="1"/>
  <c r="I54" i="15"/>
  <c r="I68" i="15"/>
  <c r="H75" i="15"/>
  <c r="H77" i="15" s="1"/>
  <c r="J65" i="15"/>
  <c r="O105" i="15"/>
  <c r="H116" i="15"/>
  <c r="J55" i="15"/>
  <c r="J57" i="15" s="1"/>
  <c r="H55" i="15"/>
  <c r="J52" i="15"/>
  <c r="I60" i="15"/>
  <c r="J60" i="15" s="1"/>
  <c r="H50" i="15"/>
  <c r="J50" i="15"/>
  <c r="I58" i="15"/>
  <c r="H117" i="15"/>
  <c r="I110" i="15"/>
  <c r="K102" i="15"/>
  <c r="K103" i="15" s="1"/>
  <c r="I31" i="14"/>
  <c r="H18" i="7"/>
  <c r="I81" i="15" l="1"/>
  <c r="I88" i="15" s="1"/>
  <c r="H81" i="15"/>
  <c r="J81" i="15"/>
  <c r="J75" i="15"/>
  <c r="J77" i="15" s="1"/>
  <c r="H54" i="15"/>
  <c r="B42" i="21"/>
  <c r="B47" i="21" s="1"/>
  <c r="B46" i="21"/>
  <c r="B48" i="21" s="1"/>
  <c r="K82" i="26"/>
  <c r="K83" i="26" s="1"/>
  <c r="K162" i="26" s="1"/>
  <c r="H59" i="15"/>
  <c r="H114" i="15" s="1"/>
  <c r="I114" i="15" s="1"/>
  <c r="J114" i="15" s="1"/>
  <c r="K114" i="15" s="1"/>
  <c r="K115" i="15" s="1"/>
  <c r="K116" i="15" s="1"/>
  <c r="M116" i="15" s="1"/>
  <c r="L134" i="15" s="1"/>
  <c r="I83" i="15"/>
  <c r="J83" i="15" s="1"/>
  <c r="J85" i="15" s="1"/>
  <c r="I71" i="15"/>
  <c r="I72" i="15" s="1"/>
  <c r="J70" i="15"/>
  <c r="E54" i="21"/>
  <c r="B54" i="21"/>
  <c r="B63" i="21" s="1"/>
  <c r="J80" i="15"/>
  <c r="J84" i="15" s="1"/>
  <c r="I84" i="15"/>
  <c r="H80" i="15"/>
  <c r="H84" i="15" s="1"/>
  <c r="B57" i="21" s="1"/>
  <c r="H60" i="15"/>
  <c r="H115" i="15" s="1"/>
  <c r="I115" i="15" s="1"/>
  <c r="J115" i="15" s="1"/>
  <c r="I92" i="15"/>
  <c r="H91" i="15"/>
  <c r="J91" i="15"/>
  <c r="H70" i="15"/>
  <c r="I116" i="15"/>
  <c r="H122" i="15"/>
  <c r="O106" i="15"/>
  <c r="J68" i="15"/>
  <c r="H58" i="15"/>
  <c r="H68" i="15"/>
  <c r="K138" i="15"/>
  <c r="N103" i="15"/>
  <c r="N104" i="15" s="1"/>
  <c r="J58" i="15"/>
  <c r="J54" i="15"/>
  <c r="E11" i="19"/>
  <c r="H123" i="15"/>
  <c r="I117" i="15"/>
  <c r="J110" i="15"/>
  <c r="K134" i="15"/>
  <c r="J102" i="15"/>
  <c r="J121" i="15" s="1"/>
  <c r="H121" i="15"/>
  <c r="K121" i="15" s="1"/>
  <c r="K122" i="15" s="1"/>
  <c r="K123" i="15" s="1"/>
  <c r="J61" i="15"/>
  <c r="F4" i="10"/>
  <c r="F5" i="10"/>
  <c r="F6" i="10"/>
  <c r="F7" i="10"/>
  <c r="F8" i="10"/>
  <c r="F9" i="10"/>
  <c r="F10" i="10"/>
  <c r="F11" i="10"/>
  <c r="G11" i="10" s="1"/>
  <c r="F12" i="10"/>
  <c r="G12" i="10" s="1"/>
  <c r="F13" i="10"/>
  <c r="F14" i="10"/>
  <c r="F15" i="10"/>
  <c r="F16" i="10"/>
  <c r="F17" i="10"/>
  <c r="F18" i="10"/>
  <c r="F19" i="10"/>
  <c r="F20" i="10"/>
  <c r="F3" i="10"/>
  <c r="E7" i="7"/>
  <c r="E13" i="7" s="1"/>
  <c r="J88" i="15" l="1"/>
  <c r="H88" i="15"/>
  <c r="B62" i="21" s="1"/>
  <c r="B43" i="21"/>
  <c r="H11" i="10"/>
  <c r="I11" i="10" s="1"/>
  <c r="I85" i="15"/>
  <c r="I86" i="15" s="1"/>
  <c r="L83" i="15" s="1"/>
  <c r="E46" i="21"/>
  <c r="E48" i="21" s="1"/>
  <c r="J72" i="15"/>
  <c r="E43" i="21" s="1"/>
  <c r="H12" i="10"/>
  <c r="E57" i="21"/>
  <c r="K68" i="15"/>
  <c r="J71" i="15"/>
  <c r="E47" i="21" s="1"/>
  <c r="J86" i="15"/>
  <c r="E58" i="21"/>
  <c r="L81" i="15"/>
  <c r="L82" i="15"/>
  <c r="I89" i="15"/>
  <c r="I95" i="15" s="1"/>
  <c r="J95" i="15" s="1"/>
  <c r="I90" i="15"/>
  <c r="H92" i="15"/>
  <c r="B64" i="21" s="1"/>
  <c r="B65" i="21" s="1"/>
  <c r="J92" i="15"/>
  <c r="K92" i="15" s="1"/>
  <c r="J116" i="15"/>
  <c r="J122" i="15" s="1"/>
  <c r="I122" i="15"/>
  <c r="H83" i="15"/>
  <c r="H71" i="15"/>
  <c r="H72" i="15" s="1"/>
  <c r="I123" i="15"/>
  <c r="J117" i="15"/>
  <c r="J123" i="15" s="1"/>
  <c r="M123" i="15"/>
  <c r="L135" i="15" s="1"/>
  <c r="K135" i="15"/>
  <c r="H13" i="7"/>
  <c r="F13" i="7"/>
  <c r="G13" i="7" s="1"/>
  <c r="N8" i="10"/>
  <c r="M17" i="10"/>
  <c r="L80" i="15" l="1"/>
  <c r="K72" i="15"/>
  <c r="H89" i="15"/>
  <c r="H94" i="15" s="1"/>
  <c r="E64" i="21"/>
  <c r="E59" i="21"/>
  <c r="J89" i="15"/>
  <c r="H85" i="15"/>
  <c r="H86" i="15" s="1"/>
  <c r="B58" i="21"/>
  <c r="H90" i="15"/>
  <c r="H95" i="15" s="1"/>
  <c r="I94" i="15"/>
  <c r="J90" i="15"/>
  <c r="H96" i="15" l="1"/>
  <c r="K90" i="15"/>
  <c r="B59" i="21"/>
  <c r="I96" i="15"/>
  <c r="J94" i="15"/>
  <c r="J96" i="15" s="1"/>
  <c r="E63" i="21" s="1"/>
  <c r="E65" i="21" s="1"/>
  <c r="E71" i="7"/>
  <c r="E73" i="7"/>
  <c r="D74" i="7"/>
  <c r="E74" i="7" s="1"/>
  <c r="D72" i="7"/>
  <c r="E72" i="7" s="1"/>
  <c r="D70" i="7"/>
  <c r="E70" i="7" s="1"/>
  <c r="D69" i="7"/>
  <c r="E69" i="7" s="1"/>
  <c r="E10" i="7"/>
  <c r="E14" i="7" s="1"/>
  <c r="H10" i="7" l="1"/>
  <c r="H14" i="7"/>
  <c r="F14" i="7"/>
  <c r="G14" i="7" s="1"/>
  <c r="F10" i="7"/>
  <c r="G10" i="7" s="1"/>
  <c r="Z18" i="9"/>
  <c r="AB18" i="9" s="1"/>
  <c r="Z17" i="9"/>
  <c r="AB17" i="9" s="1"/>
  <c r="AB19" i="9" s="1"/>
  <c r="M21" i="9"/>
  <c r="AC17" i="9" l="1"/>
  <c r="AC18" i="9"/>
  <c r="K26" i="9"/>
  <c r="D3" i="10" s="1"/>
  <c r="K2" i="9"/>
  <c r="C3" i="10" s="1"/>
  <c r="D27" i="4"/>
  <c r="K6" i="4"/>
  <c r="J4" i="4"/>
  <c r="I4" i="4"/>
  <c r="H4" i="4"/>
  <c r="G4" i="4"/>
  <c r="F4" i="4"/>
  <c r="D4" i="4"/>
  <c r="C4" i="4"/>
  <c r="I29" i="9" l="1"/>
  <c r="I5" i="9"/>
  <c r="I5" i="8"/>
  <c r="H6" i="8" s="1"/>
  <c r="H30" i="9" l="1"/>
  <c r="D18" i="10" s="1"/>
  <c r="D33" i="10" s="1"/>
  <c r="H6" i="9"/>
  <c r="C18" i="10" s="1"/>
  <c r="C33" i="10" s="1"/>
  <c r="H9" i="8"/>
  <c r="I4" i="8"/>
  <c r="I3" i="8" s="1"/>
  <c r="D37" i="10" l="1"/>
  <c r="D36" i="10"/>
  <c r="C37" i="10"/>
  <c r="C36" i="10"/>
  <c r="H33" i="9"/>
  <c r="I28" i="9"/>
  <c r="H9" i="9"/>
  <c r="I4" i="9"/>
  <c r="D38" i="10" l="1"/>
  <c r="C38" i="10"/>
  <c r="I27" i="9"/>
  <c r="I3" i="9"/>
  <c r="H38" i="4"/>
  <c r="D2" i="4" l="1"/>
  <c r="G2" i="4" s="1"/>
  <c r="K7" i="4"/>
  <c r="C21" i="4" s="1"/>
  <c r="J18" i="4" l="1"/>
  <c r="D21" i="4"/>
  <c r="C36" i="4" l="1"/>
  <c r="K58" i="4" s="1"/>
  <c r="L58" i="4" s="1"/>
  <c r="L18" i="4"/>
  <c r="E5" i="7"/>
  <c r="M14" i="28" l="1"/>
  <c r="O14" i="28" s="1"/>
  <c r="K46" i="28"/>
  <c r="K47" i="28" s="1"/>
  <c r="C37" i="4"/>
  <c r="C38" i="4" s="1"/>
  <c r="C28" i="26"/>
  <c r="D28" i="26" s="1"/>
  <c r="E28" i="26" s="1"/>
  <c r="M14" i="26"/>
  <c r="O14" i="26" s="1"/>
  <c r="K60" i="26"/>
  <c r="K61" i="26" s="1"/>
  <c r="M14" i="25"/>
  <c r="O14" i="25" s="1"/>
  <c r="K46" i="25"/>
  <c r="K47" i="25" s="1"/>
  <c r="K48" i="26"/>
  <c r="K49" i="26" s="1"/>
  <c r="M14" i="24"/>
  <c r="O14" i="24" s="1"/>
  <c r="M14" i="23"/>
  <c r="O14" i="23" s="1"/>
  <c r="K45" i="24"/>
  <c r="K46" i="24" s="1"/>
  <c r="K46" i="23"/>
  <c r="K47" i="23" s="1"/>
  <c r="M14" i="20"/>
  <c r="O14" i="20" s="1"/>
  <c r="K29" i="20"/>
  <c r="K30" i="20" s="1"/>
  <c r="M14" i="15"/>
  <c r="O14" i="15" s="1"/>
  <c r="L7" i="14"/>
  <c r="K45" i="15"/>
  <c r="K46" i="15" s="1"/>
  <c r="F5" i="7"/>
  <c r="E6" i="7"/>
  <c r="E3" i="7"/>
  <c r="C26" i="26" s="1"/>
  <c r="D26" i="26" s="1"/>
  <c r="E26" i="26" s="1"/>
  <c r="B3" i="7"/>
  <c r="L15" i="32" l="1"/>
  <c r="M44" i="11"/>
  <c r="C25" i="28"/>
  <c r="D25" i="28" s="1"/>
  <c r="E25" i="28" s="1"/>
  <c r="C39" i="28"/>
  <c r="D39" i="28" s="1"/>
  <c r="D41" i="28" s="1"/>
  <c r="F46" i="7"/>
  <c r="G46" i="7" s="1"/>
  <c r="O12" i="28"/>
  <c r="D27" i="28"/>
  <c r="E27" i="28" s="1"/>
  <c r="D27" i="23"/>
  <c r="E27" i="23" s="1"/>
  <c r="O12" i="23"/>
  <c r="O12" i="25"/>
  <c r="D27" i="25"/>
  <c r="E27" i="25" s="1"/>
  <c r="D27" i="15"/>
  <c r="E27" i="15" s="1"/>
  <c r="O12" i="15"/>
  <c r="O12" i="20"/>
  <c r="D26" i="20"/>
  <c r="E26" i="20" s="1"/>
  <c r="O12" i="26"/>
  <c r="D27" i="24"/>
  <c r="E27" i="24" s="1"/>
  <c r="O12" i="24"/>
  <c r="E43" i="7"/>
  <c r="C40" i="26" s="1"/>
  <c r="K69" i="26" s="1"/>
  <c r="K70" i="26" s="1"/>
  <c r="C25" i="26"/>
  <c r="D25" i="26" s="1"/>
  <c r="E25" i="26" s="1"/>
  <c r="C44" i="26"/>
  <c r="D44" i="26" s="1"/>
  <c r="D46" i="26" s="1"/>
  <c r="C39" i="25"/>
  <c r="D39" i="25" s="1"/>
  <c r="D41" i="25" s="1"/>
  <c r="C25" i="25"/>
  <c r="D25" i="25" s="1"/>
  <c r="E25" i="25" s="1"/>
  <c r="C38" i="24"/>
  <c r="D38" i="24" s="1"/>
  <c r="D40" i="24" s="1"/>
  <c r="C25" i="24"/>
  <c r="D25" i="24" s="1"/>
  <c r="E25" i="24" s="1"/>
  <c r="C25" i="23"/>
  <c r="D25" i="23" s="1"/>
  <c r="E25" i="23" s="1"/>
  <c r="C39" i="23"/>
  <c r="D39" i="23" s="1"/>
  <c r="D41" i="23" s="1"/>
  <c r="C37" i="20"/>
  <c r="D37" i="20" s="1"/>
  <c r="D39" i="20" s="1"/>
  <c r="C25" i="15"/>
  <c r="D25" i="15" s="1"/>
  <c r="E25" i="15" s="1"/>
  <c r="C38" i="15"/>
  <c r="D38" i="15" s="1"/>
  <c r="D40" i="15" s="1"/>
  <c r="E36" i="7"/>
  <c r="E27" i="7"/>
  <c r="E21" i="7"/>
  <c r="F21" i="7" s="1"/>
  <c r="F6" i="7"/>
  <c r="G6" i="7" s="1"/>
  <c r="C27" i="26"/>
  <c r="D27" i="26" s="1"/>
  <c r="E27" i="26" s="1"/>
  <c r="E4" i="7"/>
  <c r="E11" i="7"/>
  <c r="B14" i="4"/>
  <c r="H3" i="7"/>
  <c r="F3" i="7"/>
  <c r="G3" i="7" s="1"/>
  <c r="G5" i="7"/>
  <c r="C13" i="4"/>
  <c r="L44" i="11" l="1"/>
  <c r="F4" i="7"/>
  <c r="G4" i="7" s="1"/>
  <c r="C24" i="28"/>
  <c r="D24" i="28" s="1"/>
  <c r="C24" i="26"/>
  <c r="D24" i="26" s="1"/>
  <c r="C24" i="25"/>
  <c r="D24" i="25" s="1"/>
  <c r="C24" i="24"/>
  <c r="D24" i="24" s="1"/>
  <c r="C24" i="23"/>
  <c r="D24" i="23" s="1"/>
  <c r="C24" i="20"/>
  <c r="D24" i="20" s="1"/>
  <c r="C24" i="15"/>
  <c r="D24" i="15" s="1"/>
  <c r="H4" i="7"/>
  <c r="F27" i="7"/>
  <c r="G27" i="7" s="1"/>
  <c r="G29" i="7" s="1"/>
  <c r="E29" i="7"/>
  <c r="E30" i="7"/>
  <c r="L28" i="7" s="1"/>
  <c r="D32" i="26"/>
  <c r="E32" i="26" s="1"/>
  <c r="F36" i="7"/>
  <c r="G36" i="7" s="1"/>
  <c r="G38" i="7" s="1"/>
  <c r="E38" i="7"/>
  <c r="E15" i="7"/>
  <c r="F11" i="7"/>
  <c r="G11" i="7" s="1"/>
  <c r="H11" i="7"/>
  <c r="F7" i="7"/>
  <c r="G7" i="7" s="1"/>
  <c r="H7" i="7"/>
  <c r="C14" i="4"/>
  <c r="E37" i="11" l="1"/>
  <c r="E38" i="11" s="1"/>
  <c r="L48" i="32"/>
  <c r="E24" i="28"/>
  <c r="D26" i="28"/>
  <c r="W11" i="33"/>
  <c r="W12" i="33"/>
  <c r="D26" i="15"/>
  <c r="E24" i="15"/>
  <c r="E24" i="20"/>
  <c r="D25" i="20"/>
  <c r="E24" i="23"/>
  <c r="D26" i="23"/>
  <c r="E24" i="24"/>
  <c r="D26" i="24"/>
  <c r="E24" i="25"/>
  <c r="D26" i="25"/>
  <c r="E24" i="26"/>
  <c r="D31" i="26"/>
  <c r="H15" i="7"/>
  <c r="F15" i="7"/>
  <c r="G15" i="7" s="1"/>
  <c r="E16" i="7"/>
  <c r="E26" i="28" l="1"/>
  <c r="D28" i="28"/>
  <c r="E31" i="26"/>
  <c r="D33" i="26"/>
  <c r="D28" i="24"/>
  <c r="E26" i="24"/>
  <c r="E25" i="20"/>
  <c r="D27" i="20"/>
  <c r="D28" i="25"/>
  <c r="E26" i="25"/>
  <c r="E26" i="23"/>
  <c r="D28" i="23"/>
  <c r="D28" i="15"/>
  <c r="E26" i="15"/>
  <c r="E28" i="28" l="1"/>
  <c r="K19" i="28"/>
  <c r="K20" i="28" s="1"/>
  <c r="E28" i="25"/>
  <c r="K19" i="25"/>
  <c r="K20" i="25" s="1"/>
  <c r="E33" i="26"/>
  <c r="K19" i="26"/>
  <c r="K20" i="26" s="1"/>
  <c r="K19" i="20"/>
  <c r="K20" i="20" s="1"/>
  <c r="E27" i="20"/>
  <c r="K19" i="15"/>
  <c r="K20" i="15" s="1"/>
  <c r="E28" i="15"/>
  <c r="K19" i="23"/>
  <c r="K20" i="23" s="1"/>
  <c r="E28" i="23"/>
  <c r="K19" i="24"/>
  <c r="K20" i="24" s="1"/>
  <c r="E28" i="24"/>
  <c r="Q5" i="19" l="1"/>
  <c r="Q6" i="19" s="1"/>
  <c r="Q3" i="19"/>
  <c r="Q4" i="19" s="1"/>
  <c r="Q13" i="19" l="1"/>
  <c r="Q14" i="19" s="1"/>
  <c r="D21" i="19"/>
  <c r="D17" i="19" s="1"/>
  <c r="C30" i="19"/>
  <c r="D15" i="19" l="1"/>
  <c r="H18" i="19"/>
  <c r="H21" i="19" s="1"/>
  <c r="D9" i="19" l="1"/>
  <c r="K13" i="19"/>
  <c r="K15" i="19" l="1"/>
  <c r="K6" i="19"/>
  <c r="E30" i="19"/>
  <c r="C8" i="11" l="1"/>
  <c r="C7" i="36" s="1"/>
  <c r="G11" i="36" l="1"/>
  <c r="G10" i="36"/>
  <c r="G12" i="36"/>
  <c r="F8" i="11"/>
  <c r="C16" i="36"/>
  <c r="C18" i="36" s="1"/>
  <c r="D8" i="11"/>
  <c r="D16" i="11"/>
  <c r="B4" i="4"/>
  <c r="L4" i="4" s="1"/>
  <c r="D17" i="11"/>
  <c r="D19" i="11"/>
  <c r="D18" i="11"/>
  <c r="C22" i="11"/>
  <c r="D20" i="11"/>
  <c r="F22" i="11" l="1"/>
  <c r="G8" i="11" s="1"/>
  <c r="E4" i="29" s="1"/>
  <c r="E19" i="11"/>
  <c r="E20" i="11"/>
  <c r="E17" i="11"/>
  <c r="E18" i="11"/>
  <c r="E16" i="11"/>
  <c r="E10" i="11"/>
  <c r="E13" i="11"/>
  <c r="E11" i="11"/>
  <c r="E9" i="11"/>
  <c r="E12" i="11"/>
  <c r="E15" i="11"/>
  <c r="E14" i="11"/>
  <c r="D22" i="11"/>
  <c r="G5" i="4"/>
  <c r="I5" i="4"/>
  <c r="F5" i="4"/>
  <c r="H5" i="4"/>
  <c r="C5" i="4"/>
  <c r="K5" i="4"/>
  <c r="D5" i="4"/>
  <c r="J5" i="4"/>
  <c r="J6" i="4" s="1"/>
  <c r="B5" i="4"/>
  <c r="E25" i="29" l="1"/>
  <c r="G11" i="11"/>
  <c r="E7" i="29" s="1"/>
  <c r="G15" i="11"/>
  <c r="E11" i="29" s="1"/>
  <c r="G19" i="11"/>
  <c r="E15" i="29" s="1"/>
  <c r="G14" i="11"/>
  <c r="E10" i="29" s="1"/>
  <c r="G12" i="11"/>
  <c r="E8" i="29" s="1"/>
  <c r="G16" i="11"/>
  <c r="E12" i="29" s="1"/>
  <c r="G20" i="11"/>
  <c r="E16" i="29" s="1"/>
  <c r="G18" i="11"/>
  <c r="E14" i="29" s="1"/>
  <c r="G9" i="11"/>
  <c r="E5" i="29" s="1"/>
  <c r="F5" i="29" s="1"/>
  <c r="G13" i="11"/>
  <c r="E9" i="29" s="1"/>
  <c r="G17" i="11"/>
  <c r="E13" i="29" s="1"/>
  <c r="G21" i="11"/>
  <c r="E17" i="29" s="1"/>
  <c r="G10" i="11"/>
  <c r="E6" i="29" s="1"/>
  <c r="E22" i="11"/>
  <c r="F6" i="4"/>
  <c r="F7" i="4" s="1"/>
  <c r="F8" i="4"/>
  <c r="J7" i="4"/>
  <c r="C57" i="4"/>
  <c r="H8" i="4"/>
  <c r="H6" i="4"/>
  <c r="H7" i="4" s="1"/>
  <c r="D8" i="4"/>
  <c r="D6" i="4"/>
  <c r="D7" i="4" s="1"/>
  <c r="I8" i="4"/>
  <c r="I6" i="4"/>
  <c r="I7" i="4" s="1"/>
  <c r="C54" i="4" s="1"/>
  <c r="L5" i="4"/>
  <c r="B6" i="4"/>
  <c r="C8" i="4"/>
  <c r="B15" i="4"/>
  <c r="C6" i="4"/>
  <c r="C7" i="4" s="1"/>
  <c r="G8" i="4"/>
  <c r="G6" i="4"/>
  <c r="G7" i="4" s="1"/>
  <c r="E18" i="29" l="1"/>
  <c r="D8" i="29"/>
  <c r="F8" i="29"/>
  <c r="E29" i="29"/>
  <c r="E21" i="29"/>
  <c r="E10" i="32" s="1"/>
  <c r="E38" i="29"/>
  <c r="F17" i="29"/>
  <c r="D14" i="29"/>
  <c r="E35" i="29"/>
  <c r="D10" i="29"/>
  <c r="F10" i="29"/>
  <c r="E31" i="29"/>
  <c r="D5" i="29"/>
  <c r="E26" i="29"/>
  <c r="F26" i="29" s="1"/>
  <c r="D13" i="29"/>
  <c r="E34" i="29"/>
  <c r="D16" i="29"/>
  <c r="E37" i="29"/>
  <c r="D15" i="29"/>
  <c r="E36" i="29"/>
  <c r="C5" i="30"/>
  <c r="H5" i="30" s="1"/>
  <c r="C5" i="33"/>
  <c r="D6" i="29"/>
  <c r="E27" i="29"/>
  <c r="F6" i="29"/>
  <c r="D7" i="29"/>
  <c r="E28" i="29"/>
  <c r="F7" i="29"/>
  <c r="D9" i="29"/>
  <c r="F9" i="29"/>
  <c r="E30" i="29"/>
  <c r="D12" i="29"/>
  <c r="E33" i="29"/>
  <c r="D11" i="29"/>
  <c r="E32" i="29"/>
  <c r="D4" i="29"/>
  <c r="G22" i="11"/>
  <c r="L6" i="4"/>
  <c r="I15" i="4"/>
  <c r="I53" i="4"/>
  <c r="J16" i="4"/>
  <c r="J15" i="4"/>
  <c r="J53" i="4"/>
  <c r="D24" i="4"/>
  <c r="C15" i="4"/>
  <c r="B16" i="4"/>
  <c r="C55" i="4"/>
  <c r="C52" i="4"/>
  <c r="L53" i="4"/>
  <c r="C22" i="4"/>
  <c r="I17" i="4" s="1"/>
  <c r="K53" i="4"/>
  <c r="D24" i="29" l="1"/>
  <c r="C12" i="33"/>
  <c r="C12" i="30"/>
  <c r="C14" i="33"/>
  <c r="C14" i="30"/>
  <c r="D38" i="29"/>
  <c r="D27" i="29"/>
  <c r="D29" i="29"/>
  <c r="D28" i="29"/>
  <c r="D26" i="29"/>
  <c r="D32" i="29"/>
  <c r="D30" i="29"/>
  <c r="D31" i="29"/>
  <c r="D35" i="29"/>
  <c r="D33" i="29"/>
  <c r="D34" i="29"/>
  <c r="D37" i="29"/>
  <c r="D36" i="29"/>
  <c r="D25" i="29"/>
  <c r="F31" i="29"/>
  <c r="C11" i="33"/>
  <c r="C11" i="30"/>
  <c r="C9" i="33"/>
  <c r="F29" i="29"/>
  <c r="C9" i="30"/>
  <c r="F28" i="29"/>
  <c r="C8" i="30"/>
  <c r="C8" i="33"/>
  <c r="E39" i="29"/>
  <c r="C17" i="33"/>
  <c r="C17" i="30"/>
  <c r="C6" i="30"/>
  <c r="C6" i="33"/>
  <c r="F18" i="29"/>
  <c r="C10" i="33"/>
  <c r="C10" i="30"/>
  <c r="F30" i="29"/>
  <c r="C16" i="33"/>
  <c r="C16" i="30"/>
  <c r="C15" i="33"/>
  <c r="C15" i="30"/>
  <c r="C13" i="30"/>
  <c r="C13" i="33"/>
  <c r="D18" i="29"/>
  <c r="F27" i="29"/>
  <c r="C7" i="30"/>
  <c r="C7" i="33"/>
  <c r="C18" i="30"/>
  <c r="H9" i="30" s="1"/>
  <c r="I9" i="30" s="1"/>
  <c r="C18" i="33"/>
  <c r="H9" i="33" s="1"/>
  <c r="I9" i="33" s="1"/>
  <c r="L9" i="33" s="1"/>
  <c r="F38" i="29"/>
  <c r="K16" i="4"/>
  <c r="L16" i="4"/>
  <c r="D52" i="4"/>
  <c r="F40" i="4"/>
  <c r="C56" i="4"/>
  <c r="C16" i="4"/>
  <c r="B17" i="4"/>
  <c r="C17" i="4" s="1"/>
  <c r="D18" i="4" s="1"/>
  <c r="C25" i="4"/>
  <c r="I19" i="4" s="1"/>
  <c r="J55" i="4" s="1"/>
  <c r="D22" i="4"/>
  <c r="I57" i="4"/>
  <c r="D28" i="4"/>
  <c r="L15" i="4"/>
  <c r="K15" i="4"/>
  <c r="I55" i="4"/>
  <c r="C28" i="4"/>
  <c r="I22" i="4"/>
  <c r="H5" i="33" l="1"/>
  <c r="M9" i="33"/>
  <c r="H6" i="33"/>
  <c r="M6" i="33" s="1"/>
  <c r="J9" i="30"/>
  <c r="D7" i="33"/>
  <c r="D7" i="30"/>
  <c r="D10" i="33"/>
  <c r="D10" i="30"/>
  <c r="D8" i="33"/>
  <c r="D8" i="30"/>
  <c r="D39" i="29"/>
  <c r="J9" i="33"/>
  <c r="H6" i="30"/>
  <c r="C19" i="30"/>
  <c r="C19" i="33"/>
  <c r="D18" i="30"/>
  <c r="D18" i="33"/>
  <c r="D6" i="30"/>
  <c r="D6" i="33"/>
  <c r="F39" i="29"/>
  <c r="D9" i="33"/>
  <c r="D9" i="30"/>
  <c r="D11" i="30"/>
  <c r="D11" i="33"/>
  <c r="K55" i="4"/>
  <c r="I59" i="4"/>
  <c r="M16" i="4"/>
  <c r="N16" i="4"/>
  <c r="N23" i="4" s="1"/>
  <c r="L23" i="4"/>
  <c r="D40" i="4" s="1"/>
  <c r="D29" i="4"/>
  <c r="L56" i="4"/>
  <c r="K56" i="4"/>
  <c r="J20" i="4"/>
  <c r="D25" i="4"/>
  <c r="J19" i="4" s="1"/>
  <c r="J17" i="4"/>
  <c r="D56" i="4"/>
  <c r="I45" i="4"/>
  <c r="K42" i="4"/>
  <c r="C31" i="4"/>
  <c r="K54" i="4"/>
  <c r="L54" i="4"/>
  <c r="C29" i="4"/>
  <c r="C30" i="4" s="1"/>
  <c r="C46" i="4" s="1"/>
  <c r="I20" i="4"/>
  <c r="M15" i="4"/>
  <c r="I61" i="4"/>
  <c r="N15" i="4"/>
  <c r="M5" i="33" l="1"/>
  <c r="H16" i="33"/>
  <c r="I6" i="33"/>
  <c r="I6" i="30"/>
  <c r="D19" i="33"/>
  <c r="D19" i="30"/>
  <c r="K20" i="4"/>
  <c r="L59" i="4" s="1"/>
  <c r="L57" i="4"/>
  <c r="L55" i="4"/>
  <c r="I21" i="4"/>
  <c r="H31" i="4"/>
  <c r="H34" i="4"/>
  <c r="J57" i="4"/>
  <c r="K17" i="4"/>
  <c r="L17" i="4"/>
  <c r="J24" i="4"/>
  <c r="J21" i="4"/>
  <c r="D32" i="4"/>
  <c r="H39" i="4" s="1"/>
  <c r="J22" i="4"/>
  <c r="C32" i="4"/>
  <c r="K19" i="4"/>
  <c r="L19" i="4"/>
  <c r="K57" i="4"/>
  <c r="F42" i="4"/>
  <c r="D30" i="4"/>
  <c r="N16" i="33" l="1"/>
  <c r="O16" i="33" s="1"/>
  <c r="T5" i="33"/>
  <c r="X6" i="33"/>
  <c r="D10" i="32"/>
  <c r="J6" i="33"/>
  <c r="T6" i="33"/>
  <c r="M9" i="32"/>
  <c r="D3" i="37"/>
  <c r="A7" i="37" s="1"/>
  <c r="J6" i="30"/>
  <c r="D3" i="31"/>
  <c r="A7" i="31" s="1"/>
  <c r="C47" i="4"/>
  <c r="K59" i="4"/>
  <c r="J59" i="4"/>
  <c r="K21" i="4"/>
  <c r="K22" i="4"/>
  <c r="C48" i="4" s="1"/>
  <c r="E27" i="4"/>
  <c r="M19" i="4"/>
  <c r="D47" i="4"/>
  <c r="F52" i="4" s="1"/>
  <c r="I31" i="4"/>
  <c r="N19" i="4"/>
  <c r="K61" i="4"/>
  <c r="D36" i="4"/>
  <c r="D31" i="4"/>
  <c r="M17" i="4"/>
  <c r="J61" i="4"/>
  <c r="N17" i="4"/>
  <c r="L22" i="4"/>
  <c r="C39" i="4"/>
  <c r="A13" i="32" l="1"/>
  <c r="A16" i="32"/>
  <c r="L48" i="11"/>
  <c r="X12" i="33"/>
  <c r="Y6" i="33"/>
  <c r="Y12" i="33" s="1"/>
  <c r="A48" i="32"/>
  <c r="A5" i="37"/>
  <c r="D7" i="37"/>
  <c r="A8" i="37"/>
  <c r="D8" i="37" s="1"/>
  <c r="E8" i="37" s="1"/>
  <c r="D7" i="31"/>
  <c r="A5" i="31"/>
  <c r="A8" i="31"/>
  <c r="I17" i="30"/>
  <c r="I10" i="30"/>
  <c r="C40" i="4"/>
  <c r="C41" i="4" s="1"/>
  <c r="N22" i="4"/>
  <c r="H41" i="4"/>
  <c r="F45" i="4"/>
  <c r="F46" i="4" s="1"/>
  <c r="K31" i="4"/>
  <c r="D48" i="4"/>
  <c r="K60" i="4"/>
  <c r="L60" i="4" s="1"/>
  <c r="D37" i="4"/>
  <c r="L20" i="4"/>
  <c r="M22" i="4"/>
  <c r="L35" i="11" l="1"/>
  <c r="L38" i="11"/>
  <c r="E29" i="11" s="1"/>
  <c r="A14" i="32"/>
  <c r="A15" i="32" s="1"/>
  <c r="I21" i="33"/>
  <c r="M48" i="32"/>
  <c r="N48" i="32" s="1"/>
  <c r="F54" i="32"/>
  <c r="F53" i="32"/>
  <c r="O16" i="32"/>
  <c r="X10" i="33" s="1"/>
  <c r="Y10" i="33" s="1"/>
  <c r="A21" i="32"/>
  <c r="A4" i="35"/>
  <c r="A35" i="32"/>
  <c r="D35" i="32" s="1"/>
  <c r="E35" i="32" s="1"/>
  <c r="A34" i="32"/>
  <c r="D34" i="32" s="1"/>
  <c r="E34" i="32" s="1"/>
  <c r="E36" i="32" s="1"/>
  <c r="E37" i="32" s="1"/>
  <c r="A5" i="35"/>
  <c r="E26" i="11"/>
  <c r="E27" i="11" s="1"/>
  <c r="L13" i="32" s="1"/>
  <c r="D10" i="37"/>
  <c r="E7" i="37"/>
  <c r="H10" i="30"/>
  <c r="J10" i="30"/>
  <c r="I21" i="30"/>
  <c r="E7" i="31"/>
  <c r="J17" i="30"/>
  <c r="H17" i="30"/>
  <c r="D8" i="31"/>
  <c r="E8" i="31" s="1"/>
  <c r="I18" i="30"/>
  <c r="I7" i="30"/>
  <c r="I16" i="30"/>
  <c r="M20" i="4"/>
  <c r="M21" i="4" s="1"/>
  <c r="N20" i="4"/>
  <c r="L61" i="4"/>
  <c r="L21" i="4"/>
  <c r="D49" i="4" s="1"/>
  <c r="F54" i="4" s="1"/>
  <c r="L24" i="4"/>
  <c r="K15" i="9"/>
  <c r="K15" i="13"/>
  <c r="K39" i="9"/>
  <c r="K15" i="8"/>
  <c r="K23" i="19"/>
  <c r="K39" i="13"/>
  <c r="K48" i="19"/>
  <c r="L37" i="4"/>
  <c r="L38" i="4" s="1"/>
  <c r="D38" i="4"/>
  <c r="D46" i="4" s="1"/>
  <c r="F36" i="4"/>
  <c r="D39" i="4"/>
  <c r="H35" i="4" s="1"/>
  <c r="O21" i="33" l="1"/>
  <c r="P21" i="33" s="1"/>
  <c r="L43" i="11"/>
  <c r="E31" i="11" s="1"/>
  <c r="L42" i="11"/>
  <c r="E30" i="11" s="1"/>
  <c r="M34" i="11"/>
  <c r="L34" i="11"/>
  <c r="M37" i="11"/>
  <c r="L37" i="11"/>
  <c r="J13" i="34"/>
  <c r="K13" i="34" s="1"/>
  <c r="A12" i="32"/>
  <c r="A44" i="32"/>
  <c r="M44" i="32" s="1"/>
  <c r="E25" i="11"/>
  <c r="I19" i="29" s="1"/>
  <c r="I20" i="29" s="1"/>
  <c r="J21" i="33"/>
  <c r="H21" i="33"/>
  <c r="I10" i="33"/>
  <c r="I22" i="33" s="1"/>
  <c r="I18" i="33"/>
  <c r="I17" i="33"/>
  <c r="D49" i="32"/>
  <c r="D48" i="32"/>
  <c r="O6" i="33" s="1"/>
  <c r="O11" i="33" s="1"/>
  <c r="D9" i="34"/>
  <c r="J9" i="34" s="1"/>
  <c r="U9" i="34" s="1"/>
  <c r="L21" i="33"/>
  <c r="L14" i="32"/>
  <c r="M14" i="32" s="1"/>
  <c r="N14" i="32" s="1"/>
  <c r="L6" i="33"/>
  <c r="L11" i="33" s="1"/>
  <c r="L16" i="32"/>
  <c r="M16" i="32" s="1"/>
  <c r="N16" i="32" s="1"/>
  <c r="M13" i="32"/>
  <c r="N13" i="32" s="1"/>
  <c r="E10" i="37"/>
  <c r="D12" i="37"/>
  <c r="E12" i="37" s="1"/>
  <c r="H7" i="30"/>
  <c r="I8" i="30"/>
  <c r="J7" i="30"/>
  <c r="D10" i="31"/>
  <c r="H18" i="30"/>
  <c r="J18" i="30"/>
  <c r="H16" i="30"/>
  <c r="J16" i="30"/>
  <c r="J21" i="30"/>
  <c r="H21" i="30"/>
  <c r="D41" i="4"/>
  <c r="N24" i="4"/>
  <c r="N21" i="4"/>
  <c r="K30" i="4"/>
  <c r="L33" i="4"/>
  <c r="L32" i="4"/>
  <c r="L34" i="4"/>
  <c r="L35" i="4"/>
  <c r="E24" i="11" l="1"/>
  <c r="E34" i="11" s="1"/>
  <c r="E35" i="11" s="1"/>
  <c r="L22" i="33"/>
  <c r="O18" i="33"/>
  <c r="P18" i="33" s="1"/>
  <c r="E9" i="34"/>
  <c r="O17" i="33"/>
  <c r="P17" i="33" s="1"/>
  <c r="Z13" i="34"/>
  <c r="E28" i="11"/>
  <c r="M18" i="33"/>
  <c r="N18" i="33" s="1"/>
  <c r="L17" i="33"/>
  <c r="I13" i="34"/>
  <c r="N44" i="32"/>
  <c r="C5" i="43"/>
  <c r="F34" i="11"/>
  <c r="F35" i="11" s="1"/>
  <c r="H17" i="33"/>
  <c r="H18" i="33"/>
  <c r="J18" i="33"/>
  <c r="M15" i="32"/>
  <c r="N15" i="32" s="1"/>
  <c r="M21" i="33"/>
  <c r="N21" i="33" s="1"/>
  <c r="C9" i="34"/>
  <c r="H22" i="33"/>
  <c r="H10" i="33"/>
  <c r="M22" i="33"/>
  <c r="N22" i="33" s="1"/>
  <c r="O22" i="33" s="1"/>
  <c r="D10" i="34"/>
  <c r="J10" i="34" s="1"/>
  <c r="U10" i="34" s="1"/>
  <c r="J10" i="33"/>
  <c r="J22" i="33"/>
  <c r="D5" i="34"/>
  <c r="J5" i="34" s="1"/>
  <c r="M17" i="33"/>
  <c r="N17" i="33" s="1"/>
  <c r="T18" i="33"/>
  <c r="T24" i="33" s="1"/>
  <c r="I7" i="33"/>
  <c r="D6" i="34"/>
  <c r="J6" i="34" s="1"/>
  <c r="I6" i="34" s="1"/>
  <c r="J17" i="33"/>
  <c r="A11" i="35"/>
  <c r="L18" i="33"/>
  <c r="I19" i="33"/>
  <c r="A10" i="35"/>
  <c r="E48" i="32"/>
  <c r="E49" i="32" s="1"/>
  <c r="K9" i="34"/>
  <c r="I9" i="34"/>
  <c r="I19" i="30"/>
  <c r="H8" i="30"/>
  <c r="H12" i="30" s="1"/>
  <c r="J8" i="30"/>
  <c r="J12" i="30" s="1"/>
  <c r="D12" i="31"/>
  <c r="E12" i="31" s="1"/>
  <c r="E10" i="31"/>
  <c r="I12" i="30"/>
  <c r="H32" i="4"/>
  <c r="D43" i="4"/>
  <c r="H30" i="4" s="1"/>
  <c r="I30" i="19"/>
  <c r="I54" i="19"/>
  <c r="H48" i="19" s="1"/>
  <c r="I45" i="13"/>
  <c r="I21" i="9"/>
  <c r="C20" i="9" s="1"/>
  <c r="E17" i="9" s="1"/>
  <c r="C27" i="10" s="1"/>
  <c r="I45" i="9"/>
  <c r="D5" i="10" s="1"/>
  <c r="D32" i="10" s="1"/>
  <c r="D41" i="10" s="1"/>
  <c r="P23" i="33" l="1"/>
  <c r="C9" i="43" s="1"/>
  <c r="K5" i="34"/>
  <c r="C10" i="34"/>
  <c r="C6" i="34"/>
  <c r="T7" i="33"/>
  <c r="I8" i="33"/>
  <c r="I12" i="33" s="1"/>
  <c r="E10" i="34"/>
  <c r="E6" i="34"/>
  <c r="E5" i="34"/>
  <c r="D7" i="34"/>
  <c r="J7" i="34" s="1"/>
  <c r="I7" i="34" s="1"/>
  <c r="C5" i="34"/>
  <c r="V6" i="34"/>
  <c r="V5" i="34"/>
  <c r="E9" i="43"/>
  <c r="N45" i="32"/>
  <c r="M45" i="32"/>
  <c r="K10" i="34"/>
  <c r="K6" i="34"/>
  <c r="T19" i="33"/>
  <c r="V9" i="34"/>
  <c r="D17" i="32"/>
  <c r="D19" i="32" s="1"/>
  <c r="E19" i="32" s="1"/>
  <c r="T17" i="33"/>
  <c r="T23" i="33" s="1"/>
  <c r="J25" i="34"/>
  <c r="I5" i="34"/>
  <c r="M19" i="33"/>
  <c r="N19" i="33" s="1"/>
  <c r="O19" i="33" s="1"/>
  <c r="H19" i="33"/>
  <c r="J29" i="34"/>
  <c r="M8" i="33"/>
  <c r="J19" i="33"/>
  <c r="U5" i="34"/>
  <c r="J26" i="34"/>
  <c r="I10" i="34"/>
  <c r="I16" i="34" s="1"/>
  <c r="L19" i="33"/>
  <c r="H7" i="33"/>
  <c r="V10" i="34"/>
  <c r="M7" i="33"/>
  <c r="J7" i="33"/>
  <c r="J11" i="34"/>
  <c r="I11" i="34" s="1"/>
  <c r="U7" i="34"/>
  <c r="H11" i="30"/>
  <c r="H19" i="30"/>
  <c r="H22" i="30" s="1"/>
  <c r="H23" i="30" s="1"/>
  <c r="J19" i="30"/>
  <c r="J22" i="30" s="1"/>
  <c r="H25" i="30" s="1"/>
  <c r="I22" i="30"/>
  <c r="C44" i="9"/>
  <c r="D6" i="10" s="1"/>
  <c r="D31" i="10" s="1"/>
  <c r="H39" i="9"/>
  <c r="C53" i="19"/>
  <c r="H23" i="19"/>
  <c r="H39" i="13"/>
  <c r="C44" i="13"/>
  <c r="C12" i="9"/>
  <c r="E7" i="9"/>
  <c r="C28" i="10" s="1"/>
  <c r="C18" i="9"/>
  <c r="C6" i="10"/>
  <c r="C31" i="10" s="1"/>
  <c r="C19" i="9"/>
  <c r="C23" i="10" s="1"/>
  <c r="C5" i="10"/>
  <c r="C32" i="10" s="1"/>
  <c r="C41" i="10" s="1"/>
  <c r="H15" i="9"/>
  <c r="T25" i="33" l="1"/>
  <c r="W10" i="34"/>
  <c r="X10" i="34"/>
  <c r="Z23" i="34"/>
  <c r="AA26" i="34"/>
  <c r="W9" i="34"/>
  <c r="X9" i="34"/>
  <c r="W5" i="34"/>
  <c r="X5" i="34"/>
  <c r="W6" i="34"/>
  <c r="X6" i="34"/>
  <c r="J27" i="34"/>
  <c r="I27" i="34" s="1"/>
  <c r="C7" i="34"/>
  <c r="E7" i="34"/>
  <c r="K7" i="34"/>
  <c r="Z22" i="34"/>
  <c r="Z27" i="34" s="1"/>
  <c r="W22" i="34"/>
  <c r="Y22" i="34" s="1"/>
  <c r="L23" i="33"/>
  <c r="H30" i="33" s="1"/>
  <c r="H31" i="33" s="1"/>
  <c r="U14" i="34"/>
  <c r="E17" i="32"/>
  <c r="V22" i="34"/>
  <c r="AA22" i="34"/>
  <c r="M11" i="33"/>
  <c r="V7" i="34"/>
  <c r="I25" i="34"/>
  <c r="K26" i="34"/>
  <c r="AA23" i="34"/>
  <c r="J8" i="33"/>
  <c r="J12" i="33" s="1"/>
  <c r="K8" i="33" s="1"/>
  <c r="V26" i="34"/>
  <c r="I26" i="34"/>
  <c r="I20" i="33"/>
  <c r="K29" i="34"/>
  <c r="AE22" i="34"/>
  <c r="H8" i="33"/>
  <c r="H12" i="33" s="1"/>
  <c r="W26" i="34"/>
  <c r="Y26" i="34" s="1"/>
  <c r="U22" i="34"/>
  <c r="W23" i="34"/>
  <c r="X23" i="34" s="1"/>
  <c r="I29" i="34"/>
  <c r="K25" i="34"/>
  <c r="U26" i="34"/>
  <c r="V11" i="34"/>
  <c r="J12" i="34"/>
  <c r="K12" i="34" s="1"/>
  <c r="K11" i="34"/>
  <c r="W24" i="34"/>
  <c r="E31" i="9"/>
  <c r="D28" i="10" s="1"/>
  <c r="E41" i="9"/>
  <c r="D27" i="10" s="1"/>
  <c r="C36" i="9"/>
  <c r="Q29" i="9" s="1"/>
  <c r="Q30" i="9" s="1"/>
  <c r="C43" i="9"/>
  <c r="D23" i="10" s="1"/>
  <c r="C42" i="9"/>
  <c r="Q27" i="9" s="1"/>
  <c r="Q28" i="9" s="1"/>
  <c r="D16" i="9"/>
  <c r="E50" i="19"/>
  <c r="C45" i="19"/>
  <c r="E40" i="19"/>
  <c r="C51" i="19"/>
  <c r="C52" i="19"/>
  <c r="Q3" i="9"/>
  <c r="Q4" i="9" s="1"/>
  <c r="C7" i="10"/>
  <c r="C8" i="10" s="1"/>
  <c r="Q7" i="9"/>
  <c r="Q8" i="9" s="1"/>
  <c r="Q5" i="9"/>
  <c r="Q6" i="9" s="1"/>
  <c r="C9" i="10"/>
  <c r="C21" i="9"/>
  <c r="E41" i="13"/>
  <c r="C42" i="13"/>
  <c r="C43" i="13"/>
  <c r="C36" i="13"/>
  <c r="E31" i="13"/>
  <c r="K27" i="34" l="1"/>
  <c r="V24" i="34"/>
  <c r="U24" i="34"/>
  <c r="AA24" i="34"/>
  <c r="AE24" i="34"/>
  <c r="W11" i="34"/>
  <c r="X11" i="34"/>
  <c r="W7" i="34"/>
  <c r="X7" i="34"/>
  <c r="Y23" i="34"/>
  <c r="V12" i="34"/>
  <c r="X22" i="34"/>
  <c r="X26" i="34"/>
  <c r="H20" i="33"/>
  <c r="M20" i="33"/>
  <c r="N20" i="33" s="1"/>
  <c r="N23" i="33" s="1"/>
  <c r="L28" i="33"/>
  <c r="O24" i="33" s="1"/>
  <c r="D8" i="34"/>
  <c r="J8" i="34" s="1"/>
  <c r="I12" i="34"/>
  <c r="L34" i="33"/>
  <c r="M34" i="33" s="1"/>
  <c r="I23" i="33"/>
  <c r="AD23" i="34"/>
  <c r="J20" i="33"/>
  <c r="V27" i="34"/>
  <c r="U27" i="34"/>
  <c r="Q32" i="34" s="1"/>
  <c r="Q33" i="34" s="1"/>
  <c r="C14" i="43" s="1"/>
  <c r="H11" i="33"/>
  <c r="Z28" i="34"/>
  <c r="C17" i="43" s="1"/>
  <c r="E17" i="43" s="1"/>
  <c r="K9" i="33"/>
  <c r="K6" i="33"/>
  <c r="K7" i="33"/>
  <c r="X24" i="34"/>
  <c r="Y24" i="34"/>
  <c r="D9" i="10"/>
  <c r="D10" i="10" s="1"/>
  <c r="C45" i="9"/>
  <c r="Q31" i="9"/>
  <c r="Q32" i="9" s="1"/>
  <c r="D40" i="9"/>
  <c r="D13" i="10" s="1"/>
  <c r="D7" i="10"/>
  <c r="D8" i="10" s="1"/>
  <c r="D49" i="19"/>
  <c r="D46" i="19" s="1"/>
  <c r="D44" i="19" s="1"/>
  <c r="H43" i="19" s="1"/>
  <c r="H46" i="19" s="1"/>
  <c r="D40" i="13"/>
  <c r="D37" i="13" s="1"/>
  <c r="D33" i="13" s="1"/>
  <c r="C45" i="13"/>
  <c r="Q29" i="13"/>
  <c r="Q30" i="13" s="1"/>
  <c r="C10" i="10"/>
  <c r="C11" i="10"/>
  <c r="C12" i="10" s="1"/>
  <c r="Q38" i="19"/>
  <c r="Q39" i="19" s="1"/>
  <c r="C54" i="19"/>
  <c r="Q27" i="13"/>
  <c r="Q28" i="13" s="1"/>
  <c r="Q31" i="13"/>
  <c r="Q32" i="13" s="1"/>
  <c r="Q36" i="19"/>
  <c r="Q37" i="19" s="1"/>
  <c r="Q40" i="19"/>
  <c r="Q41" i="19" s="1"/>
  <c r="D13" i="9"/>
  <c r="C13" i="10"/>
  <c r="M13" i="10" s="1"/>
  <c r="I8" i="34" l="1"/>
  <c r="J14" i="34"/>
  <c r="W12" i="34"/>
  <c r="X12" i="34"/>
  <c r="D11" i="34"/>
  <c r="O20" i="33"/>
  <c r="O23" i="33" s="1"/>
  <c r="O34" i="33" s="1"/>
  <c r="V8" i="34"/>
  <c r="J28" i="34"/>
  <c r="C8" i="34"/>
  <c r="M23" i="33"/>
  <c r="O35" i="33"/>
  <c r="I14" i="34"/>
  <c r="H23" i="33"/>
  <c r="K8" i="34"/>
  <c r="K14" i="34" s="1"/>
  <c r="L29" i="33"/>
  <c r="C7" i="43" s="1"/>
  <c r="J23" i="33"/>
  <c r="E8" i="34"/>
  <c r="O25" i="33"/>
  <c r="N24" i="33"/>
  <c r="N28" i="33"/>
  <c r="O36" i="33" s="1"/>
  <c r="L35" i="33"/>
  <c r="D37" i="9"/>
  <c r="D33" i="9" s="1"/>
  <c r="D11" i="10"/>
  <c r="D12" i="10" s="1"/>
  <c r="D42" i="19"/>
  <c r="D39" i="19" s="1"/>
  <c r="D35" i="13"/>
  <c r="H34" i="13" s="1"/>
  <c r="H37" i="13" s="1"/>
  <c r="D30" i="13"/>
  <c r="K31" i="13"/>
  <c r="D11" i="9"/>
  <c r="H10" i="9" s="1"/>
  <c r="H13" i="9" s="1"/>
  <c r="D9" i="9"/>
  <c r="W8" i="34" l="1"/>
  <c r="W14" i="34" s="1"/>
  <c r="X8" i="34"/>
  <c r="X14" i="34" s="1"/>
  <c r="Q10" i="34" s="1"/>
  <c r="Q11" i="34" s="1"/>
  <c r="K19" i="33"/>
  <c r="W25" i="34"/>
  <c r="Y25" i="34" s="1"/>
  <c r="Y27" i="34" s="1"/>
  <c r="C11" i="34"/>
  <c r="V14" i="34"/>
  <c r="H24" i="33"/>
  <c r="H29" i="33"/>
  <c r="K18" i="33"/>
  <c r="K21" i="33"/>
  <c r="I28" i="34"/>
  <c r="O26" i="33"/>
  <c r="P31" i="33" s="1"/>
  <c r="K28" i="34"/>
  <c r="AA25" i="34"/>
  <c r="AE27" i="34" s="1"/>
  <c r="J30" i="34"/>
  <c r="O37" i="33"/>
  <c r="E11" i="34"/>
  <c r="K22" i="33"/>
  <c r="K17" i="33"/>
  <c r="K20" i="33"/>
  <c r="D35" i="9"/>
  <c r="H34" i="9" s="1"/>
  <c r="H37" i="9" s="1"/>
  <c r="N29" i="33"/>
  <c r="C8" i="43" s="1"/>
  <c r="L36" i="33"/>
  <c r="M36" i="33" s="1"/>
  <c r="M35" i="33"/>
  <c r="L5" i="34"/>
  <c r="L9" i="34"/>
  <c r="L6" i="34"/>
  <c r="L10" i="34"/>
  <c r="L7" i="34"/>
  <c r="L11" i="34"/>
  <c r="L12" i="34"/>
  <c r="L8" i="34"/>
  <c r="K40" i="19"/>
  <c r="K7" i="9"/>
  <c r="D6" i="9"/>
  <c r="C14" i="10"/>
  <c r="C15" i="10" s="1"/>
  <c r="K33" i="13"/>
  <c r="E30" i="13"/>
  <c r="E39" i="19"/>
  <c r="K42" i="19"/>
  <c r="D30" i="9"/>
  <c r="D14" i="10"/>
  <c r="D15" i="10" s="1"/>
  <c r="K31" i="9"/>
  <c r="W27" i="34" l="1"/>
  <c r="X25" i="34"/>
  <c r="X27" i="34" s="1"/>
  <c r="Q28" i="34" s="1"/>
  <c r="Q29" i="34" s="1"/>
  <c r="C15" i="43" s="1"/>
  <c r="K30" i="34"/>
  <c r="U31" i="34" s="1"/>
  <c r="I30" i="34"/>
  <c r="A46" i="32"/>
  <c r="A39" i="37"/>
  <c r="C14" i="34"/>
  <c r="AA27" i="34"/>
  <c r="AA28" i="34" s="1"/>
  <c r="C18" i="43" s="1"/>
  <c r="C19" i="43" s="1"/>
  <c r="E19" i="43" s="1"/>
  <c r="K23" i="33"/>
  <c r="L31" i="33"/>
  <c r="L32" i="33" s="1"/>
  <c r="L14" i="34"/>
  <c r="U33" i="34"/>
  <c r="K33" i="9"/>
  <c r="D17" i="10" s="1"/>
  <c r="D19" i="10" s="1"/>
  <c r="D26" i="10"/>
  <c r="D16" i="10"/>
  <c r="E30" i="9"/>
  <c r="E54" i="19"/>
  <c r="K39" i="19"/>
  <c r="C16" i="10"/>
  <c r="K9" i="9"/>
  <c r="C17" i="10" s="1"/>
  <c r="E6" i="9"/>
  <c r="C26" i="10"/>
  <c r="E45" i="13"/>
  <c r="K30" i="13"/>
  <c r="U32" i="34" l="1"/>
  <c r="L26" i="34"/>
  <c r="L29" i="34"/>
  <c r="L27" i="34"/>
  <c r="L28" i="34"/>
  <c r="L25" i="34"/>
  <c r="Q16" i="34"/>
  <c r="Q17" i="34" s="1"/>
  <c r="Q21" i="34" s="1"/>
  <c r="I34" i="34"/>
  <c r="K31" i="34"/>
  <c r="L37" i="33"/>
  <c r="L38" i="33" s="1"/>
  <c r="M38" i="33" s="1"/>
  <c r="Q36" i="34"/>
  <c r="C16" i="43"/>
  <c r="C19" i="10"/>
  <c r="M11" i="10"/>
  <c r="E45" i="9"/>
  <c r="K30" i="9"/>
  <c r="K6" i="9"/>
  <c r="E21" i="9"/>
  <c r="L30" i="34" l="1"/>
  <c r="C12" i="43"/>
  <c r="C11" i="43"/>
  <c r="M37" i="33"/>
  <c r="L40" i="33"/>
  <c r="E17" i="8" l="1"/>
  <c r="E7" i="8"/>
  <c r="C19" i="8"/>
  <c r="G30" i="19"/>
  <c r="K5" i="19"/>
  <c r="G21" i="8"/>
  <c r="I14" i="8"/>
  <c r="K5" i="8"/>
  <c r="G45" i="13"/>
  <c r="K29" i="13"/>
  <c r="K16" i="13"/>
  <c r="K17" i="13"/>
  <c r="G45" i="9"/>
  <c r="K29" i="9"/>
  <c r="K32" i="13"/>
  <c r="C21" i="8"/>
  <c r="D11" i="8"/>
  <c r="E17" i="13"/>
  <c r="E7" i="13"/>
  <c r="C19" i="13"/>
  <c r="E21" i="8"/>
  <c r="K6" i="8"/>
  <c r="G54" i="19"/>
  <c r="K38" i="19"/>
  <c r="K14" i="19"/>
  <c r="K25" i="19"/>
  <c r="K6" i="13"/>
  <c r="E21" i="13"/>
  <c r="Q5" i="8"/>
  <c r="Q6" i="8"/>
  <c r="K8" i="9"/>
  <c r="C4" i="10"/>
  <c r="C21" i="13"/>
  <c r="K41" i="13"/>
  <c r="G44" i="13"/>
  <c r="I38" i="13"/>
  <c r="I32" i="13"/>
  <c r="K17" i="9"/>
  <c r="K50" i="19"/>
  <c r="G21" i="13"/>
  <c r="K5" i="13"/>
  <c r="H16" i="13"/>
  <c r="G20" i="13"/>
  <c r="I14" i="13"/>
  <c r="G20" i="8"/>
  <c r="K16" i="8"/>
  <c r="H16" i="8"/>
  <c r="K17" i="8"/>
  <c r="Q7" i="8"/>
  <c r="Q8" i="8"/>
  <c r="K41" i="9"/>
  <c r="H10" i="8"/>
  <c r="H13" i="8"/>
  <c r="D11" i="13"/>
  <c r="K8" i="8"/>
  <c r="K5" i="9"/>
  <c r="G21" i="9"/>
  <c r="K32" i="9"/>
  <c r="D4" i="10"/>
  <c r="C40" i="10"/>
  <c r="C35" i="10"/>
  <c r="K9" i="13"/>
  <c r="E6" i="13"/>
  <c r="C18" i="8"/>
  <c r="Q3" i="8"/>
  <c r="Q4" i="8"/>
  <c r="Q3" i="13"/>
  <c r="Q4" i="13"/>
  <c r="H10" i="13"/>
  <c r="H13" i="13"/>
  <c r="K8" i="13"/>
  <c r="K7" i="8"/>
  <c r="K7" i="13"/>
  <c r="D9" i="13"/>
  <c r="D6" i="13"/>
  <c r="D16" i="13"/>
  <c r="D13" i="13"/>
  <c r="G20" i="9"/>
  <c r="I14" i="9"/>
  <c r="I8" i="9"/>
  <c r="C20" i="10"/>
  <c r="C34" i="10"/>
  <c r="C12" i="13"/>
  <c r="Q5" i="13"/>
  <c r="Q6" i="13"/>
  <c r="C20" i="13"/>
  <c r="C18" i="13"/>
  <c r="Q7" i="13"/>
  <c r="Q8" i="13"/>
  <c r="K40" i="13"/>
  <c r="H40" i="13"/>
  <c r="K16" i="9"/>
  <c r="H16" i="9"/>
  <c r="K24" i="19"/>
  <c r="H24" i="19"/>
  <c r="G29" i="19"/>
  <c r="I22" i="19"/>
  <c r="I14" i="19"/>
  <c r="D40" i="10"/>
  <c r="K40" i="9"/>
  <c r="H40" i="9"/>
  <c r="G44" i="9"/>
  <c r="I38" i="9"/>
  <c r="I32" i="9"/>
  <c r="D20" i="10"/>
  <c r="D34" i="10"/>
  <c r="D35" i="10"/>
  <c r="K9" i="8"/>
  <c r="C12" i="8"/>
  <c r="D9" i="8"/>
  <c r="D6" i="8"/>
  <c r="E6" i="8"/>
  <c r="I21" i="13"/>
  <c r="H15" i="13"/>
  <c r="I8" i="13"/>
  <c r="G53" i="19"/>
  <c r="I47" i="19"/>
  <c r="I41" i="19"/>
  <c r="K41" i="19"/>
  <c r="H15" i="8"/>
  <c r="I8" i="8"/>
  <c r="I21" i="8"/>
  <c r="C20" i="8"/>
  <c r="D16" i="8"/>
  <c r="D13" i="8"/>
  <c r="K49" i="19"/>
  <c r="H49" i="19"/>
</calcChain>
</file>

<file path=xl/comments1.xml><?xml version="1.0" encoding="utf-8"?>
<comments xmlns="http://schemas.openxmlformats.org/spreadsheetml/2006/main">
  <authors>
    <author>Author</author>
  </authors>
  <commentList>
    <comment ref="L3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uporabi za emerg. Bilanco
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uporabi za emerg. Bilanco
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Manj zaradi vode, in uprajene vode
</t>
        </r>
      </text>
    </comment>
    <comment ref="L39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CO2+H2O-O(CO2)/2</t>
        </r>
      </text>
    </comment>
    <comment ref="L4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Za O = -200 in za CHx = -200 formacijska</t>
        </r>
      </text>
    </comment>
    <comment ref="M4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Za O = -200 in za CHx = -200 formacijska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L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L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N4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K45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49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L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N4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K4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5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K4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VPIŠI NUJNO
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da bo ok konc katranov!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2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iz lesa cp=1,2
 J/gK x Molska masa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Nekje 66,7
 % izkoristek , izmerjeneo 22,4 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https://webbook.nist.gov/cgi/cbook.cgi?ID=C334485&amp;Mask=1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M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Cca. 1000 J/kgk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L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N4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K4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5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L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N4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K4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5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L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N4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K45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49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L13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cp=1,2 J/gK za 500 oC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  <comment ref="N4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solver</t>
        </r>
      </text>
    </comment>
    <comment ref="K48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  <comment ref="I52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  <comment ref="I6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dodan CO2 od oksidacije</t>
        </r>
      </text>
    </comment>
    <comment ref="K6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ocena toplote za segrevanje in uporevanje= 1,5x uprarevanje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6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oceno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Vpisi da bo ok konc katranov!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Razlika med izmerjeno in izračunano kalorično vrednostjo
glej spodaj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H15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pop na 37 % moči</t>
        </r>
      </text>
    </comment>
  </commentList>
</comments>
</file>

<file path=xl/sharedStrings.xml><?xml version="1.0" encoding="utf-8"?>
<sst xmlns="http://schemas.openxmlformats.org/spreadsheetml/2006/main" count="3396" uniqueCount="807">
  <si>
    <t>Ash</t>
  </si>
  <si>
    <t>Hg</t>
  </si>
  <si>
    <t>C</t>
  </si>
  <si>
    <t>H</t>
  </si>
  <si>
    <t>O</t>
  </si>
  <si>
    <t>N</t>
  </si>
  <si>
    <t>S</t>
  </si>
  <si>
    <t>Cl</t>
  </si>
  <si>
    <t>%</t>
  </si>
  <si>
    <t>kg/h</t>
  </si>
  <si>
    <t>Pollutants PATO</t>
  </si>
  <si>
    <t>kWh/kg</t>
  </si>
  <si>
    <t>Heating value of wet fuel</t>
  </si>
  <si>
    <t>factor</t>
  </si>
  <si>
    <t xml:space="preserve">Hg out </t>
  </si>
  <si>
    <t>MJ/kg</t>
  </si>
  <si>
    <t>Chemical water</t>
  </si>
  <si>
    <t>total</t>
  </si>
  <si>
    <t>ΔH°</t>
  </si>
  <si>
    <t>ΔH°(r)</t>
  </si>
  <si>
    <t>kJ/mol</t>
  </si>
  <si>
    <t>reaction</t>
  </si>
  <si>
    <t>kWh/m3(n)</t>
  </si>
  <si>
    <t>CO2</t>
  </si>
  <si>
    <t>H2O(v)</t>
  </si>
  <si>
    <t>H2 + 0,5 O2 = H2Ov</t>
  </si>
  <si>
    <t>H2O(l)</t>
  </si>
  <si>
    <t>CO + 0,5 O2 = CO2</t>
  </si>
  <si>
    <t>H2O (liq) = H2O (vap)</t>
  </si>
  <si>
    <t>CO</t>
  </si>
  <si>
    <t>H2O (liq 20°C) = H2O (liq 100°C)</t>
  </si>
  <si>
    <t>Vn =</t>
  </si>
  <si>
    <t xml:space="preserve">The High Heating Value, HHV, for any fuel is a very important commercial property and so it is measured with great accuracy.  It is not </t>
  </si>
  <si>
    <t xml:space="preserve">surprising that various scientists have tried to correlate the HHV to the composition starting with Dulong in 1880.  Most of the equations </t>
  </si>
  <si>
    <t xml:space="preserve">below were developed primarily for coal, but some for MSW, biomass etc. </t>
  </si>
  <si>
    <t xml:space="preserve">In 1990 a student of Prof. Parikh,  S. A. Channiwala  IIT Bombay (Mumbai) wrote a thesis that covered all previous correlations and added </t>
  </si>
  <si>
    <t xml:space="preserve">further data of his own which covered all fuel-like substances.  A summary of this work by S. A. Channiwal and P. P. Parikh appeared in </t>
  </si>
  <si>
    <t>FUEL, _81_ , 1051-1063 and recommends the correlation:</t>
  </si>
  <si>
    <t>HHV [kJ/kg] = 349.1 C + 1178.3 H - 103.4 O + 100.5 S - 15.1 N - 21.1 Ash</t>
  </si>
  <si>
    <t>LHV = HHV - condensation heat of H2O vapour</t>
  </si>
  <si>
    <r>
      <t xml:space="preserve">The correlation offers an average absolute error of </t>
    </r>
    <r>
      <rPr>
        <sz val="10"/>
        <color rgb="FFFF0000"/>
        <rFont val="Arial Unicode MS"/>
        <family val="2"/>
        <charset val="238"/>
      </rPr>
      <t>1.45%</t>
    </r>
    <r>
      <rPr>
        <sz val="10"/>
        <rFont val="Arial Unicode MS"/>
        <family val="2"/>
      </rPr>
      <t xml:space="preserve"> and a bias error of 0.00%  </t>
    </r>
  </si>
  <si>
    <t xml:space="preserve">The ASTM bomb calorimeter standards speciy the reproducibility limit of 240J/g while the present correlation for the </t>
  </si>
  <si>
    <t xml:space="preserve">entire range of solid, liquid and gaseous fuels offers the predicting within 337J/g which is quite comparable with the measurement </t>
  </si>
  <si>
    <t xml:space="preserve">uncertainties if one considers the widely varying nature of data and the source of its collection. </t>
  </si>
  <si>
    <t>H2</t>
  </si>
  <si>
    <t>N2</t>
  </si>
  <si>
    <t>kg/kg</t>
  </si>
  <si>
    <t>after PATO</t>
  </si>
  <si>
    <t>kW</t>
  </si>
  <si>
    <t>L(n)/mol = m3(n)/kmol</t>
  </si>
  <si>
    <t>kmol/h</t>
  </si>
  <si>
    <t>Feed wet</t>
  </si>
  <si>
    <t>Syngas</t>
  </si>
  <si>
    <t>Physical water</t>
  </si>
  <si>
    <t>O2 needed for PATO</t>
  </si>
  <si>
    <t>Total water in wet producer gas</t>
  </si>
  <si>
    <t>Heating value of dry fuel (measured)</t>
  </si>
  <si>
    <t>Air/fuel ratio for gasification in T1</t>
  </si>
  <si>
    <t>Gasification water after T1</t>
  </si>
  <si>
    <t>Over-oxidation in T1</t>
  </si>
  <si>
    <t>Over-oxidation in PATO</t>
  </si>
  <si>
    <t>C10H8(v)</t>
  </si>
  <si>
    <t>blue value =&gt; INPUT</t>
  </si>
  <si>
    <t xml:space="preserve">after T1 </t>
  </si>
  <si>
    <t>ideal</t>
  </si>
  <si>
    <t>real</t>
  </si>
  <si>
    <t>Air ideal to T1</t>
  </si>
  <si>
    <t>After T1 ideal</t>
  </si>
  <si>
    <t>Air real to T1</t>
  </si>
  <si>
    <t>After T1 real</t>
  </si>
  <si>
    <t>Fuel composition</t>
  </si>
  <si>
    <t>preferred value</t>
  </si>
  <si>
    <t>N2+A =</t>
  </si>
  <si>
    <t>M =</t>
  </si>
  <si>
    <t>kg/kmol</t>
  </si>
  <si>
    <t>Power of gasification</t>
  </si>
  <si>
    <t>AIR</t>
  </si>
  <si>
    <t xml:space="preserve">https://en.wikipedia.org/wiki/Atmosphere_of_Earth#Composition </t>
  </si>
  <si>
    <t>Air ideal to PATO</t>
  </si>
  <si>
    <t>After PATO ideal</t>
  </si>
  <si>
    <t>Air real to PATO</t>
  </si>
  <si>
    <t>Air/fuel ratio for gasification in PATO</t>
  </si>
  <si>
    <t>kg per 100 kg dry sample</t>
  </si>
  <si>
    <t>kg per ~100 kg dry sample</t>
  </si>
  <si>
    <t>kg per 100 kg of wet fuel</t>
  </si>
  <si>
    <t>kmol per 100 kg of wet fuel</t>
  </si>
  <si>
    <r>
      <t xml:space="preserve">* Play with </t>
    </r>
    <r>
      <rPr>
        <b/>
        <sz val="11"/>
        <color rgb="FF00B050"/>
        <rFont val="Calibri"/>
        <family val="2"/>
        <scheme val="minor"/>
      </rPr>
      <t>D24</t>
    </r>
    <r>
      <rPr>
        <sz val="11"/>
        <color rgb="FFFF0000"/>
        <rFont val="Calibri"/>
        <family val="2"/>
        <scheme val="minor"/>
      </rPr>
      <t xml:space="preserve"> cell value until geting </t>
    </r>
    <r>
      <rPr>
        <sz val="11"/>
        <rFont val="Calibri"/>
        <family val="2"/>
        <scheme val="minor"/>
      </rPr>
      <t xml:space="preserve">E23 = </t>
    </r>
    <r>
      <rPr>
        <b/>
        <sz val="11"/>
        <color rgb="FF0070C0"/>
        <rFont val="Calibri"/>
        <family val="2"/>
        <scheme val="minor"/>
      </rPr>
      <t>D23</t>
    </r>
  </si>
  <si>
    <t>Gasification in T1:</t>
  </si>
  <si>
    <t>Cleaning in PATO:</t>
  </si>
  <si>
    <t>Total in T1 and PATO:</t>
  </si>
  <si>
    <t>Air/fuel ratio for gasification</t>
  </si>
  <si>
    <t>OUT water</t>
  </si>
  <si>
    <t xml:space="preserve">Chemical Power </t>
  </si>
  <si>
    <t>Double check</t>
  </si>
  <si>
    <t>Syngas power (kW)</t>
  </si>
  <si>
    <t>Syngas LHV</t>
  </si>
  <si>
    <t>Cp</t>
  </si>
  <si>
    <t>J/(mol*K)</t>
  </si>
  <si>
    <t>HHV of dry fuel calculated @25°C</t>
  </si>
  <si>
    <t>LHV of dry fuel calculated @25°C</t>
  </si>
  <si>
    <t>LHV of wet fuel @25°C</t>
  </si>
  <si>
    <t xml:space="preserve">LH Chemical Power per 100 kg/h feed @25°C </t>
  </si>
  <si>
    <t>°C</t>
  </si>
  <si>
    <t>Exit gas temperature (target: 350°C)</t>
  </si>
  <si>
    <t>Air (@ 25°C) needed for PATO</t>
  </si>
  <si>
    <t>Air (@25°C) needed for T1</t>
  </si>
  <si>
    <t>Air+Gas Input temperature</t>
  </si>
  <si>
    <r>
      <t>Tar after T1 (hypothesis)</t>
    </r>
    <r>
      <rPr>
        <sz val="11"/>
        <color rgb="FFFF0000"/>
        <rFont val="Calibri"/>
        <family val="2"/>
        <scheme val="minor"/>
      </rPr>
      <t>*</t>
    </r>
  </si>
  <si>
    <t>SYNGAS</t>
  </si>
  <si>
    <t>COOLER</t>
  </si>
  <si>
    <r>
      <t>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(n)/h</t>
    </r>
  </si>
  <si>
    <t>Water</t>
  </si>
  <si>
    <t>ACTIVATION</t>
  </si>
  <si>
    <t>AIR 25°C</t>
  </si>
  <si>
    <t>BIOMASS 25°C</t>
  </si>
  <si>
    <t>ASH</t>
  </si>
  <si>
    <r>
      <t>CO</t>
    </r>
    <r>
      <rPr>
        <sz val="8"/>
        <rFont val="Calibri"/>
        <family val="2"/>
        <scheme val="minor"/>
      </rPr>
      <t>2</t>
    </r>
  </si>
  <si>
    <r>
      <t>H</t>
    </r>
    <r>
      <rPr>
        <sz val="8"/>
        <rFont val="Calibri"/>
        <family val="2"/>
        <scheme val="minor"/>
      </rPr>
      <t>2</t>
    </r>
  </si>
  <si>
    <r>
      <t>N</t>
    </r>
    <r>
      <rPr>
        <sz val="8"/>
        <rFont val="Calibri"/>
        <family val="2"/>
        <scheme val="minor"/>
      </rPr>
      <t>2</t>
    </r>
  </si>
  <si>
    <r>
      <t>Dry Air @25°C as OX; O</t>
    </r>
    <r>
      <rPr>
        <sz val="8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=</t>
    </r>
  </si>
  <si>
    <r>
      <t>(N</t>
    </r>
    <r>
      <rPr>
        <sz val="8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>+A)/O</t>
    </r>
    <r>
      <rPr>
        <sz val="8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=</t>
    </r>
  </si>
  <si>
    <r>
      <t>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(n)</t>
    </r>
  </si>
  <si>
    <r>
      <t>O</t>
    </r>
    <r>
      <rPr>
        <sz val="8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needed for T1</t>
    </r>
  </si>
  <si>
    <r>
      <t>Tar (C</t>
    </r>
    <r>
      <rPr>
        <sz val="8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H</t>
    </r>
    <r>
      <rPr>
        <sz val="8"/>
        <rFont val="Calibri"/>
        <family val="2"/>
        <scheme val="minor"/>
      </rPr>
      <t>8</t>
    </r>
    <r>
      <rPr>
        <sz val="11"/>
        <rFont val="Calibri"/>
        <family val="2"/>
        <scheme val="minor"/>
      </rPr>
      <t>) content after T1</t>
    </r>
  </si>
  <si>
    <r>
      <t>Ca(OH)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for neutralisation</t>
    </r>
  </si>
  <si>
    <r>
      <t>Safety factor for Ca(OH)</t>
    </r>
    <r>
      <rPr>
        <sz val="8"/>
        <color theme="1"/>
        <rFont val="Calibri"/>
        <family val="2"/>
        <scheme val="minor"/>
      </rPr>
      <t>2</t>
    </r>
  </si>
  <si>
    <r>
      <t>CaCl</t>
    </r>
    <r>
      <rPr>
        <sz val="8"/>
        <rFont val="Calibri"/>
        <family val="2"/>
        <scheme val="minor"/>
      </rPr>
      <t xml:space="preserve">2 </t>
    </r>
    <r>
      <rPr>
        <sz val="11"/>
        <rFont val="Calibri"/>
        <family val="2"/>
        <scheme val="minor"/>
      </rPr>
      <t>out</t>
    </r>
  </si>
  <si>
    <r>
      <t>CaSO</t>
    </r>
    <r>
      <rPr>
        <sz val="8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out</t>
    </r>
  </si>
  <si>
    <r>
      <t>Ash + CaCl</t>
    </r>
    <r>
      <rPr>
        <sz val="8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+ CaSO</t>
    </r>
    <r>
      <rPr>
        <sz val="8"/>
        <rFont val="Calibri"/>
        <family val="2"/>
        <scheme val="minor"/>
      </rPr>
      <t xml:space="preserve">4 </t>
    </r>
    <r>
      <rPr>
        <sz val="11"/>
        <rFont val="Calibri"/>
        <family val="2"/>
        <scheme val="minor"/>
      </rPr>
      <t>+ Ca(OH)</t>
    </r>
    <r>
      <rPr>
        <sz val="8"/>
        <rFont val="Calibri"/>
        <family val="2"/>
        <scheme val="minor"/>
      </rPr>
      <t>2</t>
    </r>
  </si>
  <si>
    <r>
      <t>kWh/m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(n)</t>
    </r>
  </si>
  <si>
    <r>
      <t>C</t>
    </r>
    <r>
      <rPr>
        <sz val="8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H</t>
    </r>
    <r>
      <rPr>
        <sz val="8"/>
        <rFont val="Calibri"/>
        <family val="2"/>
        <scheme val="minor"/>
      </rPr>
      <t>8</t>
    </r>
  </si>
  <si>
    <r>
      <t>H</t>
    </r>
    <r>
      <rPr>
        <sz val="8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</si>
  <si>
    <r>
      <t>Ca(OH)</t>
    </r>
    <r>
      <rPr>
        <sz val="8"/>
        <rFont val="Calibri"/>
        <family val="2"/>
        <scheme val="minor"/>
      </rPr>
      <t>2</t>
    </r>
  </si>
  <si>
    <t>kg/h tar</t>
  </si>
  <si>
    <t>T1 GASIFIER</t>
  </si>
  <si>
    <t>kW(th)</t>
  </si>
  <si>
    <r>
      <t>kW</t>
    </r>
    <r>
      <rPr>
        <sz val="8"/>
        <rFont val="Calibri"/>
        <family val="2"/>
        <scheme val="minor"/>
      </rPr>
      <t>(th)</t>
    </r>
  </si>
  <si>
    <t>PATO</t>
  </si>
  <si>
    <t>CHP eff.</t>
  </si>
  <si>
    <r>
      <t>kW</t>
    </r>
    <r>
      <rPr>
        <sz val="8"/>
        <rFont val="Calibri"/>
        <family val="2"/>
        <scheme val="minor"/>
      </rPr>
      <t>e</t>
    </r>
  </si>
  <si>
    <r>
      <t>kW</t>
    </r>
    <r>
      <rPr>
        <sz val="8"/>
        <rFont val="Calibri"/>
        <family val="2"/>
        <scheme val="minor"/>
      </rPr>
      <t>th</t>
    </r>
  </si>
  <si>
    <t>kW (LV)</t>
  </si>
  <si>
    <t>Total power for process</t>
  </si>
  <si>
    <t>TOTAL air</t>
  </si>
  <si>
    <t>Gasifier</t>
  </si>
  <si>
    <t>AIR DATAS</t>
  </si>
  <si>
    <t>TOTAL</t>
  </si>
  <si>
    <t>Waste input</t>
  </si>
  <si>
    <t>Lime</t>
  </si>
  <si>
    <t>Air input</t>
  </si>
  <si>
    <t>MJ/Nm3 (Gas from gasifier)</t>
  </si>
  <si>
    <t>Gasification efficiency</t>
  </si>
  <si>
    <t>Gas from gasifier (chemical value)</t>
  </si>
  <si>
    <t>Power for gasifier operating</t>
  </si>
  <si>
    <t>Power for gasifier</t>
  </si>
  <si>
    <t>GASIFIER</t>
  </si>
  <si>
    <t>kg/m3(n) density of dry synthesis gas</t>
  </si>
  <si>
    <t>Heat radiation from system</t>
  </si>
  <si>
    <t>Heat losses from system</t>
  </si>
  <si>
    <t>Gas into PATO</t>
  </si>
  <si>
    <t>kWh/kg energetic value of tar</t>
  </si>
  <si>
    <t>Air into PATO</t>
  </si>
  <si>
    <t>kWh/kg Energy usage for PATO reaction</t>
  </si>
  <si>
    <t>(Tar content in gas)</t>
  </si>
  <si>
    <t>Usage of chemical energy (net) for PATO</t>
  </si>
  <si>
    <t>Gas into cooling system</t>
  </si>
  <si>
    <t>System efficiency</t>
  </si>
  <si>
    <t>Heat from gas cooling</t>
  </si>
  <si>
    <t>MJ/Nm3 (gas out from PATO)</t>
  </si>
  <si>
    <t>Condensate water</t>
  </si>
  <si>
    <t>MJ/Nm3 (Gas out of cooling &amp; cleaning)</t>
  </si>
  <si>
    <t xml:space="preserve">Gas for engine </t>
  </si>
  <si>
    <t>Net electricity efficiency</t>
  </si>
  <si>
    <t>Electricity from engine</t>
  </si>
  <si>
    <t>Heat loses from engine</t>
  </si>
  <si>
    <t>ENGINE</t>
  </si>
  <si>
    <t>Needed electrical power (kW)</t>
  </si>
  <si>
    <t>kW -</t>
  </si>
  <si>
    <t>Tok kW*</t>
  </si>
  <si>
    <t>kW +</t>
  </si>
  <si>
    <t>kg/h -</t>
  </si>
  <si>
    <t>Tok kg/h</t>
  </si>
  <si>
    <t>kg/h +</t>
  </si>
  <si>
    <t xml:space="preserve"> </t>
  </si>
  <si>
    <t>MODEL CALCULATION FOR 100 kg</t>
  </si>
  <si>
    <t>Useful heat from engine</t>
  </si>
  <si>
    <t>m3(n)/h synthesis gas on the end</t>
  </si>
  <si>
    <t>Heat efficiency of engine</t>
  </si>
  <si>
    <t>Electric efficiency from engine</t>
  </si>
  <si>
    <t>m3(n)/h</t>
  </si>
  <si>
    <t>Total system efficency</t>
  </si>
  <si>
    <t>kW/h</t>
  </si>
  <si>
    <t>Self electrical consumption</t>
  </si>
  <si>
    <t>Total engine efficiency</t>
  </si>
  <si>
    <t>Heat production from engine</t>
  </si>
  <si>
    <t>Electric production (30% motor efficiency)</t>
  </si>
  <si>
    <t>Useful heat from gasification</t>
  </si>
  <si>
    <t>Synthesis gas production</t>
  </si>
  <si>
    <t>Fuel consumption</t>
  </si>
  <si>
    <t>Efficiency datas (electricity production case)</t>
  </si>
  <si>
    <t>Inert ash</t>
  </si>
  <si>
    <t>Synthesis gas</t>
  </si>
  <si>
    <t>End releases of substances from process</t>
  </si>
  <si>
    <t>Ca(OH)2</t>
  </si>
  <si>
    <t>Neutralisation material consumption at synthesis gas production</t>
  </si>
  <si>
    <t xml:space="preserve"> Useful heat from gasification</t>
  </si>
  <si>
    <t>MJ/m3(n)</t>
  </si>
  <si>
    <t>Heating value of synthesis gas</t>
  </si>
  <si>
    <t>Synthesis gas chemical value</t>
  </si>
  <si>
    <t xml:space="preserve">Synthesis gas as product </t>
  </si>
  <si>
    <t>Synthesis gas as product (30°C)</t>
  </si>
  <si>
    <t>Synthesis gas into cooling (300°C)</t>
  </si>
  <si>
    <t>Product gas from gasifier to PATO (300°C)</t>
  </si>
  <si>
    <t>Total air consumption</t>
  </si>
  <si>
    <t>PATO air consumption</t>
  </si>
  <si>
    <t>Gasifier air consumption</t>
  </si>
  <si>
    <t>System power</t>
  </si>
  <si>
    <t>kWe</t>
  </si>
  <si>
    <t>Electrical power</t>
  </si>
  <si>
    <t>P 2</t>
  </si>
  <si>
    <t>P 1</t>
  </si>
  <si>
    <t>ENGINEERING DATAS</t>
  </si>
  <si>
    <t>Heating power (useful heat)</t>
  </si>
  <si>
    <t>kWth</t>
  </si>
  <si>
    <t>PROJECT:</t>
  </si>
  <si>
    <t>H2O</t>
  </si>
  <si>
    <t>% v plinu</t>
  </si>
  <si>
    <t>količina ogljika za CO in CO2</t>
  </si>
  <si>
    <t>koliko ogljika se pretvori v CO in CO2</t>
  </si>
  <si>
    <t>first part PATO</t>
  </si>
  <si>
    <t>C10H8 +10 H2Ov = 10 CO + 14 H2</t>
  </si>
  <si>
    <t>C10H8 +7 O2 = 10 CO + 4 H2</t>
  </si>
  <si>
    <t>O2 needed PATIO</t>
  </si>
  <si>
    <t>Cp (kj/kg K)</t>
  </si>
  <si>
    <t>ocena</t>
  </si>
  <si>
    <r>
      <t>C</t>
    </r>
    <r>
      <rPr>
        <sz val="8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H</t>
    </r>
    <r>
      <rPr>
        <sz val="8"/>
        <rFont val="Calibri"/>
        <family val="2"/>
        <scheme val="minor"/>
      </rPr>
      <t>8 ocena</t>
    </r>
  </si>
  <si>
    <t>M</t>
  </si>
  <si>
    <t>Cp (Kj/kmol K)</t>
  </si>
  <si>
    <t>Cp(Kj/mol K)</t>
  </si>
  <si>
    <t>Energy release (KW)</t>
  </si>
  <si>
    <t>PATO 1st part tar oxidation  rest tar</t>
  </si>
  <si>
    <t>energy release ocenjen</t>
  </si>
  <si>
    <t>1. popravljeni enačbi Thermodynamics</t>
  </si>
  <si>
    <t>2. Calculation list</t>
  </si>
  <si>
    <t>Pribitek zraka na 2 %</t>
  </si>
  <si>
    <t>Katalizator se razdeli na dva dela</t>
  </si>
  <si>
    <t>Prvi del delna oksidacija</t>
  </si>
  <si>
    <t>Drugi del parni reforming</t>
  </si>
  <si>
    <t>V resnici parni reforming poteka tudi v prvem delu zato je dejanska temp. tam nižja</t>
  </si>
  <si>
    <t>Ocena koliko katrana zreagira z delno oksidacijo in koliko za parnim reformingom (50% 50%)</t>
  </si>
  <si>
    <t>Part 1 gas temperature (target: 800°C)</t>
  </si>
  <si>
    <t>Exit gas temperature (target: 500°C)</t>
  </si>
  <si>
    <t>3. Model dobro popisuje realno stanje, še posebej v delu katalizatorja</t>
  </si>
  <si>
    <t>C10H8 +5 O2 = 10 CO + 4 H2</t>
  </si>
  <si>
    <t>P 0</t>
  </si>
  <si>
    <t>O2</t>
  </si>
  <si>
    <t>CO + H2O = H2 + CO2</t>
  </si>
  <si>
    <t>1x</t>
  </si>
  <si>
    <t>CO + 3 H2 -&gt; CH4 + H2O</t>
  </si>
  <si>
    <t>CH4</t>
  </si>
  <si>
    <t>12x</t>
  </si>
  <si>
    <t>38 H2 in 20 CO2</t>
  </si>
  <si>
    <t>CH3OH(l)</t>
  </si>
  <si>
    <t>CH3OH(g)</t>
  </si>
  <si>
    <t>CO+ 2 H2 = CH3OH (g)</t>
  </si>
  <si>
    <t>19x</t>
  </si>
  <si>
    <t>kmol</t>
  </si>
  <si>
    <t>C5H10O(g)</t>
  </si>
  <si>
    <t>https://www.chemeo.com/cid/43-307-3/Pentanal</t>
  </si>
  <si>
    <t xml:space="preserve">C5H10O + 2 O2 = 5 CO + 5 H2 </t>
  </si>
  <si>
    <t xml:space="preserve">C5H10O + 4 H2O = 5 CO + 9 H2 </t>
  </si>
  <si>
    <t>C1oH20O2</t>
  </si>
  <si>
    <t>C10H20O2</t>
  </si>
  <si>
    <t>C10H20O2(g)</t>
  </si>
  <si>
    <t>C10H20O2 + 4 O2 = 10 CO + 10 H2</t>
  </si>
  <si>
    <t>C10H20O2 + 8 H2O(v) = 10 CO + 18 H2</t>
  </si>
  <si>
    <t>C10H20O2 + 8 H2O(l) = 10 CO + 18 H2</t>
  </si>
  <si>
    <t>C10H20O2 + 14 O2 = 10 CO2 + 10 H2O</t>
  </si>
  <si>
    <t>C10H20O2 + 9 O2 = 10 CO + 10 H2O</t>
  </si>
  <si>
    <t>H2 + 0,5 O2 = H2O(v)</t>
  </si>
  <si>
    <t>skupaj</t>
  </si>
  <si>
    <t>molovO2</t>
  </si>
  <si>
    <t>Energija oddajanja</t>
  </si>
  <si>
    <t>Energija prejemanja</t>
  </si>
  <si>
    <t>Energija</t>
  </si>
  <si>
    <t>Kisik</t>
  </si>
  <si>
    <t>MJ/kg smeti</t>
  </si>
  <si>
    <t>1/3 izgub</t>
  </si>
  <si>
    <t>kmol per 100 kg of dry fuel</t>
  </si>
  <si>
    <t>HV (wiki) - 418 kJ/mol (c+0.3h-0.5O)</t>
  </si>
  <si>
    <t>g/mol</t>
  </si>
  <si>
    <t>10x</t>
  </si>
  <si>
    <t>100 kg wet sample</t>
  </si>
  <si>
    <t>faktor</t>
  </si>
  <si>
    <t>kg</t>
  </si>
  <si>
    <t>C9H18O3</t>
  </si>
  <si>
    <t>C9H18O3 + 3 O2 = 9 CO + 9 H2</t>
  </si>
  <si>
    <t>C9H18O3 + 6 H2O(v) = 9 CO + 16 H2</t>
  </si>
  <si>
    <t>Uplinjanje</t>
  </si>
  <si>
    <t>WGSR</t>
  </si>
  <si>
    <t>doda</t>
  </si>
  <si>
    <t>razmerje mora biti 1:3</t>
  </si>
  <si>
    <t>pretvorba CO</t>
  </si>
  <si>
    <t>razmerje (H2:CO=3)</t>
  </si>
  <si>
    <t>dodana voda</t>
  </si>
  <si>
    <t>dod H2O</t>
  </si>
  <si>
    <t>iz odpadkov 20%</t>
  </si>
  <si>
    <t>Metanacija</t>
  </si>
  <si>
    <t>CO + 3 H2 = CH4 + H2O</t>
  </si>
  <si>
    <t>Nm3</t>
  </si>
  <si>
    <t>v reaktor</t>
  </si>
  <si>
    <t>iz reaktorja</t>
  </si>
  <si>
    <t>TEORETIČNI MODEL, ko bi šlo vse idealno</t>
  </si>
  <si>
    <t>metanol</t>
  </si>
  <si>
    <t>CH3OH</t>
  </si>
  <si>
    <t>in reakcije do konca</t>
  </si>
  <si>
    <t>do definitivno ne gre pri metanolu</t>
  </si>
  <si>
    <t>Samo da vidiš maksimalne koncentracije možne</t>
  </si>
  <si>
    <t>Za začetek probaj z 1/2</t>
  </si>
  <si>
    <t>CO + 2 H2 = CH3OH</t>
  </si>
  <si>
    <t>litrov</t>
  </si>
  <si>
    <t>N2 v sistemu (80% čisit kisik)</t>
  </si>
  <si>
    <t>Material wet</t>
  </si>
  <si>
    <t>H2O in material</t>
  </si>
  <si>
    <t>Kisika bo treba seveda več , lahko gledaš 1,5 ali celo 2x več</t>
  </si>
  <si>
    <t>ker ne vem kakšne bodo dejanske izgube</t>
  </si>
  <si>
    <t>skupaj vode</t>
  </si>
  <si>
    <t>H2O vlaga v materialu</t>
  </si>
  <si>
    <t>na mol</t>
  </si>
  <si>
    <t>uparit (kJ)</t>
  </si>
  <si>
    <t>segret fluid (20-100)</t>
  </si>
  <si>
    <t>segret paro 300</t>
  </si>
  <si>
    <t>wood</t>
  </si>
  <si>
    <t>1,2-2,9 J/gK</t>
  </si>
  <si>
    <t>Dry material</t>
  </si>
  <si>
    <t>energija skupaj</t>
  </si>
  <si>
    <t>MJ</t>
  </si>
  <si>
    <t>Poraba za segrevanje</t>
  </si>
  <si>
    <t>vode od kisika</t>
  </si>
  <si>
    <t>Bilanca vhod</t>
  </si>
  <si>
    <t>Ash will be</t>
  </si>
  <si>
    <t>N2 v sistemu (80% čist kisik)</t>
  </si>
  <si>
    <t>cena na dan</t>
  </si>
  <si>
    <t>cena na uro (15c/m3)</t>
  </si>
  <si>
    <t>cena pri 175 EU/MT</t>
  </si>
  <si>
    <t>cena 50 EUR/t</t>
  </si>
  <si>
    <t>cena na leto (300 dni)</t>
  </si>
  <si>
    <t>cena dela</t>
  </si>
  <si>
    <t>cena energije</t>
  </si>
  <si>
    <t>cena investicije</t>
  </si>
  <si>
    <t>5 mio / 5 let</t>
  </si>
  <si>
    <t>cena obresti</t>
  </si>
  <si>
    <t>5 % 60%</t>
  </si>
  <si>
    <t>dobiček CH4</t>
  </si>
  <si>
    <t>EUR/leto</t>
  </si>
  <si>
    <t>Močno ohlajat</t>
  </si>
  <si>
    <t>Pol manj ohlajat</t>
  </si>
  <si>
    <t>STISKAT PLIN</t>
  </si>
  <si>
    <t>odvajat toploto</t>
  </si>
  <si>
    <t>EUR</t>
  </si>
  <si>
    <t>max</t>
  </si>
  <si>
    <t>23 c</t>
  </si>
  <si>
    <t>90 EUR/t</t>
  </si>
  <si>
    <t>max od max</t>
  </si>
  <si>
    <t>400 EUR</t>
  </si>
  <si>
    <t>real/konserv</t>
  </si>
  <si>
    <t>vzdrževanje</t>
  </si>
  <si>
    <t>Ostane</t>
  </si>
  <si>
    <t>KW</t>
  </si>
  <si>
    <t>MJ/h</t>
  </si>
  <si>
    <t>kW out</t>
  </si>
  <si>
    <t>Energije OUT CH4</t>
  </si>
  <si>
    <t>Energije OUT Me</t>
  </si>
  <si>
    <t>dobiček Me</t>
  </si>
  <si>
    <t xml:space="preserve">kW </t>
  </si>
  <si>
    <t>visoko temp. 310-350 oC, Nizko temp 200-250 oC</t>
  </si>
  <si>
    <t>http://www.helmeth.eu/index.php/technologies/methanation-process</t>
  </si>
  <si>
    <t>cca 250-300 C</t>
  </si>
  <si>
    <t>cca 220-250 C</t>
  </si>
  <si>
    <t>TEORETIČNI MODEL, ko bi šlo vse dokaj idealno</t>
  </si>
  <si>
    <t>Z toplotnimi bilancami</t>
  </si>
  <si>
    <t>za uparevanje in segrevanje  dod. Vode</t>
  </si>
  <si>
    <t>po uplinjanju brez ohlajanja in kond. Vode na koncu</t>
  </si>
  <si>
    <t>po uplinjanju  brez ohlajanja in kond. Me na koncu</t>
  </si>
  <si>
    <t>Bilanca izhod CH4</t>
  </si>
  <si>
    <t>Bilanca izhod Metanol (Me)</t>
  </si>
  <si>
    <t>C9H18O3 + 12 O2 = 9 CO2 + 9 H2O</t>
  </si>
  <si>
    <t>KJ/mol</t>
  </si>
  <si>
    <t>Skupaj reakcija uplinjanja x 75% (kor.kal. Vred.)</t>
  </si>
  <si>
    <t>realna energija uplinjanja</t>
  </si>
  <si>
    <t>delež (real/teor)</t>
  </si>
  <si>
    <t>1500 kW 0,15 EUR/KWh</t>
  </si>
  <si>
    <t>poraba kisika za v CO2 in H2O</t>
  </si>
  <si>
    <t>Skupaj</t>
  </si>
  <si>
    <t>Skupaj na 2300 kg</t>
  </si>
  <si>
    <t>mora biti 3</t>
  </si>
  <si>
    <t>NE VELJA VEČ TA MODEL</t>
  </si>
  <si>
    <t>MODEL CALCULATION FOR 2300 kg</t>
  </si>
  <si>
    <t>2 HCl + Ca(OH)2 = CaCl2 + 2 H2O</t>
  </si>
  <si>
    <t>H2S + Ca(OH)2=CaS + 2 H2O</t>
  </si>
  <si>
    <t>M(Ca(OH)2)</t>
  </si>
  <si>
    <t>Ca(OH)2 needed x 2,5</t>
  </si>
  <si>
    <t>Water input</t>
  </si>
  <si>
    <t>M(C9H18)</t>
  </si>
  <si>
    <t>C7H8 + 7/2 O2 = 7CO +4 H2</t>
  </si>
  <si>
    <t>Gas into WGSR</t>
  </si>
  <si>
    <t>dodana H2O v WGSR je že v presežku)</t>
  </si>
  <si>
    <t>N2 and CO2 removal</t>
  </si>
  <si>
    <t>Compresion to 10 bar</t>
  </si>
  <si>
    <t>Compresion to 30 bar</t>
  </si>
  <si>
    <t>Gas for methanol synthesis</t>
  </si>
  <si>
    <t>Methanol produced</t>
  </si>
  <si>
    <t>Waste gas</t>
  </si>
  <si>
    <t>C9H18O3 = C7H8 + CO+CO2 + 5H2</t>
  </si>
  <si>
    <t>C7H8</t>
  </si>
  <si>
    <t>C7H8 (tar)</t>
  </si>
  <si>
    <t>Tar removal</t>
  </si>
  <si>
    <t>CO nastane</t>
  </si>
  <si>
    <t>CO skupaj</t>
  </si>
  <si>
    <t>C7H8 + 7 H2O = 7 CO + 11 H2</t>
  </si>
  <si>
    <t>C7H8 + 7/2 O2 = 7 CO + 4 H2</t>
  </si>
  <si>
    <t>H2 nastane</t>
  </si>
  <si>
    <t>H2 skupaj</t>
  </si>
  <si>
    <t>H2O porabi, je ze v plinu</t>
  </si>
  <si>
    <t>razmerje (H2:CO=2)</t>
  </si>
  <si>
    <t>mora biti 2</t>
  </si>
  <si>
    <t>voda ki ostane H2O</t>
  </si>
  <si>
    <t>Voda, ki se porabi</t>
  </si>
  <si>
    <t>dodana voda molov</t>
  </si>
  <si>
    <t>O2 into PATO (80%)</t>
  </si>
  <si>
    <t>(Tar content in gas) (predpostavka)</t>
  </si>
  <si>
    <t>H2O ostane</t>
  </si>
  <si>
    <t xml:space="preserve">O2 input (80 %) </t>
  </si>
  <si>
    <t>N2 skupaj</t>
  </si>
  <si>
    <t>CO+H2O=CO2+H2</t>
  </si>
  <si>
    <t>izparevanje toluena L-&gt;V</t>
  </si>
  <si>
    <t>Ca(OH)2 needed x 1</t>
  </si>
  <si>
    <t>KW/Nm3</t>
  </si>
  <si>
    <t>konverzija</t>
  </si>
  <si>
    <t>Kw</t>
  </si>
  <si>
    <t>povratek plina</t>
  </si>
  <si>
    <t>delež</t>
  </si>
  <si>
    <t>PxV=nxRxT</t>
  </si>
  <si>
    <t>T2=P2/(P1*30)*T1</t>
  </si>
  <si>
    <t>Ca(OH)2 needed x 1,5</t>
  </si>
  <si>
    <t>Pride iz WGSR</t>
  </si>
  <si>
    <t xml:space="preserve">N2  </t>
  </si>
  <si>
    <t>kondenzira H2O</t>
  </si>
  <si>
    <t>plina ven</t>
  </si>
  <si>
    <t>Iz recikla pride</t>
  </si>
  <si>
    <t>Po združitvi feed in recikl</t>
  </si>
  <si>
    <t>skupaj plina</t>
  </si>
  <si>
    <t>skuapj</t>
  </si>
  <si>
    <t>Metanol proizvede</t>
  </si>
  <si>
    <t xml:space="preserve">v reciklej gre </t>
  </si>
  <si>
    <t>VHOD V UPLINJALNIK:</t>
  </si>
  <si>
    <t>Suha snov</t>
  </si>
  <si>
    <t>Voda v surovini</t>
  </si>
  <si>
    <t>kisik</t>
  </si>
  <si>
    <t>voda pod rešetko</t>
  </si>
  <si>
    <t>apno</t>
  </si>
  <si>
    <t>SKUPAJ</t>
  </si>
  <si>
    <t>IZ UPLINJALNIKA V CPOX</t>
  </si>
  <si>
    <t>Plin</t>
  </si>
  <si>
    <t>para</t>
  </si>
  <si>
    <t>katran</t>
  </si>
  <si>
    <t>dušik</t>
  </si>
  <si>
    <t>IZ UPLINJALNIKA</t>
  </si>
  <si>
    <t>pepel</t>
  </si>
  <si>
    <t>V CPOX</t>
  </si>
  <si>
    <t>IZ CPOX v hlajenje 1</t>
  </si>
  <si>
    <t>plin</t>
  </si>
  <si>
    <t>IZ HLAJENJA V WGSR in v hlajenje 2</t>
  </si>
  <si>
    <t>(enako kot zgoraj)</t>
  </si>
  <si>
    <t>po WGSR</t>
  </si>
  <si>
    <t>IZ HLAJENJA 2 V KOMPRESOR</t>
  </si>
  <si>
    <t>IZ HLAJENJA 2</t>
  </si>
  <si>
    <t>kondenzna voda</t>
  </si>
  <si>
    <t>VRAČANJE CO, H2</t>
  </si>
  <si>
    <t>V KATALIZATOR METANOL</t>
  </si>
  <si>
    <t>IZ METANOLA</t>
  </si>
  <si>
    <t>metanol ven</t>
  </si>
  <si>
    <t>ostali plini CO2 N2 ven</t>
  </si>
  <si>
    <t>apno (1,5)</t>
  </si>
  <si>
    <t>K</t>
  </si>
  <si>
    <t>[Me]</t>
  </si>
  <si>
    <t>[CO]</t>
  </si>
  <si>
    <t>[H2]</t>
  </si>
  <si>
    <t>Teoretično metanola lahko nastane</t>
  </si>
  <si>
    <t>metanol ch3OH</t>
  </si>
  <si>
    <t>WGSR SE NE UPORABLJA</t>
  </si>
  <si>
    <t>Pride iz PO UPLINJANJU</t>
  </si>
  <si>
    <t>deleži</t>
  </si>
  <si>
    <t>bar</t>
  </si>
  <si>
    <t>skupaj plina in N2</t>
  </si>
  <si>
    <t>Ven gre</t>
  </si>
  <si>
    <t>doda 100 kg H2</t>
  </si>
  <si>
    <t>N2 doda (pri 40% kisika)</t>
  </si>
  <si>
    <t>N2 (pri 90% kisika)</t>
  </si>
  <si>
    <t>deleži plina</t>
  </si>
  <si>
    <t>Plin + N2</t>
  </si>
  <si>
    <t>skupaj plina + N2</t>
  </si>
  <si>
    <t>dušik (90%)</t>
  </si>
  <si>
    <t>kisik (40%)</t>
  </si>
  <si>
    <t>normal</t>
  </si>
  <si>
    <t>brez WGS</t>
  </si>
  <si>
    <t>brez WGS + H2</t>
  </si>
  <si>
    <t xml:space="preserve">ga ni </t>
  </si>
  <si>
    <t>ga ni  doda 100 kg H2</t>
  </si>
  <si>
    <t>doda H2</t>
  </si>
  <si>
    <t xml:space="preserve"> H2 (CO)</t>
  </si>
  <si>
    <t>le H2</t>
  </si>
  <si>
    <t>Reckel H2, (CO)</t>
  </si>
  <si>
    <t>m3</t>
  </si>
  <si>
    <t>Reakcija sprosti toploto</t>
  </si>
  <si>
    <t>WGSR SE NE UPORABLJA pojdi naprej dol</t>
  </si>
  <si>
    <t>Sinteza metanola</t>
  </si>
  <si>
    <t xml:space="preserve">Metanol </t>
  </si>
  <si>
    <t>KONEC</t>
  </si>
  <si>
    <t>gostota</t>
  </si>
  <si>
    <t>kg/L</t>
  </si>
  <si>
    <t>g katranov/m3</t>
  </si>
  <si>
    <t xml:space="preserve">WGSR SE  UPORABLJA </t>
  </si>
  <si>
    <t>delež CO</t>
  </si>
  <si>
    <t>Voda, ki se porabi HighTempWGSR</t>
  </si>
  <si>
    <t>Pretvorba CO</t>
  </si>
  <si>
    <t>Pretvorba CO-&gt;CH4</t>
  </si>
  <si>
    <t>Pretvorba CO2-CH4</t>
  </si>
  <si>
    <t>LowTempWGSR (HLAJENJE)</t>
  </si>
  <si>
    <t>H2O(L 20C)-&gt;H2O (L 100 C)</t>
  </si>
  <si>
    <t>H2O(L)-&gt;H2O(v)</t>
  </si>
  <si>
    <t>H2O(v 100C) - &gt;  H2O(v 500 C)</t>
  </si>
  <si>
    <t>H2 + 1/2 O2 -&gt; H2O</t>
  </si>
  <si>
    <t>H2O ostane + nastane</t>
  </si>
  <si>
    <t>voda ki se jo doda po HighT WGSR H2O (vsaj 30 kg/h)</t>
  </si>
  <si>
    <t>skupaj (MJ/h)</t>
  </si>
  <si>
    <t>voda ki je potrebno dodati pred HighT WGSR…vsaj 60 kg/h</t>
  </si>
  <si>
    <t>Metanacija za odstranitev CO če je potrebno zaradi vodikovih membran</t>
  </si>
  <si>
    <t>sprosti toplota</t>
  </si>
  <si>
    <t>Predvidoma se bo tu porabil tudi del CO2 za metanacijo</t>
  </si>
  <si>
    <t>CO2 + 4 H2 = CH4 + 2 H2O</t>
  </si>
  <si>
    <t>voda ki nastanje---- H2O</t>
  </si>
  <si>
    <t>po teži</t>
  </si>
  <si>
    <t>po volumnu</t>
  </si>
  <si>
    <t>N2 (pri 93% kisika)</t>
  </si>
  <si>
    <t>C9H18O3 = C7H8 + CH4 + 3H2O</t>
  </si>
  <si>
    <t>N2 doda (pri 93,% kisika)</t>
  </si>
  <si>
    <t>Količina plina: 3489 kg/h oziroma 3.140 Nm3/h</t>
  </si>
  <si>
    <t>Sestava plina: CH4 1%, CO 23%, H2 14%, N2 58% + vodna para + 94 kg katrana;</t>
  </si>
  <si>
    <t>voda</t>
  </si>
  <si>
    <t>katran C7H8</t>
  </si>
  <si>
    <t>Nm3/h</t>
  </si>
  <si>
    <t>%vol</t>
  </si>
  <si>
    <t>CH4+2O2=CO2+2H2O</t>
  </si>
  <si>
    <t>CO+1/2O2=CO2</t>
  </si>
  <si>
    <t>H2+1/2O2=H2O</t>
  </si>
  <si>
    <t>C7H8+9O2=7CO2+4H2O</t>
  </si>
  <si>
    <t>manjka snovi v Nm3 v kg</t>
  </si>
  <si>
    <t>Nm3/h zraka</t>
  </si>
  <si>
    <t>kg/h zraka</t>
  </si>
  <si>
    <t>mas%</t>
  </si>
  <si>
    <t>malo vode??</t>
  </si>
  <si>
    <t>razmerje med Nm3 in kg ni ok</t>
  </si>
  <si>
    <t xml:space="preserve">fili za </t>
  </si>
  <si>
    <t>Ok, to ni tak problem</t>
  </si>
  <si>
    <t>Uplinjanje odpadkov</t>
  </si>
  <si>
    <t>Komunalni odpadki</t>
  </si>
  <si>
    <t>Mešanje odpadkov</t>
  </si>
  <si>
    <t>Ime odpadka:</t>
  </si>
  <si>
    <t>Delež odpadka:</t>
  </si>
  <si>
    <t>Komunalni odpadek</t>
  </si>
  <si>
    <t>Blato iz čistilnih naprav</t>
  </si>
  <si>
    <t>Vsebnost</t>
  </si>
  <si>
    <t>Pepel</t>
  </si>
  <si>
    <t>SKUPNA SESTAVA MATERIALA</t>
  </si>
  <si>
    <t>Element</t>
  </si>
  <si>
    <t>Vsota (100)</t>
  </si>
  <si>
    <t>Skupaj (100)</t>
  </si>
  <si>
    <t>Element v masnih % brez vode</t>
  </si>
  <si>
    <t>Element v masnih % z vodo</t>
  </si>
  <si>
    <t>Element v masnih % brez vode in pepela</t>
  </si>
  <si>
    <t>Sumarna tabela elementov v gorivu</t>
  </si>
  <si>
    <t>Kurilna vrednost:</t>
  </si>
  <si>
    <t>MATERIAL ZA UPLINJANJE</t>
  </si>
  <si>
    <t>Simulacijska molekula:</t>
  </si>
  <si>
    <t>Faktor povečanja:</t>
  </si>
  <si>
    <t>Sestava goriva</t>
  </si>
  <si>
    <t xml:space="preserve">na 100 kg suhega </t>
  </si>
  <si>
    <t xml:space="preserve">na 100 kg mokrega </t>
  </si>
  <si>
    <t>kmol mokro gorivo</t>
  </si>
  <si>
    <t>Količina mokrega materiala za uplinjanje</t>
  </si>
  <si>
    <t>Količina suhega materiala za uplinjanje</t>
  </si>
  <si>
    <t>Pripravljen material</t>
  </si>
  <si>
    <t>model</t>
  </si>
  <si>
    <t>podatki</t>
  </si>
  <si>
    <t>Razlika</t>
  </si>
  <si>
    <t>C17H33O6 + 5,5 O2 = 17 CO + 16,5 H2</t>
  </si>
  <si>
    <t>C17H33O6 + 11 H2O(v) = 17 CO + 27,5 H2</t>
  </si>
  <si>
    <t>CO + 0,5 O2 =CO2</t>
  </si>
  <si>
    <t>C17H33O6</t>
  </si>
  <si>
    <t>delež k gre v CO2</t>
  </si>
  <si>
    <t>g katranov</t>
  </si>
  <si>
    <t>g/m3 katranov</t>
  </si>
  <si>
    <t>Delež kisika v zraku:</t>
  </si>
  <si>
    <t>PRED UPLINJANJEM</t>
  </si>
  <si>
    <t>UPLINJANJE</t>
  </si>
  <si>
    <t>voda, ki vstopi v rekacijo</t>
  </si>
  <si>
    <t>Skupaj s pepelom</t>
  </si>
  <si>
    <t>Skupaj brez pepela</t>
  </si>
  <si>
    <t>Količina katranov</t>
  </si>
  <si>
    <t>g/m3</t>
  </si>
  <si>
    <t>C17H33O6 = 2 C7H8 + 3 CO2 + 8,5 H2</t>
  </si>
  <si>
    <t>razlika z vhodom (TEST)</t>
  </si>
  <si>
    <t>Vzeta molekula za ta primer</t>
  </si>
  <si>
    <t>razlika</t>
  </si>
  <si>
    <t>C9H18O3 + 6 H2O(v) = 9 CO + 15 H2</t>
  </si>
  <si>
    <t>PO UPLINJANJU</t>
  </si>
  <si>
    <t>N2 (80%)</t>
  </si>
  <si>
    <t>dodatni N2</t>
  </si>
  <si>
    <t>poraba H2O</t>
  </si>
  <si>
    <t>Bilanca vode (mora biti&gt;0)</t>
  </si>
  <si>
    <t>PRED PRETVORBO KATRANOV</t>
  </si>
  <si>
    <t>PO PRETVORBI KATRANOV</t>
  </si>
  <si>
    <t>Koncentracija katranov (g/m3)</t>
  </si>
  <si>
    <t>molska masa</t>
  </si>
  <si>
    <t>Faktor povečanja</t>
  </si>
  <si>
    <t xml:space="preserve">Vrsta adsorbenta </t>
  </si>
  <si>
    <t>CaO</t>
  </si>
  <si>
    <t>CaCO3</t>
  </si>
  <si>
    <t>Količnina v kg / 100 kg mokrega materiala</t>
  </si>
  <si>
    <t xml:space="preserve">Skupaj </t>
  </si>
  <si>
    <t>razlika z vhodom (TEST=0)</t>
  </si>
  <si>
    <t>Razlika (TEST=0)</t>
  </si>
  <si>
    <t>Delež prve reakcije</t>
  </si>
  <si>
    <t>Razlika v masah (TEST=0)</t>
  </si>
  <si>
    <t>C mod 7</t>
  </si>
  <si>
    <t>c div 7</t>
  </si>
  <si>
    <t>Ta se uporablja v formuli</t>
  </si>
  <si>
    <t>XXX</t>
  </si>
  <si>
    <t>C7H18</t>
  </si>
  <si>
    <t>delež CO-&gt;CO2</t>
  </si>
  <si>
    <t>Knjiga pedley</t>
  </si>
  <si>
    <t>str 152</t>
  </si>
  <si>
    <t>C21H42O4</t>
  </si>
  <si>
    <t>C24H38O4</t>
  </si>
  <si>
    <t>C19H38O4</t>
  </si>
  <si>
    <t>C16H22O4</t>
  </si>
  <si>
    <t>M(CH)</t>
  </si>
  <si>
    <t>M(O)</t>
  </si>
  <si>
    <t>test</t>
  </si>
  <si>
    <t xml:space="preserve">razlika </t>
  </si>
  <si>
    <t>izračunana</t>
  </si>
  <si>
    <t>Toplota</t>
  </si>
  <si>
    <t>delež vode original</t>
  </si>
  <si>
    <t xml:space="preserve">Odparit vode </t>
  </si>
  <si>
    <t>Kg osnovega materala</t>
  </si>
  <si>
    <t>vode odstranit</t>
  </si>
  <si>
    <t>Kurilna vrednost suhega materiala (MJ/kg)</t>
  </si>
  <si>
    <t>Entalpija produktov (v CO2 in H2O)  (MJ/kg)</t>
  </si>
  <si>
    <t>energija MJ</t>
  </si>
  <si>
    <t>energija (MJ/t)</t>
  </si>
  <si>
    <t xml:space="preserve">Vohodne surovnine so na desni. Glede na njihov delež se izračuna vsebnost snovi v gorivu. Na podlagi tega se določi simulacijska formula za nadaljne preračune. Na enak način se izračuna kurilna vrednost goriva. </t>
  </si>
  <si>
    <t xml:space="preserve">Tu se izračuna koliko adsorbenat je potrebno. Možne so 3 vrste adsorbenta. V zeleni določi kolikokratnik povečanja rabiš. </t>
  </si>
  <si>
    <t>Sestava pripravljenega goriva</t>
  </si>
  <si>
    <t xml:space="preserve">Enačne po katerih se naredi izračun. Prva je oksidacija, druga hidroliza, tretja del CO se oksidira v CO2 in četrta nastajanje katranov. </t>
  </si>
  <si>
    <t>Levo sestava preden se uplinja</t>
  </si>
  <si>
    <t xml:space="preserve">Sestava plina po uplinjanju. </t>
  </si>
  <si>
    <t>Enačbe za pretovrbe katranov. Zgornja z okksidacijo, spodnja s hidrolizo.</t>
  </si>
  <si>
    <t>Sestava plina pred pretvorbo katranov.</t>
  </si>
  <si>
    <t>Sestava plina po pretvorbi katranov.</t>
  </si>
  <si>
    <t>Etalpija surovine (MJ/kg)</t>
  </si>
  <si>
    <t>TEST =0</t>
  </si>
  <si>
    <t>Apna se doda (kg):</t>
  </si>
  <si>
    <t>Nastane pepela (kg)</t>
  </si>
  <si>
    <t>te vode se ne upošteva v plinu, recimo da ostane v pepelu</t>
  </si>
  <si>
    <t>Pepel z malo vode (kg)</t>
  </si>
  <si>
    <t>Količina pepela skupaj z adsorbentom (kg)</t>
  </si>
  <si>
    <t>voda (kg)</t>
  </si>
  <si>
    <t>CO2 kg)</t>
  </si>
  <si>
    <t>Nastane vode (kg)</t>
  </si>
  <si>
    <t>Delež</t>
  </si>
  <si>
    <t>MC Element v masnih % z vodo</t>
  </si>
  <si>
    <t>MC Element v masnih % z vodo normiran</t>
  </si>
  <si>
    <t xml:space="preserve">H </t>
  </si>
  <si>
    <t>MJ/m3 z H2O</t>
  </si>
  <si>
    <t>MJ/m3 brez H2O</t>
  </si>
  <si>
    <t>MJ/m3 brez H2O in N2</t>
  </si>
  <si>
    <t>Ca</t>
  </si>
  <si>
    <t>Mg</t>
  </si>
  <si>
    <t>KOH</t>
  </si>
  <si>
    <t>Ca/OH)2</t>
  </si>
  <si>
    <t>Mg(OH)2</t>
  </si>
  <si>
    <t>Izračun entalpije vhodne surovine iz izmerjene entalpije (MJ/kg)</t>
  </si>
  <si>
    <t>kilo molov snovi:</t>
  </si>
  <si>
    <t>Izračun entalpije vhodne surovine iz izmerjene entalpije (MJ/Kmol)</t>
  </si>
  <si>
    <t>Kalkulacija Entalpija vhodne surovine (MJ/kg)</t>
  </si>
  <si>
    <t>Mj</t>
  </si>
  <si>
    <t>KJ(Segrevanje) 20 oC</t>
  </si>
  <si>
    <t>CO +1/2 O2 = CO2</t>
  </si>
  <si>
    <t>H2 + 1/2 O2= H2O</t>
  </si>
  <si>
    <t>Delež CO2</t>
  </si>
  <si>
    <t>Delež H2O</t>
  </si>
  <si>
    <t>Sprosti se, če minus, sicer je treba dodat</t>
  </si>
  <si>
    <t>Povečajne temperature</t>
  </si>
  <si>
    <t>Prenos iz plina katalizator</t>
  </si>
  <si>
    <t>Razlika (OK &gt;0)</t>
  </si>
  <si>
    <t>Ohlajanje</t>
  </si>
  <si>
    <t>Temp. pred izmenjevalcem</t>
  </si>
  <si>
    <t>Temp. po izmenjevalcu</t>
  </si>
  <si>
    <t>Cp (kJ/mol)</t>
  </si>
  <si>
    <t>Reakcija (MJ)</t>
  </si>
  <si>
    <t>Energija, ki se sprosti zaradi reakcije (- se sprosti)</t>
  </si>
  <si>
    <t>oC</t>
  </si>
  <si>
    <t>Plin se segreje</t>
  </si>
  <si>
    <t>Pline po katalizatroju se ohladi</t>
  </si>
  <si>
    <t>Razlika energij v izmenjevalcu</t>
  </si>
  <si>
    <t>Razlika temperatur v izmenjevalcu</t>
  </si>
  <si>
    <t>Bilacna v izmenjevalcu</t>
  </si>
  <si>
    <t>Topla stran izmenjevalca</t>
  </si>
  <si>
    <t>Hladna stran izmenjevalca</t>
  </si>
  <si>
    <t>Energijska vrednost plina (gleda se CO in H2)</t>
  </si>
  <si>
    <t>energija (MJ)</t>
  </si>
  <si>
    <t>TEST OK TEMP &gt;&gt;0</t>
  </si>
  <si>
    <t xml:space="preserve">TEST OK KW&lt;0 </t>
  </si>
  <si>
    <t>TEST OK &gt;0</t>
  </si>
  <si>
    <t>TEST OK &lt;0</t>
  </si>
  <si>
    <t>Za to se sprosti energija, Test OK &lt;0</t>
  </si>
  <si>
    <t>Za to se porabi energija Test OK&gt;0</t>
  </si>
  <si>
    <t>Enačbi za okdsidacijo H2 in CO</t>
  </si>
  <si>
    <t>Reakcija in ogrevanje skupaj (- se sprosti)</t>
  </si>
  <si>
    <t>Energija suhega materiala</t>
  </si>
  <si>
    <t>rač</t>
  </si>
  <si>
    <t>izm.</t>
  </si>
  <si>
    <t>MJ/h segrevanje</t>
  </si>
  <si>
    <t>Reakcija</t>
  </si>
  <si>
    <t>MJ (vsebuje kemijske energije)</t>
  </si>
  <si>
    <t>ocenjena</t>
  </si>
  <si>
    <t>Etalpija surovine (kJ/mol)</t>
  </si>
  <si>
    <t>poraba energje</t>
  </si>
  <si>
    <t>energija v sistemu</t>
  </si>
  <si>
    <t>reakcijska</t>
  </si>
  <si>
    <t>toplotna</t>
  </si>
  <si>
    <t>Sproščena</t>
  </si>
  <si>
    <t>Razlika test</t>
  </si>
  <si>
    <t>kJ/mol suh mat.</t>
  </si>
  <si>
    <t>H2O ostane (v)</t>
  </si>
  <si>
    <t>H2O (l)</t>
  </si>
  <si>
    <t xml:space="preserve">Ostala energija </t>
  </si>
  <si>
    <t>Potencial</t>
  </si>
  <si>
    <t>sproščena en. Reakcija</t>
  </si>
  <si>
    <t>segregvanje plina</t>
  </si>
  <si>
    <t>korekcija surovine</t>
  </si>
  <si>
    <t>Sprosti rekacija</t>
  </si>
  <si>
    <t>porabi segrevanje</t>
  </si>
  <si>
    <t>Etalpija surovine (KJ/mol)</t>
  </si>
  <si>
    <t>Bilanca bi po mojem morala izgledati takole:</t>
  </si>
  <si>
    <t>1. Vhod energije z materialom za uplinjanje</t>
  </si>
  <si>
    <t>2. Pretvorba v toplotno energijo v uplinjalniku</t>
  </si>
  <si>
    <t>3. Energija, ki jo vračamo v sistem preko menjalnikov toplote</t>
  </si>
  <si>
    <t>4. Pretvorba v toplotno energijo v katalizatorju</t>
  </si>
  <si>
    <t>5. Izhod v obliki kemične energije v plinu</t>
  </si>
  <si>
    <t>6. Izhod v obliki ostale toplotne energije (izgube + potencialno koristna toplota)</t>
  </si>
  <si>
    <t>reakcija</t>
  </si>
  <si>
    <t>segrevanje</t>
  </si>
  <si>
    <t>se porabi iz plina</t>
  </si>
  <si>
    <t>za ogrevanje plina</t>
  </si>
  <si>
    <t>hlajenje plina na izmenjevalcu</t>
  </si>
  <si>
    <t>oddana toploda do 90oC</t>
  </si>
  <si>
    <t>se sprosti v izmenjevalcu</t>
  </si>
  <si>
    <t>Energija produktov</t>
  </si>
  <si>
    <t>C7H8+9O2=7 CO2+4 H2O</t>
  </si>
  <si>
    <t>Ostala kem  energ po uplinajnju</t>
  </si>
  <si>
    <t xml:space="preserve">MJ/h </t>
  </si>
  <si>
    <t>Kurilna vrednost suhega dela mokrega materiala (MJ/kg)</t>
  </si>
  <si>
    <t>H2O(l) = H2O(g)</t>
  </si>
  <si>
    <t>real (MJ/kg)</t>
  </si>
  <si>
    <t>Izmerjena spodnja kurilna vrednost suhega materiala (kJ/kg)</t>
  </si>
  <si>
    <t>LHV izr</t>
  </si>
  <si>
    <t>HHV izr</t>
  </si>
  <si>
    <t>H2O (v)</t>
  </si>
  <si>
    <t>izm</t>
  </si>
  <si>
    <t>Entalpija produktovHHV (v CO2 in H2O)  (MJ/kg)</t>
  </si>
  <si>
    <t>Entalpija produktov LHV (v CO2 in H2O)  (MJ/kg)</t>
  </si>
  <si>
    <t>HHV (moker)</t>
  </si>
  <si>
    <t>LHV(moker+uparjena voda)</t>
  </si>
  <si>
    <t>LHV (wet+water to vapor)</t>
  </si>
  <si>
    <t>HHV (wet)</t>
  </si>
  <si>
    <t>water</t>
  </si>
  <si>
    <t>LHV (whole dry)</t>
  </si>
  <si>
    <t>HHV (whole dry)</t>
  </si>
  <si>
    <t>x stehiometrijska poraba</t>
  </si>
  <si>
    <t>H2S + CaO = CaS + H2O</t>
  </si>
  <si>
    <t>H2S + Ca(OH)2 = CaS + 2 H2O</t>
  </si>
  <si>
    <t>H2S +  CaCO3 = CaS + H2CO3 = CaS + H2O + CO2</t>
  </si>
  <si>
    <t>HCl +1/2 CaO = 1/2 CaCl2 + 1/2 H2O</t>
  </si>
  <si>
    <t>HCl + 1/2 Ca(OH)2 = 1/2 CaCl2 + H2O</t>
  </si>
  <si>
    <t>HCl + 1/2 CaCO3 = 1/2 CaCl2 + 1/2 H2CO3 = 1/2 CaCl2 + 1/2 H2O + 1/2 CO2</t>
  </si>
  <si>
    <t>snov</t>
  </si>
  <si>
    <t>delež (%)</t>
  </si>
  <si>
    <t>Molska masa (g/mol)</t>
  </si>
  <si>
    <t>X</t>
  </si>
  <si>
    <t>Količnina v kg / 100 kg mokrega materiala za HCl</t>
  </si>
  <si>
    <t>Količnina v kg / 100 kg mokrega materiala za H2S</t>
  </si>
  <si>
    <t>LHV (suh)</t>
  </si>
  <si>
    <t>HHV (suh)</t>
  </si>
  <si>
    <t>C6H12O6</t>
  </si>
  <si>
    <t>Komunalni odpadek 10% vode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</si>
</sst>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\ _€_-;\-* #,##0.00\ _€_-;_-* &quot;-&quot;??\ _€_-;_-@_-"/>
    <numFmt numFmtId="164" formatCode="0.000"/>
    <numFmt numFmtId="165" formatCode="0.0"/>
    <numFmt numFmtId="166" formatCode="0.0E+00"/>
    <numFmt numFmtId="167" formatCode="[$-40C]d\-mmm\-yy;@"/>
    <numFmt numFmtId="168" formatCode="0.0000"/>
    <numFmt numFmtId="169" formatCode="#,##0.0"/>
    <numFmt numFmtId="170" formatCode="0.000000"/>
    <numFmt numFmtId="171" formatCode="0.0%"/>
    <numFmt numFmtId="172" formatCode="0.00000"/>
    <numFmt numFmtId="173" formatCode="_-* #,##0.0000\ _€_-;\-* #,##0.0000\ _€_-;_-* &quot;-&quot;??\ _€_-;_-@_-"/>
    <numFmt numFmtId="174" formatCode="#,##0.000"/>
    <numFmt numFmtId="175" formatCode="#,##0.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0"/>
      <color rgb="FFFF0000"/>
      <name val="Arial Unicode MS"/>
      <family val="2"/>
      <charset val="238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BFBD3"/>
      <name val="Calibri"/>
      <family val="2"/>
      <scheme val="minor"/>
    </font>
    <font>
      <sz val="12"/>
      <color rgb="FF222222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  <font>
      <b/>
      <sz val="11"/>
      <color theme="0" tint="-0.14999847407452621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sz val="10"/>
      <color theme="2" tint="-9.9978637043366805E-2"/>
      <name val="Arial"/>
      <family val="2"/>
    </font>
    <font>
      <sz val="12"/>
      <name val="Arial"/>
      <family val="2"/>
      <charset val="238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  <charset val="238"/>
    </font>
    <font>
      <b/>
      <sz val="11"/>
      <color theme="2" tint="-0.249977111117893"/>
      <name val="Calibri"/>
      <family val="2"/>
      <charset val="238"/>
      <scheme val="minor"/>
    </font>
    <font>
      <sz val="11"/>
      <color theme="2" tint="-0.249977111117893"/>
      <name val="Calibri"/>
      <family val="2"/>
      <charset val="23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BFB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0">
    <xf numFmtId="0" fontId="0" fillId="0" borderId="0"/>
    <xf numFmtId="9" fontId="4" fillId="0" borderId="0" applyFont="0" applyFill="0" applyBorder="0" applyAlignment="0" applyProtection="0"/>
    <xf numFmtId="0" fontId="4" fillId="2" borderId="2" applyNumberFormat="0" applyFont="0" applyAlignment="0" applyProtection="0"/>
    <xf numFmtId="0" fontId="15" fillId="0" borderId="0" applyNumberFormat="0" applyFill="0" applyBorder="0" applyAlignment="0" applyProtection="0"/>
    <xf numFmtId="0" fontId="28" fillId="7" borderId="0" applyNumberFormat="0" applyBorder="0" applyAlignment="0" applyProtection="0"/>
    <xf numFmtId="0" fontId="2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3" fillId="0" borderId="0"/>
    <xf numFmtId="9" fontId="2" fillId="0" borderId="0" applyFont="0" applyFill="0" applyBorder="0" applyAlignment="0" applyProtection="0"/>
  </cellStyleXfs>
  <cellXfs count="498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2" fontId="7" fillId="0" borderId="0" xfId="0" applyNumberFormat="1" applyFont="1"/>
    <xf numFmtId="0" fontId="7" fillId="0" borderId="0" xfId="0" applyFont="1" applyAlignment="1">
      <alignment horizontal="center"/>
    </xf>
    <xf numFmtId="165" fontId="7" fillId="0" borderId="0" xfId="0" applyNumberFormat="1" applyFont="1"/>
    <xf numFmtId="2" fontId="7" fillId="0" borderId="0" xfId="1" applyNumberFormat="1" applyFont="1"/>
    <xf numFmtId="166" fontId="7" fillId="0" borderId="0" xfId="0" applyNumberFormat="1" applyFont="1"/>
    <xf numFmtId="164" fontId="7" fillId="0" borderId="0" xfId="0" applyNumberFormat="1" applyFont="1"/>
    <xf numFmtId="1" fontId="7" fillId="0" borderId="0" xfId="0" applyNumberFormat="1" applyFont="1"/>
    <xf numFmtId="0" fontId="8" fillId="0" borderId="0" xfId="0" applyFont="1"/>
    <xf numFmtId="167" fontId="0" fillId="3" borderId="0" xfId="0" applyNumberFormat="1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9" fillId="0" borderId="0" xfId="0" applyFont="1" applyAlignment="1">
      <alignment horizontal="right"/>
    </xf>
    <xf numFmtId="165" fontId="0" fillId="0" borderId="1" xfId="0" applyNumberFormat="1" applyBorder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0" fontId="10" fillId="0" borderId="0" xfId="0" applyFont="1"/>
    <xf numFmtId="0" fontId="10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2" fontId="12" fillId="0" borderId="0" xfId="0" applyNumberFormat="1" applyFont="1"/>
    <xf numFmtId="165" fontId="12" fillId="0" borderId="0" xfId="1" applyNumberFormat="1" applyFont="1"/>
    <xf numFmtId="2" fontId="12" fillId="0" borderId="0" xfId="1" applyNumberFormat="1" applyFont="1"/>
    <xf numFmtId="164" fontId="12" fillId="0" borderId="0" xfId="1" applyNumberFormat="1" applyFont="1"/>
    <xf numFmtId="166" fontId="12" fillId="0" borderId="0" xfId="1" applyNumberFormat="1" applyFont="1"/>
    <xf numFmtId="0" fontId="12" fillId="0" borderId="0" xfId="0" applyFont="1"/>
    <xf numFmtId="1" fontId="12" fillId="0" borderId="0" xfId="1" applyNumberFormat="1" applyFont="1"/>
    <xf numFmtId="165" fontId="12" fillId="0" borderId="0" xfId="0" applyNumberFormat="1" applyFont="1"/>
    <xf numFmtId="0" fontId="7" fillId="4" borderId="2" xfId="2" applyFont="1" applyFill="1"/>
    <xf numFmtId="168" fontId="7" fillId="0" borderId="0" xfId="0" applyNumberFormat="1" applyFont="1"/>
    <xf numFmtId="167" fontId="0" fillId="5" borderId="0" xfId="0" applyNumberFormat="1" applyFill="1"/>
    <xf numFmtId="0" fontId="7" fillId="4" borderId="6" xfId="2" applyFont="1" applyFill="1" applyBorder="1"/>
    <xf numFmtId="0" fontId="7" fillId="4" borderId="5" xfId="0" applyFont="1" applyFill="1" applyBorder="1"/>
    <xf numFmtId="0" fontId="7" fillId="0" borderId="5" xfId="0" applyFont="1" applyBorder="1"/>
    <xf numFmtId="0" fontId="0" fillId="0" borderId="5" xfId="0" applyBorder="1"/>
    <xf numFmtId="0" fontId="7" fillId="4" borderId="5" xfId="2" applyFont="1" applyFill="1" applyBorder="1" applyAlignment="1">
      <alignment horizontal="left"/>
    </xf>
    <xf numFmtId="0" fontId="8" fillId="4" borderId="5" xfId="0" applyFont="1" applyFill="1" applyBorder="1"/>
    <xf numFmtId="0" fontId="7" fillId="4" borderId="5" xfId="2" applyFont="1" applyFill="1" applyBorder="1" applyAlignment="1">
      <alignment horizontal="center"/>
    </xf>
    <xf numFmtId="0" fontId="8" fillId="0" borderId="5" xfId="0" applyFont="1" applyBorder="1"/>
    <xf numFmtId="2" fontId="8" fillId="0" borderId="5" xfId="0" applyNumberFormat="1" applyFont="1" applyBorder="1" applyAlignment="1">
      <alignment horizontal="center"/>
    </xf>
    <xf numFmtId="165" fontId="7" fillId="0" borderId="6" xfId="0" applyNumberFormat="1" applyFont="1" applyBorder="1"/>
    <xf numFmtId="0" fontId="7" fillId="4" borderId="6" xfId="0" applyFont="1" applyFill="1" applyBorder="1"/>
    <xf numFmtId="0" fontId="7" fillId="0" borderId="6" xfId="0" applyFont="1" applyBorder="1"/>
    <xf numFmtId="2" fontId="7" fillId="4" borderId="5" xfId="0" applyNumberFormat="1" applyFont="1" applyFill="1" applyBorder="1"/>
    <xf numFmtId="2" fontId="7" fillId="0" borderId="5" xfId="0" applyNumberFormat="1" applyFont="1" applyBorder="1"/>
    <xf numFmtId="0" fontId="0" fillId="4" borderId="5" xfId="0" applyFill="1" applyBorder="1"/>
    <xf numFmtId="0" fontId="6" fillId="4" borderId="5" xfId="2" applyFont="1" applyFill="1" applyBorder="1" applyAlignment="1">
      <alignment horizontal="center"/>
    </xf>
    <xf numFmtId="0" fontId="7" fillId="4" borderId="5" xfId="2" applyFont="1" applyFill="1" applyBorder="1"/>
    <xf numFmtId="165" fontId="7" fillId="0" borderId="0" xfId="1" applyNumberFormat="1" applyFont="1"/>
    <xf numFmtId="2" fontId="7" fillId="0" borderId="0" xfId="0" applyNumberFormat="1" applyFont="1" applyAlignment="1">
      <alignment horizontal="center"/>
    </xf>
    <xf numFmtId="0" fontId="7" fillId="0" borderId="7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2" fontId="7" fillId="4" borderId="5" xfId="2" applyNumberFormat="1" applyFont="1" applyFill="1" applyBorder="1"/>
    <xf numFmtId="2" fontId="7" fillId="0" borderId="7" xfId="0" applyNumberFormat="1" applyFont="1" applyBorder="1"/>
    <xf numFmtId="2" fontId="7" fillId="4" borderId="7" xfId="0" applyNumberFormat="1" applyFont="1" applyFill="1" applyBorder="1"/>
    <xf numFmtId="2" fontId="7" fillId="4" borderId="9" xfId="0" applyNumberFormat="1" applyFont="1" applyFill="1" applyBorder="1"/>
    <xf numFmtId="168" fontId="13" fillId="0" borderId="0" xfId="0" applyNumberFormat="1" applyFont="1"/>
    <xf numFmtId="1" fontId="12" fillId="0" borderId="0" xfId="0" applyNumberFormat="1" applyFont="1"/>
    <xf numFmtId="0" fontId="15" fillId="0" borderId="0" xfId="3"/>
    <xf numFmtId="0" fontId="7" fillId="0" borderId="0" xfId="0" applyFont="1" applyAlignment="1">
      <alignment horizontal="right"/>
    </xf>
    <xf numFmtId="2" fontId="7" fillId="0" borderId="8" xfId="0" applyNumberFormat="1" applyFont="1" applyBorder="1"/>
    <xf numFmtId="165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16" fillId="0" borderId="5" xfId="0" applyFont="1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2" fontId="16" fillId="0" borderId="0" xfId="0" applyNumberFormat="1" applyFont="1"/>
    <xf numFmtId="0" fontId="16" fillId="0" borderId="0" xfId="0" applyFont="1"/>
    <xf numFmtId="2" fontId="16" fillId="4" borderId="5" xfId="0" applyNumberFormat="1" applyFont="1" applyFill="1" applyBorder="1"/>
    <xf numFmtId="2" fontId="16" fillId="0" borderId="18" xfId="0" applyNumberFormat="1" applyFont="1" applyBorder="1"/>
    <xf numFmtId="2" fontId="16" fillId="4" borderId="7" xfId="0" applyNumberFormat="1" applyFont="1" applyFill="1" applyBorder="1"/>
    <xf numFmtId="2" fontId="16" fillId="0" borderId="5" xfId="0" applyNumberFormat="1" applyFont="1" applyBorder="1"/>
    <xf numFmtId="2" fontId="8" fillId="4" borderId="6" xfId="0" applyNumberFormat="1" applyFont="1" applyFill="1" applyBorder="1"/>
    <xf numFmtId="0" fontId="7" fillId="0" borderId="21" xfId="0" applyFont="1" applyBorder="1"/>
    <xf numFmtId="0" fontId="7" fillId="0" borderId="16" xfId="0" applyFont="1" applyBorder="1"/>
    <xf numFmtId="0" fontId="7" fillId="0" borderId="14" xfId="0" applyFont="1" applyBorder="1"/>
    <xf numFmtId="0" fontId="16" fillId="0" borderId="23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1" fontId="7" fillId="0" borderId="19" xfId="0" applyNumberFormat="1" applyFont="1" applyBorder="1"/>
    <xf numFmtId="0" fontId="7" fillId="0" borderId="23" xfId="0" applyFont="1" applyBorder="1" applyAlignment="1">
      <alignment horizontal="center"/>
    </xf>
    <xf numFmtId="0" fontId="7" fillId="0" borderId="20" xfId="0" applyFont="1" applyBorder="1"/>
    <xf numFmtId="0" fontId="17" fillId="0" borderId="0" xfId="0" applyFont="1" applyAlignment="1">
      <alignment horizontal="right"/>
    </xf>
    <xf numFmtId="1" fontId="8" fillId="0" borderId="0" xfId="0" applyNumberFormat="1" applyFont="1" applyAlignment="1">
      <alignment horizontal="center"/>
    </xf>
    <xf numFmtId="1" fontId="8" fillId="0" borderId="0" xfId="0" applyNumberFormat="1" applyFont="1"/>
    <xf numFmtId="0" fontId="16" fillId="0" borderId="19" xfId="0" applyFont="1" applyBorder="1" applyAlignment="1">
      <alignment horizontal="right"/>
    </xf>
    <xf numFmtId="2" fontId="16" fillId="0" borderId="7" xfId="0" applyNumberFormat="1" applyFont="1" applyBorder="1"/>
    <xf numFmtId="2" fontId="8" fillId="4" borderId="5" xfId="0" applyNumberFormat="1" applyFont="1" applyFill="1" applyBorder="1"/>
    <xf numFmtId="0" fontId="7" fillId="4" borderId="24" xfId="2" applyFont="1" applyFill="1" applyBorder="1"/>
    <xf numFmtId="0" fontId="6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164" fontId="19" fillId="0" borderId="0" xfId="0" applyNumberFormat="1" applyFont="1"/>
    <xf numFmtId="0" fontId="19" fillId="0" borderId="0" xfId="0" applyFont="1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7" fillId="0" borderId="7" xfId="0" applyNumberFormat="1" applyFont="1" applyBorder="1"/>
    <xf numFmtId="1" fontId="16" fillId="0" borderId="0" xfId="0" applyNumberFormat="1" applyFont="1"/>
    <xf numFmtId="165" fontId="16" fillId="0" borderId="0" xfId="0" applyNumberFormat="1" applyFont="1" applyAlignment="1">
      <alignment horizontal="center"/>
    </xf>
    <xf numFmtId="0" fontId="16" fillId="0" borderId="15" xfId="0" applyFont="1" applyBorder="1" applyAlignment="1">
      <alignment horizontal="center"/>
    </xf>
    <xf numFmtId="2" fontId="16" fillId="0" borderId="8" xfId="0" applyNumberFormat="1" applyFont="1" applyBorder="1"/>
    <xf numFmtId="1" fontId="16" fillId="4" borderId="5" xfId="0" applyNumberFormat="1" applyFont="1" applyFill="1" applyBorder="1"/>
    <xf numFmtId="2" fontId="16" fillId="4" borderId="9" xfId="0" applyNumberFormat="1" applyFont="1" applyFill="1" applyBorder="1"/>
    <xf numFmtId="165" fontId="16" fillId="0" borderId="0" xfId="0" applyNumberFormat="1" applyFont="1"/>
    <xf numFmtId="1" fontId="7" fillId="0" borderId="27" xfId="0" applyNumberFormat="1" applyFont="1" applyBorder="1"/>
    <xf numFmtId="0" fontId="7" fillId="0" borderId="28" xfId="0" applyFont="1" applyBorder="1"/>
    <xf numFmtId="0" fontId="7" fillId="0" borderId="30" xfId="0" applyFont="1" applyBorder="1"/>
    <xf numFmtId="0" fontId="21" fillId="0" borderId="0" xfId="0" applyFont="1"/>
    <xf numFmtId="0" fontId="18" fillId="0" borderId="0" xfId="0" applyFont="1"/>
    <xf numFmtId="2" fontId="16" fillId="0" borderId="0" xfId="0" applyNumberFormat="1" applyFont="1" applyAlignment="1">
      <alignment horizontal="left"/>
    </xf>
    <xf numFmtId="9" fontId="7" fillId="0" borderId="0" xfId="0" applyNumberFormat="1" applyFont="1" applyAlignment="1">
      <alignment horizontal="left"/>
    </xf>
    <xf numFmtId="0" fontId="25" fillId="0" borderId="0" xfId="0" applyFont="1" applyAlignment="1">
      <alignment horizontal="right"/>
    </xf>
    <xf numFmtId="0" fontId="25" fillId="0" borderId="0" xfId="0" applyFont="1"/>
    <xf numFmtId="2" fontId="25" fillId="0" borderId="18" xfId="0" applyNumberFormat="1" applyFont="1" applyBorder="1"/>
    <xf numFmtId="2" fontId="25" fillId="0" borderId="17" xfId="0" applyNumberFormat="1" applyFont="1" applyBorder="1"/>
    <xf numFmtId="2" fontId="25" fillId="0" borderId="0" xfId="0" applyNumberFormat="1" applyFont="1"/>
    <xf numFmtId="2" fontId="25" fillId="0" borderId="5" xfId="0" applyNumberFormat="1" applyFont="1" applyBorder="1"/>
    <xf numFmtId="2" fontId="25" fillId="4" borderId="5" xfId="0" applyNumberFormat="1" applyFont="1" applyFill="1" applyBorder="1"/>
    <xf numFmtId="2" fontId="25" fillId="4" borderId="7" xfId="0" applyNumberFormat="1" applyFont="1" applyFill="1" applyBorder="1"/>
    <xf numFmtId="0" fontId="7" fillId="0" borderId="31" xfId="0" applyFont="1" applyBorder="1" applyAlignment="1">
      <alignment horizontal="right"/>
    </xf>
    <xf numFmtId="1" fontId="7" fillId="0" borderId="6" xfId="0" applyNumberFormat="1" applyFont="1" applyBorder="1"/>
    <xf numFmtId="1" fontId="7" fillId="4" borderId="5" xfId="2" applyNumberFormat="1" applyFont="1" applyFill="1" applyBorder="1"/>
    <xf numFmtId="0" fontId="7" fillId="0" borderId="0" xfId="0" applyFont="1" applyAlignment="1">
      <alignment horizontal="left"/>
    </xf>
    <xf numFmtId="1" fontId="7" fillId="6" borderId="0" xfId="0" applyNumberFormat="1" applyFont="1" applyFill="1"/>
    <xf numFmtId="0" fontId="7" fillId="6" borderId="0" xfId="0" applyFont="1" applyFill="1"/>
    <xf numFmtId="1" fontId="7" fillId="0" borderId="14" xfId="0" applyNumberFormat="1" applyFont="1" applyBorder="1"/>
    <xf numFmtId="0" fontId="7" fillId="0" borderId="32" xfId="0" applyFont="1" applyBorder="1" applyAlignment="1">
      <alignment horizontal="left"/>
    </xf>
    <xf numFmtId="49" fontId="7" fillId="0" borderId="0" xfId="0" applyNumberFormat="1" applyFont="1"/>
    <xf numFmtId="9" fontId="12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right"/>
    </xf>
    <xf numFmtId="1" fontId="13" fillId="0" borderId="29" xfId="0" applyNumberFormat="1" applyFont="1" applyBorder="1"/>
    <xf numFmtId="1" fontId="27" fillId="0" borderId="29" xfId="0" applyNumberFormat="1" applyFont="1" applyBorder="1"/>
    <xf numFmtId="165" fontId="0" fillId="0" borderId="23" xfId="0" applyNumberFormat="1" applyBorder="1" applyAlignment="1">
      <alignment horizontal="right"/>
    </xf>
    <xf numFmtId="1" fontId="26" fillId="0" borderId="0" xfId="0" applyNumberFormat="1" applyFont="1" applyAlignment="1">
      <alignment horizontal="right"/>
    </xf>
    <xf numFmtId="9" fontId="7" fillId="0" borderId="0" xfId="1" applyFont="1"/>
    <xf numFmtId="9" fontId="8" fillId="0" borderId="0" xfId="1" applyFont="1"/>
    <xf numFmtId="1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3" fontId="0" fillId="0" borderId="0" xfId="0" applyNumberFormat="1"/>
    <xf numFmtId="9" fontId="0" fillId="0" borderId="0" xfId="1" applyFont="1"/>
    <xf numFmtId="3" fontId="7" fillId="0" borderId="0" xfId="0" applyNumberFormat="1" applyFont="1"/>
    <xf numFmtId="0" fontId="5" fillId="0" borderId="0" xfId="0" applyFont="1"/>
    <xf numFmtId="3" fontId="5" fillId="0" borderId="33" xfId="0" applyNumberFormat="1" applyFont="1" applyBorder="1"/>
    <xf numFmtId="0" fontId="5" fillId="0" borderId="33" xfId="0" applyFont="1" applyBorder="1"/>
    <xf numFmtId="0" fontId="26" fillId="0" borderId="0" xfId="0" applyFont="1"/>
    <xf numFmtId="0" fontId="26" fillId="0" borderId="2" xfId="2" applyFont="1" applyFill="1"/>
    <xf numFmtId="3" fontId="0" fillId="0" borderId="33" xfId="0" applyNumberFormat="1" applyBorder="1"/>
    <xf numFmtId="0" fontId="0" fillId="0" borderId="33" xfId="0" applyBorder="1"/>
    <xf numFmtId="9" fontId="7" fillId="0" borderId="2" xfId="2" applyNumberFormat="1" applyFont="1" applyFill="1"/>
    <xf numFmtId="2" fontId="7" fillId="0" borderId="2" xfId="2" applyNumberFormat="1" applyFont="1" applyFill="1"/>
    <xf numFmtId="0" fontId="5" fillId="0" borderId="1" xfId="0" applyFont="1" applyBorder="1" applyAlignment="1">
      <alignment horizontal="center"/>
    </xf>
    <xf numFmtId="0" fontId="7" fillId="0" borderId="0" xfId="5" applyFont="1"/>
    <xf numFmtId="9" fontId="7" fillId="0" borderId="0" xfId="0" applyNumberFormat="1" applyFont="1"/>
    <xf numFmtId="9" fontId="0" fillId="0" borderId="2" xfId="2" applyNumberFormat="1" applyFont="1" applyFill="1"/>
    <xf numFmtId="0" fontId="26" fillId="0" borderId="0" xfId="0" applyFont="1" applyAlignment="1">
      <alignment horizontal="left"/>
    </xf>
    <xf numFmtId="3" fontId="5" fillId="0" borderId="33" xfId="0" applyNumberFormat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30" fillId="0" borderId="0" xfId="0" applyFont="1"/>
    <xf numFmtId="1" fontId="0" fillId="0" borderId="0" xfId="0" applyNumberFormat="1"/>
    <xf numFmtId="3" fontId="7" fillId="0" borderId="0" xfId="1" applyNumberFormat="1" applyFont="1"/>
    <xf numFmtId="0" fontId="3" fillId="0" borderId="33" xfId="0" applyFont="1" applyBorder="1" applyAlignment="1">
      <alignment horizontal="left"/>
    </xf>
    <xf numFmtId="3" fontId="3" fillId="0" borderId="33" xfId="0" applyNumberFormat="1" applyFont="1" applyBorder="1" applyAlignment="1">
      <alignment horizontal="right"/>
    </xf>
    <xf numFmtId="9" fontId="31" fillId="0" borderId="0" xfId="1" applyFont="1" applyAlignment="1">
      <alignment horizontal="right"/>
    </xf>
    <xf numFmtId="1" fontId="32" fillId="0" borderId="0" xfId="4" applyNumberFormat="1" applyFont="1" applyFill="1" applyAlignment="1">
      <alignment horizontal="right"/>
    </xf>
    <xf numFmtId="0" fontId="31" fillId="0" borderId="0" xfId="0" applyFont="1" applyAlignment="1">
      <alignment horizontal="left"/>
    </xf>
    <xf numFmtId="9" fontId="0" fillId="0" borderId="33" xfId="1" applyFont="1" applyBorder="1"/>
    <xf numFmtId="1" fontId="0" fillId="0" borderId="33" xfId="1" applyNumberFormat="1" applyFont="1" applyBorder="1"/>
    <xf numFmtId="169" fontId="0" fillId="0" borderId="33" xfId="0" applyNumberFormat="1" applyBorder="1"/>
    <xf numFmtId="1" fontId="0" fillId="0" borderId="33" xfId="0" applyNumberFormat="1" applyBorder="1"/>
    <xf numFmtId="0" fontId="0" fillId="0" borderId="33" xfId="0" applyBorder="1" applyAlignment="1">
      <alignment horizontal="center"/>
    </xf>
    <xf numFmtId="0" fontId="0" fillId="5" borderId="0" xfId="0" applyFill="1"/>
    <xf numFmtId="0" fontId="9" fillId="8" borderId="0" xfId="0" applyFont="1" applyFill="1"/>
    <xf numFmtId="0" fontId="7" fillId="4" borderId="0" xfId="0" applyFont="1" applyFill="1"/>
    <xf numFmtId="2" fontId="7" fillId="4" borderId="0" xfId="2" applyNumberFormat="1" applyFont="1" applyFill="1" applyBorder="1"/>
    <xf numFmtId="0" fontId="6" fillId="4" borderId="0" xfId="2" applyFont="1" applyFill="1" applyBorder="1" applyAlignment="1">
      <alignment horizontal="center"/>
    </xf>
    <xf numFmtId="0" fontId="7" fillId="4" borderId="0" xfId="2" applyFont="1" applyFill="1" applyBorder="1"/>
    <xf numFmtId="0" fontId="7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1" fontId="7" fillId="9" borderId="0" xfId="0" applyNumberFormat="1" applyFont="1" applyFill="1" applyAlignment="1">
      <alignment horizontal="right"/>
    </xf>
    <xf numFmtId="165" fontId="0" fillId="9" borderId="0" xfId="0" applyNumberFormat="1" applyFill="1"/>
    <xf numFmtId="170" fontId="0" fillId="0" borderId="0" xfId="0" applyNumberFormat="1"/>
    <xf numFmtId="169" fontId="0" fillId="0" borderId="0" xfId="0" applyNumberFormat="1"/>
    <xf numFmtId="1" fontId="0" fillId="0" borderId="0" xfId="1" applyNumberFormat="1" applyFont="1"/>
    <xf numFmtId="4" fontId="0" fillId="0" borderId="0" xfId="0" applyNumberFormat="1"/>
    <xf numFmtId="171" fontId="0" fillId="0" borderId="0" xfId="1" applyNumberFormat="1" applyFont="1"/>
    <xf numFmtId="2" fontId="0" fillId="6" borderId="0" xfId="0" applyNumberFormat="1" applyFill="1"/>
    <xf numFmtId="0" fontId="0" fillId="10" borderId="0" xfId="0" applyFill="1"/>
    <xf numFmtId="2" fontId="0" fillId="10" borderId="0" xfId="0" applyNumberFormat="1" applyFill="1"/>
    <xf numFmtId="0" fontId="0" fillId="8" borderId="0" xfId="0" applyFill="1"/>
    <xf numFmtId="2" fontId="0" fillId="8" borderId="0" xfId="0" applyNumberFormat="1" applyFill="1"/>
    <xf numFmtId="0" fontId="9" fillId="0" borderId="0" xfId="0" applyFont="1" applyAlignment="1">
      <alignment horizontal="center"/>
    </xf>
    <xf numFmtId="9" fontId="0" fillId="0" borderId="0" xfId="0" applyNumberFormat="1"/>
    <xf numFmtId="2" fontId="0" fillId="5" borderId="0" xfId="0" applyNumberFormat="1" applyFill="1"/>
    <xf numFmtId="165" fontId="0" fillId="0" borderId="33" xfId="0" applyNumberFormat="1" applyBorder="1"/>
    <xf numFmtId="2" fontId="0" fillId="0" borderId="33" xfId="0" applyNumberFormat="1" applyBorder="1"/>
    <xf numFmtId="0" fontId="0" fillId="0" borderId="34" xfId="0" applyBorder="1"/>
    <xf numFmtId="165" fontId="0" fillId="0" borderId="34" xfId="0" applyNumberFormat="1" applyBorder="1"/>
    <xf numFmtId="0" fontId="0" fillId="0" borderId="35" xfId="0" applyBorder="1"/>
    <xf numFmtId="0" fontId="0" fillId="0" borderId="26" xfId="0" applyBorder="1"/>
    <xf numFmtId="3" fontId="0" fillId="0" borderId="27" xfId="0" applyNumberFormat="1" applyBorder="1"/>
    <xf numFmtId="0" fontId="0" fillId="0" borderId="28" xfId="0" applyBorder="1"/>
    <xf numFmtId="3" fontId="0" fillId="0" borderId="29" xfId="0" applyNumberFormat="1" applyBorder="1"/>
    <xf numFmtId="0" fontId="0" fillId="0" borderId="30" xfId="0" applyBorder="1"/>
    <xf numFmtId="0" fontId="0" fillId="0" borderId="25" xfId="0" applyBorder="1"/>
    <xf numFmtId="3" fontId="0" fillId="0" borderId="25" xfId="0" applyNumberFormat="1" applyBorder="1"/>
    <xf numFmtId="0" fontId="0" fillId="0" borderId="33" xfId="0" applyBorder="1" applyAlignment="1">
      <alignment horizontal="right"/>
    </xf>
    <xf numFmtId="0" fontId="0" fillId="5" borderId="33" xfId="0" applyFill="1" applyBorder="1"/>
    <xf numFmtId="169" fontId="0" fillId="5" borderId="33" xfId="0" applyNumberFormat="1" applyFill="1" applyBorder="1"/>
    <xf numFmtId="2" fontId="0" fillId="0" borderId="25" xfId="0" applyNumberFormat="1" applyBorder="1"/>
    <xf numFmtId="169" fontId="0" fillId="0" borderId="29" xfId="0" applyNumberFormat="1" applyBorder="1"/>
    <xf numFmtId="165" fontId="0" fillId="0" borderId="36" xfId="0" applyNumberFormat="1" applyBorder="1"/>
    <xf numFmtId="3" fontId="0" fillId="11" borderId="0" xfId="0" applyNumberFormat="1" applyFill="1"/>
    <xf numFmtId="0" fontId="0" fillId="11" borderId="0" xfId="0" applyFill="1"/>
    <xf numFmtId="0" fontId="5" fillId="8" borderId="33" xfId="0" applyFont="1" applyFill="1" applyBorder="1" applyAlignment="1">
      <alignment horizontal="center"/>
    </xf>
    <xf numFmtId="3" fontId="5" fillId="8" borderId="33" xfId="0" applyNumberFormat="1" applyFont="1" applyFill="1" applyBorder="1" applyAlignment="1">
      <alignment horizontal="center"/>
    </xf>
    <xf numFmtId="0" fontId="3" fillId="8" borderId="33" xfId="0" applyFont="1" applyFill="1" applyBorder="1" applyAlignment="1">
      <alignment horizontal="left"/>
    </xf>
    <xf numFmtId="0" fontId="0" fillId="8" borderId="33" xfId="0" applyFill="1" applyBorder="1"/>
    <xf numFmtId="3" fontId="0" fillId="8" borderId="33" xfId="0" applyNumberFormat="1" applyFill="1" applyBorder="1"/>
    <xf numFmtId="0" fontId="5" fillId="8" borderId="33" xfId="0" applyFont="1" applyFill="1" applyBorder="1"/>
    <xf numFmtId="3" fontId="5" fillId="8" borderId="33" xfId="0" applyNumberFormat="1" applyFont="1" applyFill="1" applyBorder="1"/>
    <xf numFmtId="171" fontId="0" fillId="12" borderId="0" xfId="1" applyNumberFormat="1" applyFont="1" applyFill="1"/>
    <xf numFmtId="172" fontId="0" fillId="0" borderId="0" xfId="0" applyNumberFormat="1"/>
    <xf numFmtId="168" fontId="0" fillId="0" borderId="0" xfId="0" applyNumberFormat="1"/>
    <xf numFmtId="0" fontId="0" fillId="12" borderId="0" xfId="0" applyFill="1"/>
    <xf numFmtId="43" fontId="0" fillId="0" borderId="0" xfId="6" applyFont="1"/>
    <xf numFmtId="173" fontId="0" fillId="0" borderId="0" xfId="0" applyNumberFormat="1"/>
    <xf numFmtId="0" fontId="35" fillId="0" borderId="0" xfId="0" applyFont="1"/>
    <xf numFmtId="3" fontId="35" fillId="0" borderId="0" xfId="0" applyNumberFormat="1" applyFont="1"/>
    <xf numFmtId="174" fontId="0" fillId="0" borderId="0" xfId="0" applyNumberFormat="1"/>
    <xf numFmtId="3" fontId="0" fillId="8" borderId="0" xfId="0" applyNumberFormat="1" applyFill="1"/>
    <xf numFmtId="3" fontId="35" fillId="8" borderId="0" xfId="0" applyNumberFormat="1" applyFont="1" applyFill="1"/>
    <xf numFmtId="0" fontId="0" fillId="13" borderId="0" xfId="0" applyFill="1"/>
    <xf numFmtId="3" fontId="0" fillId="13" borderId="29" xfId="0" applyNumberFormat="1" applyFill="1" applyBorder="1"/>
    <xf numFmtId="0" fontId="0" fillId="13" borderId="30" xfId="0" applyFill="1" applyBorder="1"/>
    <xf numFmtId="0" fontId="0" fillId="14" borderId="0" xfId="0" applyFill="1"/>
    <xf numFmtId="0" fontId="0" fillId="15" borderId="0" xfId="0" applyFill="1"/>
    <xf numFmtId="169" fontId="0" fillId="5" borderId="0" xfId="0" applyNumberFormat="1" applyFill="1"/>
    <xf numFmtId="0" fontId="0" fillId="8" borderId="25" xfId="0" applyFill="1" applyBorder="1"/>
    <xf numFmtId="2" fontId="0" fillId="8" borderId="37" xfId="0" applyNumberFormat="1" applyFill="1" applyBorder="1"/>
    <xf numFmtId="2" fontId="0" fillId="8" borderId="26" xfId="0" applyNumberFormat="1" applyFill="1" applyBorder="1"/>
    <xf numFmtId="0" fontId="0" fillId="8" borderId="27" xfId="0" applyFill="1" applyBorder="1"/>
    <xf numFmtId="2" fontId="0" fillId="8" borderId="28" xfId="0" applyNumberFormat="1" applyFill="1" applyBorder="1"/>
    <xf numFmtId="0" fontId="0" fillId="8" borderId="29" xfId="0" applyFill="1" applyBorder="1"/>
    <xf numFmtId="2" fontId="0" fillId="8" borderId="8" xfId="0" applyNumberFormat="1" applyFill="1" applyBorder="1"/>
    <xf numFmtId="2" fontId="0" fillId="8" borderId="30" xfId="0" applyNumberFormat="1" applyFill="1" applyBorder="1"/>
    <xf numFmtId="0" fontId="0" fillId="8" borderId="29" xfId="0" applyFill="1" applyBorder="1" applyAlignment="1">
      <alignment wrapText="1"/>
    </xf>
    <xf numFmtId="2" fontId="0" fillId="9" borderId="0" xfId="0" applyNumberFormat="1" applyFill="1"/>
    <xf numFmtId="169" fontId="0" fillId="9" borderId="33" xfId="0" applyNumberFormat="1" applyFill="1" applyBorder="1"/>
    <xf numFmtId="0" fontId="0" fillId="9" borderId="33" xfId="0" applyFill="1" applyBorder="1"/>
    <xf numFmtId="169" fontId="0" fillId="0" borderId="25" xfId="0" applyNumberFormat="1" applyBorder="1"/>
    <xf numFmtId="0" fontId="36" fillId="0" borderId="0" xfId="0" applyFont="1"/>
    <xf numFmtId="2" fontId="36" fillId="0" borderId="0" xfId="0" applyNumberFormat="1" applyFont="1"/>
    <xf numFmtId="10" fontId="0" fillId="0" borderId="0" xfId="1" applyNumberFormat="1" applyFont="1"/>
    <xf numFmtId="2" fontId="0" fillId="0" borderId="0" xfId="1" applyNumberFormat="1" applyFont="1"/>
    <xf numFmtId="169" fontId="0" fillId="16" borderId="33" xfId="0" applyNumberFormat="1" applyFill="1" applyBorder="1"/>
    <xf numFmtId="0" fontId="37" fillId="0" borderId="0" xfId="0" applyFont="1" applyAlignment="1">
      <alignment vertical="center" wrapText="1"/>
    </xf>
    <xf numFmtId="0" fontId="37" fillId="0" borderId="33" xfId="0" applyFont="1" applyBorder="1" applyAlignment="1">
      <alignment vertical="center" wrapText="1"/>
    </xf>
    <xf numFmtId="1" fontId="0" fillId="5" borderId="33" xfId="0" applyNumberFormat="1" applyFill="1" applyBorder="1"/>
    <xf numFmtId="9" fontId="0" fillId="0" borderId="33" xfId="0" applyNumberFormat="1" applyBorder="1"/>
    <xf numFmtId="10" fontId="0" fillId="0" borderId="33" xfId="0" applyNumberFormat="1" applyBorder="1"/>
    <xf numFmtId="171" fontId="0" fillId="0" borderId="33" xfId="1" applyNumberFormat="1" applyFont="1" applyBorder="1"/>
    <xf numFmtId="171" fontId="0" fillId="5" borderId="33" xfId="1" applyNumberFormat="1" applyFont="1" applyFill="1" applyBorder="1"/>
    <xf numFmtId="165" fontId="0" fillId="5" borderId="33" xfId="0" applyNumberFormat="1" applyFill="1" applyBorder="1"/>
    <xf numFmtId="10" fontId="0" fillId="0" borderId="33" xfId="1" applyNumberFormat="1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8" xfId="0" applyBorder="1"/>
    <xf numFmtId="0" fontId="0" fillId="0" borderId="40" xfId="0" applyBorder="1"/>
    <xf numFmtId="0" fontId="0" fillId="0" borderId="0" xfId="0" applyFill="1"/>
    <xf numFmtId="0" fontId="0" fillId="0" borderId="0" xfId="0" applyAlignment="1">
      <alignment wrapText="1"/>
    </xf>
    <xf numFmtId="10" fontId="0" fillId="0" borderId="0" xfId="0" applyNumberFormat="1"/>
    <xf numFmtId="0" fontId="35" fillId="0" borderId="34" xfId="0" applyFont="1" applyBorder="1"/>
    <xf numFmtId="0" fontId="35" fillId="0" borderId="33" xfId="0" applyFont="1" applyBorder="1"/>
    <xf numFmtId="10" fontId="35" fillId="0" borderId="33" xfId="0" applyNumberFormat="1" applyFont="1" applyFill="1" applyBorder="1"/>
    <xf numFmtId="9" fontId="35" fillId="0" borderId="33" xfId="0" applyNumberFormat="1" applyFont="1" applyBorder="1"/>
    <xf numFmtId="0" fontId="35" fillId="0" borderId="33" xfId="0" applyFont="1" applyBorder="1" applyAlignment="1">
      <alignment wrapText="1"/>
    </xf>
    <xf numFmtId="0" fontId="35" fillId="0" borderId="0" xfId="0" applyFont="1" applyFill="1"/>
    <xf numFmtId="10" fontId="0" fillId="0" borderId="33" xfId="1" applyNumberFormat="1" applyFont="1" applyFill="1" applyBorder="1"/>
    <xf numFmtId="0" fontId="0" fillId="0" borderId="33" xfId="0" applyFill="1" applyBorder="1"/>
    <xf numFmtId="0" fontId="35" fillId="0" borderId="43" xfId="0" applyFont="1" applyFill="1" applyBorder="1"/>
    <xf numFmtId="10" fontId="35" fillId="0" borderId="8" xfId="1" applyNumberFormat="1" applyFont="1" applyFill="1" applyBorder="1"/>
    <xf numFmtId="0" fontId="35" fillId="0" borderId="8" xfId="0" applyFont="1" applyBorder="1"/>
    <xf numFmtId="0" fontId="35" fillId="0" borderId="40" xfId="0" applyFont="1" applyBorder="1"/>
    <xf numFmtId="43" fontId="0" fillId="0" borderId="33" xfId="6" applyFont="1" applyBorder="1"/>
    <xf numFmtId="43" fontId="0" fillId="8" borderId="33" xfId="6" applyFont="1" applyFill="1" applyBorder="1"/>
    <xf numFmtId="43" fontId="35" fillId="0" borderId="33" xfId="0" applyNumberFormat="1" applyFont="1" applyBorder="1"/>
    <xf numFmtId="0" fontId="35" fillId="0" borderId="0" xfId="0" applyFont="1" applyAlignment="1">
      <alignment wrapText="1"/>
    </xf>
    <xf numFmtId="0" fontId="38" fillId="0" borderId="0" xfId="0" applyFont="1"/>
    <xf numFmtId="0" fontId="38" fillId="8" borderId="0" xfId="0" applyFont="1" applyFill="1"/>
    <xf numFmtId="43" fontId="0" fillId="0" borderId="0" xfId="0" applyNumberFormat="1"/>
    <xf numFmtId="43" fontId="0" fillId="0" borderId="33" xfId="0" applyNumberFormat="1" applyBorder="1"/>
    <xf numFmtId="3" fontId="39" fillId="0" borderId="0" xfId="0" applyNumberFormat="1" applyFont="1"/>
    <xf numFmtId="0" fontId="35" fillId="0" borderId="42" xfId="0" applyFont="1" applyFill="1" applyBorder="1"/>
    <xf numFmtId="0" fontId="35" fillId="0" borderId="33" xfId="0" applyFont="1" applyFill="1" applyBorder="1"/>
    <xf numFmtId="0" fontId="35" fillId="0" borderId="0" xfId="0" applyFont="1" applyFill="1" applyBorder="1"/>
    <xf numFmtId="165" fontId="24" fillId="0" borderId="33" xfId="0" applyNumberFormat="1" applyFont="1" applyBorder="1"/>
    <xf numFmtId="165" fontId="35" fillId="0" borderId="0" xfId="0" applyNumberFormat="1" applyFont="1"/>
    <xf numFmtId="0" fontId="0" fillId="0" borderId="0" xfId="0" applyAlignment="1">
      <alignment horizontal="center"/>
    </xf>
    <xf numFmtId="169" fontId="0" fillId="0" borderId="33" xfId="0" applyNumberFormat="1" applyFill="1" applyBorder="1"/>
    <xf numFmtId="169" fontId="0" fillId="0" borderId="0" xfId="0" applyNumberFormat="1" applyFill="1"/>
    <xf numFmtId="0" fontId="0" fillId="6" borderId="0" xfId="0" applyFill="1"/>
    <xf numFmtId="10" fontId="0" fillId="17" borderId="33" xfId="0" applyNumberFormat="1" applyFill="1" applyBorder="1"/>
    <xf numFmtId="10" fontId="0" fillId="17" borderId="33" xfId="1" applyNumberFormat="1" applyFont="1" applyFill="1" applyBorder="1"/>
    <xf numFmtId="10" fontId="0" fillId="6" borderId="39" xfId="1" applyNumberFormat="1" applyFont="1" applyFill="1" applyBorder="1"/>
    <xf numFmtId="0" fontId="0" fillId="6" borderId="39" xfId="0" applyFill="1" applyBorder="1"/>
    <xf numFmtId="10" fontId="0" fillId="6" borderId="33" xfId="1" applyNumberFormat="1" applyFont="1" applyFill="1" applyBorder="1"/>
    <xf numFmtId="0" fontId="0" fillId="6" borderId="33" xfId="0" applyFill="1" applyBorder="1"/>
    <xf numFmtId="10" fontId="35" fillId="6" borderId="33" xfId="1" applyNumberFormat="1" applyFont="1" applyFill="1" applyBorder="1"/>
    <xf numFmtId="0" fontId="35" fillId="6" borderId="41" xfId="0" applyFont="1" applyFill="1" applyBorder="1"/>
    <xf numFmtId="9" fontId="0" fillId="6" borderId="33" xfId="0" applyNumberFormat="1" applyFill="1" applyBorder="1"/>
    <xf numFmtId="0" fontId="0" fillId="0" borderId="33" xfId="0" applyBorder="1" applyAlignment="1">
      <alignment wrapText="1"/>
    </xf>
    <xf numFmtId="0" fontId="0" fillId="0" borderId="0" xfId="0" applyFill="1" applyBorder="1"/>
    <xf numFmtId="3" fontId="39" fillId="6" borderId="0" xfId="0" applyNumberFormat="1" applyFont="1" applyFill="1"/>
    <xf numFmtId="43" fontId="0" fillId="0" borderId="33" xfId="6" applyFont="1" applyFill="1" applyBorder="1"/>
    <xf numFmtId="0" fontId="0" fillId="6" borderId="40" xfId="0" applyFill="1" applyBorder="1"/>
    <xf numFmtId="2" fontId="0" fillId="18" borderId="0" xfId="0" applyNumberFormat="1" applyFill="1"/>
    <xf numFmtId="165" fontId="35" fillId="0" borderId="33" xfId="0" applyNumberFormat="1" applyFont="1" applyBorder="1"/>
    <xf numFmtId="0" fontId="0" fillId="19" borderId="0" xfId="0" applyFill="1"/>
    <xf numFmtId="0" fontId="0" fillId="18" borderId="0" xfId="0" applyFill="1"/>
    <xf numFmtId="165" fontId="0" fillId="18" borderId="0" xfId="0" applyNumberFormat="1" applyFill="1"/>
    <xf numFmtId="9" fontId="0" fillId="6" borderId="0" xfId="0" applyNumberFormat="1" applyFill="1"/>
    <xf numFmtId="0" fontId="35" fillId="18" borderId="0" xfId="0" applyFont="1" applyFill="1" applyBorder="1"/>
    <xf numFmtId="0" fontId="0" fillId="20" borderId="0" xfId="0" applyFill="1"/>
    <xf numFmtId="0" fontId="0" fillId="0" borderId="0" xfId="0" applyBorder="1"/>
    <xf numFmtId="0" fontId="0" fillId="5" borderId="36" xfId="0" applyFill="1" applyBorder="1"/>
    <xf numFmtId="169" fontId="0" fillId="0" borderId="36" xfId="0" applyNumberFormat="1" applyBorder="1"/>
    <xf numFmtId="0" fontId="0" fillId="19" borderId="33" xfId="0" applyFill="1" applyBorder="1"/>
    <xf numFmtId="0" fontId="0" fillId="18" borderId="33" xfId="0" applyFill="1" applyBorder="1"/>
    <xf numFmtId="0" fontId="35" fillId="19" borderId="0" xfId="0" applyFont="1" applyFill="1"/>
    <xf numFmtId="174" fontId="35" fillId="0" borderId="0" xfId="0" applyNumberFormat="1" applyFont="1"/>
    <xf numFmtId="0" fontId="40" fillId="0" borderId="0" xfId="0" applyFont="1"/>
    <xf numFmtId="0" fontId="35" fillId="6" borderId="0" xfId="0" applyFont="1" applyFill="1" applyAlignment="1">
      <alignment wrapText="1"/>
    </xf>
    <xf numFmtId="174" fontId="35" fillId="18" borderId="33" xfId="0" applyNumberFormat="1" applyFont="1" applyFill="1" applyBorder="1"/>
    <xf numFmtId="3" fontId="35" fillId="0" borderId="33" xfId="0" applyNumberFormat="1" applyFont="1" applyBorder="1"/>
    <xf numFmtId="169" fontId="35" fillId="0" borderId="33" xfId="0" applyNumberFormat="1" applyFont="1" applyBorder="1"/>
    <xf numFmtId="2" fontId="0" fillId="20" borderId="0" xfId="0" applyNumberFormat="1" applyFill="1"/>
    <xf numFmtId="175" fontId="0" fillId="5" borderId="0" xfId="0" applyNumberFormat="1" applyFill="1"/>
    <xf numFmtId="0" fontId="35" fillId="5" borderId="0" xfId="0" applyFont="1" applyFill="1"/>
    <xf numFmtId="165" fontId="35" fillId="5" borderId="0" xfId="0" applyNumberFormat="1" applyFont="1" applyFill="1"/>
    <xf numFmtId="1" fontId="0" fillId="20" borderId="0" xfId="0" applyNumberFormat="1" applyFill="1"/>
    <xf numFmtId="0" fontId="41" fillId="0" borderId="0" xfId="0" applyFont="1"/>
    <xf numFmtId="0" fontId="42" fillId="0" borderId="0" xfId="0" applyFont="1" applyAlignment="1">
      <alignment horizontal="center"/>
    </xf>
    <xf numFmtId="43" fontId="41" fillId="0" borderId="0" xfId="0" applyNumberFormat="1" applyFont="1"/>
    <xf numFmtId="0" fontId="0" fillId="0" borderId="0" xfId="0" applyAlignment="1"/>
    <xf numFmtId="174" fontId="0" fillId="21" borderId="0" xfId="0" applyNumberFormat="1" applyFill="1"/>
    <xf numFmtId="0" fontId="24" fillId="21" borderId="0" xfId="0" applyFont="1" applyFill="1"/>
    <xf numFmtId="169" fontId="0" fillId="0" borderId="33" xfId="0" applyNumberFormat="1" applyFont="1" applyFill="1" applyBorder="1"/>
    <xf numFmtId="169" fontId="0" fillId="0" borderId="33" xfId="0" applyNumberFormat="1" applyFont="1" applyBorder="1"/>
    <xf numFmtId="0" fontId="9" fillId="0" borderId="0" xfId="0" applyFont="1" applyFill="1" applyBorder="1" applyAlignment="1">
      <alignment horizontal="right"/>
    </xf>
    <xf numFmtId="169" fontId="0" fillId="0" borderId="0" xfId="0" applyNumberFormat="1" applyBorder="1"/>
    <xf numFmtId="169" fontId="0" fillId="21" borderId="33" xfId="0" applyNumberFormat="1" applyFill="1" applyBorder="1"/>
    <xf numFmtId="169" fontId="1" fillId="0" borderId="33" xfId="0" applyNumberFormat="1" applyFont="1" applyBorder="1"/>
    <xf numFmtId="3" fontId="1" fillId="0" borderId="33" xfId="0" applyNumberFormat="1" applyFont="1" applyBorder="1"/>
    <xf numFmtId="1" fontId="0" fillId="19" borderId="0" xfId="0" applyNumberFormat="1" applyFill="1"/>
    <xf numFmtId="165" fontId="35" fillId="21" borderId="0" xfId="0" applyNumberFormat="1" applyFont="1" applyFill="1"/>
    <xf numFmtId="0" fontId="35" fillId="6" borderId="33" xfId="0" applyFont="1" applyFill="1" applyBorder="1"/>
    <xf numFmtId="3" fontId="1" fillId="0" borderId="0" xfId="0" applyNumberFormat="1" applyFont="1" applyBorder="1"/>
    <xf numFmtId="3" fontId="0" fillId="6" borderId="33" xfId="0" applyNumberFormat="1" applyFill="1" applyBorder="1"/>
    <xf numFmtId="165" fontId="35" fillId="0" borderId="0" xfId="0" applyNumberFormat="1" applyFont="1" applyBorder="1"/>
    <xf numFmtId="10" fontId="0" fillId="6" borderId="45" xfId="1" applyNumberFormat="1" applyFont="1" applyFill="1" applyBorder="1"/>
    <xf numFmtId="0" fontId="35" fillId="0" borderId="33" xfId="0" applyFont="1" applyBorder="1" applyAlignment="1">
      <alignment horizontal="right"/>
    </xf>
    <xf numFmtId="9" fontId="0" fillId="0" borderId="33" xfId="1" applyNumberFormat="1" applyFont="1" applyBorder="1"/>
    <xf numFmtId="171" fontId="0" fillId="0" borderId="34" xfId="1" applyNumberFormat="1" applyFont="1" applyBorder="1"/>
    <xf numFmtId="171" fontId="35" fillId="0" borderId="34" xfId="1" applyNumberFormat="1" applyFont="1" applyBorder="1"/>
    <xf numFmtId="171" fontId="0" fillId="0" borderId="0" xfId="1" applyNumberFormat="1" applyFont="1" applyBorder="1"/>
    <xf numFmtId="9" fontId="0" fillId="0" borderId="0" xfId="1" applyNumberFormat="1" applyFont="1" applyBorder="1"/>
    <xf numFmtId="171" fontId="35" fillId="0" borderId="0" xfId="1" applyNumberFormat="1" applyFont="1" applyBorder="1"/>
    <xf numFmtId="0" fontId="0" fillId="0" borderId="0" xfId="0" applyBorder="1" applyAlignment="1">
      <alignment wrapText="1"/>
    </xf>
    <xf numFmtId="0" fontId="0" fillId="22" borderId="0" xfId="0" applyFill="1" applyBorder="1"/>
    <xf numFmtId="171" fontId="0" fillId="22" borderId="0" xfId="1" applyNumberFormat="1" applyFont="1" applyFill="1" applyBorder="1"/>
    <xf numFmtId="169" fontId="0" fillId="22" borderId="0" xfId="0" applyNumberFormat="1" applyFill="1" applyBorder="1"/>
    <xf numFmtId="9" fontId="0" fillId="22" borderId="0" xfId="1" applyNumberFormat="1" applyFont="1" applyFill="1" applyBorder="1"/>
    <xf numFmtId="171" fontId="35" fillId="22" borderId="0" xfId="1" applyNumberFormat="1" applyFont="1" applyFill="1" applyBorder="1"/>
    <xf numFmtId="0" fontId="0" fillId="22" borderId="0" xfId="0" applyFill="1" applyBorder="1" applyAlignment="1">
      <alignment wrapText="1"/>
    </xf>
    <xf numFmtId="0" fontId="0" fillId="0" borderId="0" xfId="0" applyFont="1" applyFill="1" applyBorder="1"/>
    <xf numFmtId="171" fontId="0" fillId="0" borderId="0" xfId="1" applyNumberFormat="1" applyFont="1" applyFill="1" applyBorder="1"/>
    <xf numFmtId="169" fontId="0" fillId="0" borderId="0" xfId="0" applyNumberFormat="1" applyFont="1" applyFill="1" applyBorder="1"/>
    <xf numFmtId="9" fontId="0" fillId="0" borderId="0" xfId="1" applyNumberFormat="1" applyFont="1" applyFill="1" applyBorder="1"/>
    <xf numFmtId="171" fontId="5" fillId="0" borderId="0" xfId="1" applyNumberFormat="1" applyFont="1" applyFill="1" applyBorder="1"/>
    <xf numFmtId="0" fontId="0" fillId="0" borderId="0" xfId="0" applyFont="1" applyFill="1" applyBorder="1" applyAlignment="1">
      <alignment wrapText="1"/>
    </xf>
    <xf numFmtId="0" fontId="45" fillId="0" borderId="0" xfId="0" applyFont="1" applyFill="1" applyBorder="1"/>
    <xf numFmtId="171" fontId="45" fillId="0" borderId="33" xfId="1" applyNumberFormat="1" applyFont="1" applyFill="1" applyBorder="1"/>
    <xf numFmtId="0" fontId="45" fillId="0" borderId="33" xfId="0" applyFont="1" applyFill="1" applyBorder="1"/>
    <xf numFmtId="165" fontId="0" fillId="20" borderId="33" xfId="0" applyNumberFormat="1" applyFill="1" applyBorder="1"/>
    <xf numFmtId="171" fontId="35" fillId="0" borderId="0" xfId="1" applyNumberFormat="1" applyFont="1" applyFill="1" applyBorder="1"/>
    <xf numFmtId="0" fontId="0" fillId="0" borderId="0" xfId="0" applyFill="1" applyBorder="1" applyAlignment="1">
      <alignment wrapText="1"/>
    </xf>
    <xf numFmtId="3" fontId="0" fillId="20" borderId="33" xfId="0" applyNumberFormat="1" applyFont="1" applyFill="1" applyBorder="1"/>
    <xf numFmtId="0" fontId="0" fillId="0" borderId="34" xfId="0" applyFill="1" applyBorder="1"/>
    <xf numFmtId="169" fontId="0" fillId="20" borderId="33" xfId="0" applyNumberFormat="1" applyFill="1" applyBorder="1"/>
    <xf numFmtId="0" fontId="35" fillId="0" borderId="0" xfId="0" applyFont="1" applyFill="1" applyAlignment="1"/>
    <xf numFmtId="3" fontId="0" fillId="20" borderId="33" xfId="0" applyNumberFormat="1" applyFill="1" applyBorder="1"/>
    <xf numFmtId="0" fontId="46" fillId="0" borderId="0" xfId="0" applyFont="1"/>
    <xf numFmtId="3" fontId="47" fillId="0" borderId="0" xfId="0" applyNumberFormat="1" applyFont="1"/>
    <xf numFmtId="169" fontId="46" fillId="0" borderId="44" xfId="0" applyNumberFormat="1" applyFont="1" applyFill="1" applyBorder="1"/>
    <xf numFmtId="3" fontId="0" fillId="20" borderId="0" xfId="0" applyNumberFormat="1" applyFont="1" applyFill="1" applyBorder="1"/>
    <xf numFmtId="0" fontId="46" fillId="0" borderId="0" xfId="0" applyFont="1" applyFill="1"/>
    <xf numFmtId="165" fontId="46" fillId="0" borderId="0" xfId="0" applyNumberFormat="1" applyFont="1" applyFill="1"/>
    <xf numFmtId="165" fontId="46" fillId="0" borderId="0" xfId="0" applyNumberFormat="1" applyFont="1"/>
    <xf numFmtId="0" fontId="46" fillId="5" borderId="0" xfId="0" applyFont="1" applyFill="1"/>
    <xf numFmtId="165" fontId="46" fillId="5" borderId="0" xfId="0" applyNumberFormat="1" applyFont="1" applyFill="1"/>
    <xf numFmtId="0" fontId="0" fillId="23" borderId="33" xfId="0" applyFill="1" applyBorder="1"/>
    <xf numFmtId="0" fontId="35" fillId="23" borderId="33" xfId="0" quotePrefix="1" applyFont="1" applyFill="1" applyBorder="1" applyAlignment="1">
      <alignment wrapText="1"/>
    </xf>
    <xf numFmtId="164" fontId="0" fillId="23" borderId="33" xfId="0" applyNumberFormat="1" applyFill="1" applyBorder="1"/>
    <xf numFmtId="4" fontId="35" fillId="0" borderId="0" xfId="0" applyNumberFormat="1" applyFont="1"/>
    <xf numFmtId="0" fontId="0" fillId="0" borderId="33" xfId="0" applyFill="1" applyBorder="1" applyAlignment="1">
      <alignment wrapText="1"/>
    </xf>
    <xf numFmtId="3" fontId="0" fillId="0" borderId="33" xfId="0" applyNumberFormat="1" applyFill="1" applyBorder="1"/>
    <xf numFmtId="4" fontId="0" fillId="5" borderId="0" xfId="0" applyNumberFormat="1" applyFill="1" applyAlignment="1">
      <alignment wrapText="1"/>
    </xf>
    <xf numFmtId="0" fontId="0" fillId="6" borderId="0" xfId="0" applyFill="1" applyBorder="1"/>
    <xf numFmtId="3" fontId="0" fillId="6" borderId="0" xfId="0" applyNumberFormat="1" applyFill="1" applyBorder="1"/>
    <xf numFmtId="169" fontId="0" fillId="21" borderId="0" xfId="0" applyNumberFormat="1" applyFill="1" applyBorder="1"/>
    <xf numFmtId="0" fontId="0" fillId="0" borderId="42" xfId="0" applyFill="1" applyBorder="1"/>
    <xf numFmtId="3" fontId="0" fillId="9" borderId="0" xfId="0" applyNumberFormat="1" applyFill="1"/>
    <xf numFmtId="169" fontId="0" fillId="9" borderId="0" xfId="0" applyNumberFormat="1" applyFill="1"/>
    <xf numFmtId="169" fontId="0" fillId="24" borderId="33" xfId="0" applyNumberFormat="1" applyFill="1" applyBorder="1"/>
    <xf numFmtId="169" fontId="35" fillId="0" borderId="0" xfId="0" applyNumberFormat="1" applyFont="1"/>
    <xf numFmtId="169" fontId="35" fillId="24" borderId="0" xfId="0" applyNumberFormat="1" applyFont="1" applyFill="1"/>
    <xf numFmtId="0" fontId="48" fillId="0" borderId="0" xfId="0" applyFont="1"/>
    <xf numFmtId="0" fontId="49" fillId="0" borderId="0" xfId="0" applyFont="1" applyAlignment="1">
      <alignment vertical="center" wrapText="1"/>
    </xf>
    <xf numFmtId="3" fontId="0" fillId="0" borderId="0" xfId="0" applyNumberFormat="1" applyBorder="1"/>
    <xf numFmtId="3" fontId="35" fillId="0" borderId="0" xfId="0" applyNumberFormat="1" applyFont="1" applyBorder="1"/>
    <xf numFmtId="3" fontId="35" fillId="5" borderId="0" xfId="0" applyNumberFormat="1" applyFont="1" applyFill="1" applyBorder="1"/>
    <xf numFmtId="174" fontId="35" fillId="10" borderId="33" xfId="0" applyNumberFormat="1" applyFont="1" applyFill="1" applyBorder="1"/>
    <xf numFmtId="174" fontId="0" fillId="10" borderId="0" xfId="0" applyNumberFormat="1" applyFill="1"/>
    <xf numFmtId="174" fontId="50" fillId="0" borderId="0" xfId="0" applyNumberFormat="1" applyFont="1"/>
    <xf numFmtId="0" fontId="51" fillId="0" borderId="0" xfId="0" applyFont="1"/>
    <xf numFmtId="169" fontId="50" fillId="0" borderId="0" xfId="0" applyNumberFormat="1" applyFont="1"/>
    <xf numFmtId="3" fontId="0" fillId="10" borderId="0" xfId="0" applyNumberFormat="1" applyFill="1"/>
    <xf numFmtId="165" fontId="0" fillId="10" borderId="0" xfId="0" applyNumberFormat="1" applyFill="1"/>
    <xf numFmtId="169" fontId="0" fillId="10" borderId="0" xfId="0" applyNumberFormat="1" applyFill="1"/>
    <xf numFmtId="169" fontId="0" fillId="10" borderId="0" xfId="0" applyNumberFormat="1" applyFill="1" applyBorder="1"/>
    <xf numFmtId="4" fontId="0" fillId="10" borderId="0" xfId="0" applyNumberFormat="1" applyFill="1" applyAlignment="1">
      <alignment wrapText="1"/>
    </xf>
    <xf numFmtId="174" fontId="35" fillId="10" borderId="0" xfId="0" applyNumberFormat="1" applyFont="1" applyFill="1" applyBorder="1"/>
    <xf numFmtId="174" fontId="35" fillId="18" borderId="0" xfId="0" applyNumberFormat="1" applyFont="1" applyFill="1" applyBorder="1"/>
    <xf numFmtId="4" fontId="35" fillId="6" borderId="0" xfId="0" applyNumberFormat="1" applyFont="1" applyFill="1"/>
    <xf numFmtId="0" fontId="0" fillId="6" borderId="34" xfId="0" applyFill="1" applyBorder="1"/>
    <xf numFmtId="9" fontId="0" fillId="6" borderId="34" xfId="0" applyNumberFormat="1" applyFill="1" applyBorder="1"/>
    <xf numFmtId="0" fontId="41" fillId="0" borderId="0" xfId="0" applyFont="1" applyBorder="1"/>
    <xf numFmtId="0" fontId="41" fillId="0" borderId="0" xfId="0" applyFont="1" applyFill="1" applyBorder="1"/>
    <xf numFmtId="0" fontId="0" fillId="0" borderId="33" xfId="0" applyFont="1" applyBorder="1" applyAlignment="1">
      <alignment horizontal="center"/>
    </xf>
    <xf numFmtId="0" fontId="0" fillId="0" borderId="33" xfId="0" applyFont="1" applyBorder="1"/>
    <xf numFmtId="0" fontId="44" fillId="0" borderId="33" xfId="0" applyFont="1" applyBorder="1" applyAlignment="1">
      <alignment horizontal="center"/>
    </xf>
    <xf numFmtId="0" fontId="41" fillId="0" borderId="33" xfId="0" applyFont="1" applyBorder="1"/>
    <xf numFmtId="169" fontId="0" fillId="20" borderId="33" xfId="0" applyNumberFormat="1" applyFont="1" applyFill="1" applyBorder="1"/>
    <xf numFmtId="9" fontId="35" fillId="24" borderId="0" xfId="1" applyFont="1" applyFill="1"/>
    <xf numFmtId="169" fontId="35" fillId="0" borderId="0" xfId="0" applyNumberFormat="1" applyFont="1" applyFill="1"/>
    <xf numFmtId="0" fontId="19" fillId="0" borderId="33" xfId="0" applyFont="1" applyBorder="1" applyAlignment="1">
      <alignment wrapText="1"/>
    </xf>
    <xf numFmtId="0" fontId="19" fillId="0" borderId="33" xfId="0" applyFont="1" applyFill="1" applyBorder="1" applyAlignment="1">
      <alignment wrapText="1"/>
    </xf>
    <xf numFmtId="165" fontId="19" fillId="0" borderId="33" xfId="0" applyNumberFormat="1" applyFont="1" applyBorder="1"/>
    <xf numFmtId="0" fontId="19" fillId="0" borderId="33" xfId="0" applyFont="1" applyBorder="1"/>
    <xf numFmtId="10" fontId="0" fillId="0" borderId="0" xfId="0" applyNumberFormat="1" applyAlignment="1">
      <alignment horizontal="right"/>
    </xf>
    <xf numFmtId="2" fontId="19" fillId="0" borderId="33" xfId="0" applyNumberFormat="1" applyFont="1" applyBorder="1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top" textRotation="90"/>
    </xf>
    <xf numFmtId="0" fontId="5" fillId="0" borderId="1" xfId="0" applyFont="1" applyBorder="1" applyAlignment="1">
      <alignment horizontal="center" textRotation="90"/>
    </xf>
    <xf numFmtId="0" fontId="7" fillId="4" borderId="5" xfId="2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4" borderId="6" xfId="2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6" fillId="0" borderId="0" xfId="0" applyFont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169" fontId="0" fillId="0" borderId="33" xfId="0" applyNumberFormat="1" applyFont="1" applyFill="1" applyBorder="1" applyAlignment="1">
      <alignment horizontal="center" vertical="center" wrapText="1"/>
    </xf>
  </cellXfs>
  <cellStyles count="10">
    <cellStyle name="Comma" xfId="6" builtinId="3"/>
    <cellStyle name="Good" xfId="4" builtinId="26"/>
    <cellStyle name="Hyperlink" xfId="3" builtinId="8"/>
    <cellStyle name="Navadno_FT3 (3) 2" xfId="8"/>
    <cellStyle name="Normal" xfId="0" builtinId="0"/>
    <cellStyle name="Normal 2" xfId="7"/>
    <cellStyle name="Note" xfId="2" builtinId="10"/>
    <cellStyle name="Percent" xfId="1" builtinId="5"/>
    <cellStyle name="Percent 2" xfId="9"/>
    <cellStyle name="Warning Text" xfId="5" builtinId="11"/>
  </cellStyles>
  <dxfs count="0"/>
  <tableStyles count="0" defaultTableStyle="TableStyleMedium2" defaultPivotStyle="PivotStyleLight16"/>
  <colors>
    <mruColors>
      <color rgb="FFFBFBD3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104775</xdr:rowOff>
    </xdr:from>
    <xdr:to>
      <xdr:col>1</xdr:col>
      <xdr:colOff>0</xdr:colOff>
      <xdr:row>13</xdr:row>
      <xdr:rowOff>130683</xdr:rowOff>
    </xdr:to>
    <xdr:sp macro="" textlink="">
      <xdr:nvSpPr>
        <xdr:cNvPr id="2" name="Puščica: gor 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9525" y="1583055"/>
          <a:ext cx="196215" cy="9403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8</xdr:row>
      <xdr:rowOff>104775</xdr:rowOff>
    </xdr:from>
    <xdr:to>
      <xdr:col>1</xdr:col>
      <xdr:colOff>0</xdr:colOff>
      <xdr:row>13</xdr:row>
      <xdr:rowOff>130683</xdr:rowOff>
    </xdr:to>
    <xdr:sp macro="" textlink="">
      <xdr:nvSpPr>
        <xdr:cNvPr id="3" name="Puščica: gor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9525" y="1583055"/>
          <a:ext cx="196215" cy="9403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32</xdr:row>
      <xdr:rowOff>104775</xdr:rowOff>
    </xdr:from>
    <xdr:to>
      <xdr:col>1</xdr:col>
      <xdr:colOff>0</xdr:colOff>
      <xdr:row>37</xdr:row>
      <xdr:rowOff>130683</xdr:rowOff>
    </xdr:to>
    <xdr:sp macro="" textlink="">
      <xdr:nvSpPr>
        <xdr:cNvPr id="4" name="Puščica: gor 9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9525" y="5987415"/>
          <a:ext cx="196215" cy="9403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32</xdr:row>
      <xdr:rowOff>104775</xdr:rowOff>
    </xdr:from>
    <xdr:to>
      <xdr:col>1</xdr:col>
      <xdr:colOff>0</xdr:colOff>
      <xdr:row>37</xdr:row>
      <xdr:rowOff>130683</xdr:rowOff>
    </xdr:to>
    <xdr:sp macro="" textlink="">
      <xdr:nvSpPr>
        <xdr:cNvPr id="5" name="Puščica: gor 2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9525" y="5987415"/>
          <a:ext cx="196215" cy="9403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104775</xdr:rowOff>
    </xdr:from>
    <xdr:to>
      <xdr:col>1</xdr:col>
      <xdr:colOff>0</xdr:colOff>
      <xdr:row>13</xdr:row>
      <xdr:rowOff>130683</xdr:rowOff>
    </xdr:to>
    <xdr:sp macro="" textlink="">
      <xdr:nvSpPr>
        <xdr:cNvPr id="2" name="Puščica: gor 9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9525" y="1638300"/>
          <a:ext cx="200025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8</xdr:row>
      <xdr:rowOff>104775</xdr:rowOff>
    </xdr:from>
    <xdr:to>
      <xdr:col>1</xdr:col>
      <xdr:colOff>0</xdr:colOff>
      <xdr:row>13</xdr:row>
      <xdr:rowOff>130683</xdr:rowOff>
    </xdr:to>
    <xdr:sp macro="" textlink="">
      <xdr:nvSpPr>
        <xdr:cNvPr id="3" name="Puščica: gor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9525" y="1638300"/>
          <a:ext cx="200025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32</xdr:row>
      <xdr:rowOff>104775</xdr:rowOff>
    </xdr:from>
    <xdr:to>
      <xdr:col>1</xdr:col>
      <xdr:colOff>0</xdr:colOff>
      <xdr:row>37</xdr:row>
      <xdr:rowOff>130683</xdr:rowOff>
    </xdr:to>
    <xdr:sp macro="" textlink="">
      <xdr:nvSpPr>
        <xdr:cNvPr id="4" name="Puščica: gor 9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9525" y="1638300"/>
          <a:ext cx="200025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32</xdr:row>
      <xdr:rowOff>104775</xdr:rowOff>
    </xdr:from>
    <xdr:to>
      <xdr:col>1</xdr:col>
      <xdr:colOff>0</xdr:colOff>
      <xdr:row>37</xdr:row>
      <xdr:rowOff>130683</xdr:rowOff>
    </xdr:to>
    <xdr:sp macro="" textlink="">
      <xdr:nvSpPr>
        <xdr:cNvPr id="5" name="Puščica: gor 2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9525" y="1638300"/>
          <a:ext cx="200025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73890</xdr:colOff>
      <xdr:row>25</xdr:row>
      <xdr:rowOff>47288</xdr:rowOff>
    </xdr:from>
    <xdr:to>
      <xdr:col>9</xdr:col>
      <xdr:colOff>696678</xdr:colOff>
      <xdr:row>28</xdr:row>
      <xdr:rowOff>22273</xdr:rowOff>
    </xdr:to>
    <xdr:sp macro="" textlink="">
      <xdr:nvSpPr>
        <xdr:cNvPr id="3" name="Flèche : droit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8052030" y="4154468"/>
          <a:ext cx="622788" cy="554105"/>
        </a:xfrm>
        <a:prstGeom prst="rightArrow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520211</xdr:colOff>
      <xdr:row>26</xdr:row>
      <xdr:rowOff>205153</xdr:rowOff>
    </xdr:from>
    <xdr:to>
      <xdr:col>8</xdr:col>
      <xdr:colOff>520211</xdr:colOff>
      <xdr:row>30</xdr:row>
      <xdr:rowOff>7327</xdr:rowOff>
    </xdr:to>
    <xdr:cxnSp macro="">
      <xdr:nvCxnSpPr>
        <xdr:cNvPr id="5" name="Connecteur droit avec flèche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7033846" y="4051788"/>
          <a:ext cx="0" cy="2417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229720</xdr:colOff>
      <xdr:row>35</xdr:row>
      <xdr:rowOff>14654</xdr:rowOff>
    </xdr:from>
    <xdr:to>
      <xdr:col>8</xdr:col>
      <xdr:colOff>381000</xdr:colOff>
      <xdr:row>36</xdr:row>
      <xdr:rowOff>21981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/>
      </xdr:nvSpPr>
      <xdr:spPr>
        <a:xfrm>
          <a:off x="6180044" y="5259007"/>
          <a:ext cx="762000" cy="197827"/>
        </a:xfrm>
        <a:prstGeom prst="rect">
          <a:avLst/>
        </a:prstGeom>
        <a:pattFill prst="ltVert">
          <a:fgClr>
            <a:schemeClr val="accent6">
              <a:lumMod val="40000"/>
              <a:lumOff val="60000"/>
            </a:schemeClr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232228</xdr:colOff>
      <xdr:row>33</xdr:row>
      <xdr:rowOff>175104</xdr:rowOff>
    </xdr:from>
    <xdr:to>
      <xdr:col>9</xdr:col>
      <xdr:colOff>24488</xdr:colOff>
      <xdr:row>35</xdr:row>
      <xdr:rowOff>48329</xdr:rowOff>
    </xdr:to>
    <xdr:sp macro="" textlink="">
      <xdr:nvSpPr>
        <xdr:cNvPr id="13" name="Éclair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/>
      </xdr:nvSpPr>
      <xdr:spPr>
        <a:xfrm rot="7087077">
          <a:off x="6867650" y="4964079"/>
          <a:ext cx="254225" cy="402981"/>
        </a:xfrm>
        <a:prstGeom prst="lightningBol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506436</xdr:colOff>
      <xdr:row>26</xdr:row>
      <xdr:rowOff>190499</xdr:rowOff>
    </xdr:from>
    <xdr:to>
      <xdr:col>8</xdr:col>
      <xdr:colOff>151080</xdr:colOff>
      <xdr:row>29</xdr:row>
      <xdr:rowOff>16412</xdr:rowOff>
    </xdr:to>
    <xdr:sp macro="" textlink="">
      <xdr:nvSpPr>
        <xdr:cNvPr id="15" name="Flèche : droite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 rot="16200000" flipV="1">
          <a:off x="7178551" y="4559764"/>
          <a:ext cx="382173" cy="269484"/>
        </a:xfrm>
        <a:prstGeom prst="rightArrow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322384</xdr:colOff>
      <xdr:row>34</xdr:row>
      <xdr:rowOff>14653</xdr:rowOff>
    </xdr:from>
    <xdr:to>
      <xdr:col>6</xdr:col>
      <xdr:colOff>351692</xdr:colOff>
      <xdr:row>36</xdr:row>
      <xdr:rowOff>14653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5011615" y="5062903"/>
          <a:ext cx="637442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359020</xdr:colOff>
      <xdr:row>34</xdr:row>
      <xdr:rowOff>50426</xdr:rowOff>
    </xdr:from>
    <xdr:to>
      <xdr:col>7</xdr:col>
      <xdr:colOff>235323</xdr:colOff>
      <xdr:row>35</xdr:row>
      <xdr:rowOff>21981</xdr:rowOff>
    </xdr:to>
    <xdr:sp macro="" textlink="">
      <xdr:nvSpPr>
        <xdr:cNvPr id="17" name="Flèche : droite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/>
      </xdr:nvSpPr>
      <xdr:spPr>
        <a:xfrm>
          <a:off x="5698623" y="5104279"/>
          <a:ext cx="487024" cy="162055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0</xdr:colOff>
      <xdr:row>38</xdr:row>
      <xdr:rowOff>28015</xdr:rowOff>
    </xdr:from>
    <xdr:to>
      <xdr:col>9</xdr:col>
      <xdr:colOff>0</xdr:colOff>
      <xdr:row>42</xdr:row>
      <xdr:rowOff>14654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>
          <a:off x="5950324" y="5843868"/>
          <a:ext cx="1221441" cy="74303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322384</xdr:colOff>
      <xdr:row>40</xdr:row>
      <xdr:rowOff>14653</xdr:rowOff>
    </xdr:from>
    <xdr:to>
      <xdr:col>6</xdr:col>
      <xdr:colOff>351692</xdr:colOff>
      <xdr:row>42</xdr:row>
      <xdr:rowOff>14653</xdr:rowOff>
    </xdr:to>
    <xdr:sp macro="" textlink="">
      <xdr:nvSpPr>
        <xdr:cNvPr id="19" name="Rectangle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/>
      </xdr:nvSpPr>
      <xdr:spPr>
        <a:xfrm>
          <a:off x="5011615" y="5062903"/>
          <a:ext cx="637442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359019</xdr:colOff>
      <xdr:row>41</xdr:row>
      <xdr:rowOff>1724</xdr:rowOff>
    </xdr:from>
    <xdr:to>
      <xdr:col>7</xdr:col>
      <xdr:colOff>7326</xdr:colOff>
      <xdr:row>42</xdr:row>
      <xdr:rowOff>18533</xdr:rowOff>
    </xdr:to>
    <xdr:sp macro="" textlink="">
      <xdr:nvSpPr>
        <xdr:cNvPr id="20" name="Flèche : droite 19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/>
      </xdr:nvSpPr>
      <xdr:spPr>
        <a:xfrm>
          <a:off x="5698622" y="6400283"/>
          <a:ext cx="259028" cy="19050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5603</xdr:colOff>
      <xdr:row>38</xdr:row>
      <xdr:rowOff>183172</xdr:rowOff>
    </xdr:from>
    <xdr:to>
      <xdr:col>9</xdr:col>
      <xdr:colOff>637441</xdr:colOff>
      <xdr:row>39</xdr:row>
      <xdr:rowOff>190499</xdr:rowOff>
    </xdr:to>
    <xdr:sp macro="" textlink="">
      <xdr:nvSpPr>
        <xdr:cNvPr id="22" name="Flèche : droite 21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/>
      </xdr:nvSpPr>
      <xdr:spPr>
        <a:xfrm rot="10800000">
          <a:off x="7177368" y="5999025"/>
          <a:ext cx="631838" cy="209033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570637</xdr:colOff>
      <xdr:row>36</xdr:row>
      <xdr:rowOff>19825</xdr:rowOff>
    </xdr:from>
    <xdr:to>
      <xdr:col>8</xdr:col>
      <xdr:colOff>142008</xdr:colOff>
      <xdr:row>38</xdr:row>
      <xdr:rowOff>16809</xdr:rowOff>
    </xdr:to>
    <xdr:sp macro="" textlink="">
      <xdr:nvSpPr>
        <xdr:cNvPr id="24" name="Flèche : droite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/>
      </xdr:nvSpPr>
      <xdr:spPr>
        <a:xfrm rot="16200000" flipV="1">
          <a:off x="6423015" y="5552624"/>
          <a:ext cx="377984" cy="182091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526678</xdr:colOff>
      <xdr:row>42</xdr:row>
      <xdr:rowOff>11206</xdr:rowOff>
    </xdr:from>
    <xdr:to>
      <xdr:col>8</xdr:col>
      <xdr:colOff>532280</xdr:colOff>
      <xdr:row>44</xdr:row>
      <xdr:rowOff>11206</xdr:rowOff>
    </xdr:to>
    <xdr:cxnSp macro="">
      <xdr:nvCxnSpPr>
        <xdr:cNvPr id="26" name="Connecteur droit avec flèche 25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CxnSpPr/>
      </xdr:nvCxnSpPr>
      <xdr:spPr>
        <a:xfrm>
          <a:off x="7087722" y="6583456"/>
          <a:ext cx="5602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593481</xdr:colOff>
      <xdr:row>41</xdr:row>
      <xdr:rowOff>153865</xdr:rowOff>
    </xdr:from>
    <xdr:to>
      <xdr:col>10</xdr:col>
      <xdr:colOff>36635</xdr:colOff>
      <xdr:row>44</xdr:row>
      <xdr:rowOff>7328</xdr:rowOff>
    </xdr:to>
    <xdr:cxnSp macro="">
      <xdr:nvCxnSpPr>
        <xdr:cNvPr id="34" name="Connecteur droit avec flèche 3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CxnSpPr/>
      </xdr:nvCxnSpPr>
      <xdr:spPr>
        <a:xfrm flipV="1">
          <a:off x="7136423" y="6542942"/>
          <a:ext cx="688731" cy="410309"/>
        </a:xfrm>
        <a:prstGeom prst="straightConnector1">
          <a:avLst/>
        </a:prstGeom>
        <a:ln>
          <a:noFill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532280</xdr:colOff>
      <xdr:row>41</xdr:row>
      <xdr:rowOff>153865</xdr:rowOff>
    </xdr:from>
    <xdr:to>
      <xdr:col>10</xdr:col>
      <xdr:colOff>14654</xdr:colOff>
      <xdr:row>42</xdr:row>
      <xdr:rowOff>184897</xdr:rowOff>
    </xdr:to>
    <xdr:cxnSp macro="">
      <xdr:nvCxnSpPr>
        <xdr:cNvPr id="38" name="Connecteur droit avec flèche 3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7093324" y="6552424"/>
          <a:ext cx="731830" cy="204723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60961</xdr:colOff>
      <xdr:row>29</xdr:row>
      <xdr:rowOff>30481</xdr:rowOff>
    </xdr:from>
    <xdr:to>
      <xdr:col>8</xdr:col>
      <xdr:colOff>381001</xdr:colOff>
      <xdr:row>35</xdr:row>
      <xdr:rowOff>7329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6789421" y="4899661"/>
          <a:ext cx="944880" cy="11046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252131</xdr:colOff>
      <xdr:row>32</xdr:row>
      <xdr:rowOff>0</xdr:rowOff>
    </xdr:from>
    <xdr:to>
      <xdr:col>8</xdr:col>
      <xdr:colOff>358588</xdr:colOff>
      <xdr:row>34</xdr:row>
      <xdr:rowOff>16809</xdr:rowOff>
    </xdr:to>
    <xdr:sp macro="" textlink="">
      <xdr:nvSpPr>
        <xdr:cNvPr id="10" name="Rectangle : coins arrondis 9" title="sss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6202455" y="4672853"/>
          <a:ext cx="717177" cy="397809"/>
        </a:xfrm>
        <a:prstGeom prst="roundRect">
          <a:avLst>
            <a:gd name="adj" fmla="val 16667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336759</xdr:colOff>
      <xdr:row>39</xdr:row>
      <xdr:rowOff>5606</xdr:rowOff>
    </xdr:from>
    <xdr:to>
      <xdr:col>6</xdr:col>
      <xdr:colOff>498661</xdr:colOff>
      <xdr:row>41</xdr:row>
      <xdr:rowOff>45631</xdr:rowOff>
    </xdr:to>
    <xdr:sp macro="" textlink="">
      <xdr:nvSpPr>
        <xdr:cNvPr id="14" name="Flèche : virage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 rot="5400000">
          <a:off x="5546800" y="6152727"/>
          <a:ext cx="421025" cy="161902"/>
        </a:xfrm>
        <a:prstGeom prst="ben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112060</xdr:colOff>
      <xdr:row>35</xdr:row>
      <xdr:rowOff>151279</xdr:rowOff>
    </xdr:from>
    <xdr:to>
      <xdr:col>10</xdr:col>
      <xdr:colOff>319369</xdr:colOff>
      <xdr:row>37</xdr:row>
      <xdr:rowOff>39221</xdr:rowOff>
    </xdr:to>
    <xdr:sp macro="" textlink="">
      <xdr:nvSpPr>
        <xdr:cNvPr id="29" name="Rectangle : coins arrondis 28" title="sss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7283825" y="5586132"/>
          <a:ext cx="846044" cy="268942"/>
        </a:xfrm>
        <a:prstGeom prst="roundRect">
          <a:avLst>
            <a:gd name="adj" fmla="val 16667"/>
          </a:avLst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63140</xdr:colOff>
      <xdr:row>30</xdr:row>
      <xdr:rowOff>205800</xdr:rowOff>
    </xdr:from>
    <xdr:to>
      <xdr:col>10</xdr:col>
      <xdr:colOff>268294</xdr:colOff>
      <xdr:row>35</xdr:row>
      <xdr:rowOff>134471</xdr:rowOff>
    </xdr:to>
    <xdr:sp macro="" textlink="">
      <xdr:nvSpPr>
        <xdr:cNvPr id="35" name="Flèche : droite 3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/>
      </xdr:nvSpPr>
      <xdr:spPr>
        <a:xfrm rot="5400000">
          <a:off x="7527227" y="4827257"/>
          <a:ext cx="897980" cy="205154"/>
        </a:xfrm>
        <a:prstGeom prst="rightArrow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330574</xdr:colOff>
      <xdr:row>36</xdr:row>
      <xdr:rowOff>84044</xdr:rowOff>
    </xdr:from>
    <xdr:to>
      <xdr:col>11</xdr:col>
      <xdr:colOff>336176</xdr:colOff>
      <xdr:row>36</xdr:row>
      <xdr:rowOff>89646</xdr:rowOff>
    </xdr:to>
    <xdr:cxnSp macro="">
      <xdr:nvCxnSpPr>
        <xdr:cNvPr id="32" name="Connecteur droit avec flèche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CxnSpPr/>
      </xdr:nvCxnSpPr>
      <xdr:spPr>
        <a:xfrm flipV="1">
          <a:off x="8141074" y="5518897"/>
          <a:ext cx="616323" cy="5602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330574</xdr:colOff>
      <xdr:row>37</xdr:row>
      <xdr:rowOff>22412</xdr:rowOff>
    </xdr:from>
    <xdr:to>
      <xdr:col>11</xdr:col>
      <xdr:colOff>324970</xdr:colOff>
      <xdr:row>37</xdr:row>
      <xdr:rowOff>89647</xdr:rowOff>
    </xdr:to>
    <xdr:cxnSp macro="">
      <xdr:nvCxnSpPr>
        <xdr:cNvPr id="41" name="Connecteur droit avec flèche 40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CxnSpPr/>
      </xdr:nvCxnSpPr>
      <xdr:spPr>
        <a:xfrm>
          <a:off x="8141074" y="5647765"/>
          <a:ext cx="605117" cy="67235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</xdr:row>
      <xdr:rowOff>434340</xdr:rowOff>
    </xdr:from>
    <xdr:to>
      <xdr:col>10</xdr:col>
      <xdr:colOff>160020</xdr:colOff>
      <xdr:row>2</xdr:row>
      <xdr:rowOff>137160</xdr:rowOff>
    </xdr:to>
    <xdr:sp macro="" textlink="">
      <xdr:nvSpPr>
        <xdr:cNvPr id="2" name="Curved Down Arrow 1"/>
        <xdr:cNvSpPr/>
      </xdr:nvSpPr>
      <xdr:spPr>
        <a:xfrm>
          <a:off x="7254240" y="617220"/>
          <a:ext cx="1668780" cy="2514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l-SI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304800</xdr:colOff>
      <xdr:row>0</xdr:row>
      <xdr:rowOff>0</xdr:rowOff>
    </xdr:from>
    <xdr:to>
      <xdr:col>27</xdr:col>
      <xdr:colOff>151200</xdr:colOff>
      <xdr:row>30</xdr:row>
      <xdr:rowOff>46905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0"/>
          <a:ext cx="9600000" cy="5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20</xdr:col>
      <xdr:colOff>380419</xdr:colOff>
      <xdr:row>42</xdr:row>
      <xdr:rowOff>47381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6096000"/>
          <a:ext cx="4647619" cy="19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19</xdr:col>
      <xdr:colOff>247009</xdr:colOff>
      <xdr:row>52</xdr:row>
      <xdr:rowOff>133167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8572500"/>
          <a:ext cx="5123809" cy="1466667"/>
        </a:xfrm>
        <a:prstGeom prst="rect">
          <a:avLst/>
        </a:prstGeom>
      </xdr:spPr>
    </xdr:pic>
    <xdr:clientData/>
  </xdr:twoCellAnchor>
  <xdr:twoCellAnchor editAs="oneCell">
    <xdr:from>
      <xdr:col>19</xdr:col>
      <xdr:colOff>581025</xdr:colOff>
      <xdr:row>45</xdr:row>
      <xdr:rowOff>9525</xdr:rowOff>
    </xdr:from>
    <xdr:to>
      <xdr:col>28</xdr:col>
      <xdr:colOff>323196</xdr:colOff>
      <xdr:row>53</xdr:row>
      <xdr:rowOff>9335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63425" y="8582025"/>
          <a:ext cx="5228571" cy="15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19</xdr:col>
      <xdr:colOff>123200</xdr:colOff>
      <xdr:row>59</xdr:row>
      <xdr:rowOff>123690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0287000"/>
          <a:ext cx="5000000" cy="10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59</xdr:row>
      <xdr:rowOff>161925</xdr:rowOff>
    </xdr:from>
    <xdr:to>
      <xdr:col>20</xdr:col>
      <xdr:colOff>294574</xdr:colOff>
      <xdr:row>74</xdr:row>
      <xdr:rowOff>66330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77050" y="11401425"/>
          <a:ext cx="5609524" cy="27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104775</xdr:rowOff>
    </xdr:from>
    <xdr:to>
      <xdr:col>1</xdr:col>
      <xdr:colOff>0</xdr:colOff>
      <xdr:row>21</xdr:row>
      <xdr:rowOff>130683</xdr:rowOff>
    </xdr:to>
    <xdr:sp macro="" textlink="">
      <xdr:nvSpPr>
        <xdr:cNvPr id="2" name="Puščica: gor 9">
          <a:extLst>
            <a:ext uri="{FF2B5EF4-FFF2-40B4-BE49-F238E27FC236}">
              <a16:creationId xmlns="" xmlns:a16="http://schemas.microsoft.com/office/drawing/2014/main" id="{00000000-0008-0000-1000-000002000000}"/>
            </a:ext>
          </a:extLst>
        </xdr:cNvPr>
        <xdr:cNvSpPr/>
      </xdr:nvSpPr>
      <xdr:spPr>
        <a:xfrm>
          <a:off x="9525" y="1638300"/>
          <a:ext cx="190500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14</xdr:row>
      <xdr:rowOff>104775</xdr:rowOff>
    </xdr:from>
    <xdr:to>
      <xdr:col>1</xdr:col>
      <xdr:colOff>0</xdr:colOff>
      <xdr:row>21</xdr:row>
      <xdr:rowOff>130683</xdr:rowOff>
    </xdr:to>
    <xdr:sp macro="" textlink="">
      <xdr:nvSpPr>
        <xdr:cNvPr id="3" name="Puščica: gor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SpPr/>
      </xdr:nvSpPr>
      <xdr:spPr>
        <a:xfrm>
          <a:off x="9525" y="1638300"/>
          <a:ext cx="190500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41</xdr:row>
      <xdr:rowOff>104775</xdr:rowOff>
    </xdr:from>
    <xdr:to>
      <xdr:col>1</xdr:col>
      <xdr:colOff>0</xdr:colOff>
      <xdr:row>46</xdr:row>
      <xdr:rowOff>130683</xdr:rowOff>
    </xdr:to>
    <xdr:sp macro="" textlink="">
      <xdr:nvSpPr>
        <xdr:cNvPr id="4" name="Puščica: gor 9">
          <a:extLst>
            <a:ext uri="{FF2B5EF4-FFF2-40B4-BE49-F238E27FC236}">
              <a16:creationId xmlns="" xmlns:a16="http://schemas.microsoft.com/office/drawing/2014/main" id="{00000000-0008-0000-1000-000004000000}"/>
            </a:ext>
          </a:extLst>
        </xdr:cNvPr>
        <xdr:cNvSpPr/>
      </xdr:nvSpPr>
      <xdr:spPr>
        <a:xfrm>
          <a:off x="9525" y="6219825"/>
          <a:ext cx="190500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41</xdr:row>
      <xdr:rowOff>104775</xdr:rowOff>
    </xdr:from>
    <xdr:to>
      <xdr:col>1</xdr:col>
      <xdr:colOff>0</xdr:colOff>
      <xdr:row>46</xdr:row>
      <xdr:rowOff>130683</xdr:rowOff>
    </xdr:to>
    <xdr:sp macro="" textlink="">
      <xdr:nvSpPr>
        <xdr:cNvPr id="5" name="Puščica: gor 2">
          <a:extLst>
            <a:ext uri="{FF2B5EF4-FFF2-40B4-BE49-F238E27FC236}">
              <a16:creationId xmlns="" xmlns:a16="http://schemas.microsoft.com/office/drawing/2014/main" id="{00000000-0008-0000-1000-000005000000}"/>
            </a:ext>
          </a:extLst>
        </xdr:cNvPr>
        <xdr:cNvSpPr/>
      </xdr:nvSpPr>
      <xdr:spPr>
        <a:xfrm>
          <a:off x="9525" y="6219825"/>
          <a:ext cx="190500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581024</xdr:colOff>
      <xdr:row>0</xdr:row>
      <xdr:rowOff>115218</xdr:rowOff>
    </xdr:from>
    <xdr:to>
      <xdr:col>13</xdr:col>
      <xdr:colOff>457199</xdr:colOff>
      <xdr:row>23</xdr:row>
      <xdr:rowOff>57150</xdr:rowOff>
    </xdr:to>
    <xdr:pic>
      <xdr:nvPicPr>
        <xdr:cNvPr id="2" name="Picture 1" descr="http://www.helmeth.eu/images/technologies/methanation/H2O.png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4" y="115218"/>
          <a:ext cx="7800975" cy="4323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104775</xdr:rowOff>
    </xdr:from>
    <xdr:to>
      <xdr:col>1</xdr:col>
      <xdr:colOff>0</xdr:colOff>
      <xdr:row>13</xdr:row>
      <xdr:rowOff>130683</xdr:rowOff>
    </xdr:to>
    <xdr:sp macro="" textlink="">
      <xdr:nvSpPr>
        <xdr:cNvPr id="4" name="Puščica: gor 9">
          <a:extLst>
            <a:ext uri="{FF2B5EF4-FFF2-40B4-BE49-F238E27FC236}">
              <a16:creationId xmlns="" xmlns:a16="http://schemas.microsoft.com/office/drawing/2014/main" id="{00000000-0008-0000-1300-000004000000}"/>
            </a:ext>
          </a:extLst>
        </xdr:cNvPr>
        <xdr:cNvSpPr/>
      </xdr:nvSpPr>
      <xdr:spPr>
        <a:xfrm>
          <a:off x="9525" y="1438275"/>
          <a:ext cx="200025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8</xdr:row>
      <xdr:rowOff>104775</xdr:rowOff>
    </xdr:from>
    <xdr:to>
      <xdr:col>1</xdr:col>
      <xdr:colOff>0</xdr:colOff>
      <xdr:row>13</xdr:row>
      <xdr:rowOff>130683</xdr:rowOff>
    </xdr:to>
    <xdr:sp macro="" textlink="">
      <xdr:nvSpPr>
        <xdr:cNvPr id="5" name="Puščica: gor 2">
          <a:extLst>
            <a:ext uri="{FF2B5EF4-FFF2-40B4-BE49-F238E27FC236}">
              <a16:creationId xmlns="" xmlns:a16="http://schemas.microsoft.com/office/drawing/2014/main" id="{00000000-0008-0000-1300-000005000000}"/>
            </a:ext>
          </a:extLst>
        </xdr:cNvPr>
        <xdr:cNvSpPr/>
      </xdr:nvSpPr>
      <xdr:spPr>
        <a:xfrm>
          <a:off x="9525" y="1438275"/>
          <a:ext cx="200025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Petra\Local%20Settings\Temporary%20Internet%20Files\OLK1D\FT3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LO\PROJEKTI\KOHEZIJSKI%20SKLAD\wCBApage\izracun%20financne%20vrzeli_SSSV_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OPOLIS\Projekti\2018\Teos\model\MODEL-21-napredni-Metan-Metan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sing"/>
      <sheetName val="AN_JZP1"/>
      <sheetName val="AN_JZP2_40"/>
      <sheetName val="AN_JZP2_85"/>
      <sheetName val="podatki"/>
      <sheetName val="FT_osnovno"/>
      <sheetName val="JZP_1"/>
      <sheetName val="JZP_2_EU_85"/>
      <sheetName val="JZP_2_EU_40"/>
      <sheetName val="ekonomska analiza"/>
      <sheetName val="povzete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"/>
      <sheetName val="Sensitivity"/>
      <sheetName val="Output-E"/>
      <sheetName val="Output-H"/>
    </sheetNames>
    <sheetDataSet>
      <sheetData sheetId="0">
        <row r="2">
          <cell r="D2" t="str">
            <v>Project</v>
          </cell>
          <cell r="K2" t="str">
            <v>MODEL VERSION: AUGUST 2008</v>
          </cell>
        </row>
        <row r="3">
          <cell r="D3" t="str">
            <v>Sample Solid Waste Project</v>
          </cell>
          <cell r="I3" t="str">
            <v>Blue cells contain NON-MONETARY input data</v>
          </cell>
        </row>
        <row r="4">
          <cell r="C4">
            <v>1</v>
          </cell>
          <cell r="I4" t="str">
            <v>Green cells contain MONETARY input data in current terms</v>
          </cell>
        </row>
        <row r="5">
          <cell r="I5" t="str">
            <v>Yelow cells contain MONETARY input data in real terms of base year</v>
          </cell>
        </row>
        <row r="6">
          <cell r="I6" t="str">
            <v>White cells contain calculated data</v>
          </cell>
        </row>
        <row r="7">
          <cell r="C7" t="str">
            <v>Model inputs</v>
          </cell>
        </row>
        <row r="9">
          <cell r="D9" t="str">
            <v>General parameters</v>
          </cell>
        </row>
        <row r="11">
          <cell r="C11">
            <v>2</v>
          </cell>
          <cell r="D11" t="str">
            <v>First year of projection</v>
          </cell>
          <cell r="E11" t="str">
            <v>Year</v>
          </cell>
          <cell r="F11">
            <v>2007</v>
          </cell>
        </row>
        <row r="12">
          <cell r="C12">
            <v>3</v>
          </cell>
          <cell r="D12" t="str">
            <v>Implementation period</v>
          </cell>
          <cell r="E12" t="str">
            <v>Years</v>
          </cell>
          <cell r="F12">
            <v>9</v>
          </cell>
        </row>
        <row r="13">
          <cell r="C13">
            <v>4</v>
          </cell>
          <cell r="D13" t="str">
            <v>Reference period (i.e.: economic life of project)</v>
          </cell>
          <cell r="E13" t="str">
            <v>Years</v>
          </cell>
          <cell r="F13">
            <v>30</v>
          </cell>
        </row>
        <row r="14">
          <cell r="C14">
            <v>5</v>
          </cell>
          <cell r="D14" t="str">
            <v>Annual inflation rate of EURO during implementation</v>
          </cell>
          <cell r="E14" t="str">
            <v>%</v>
          </cell>
          <cell r="F14">
            <v>2.9000000000000001E-2</v>
          </cell>
        </row>
        <row r="15">
          <cell r="C15">
            <v>6</v>
          </cell>
          <cell r="D15" t="str">
            <v>Financial discount rate (real)</v>
          </cell>
          <cell r="E15" t="str">
            <v>%</v>
          </cell>
          <cell r="F15">
            <v>7.0000000000000007E-2</v>
          </cell>
        </row>
        <row r="16">
          <cell r="C16">
            <v>7</v>
          </cell>
          <cell r="D16" t="str">
            <v>Social discount rate (real)</v>
          </cell>
          <cell r="E16" t="str">
            <v>%</v>
          </cell>
          <cell r="F16">
            <v>0.05</v>
          </cell>
        </row>
        <row r="17">
          <cell r="C17">
            <v>8</v>
          </cell>
          <cell r="D17" t="str">
            <v>Tax rate</v>
          </cell>
          <cell r="E17" t="str">
            <v>%</v>
          </cell>
          <cell r="F17">
            <v>0.2</v>
          </cell>
        </row>
        <row r="18">
          <cell r="C18">
            <v>9</v>
          </cell>
          <cell r="D18" t="str">
            <v>Maximum co-funding rate for the priority axis</v>
          </cell>
          <cell r="E18" t="str">
            <v>%</v>
          </cell>
          <cell r="F18">
            <v>0.85</v>
          </cell>
        </row>
        <row r="21">
          <cell r="D21" t="str">
            <v>Investment cost</v>
          </cell>
        </row>
        <row r="23">
          <cell r="F23" t="str">
            <v>TOTAL</v>
          </cell>
          <cell r="G23" t="str">
            <v>E  l  i  g  i  b  l   e</v>
          </cell>
          <cell r="Q23" t="str">
            <v>N o n -  e  l  i  g  i  b  l  e</v>
          </cell>
        </row>
        <row r="24">
          <cell r="D24" t="str">
            <v>Project cost during implementation (2007-2015) (*)</v>
          </cell>
          <cell r="G24" t="str">
            <v>Eligible</v>
          </cell>
          <cell r="H24">
            <v>2007</v>
          </cell>
          <cell r="I24">
            <v>2008</v>
          </cell>
          <cell r="J24">
            <v>2009</v>
          </cell>
          <cell r="K24">
            <v>2010</v>
          </cell>
          <cell r="L24">
            <v>2011</v>
          </cell>
          <cell r="M24">
            <v>2012</v>
          </cell>
          <cell r="N24">
            <v>2013</v>
          </cell>
          <cell r="O24">
            <v>2014</v>
          </cell>
          <cell r="P24">
            <v>2015</v>
          </cell>
          <cell r="Q24" t="str">
            <v>Non-eligible</v>
          </cell>
          <cell r="R24">
            <v>2007</v>
          </cell>
          <cell r="S24">
            <v>2008</v>
          </cell>
          <cell r="T24">
            <v>2009</v>
          </cell>
          <cell r="U24">
            <v>2010</v>
          </cell>
          <cell r="V24">
            <v>2011</v>
          </cell>
          <cell r="W24">
            <v>2012</v>
          </cell>
          <cell r="X24">
            <v>2013</v>
          </cell>
          <cell r="Y24">
            <v>2014</v>
          </cell>
          <cell r="Z24">
            <v>2015</v>
          </cell>
        </row>
        <row r="25">
          <cell r="C25">
            <v>10</v>
          </cell>
          <cell r="D25" t="str">
            <v>Planning/design fees</v>
          </cell>
          <cell r="E25" t="str">
            <v>EUR</v>
          </cell>
          <cell r="F25">
            <v>2723065.9999999995</v>
          </cell>
          <cell r="G25">
            <v>2560222.9999999995</v>
          </cell>
          <cell r="H25">
            <v>0</v>
          </cell>
          <cell r="I25">
            <v>59052.5</v>
          </cell>
          <cell r="J25">
            <v>719577.58928571432</v>
          </cell>
          <cell r="K25">
            <v>534877.58928571432</v>
          </cell>
          <cell r="L25">
            <v>373210.92261904757</v>
          </cell>
          <cell r="M25">
            <v>373210.92261904757</v>
          </cell>
          <cell r="N25">
            <v>326749.04761904757</v>
          </cell>
          <cell r="O25">
            <v>92285.71428571429</v>
          </cell>
          <cell r="P25">
            <v>81258.714285714275</v>
          </cell>
          <cell r="Q25">
            <v>162843</v>
          </cell>
          <cell r="R25">
            <v>128918</v>
          </cell>
          <cell r="S25">
            <v>33925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C26">
            <v>11</v>
          </cell>
          <cell r="D26" t="str">
            <v>Land purchase</v>
          </cell>
          <cell r="E26" t="str">
            <v>EUR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C27">
            <v>12</v>
          </cell>
          <cell r="D27" t="str">
            <v>Building and construction</v>
          </cell>
          <cell r="E27" t="str">
            <v>EUR</v>
          </cell>
          <cell r="F27">
            <v>11256869.408184674</v>
          </cell>
          <cell r="G27">
            <v>11256869.408184674</v>
          </cell>
          <cell r="H27">
            <v>0</v>
          </cell>
          <cell r="I27">
            <v>0</v>
          </cell>
          <cell r="J27">
            <v>752053.67700000003</v>
          </cell>
          <cell r="K27">
            <v>2417357.3540000003</v>
          </cell>
          <cell r="L27">
            <v>3498939.9921846739</v>
          </cell>
          <cell r="M27">
            <v>2314607.3540000003</v>
          </cell>
          <cell r="N27">
            <v>1682607.3540000001</v>
          </cell>
          <cell r="O27">
            <v>591303.67700000003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C28">
            <v>13</v>
          </cell>
          <cell r="D28" t="str">
            <v>Plant and machinery</v>
          </cell>
          <cell r="E28" t="str">
            <v>EUR</v>
          </cell>
          <cell r="F28">
            <v>10198146.498833336</v>
          </cell>
          <cell r="G28">
            <v>10198146.498833336</v>
          </cell>
          <cell r="H28">
            <v>0</v>
          </cell>
          <cell r="I28">
            <v>0</v>
          </cell>
          <cell r="J28">
            <v>497333.33333333337</v>
          </cell>
          <cell r="K28">
            <v>1184507.2775833337</v>
          </cell>
          <cell r="L28">
            <v>2080417.2775833337</v>
          </cell>
          <cell r="M28">
            <v>2728089.7775833337</v>
          </cell>
          <cell r="N28">
            <v>2231990.6109166672</v>
          </cell>
          <cell r="O28">
            <v>811223.94425000029</v>
          </cell>
          <cell r="P28">
            <v>664584.27758333366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C29">
            <v>14</v>
          </cell>
          <cell r="D29" t="str">
            <v>Contingencies</v>
          </cell>
          <cell r="E29" t="str">
            <v>EUR</v>
          </cell>
          <cell r="F29">
            <v>1731348.6484912608</v>
          </cell>
          <cell r="G29">
            <v>1731348.6484912608</v>
          </cell>
          <cell r="H29">
            <v>0</v>
          </cell>
          <cell r="I29">
            <v>0</v>
          </cell>
          <cell r="J29">
            <v>143556.32197333337</v>
          </cell>
          <cell r="K29">
            <v>301708.4621275001</v>
          </cell>
          <cell r="L29">
            <v>428816.28013376053</v>
          </cell>
          <cell r="M29">
            <v>391074.63046083343</v>
          </cell>
          <cell r="N29">
            <v>304784.13087750005</v>
          </cell>
          <cell r="O29">
            <v>108776.17348750005</v>
          </cell>
          <cell r="P29">
            <v>52632.649430833364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C30">
            <v>15</v>
          </cell>
          <cell r="D30" t="str">
            <v>Price adjustment</v>
          </cell>
          <cell r="E30" t="str">
            <v>EUR</v>
          </cell>
          <cell r="F30">
            <v>0</v>
          </cell>
          <cell r="G30">
            <v>0</v>
          </cell>
          <cell r="Q30">
            <v>0</v>
          </cell>
        </row>
        <row r="31">
          <cell r="C31">
            <v>16</v>
          </cell>
          <cell r="D31" t="str">
            <v>Technical assistance</v>
          </cell>
          <cell r="E31" t="str">
            <v>EUR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C32">
            <v>17</v>
          </cell>
          <cell r="D32" t="str">
            <v>Publicity</v>
          </cell>
          <cell r="E32" t="str">
            <v>EUR</v>
          </cell>
          <cell r="F32">
            <v>84280</v>
          </cell>
          <cell r="G32">
            <v>84280</v>
          </cell>
          <cell r="H32">
            <v>0</v>
          </cell>
          <cell r="I32">
            <v>0</v>
          </cell>
          <cell r="J32">
            <v>28260</v>
          </cell>
          <cell r="K32">
            <v>5552</v>
          </cell>
          <cell r="L32">
            <v>5552</v>
          </cell>
          <cell r="M32">
            <v>27760</v>
          </cell>
          <cell r="N32">
            <v>5552</v>
          </cell>
          <cell r="O32">
            <v>5552</v>
          </cell>
          <cell r="P32">
            <v>6052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C33">
            <v>18</v>
          </cell>
          <cell r="D33" t="str">
            <v>Supervision during implementation</v>
          </cell>
          <cell r="E33" t="str">
            <v>EUR</v>
          </cell>
          <cell r="F33">
            <v>706300</v>
          </cell>
          <cell r="G33">
            <v>706300</v>
          </cell>
          <cell r="H33">
            <v>0</v>
          </cell>
          <cell r="I33">
            <v>0</v>
          </cell>
          <cell r="J33">
            <v>53580</v>
          </cell>
          <cell r="K33">
            <v>167826.66666666666</v>
          </cell>
          <cell r="L33">
            <v>167826.66666666666</v>
          </cell>
          <cell r="M33">
            <v>156326.66666666666</v>
          </cell>
          <cell r="N33">
            <v>107160</v>
          </cell>
          <cell r="O33">
            <v>53580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C34">
            <v>19</v>
          </cell>
          <cell r="D34" t="str">
            <v>Sub-TOTAL</v>
          </cell>
          <cell r="E34" t="str">
            <v>EUR</v>
          </cell>
          <cell r="F34">
            <v>26700010.555509269</v>
          </cell>
          <cell r="G34">
            <v>26537167.555509269</v>
          </cell>
          <cell r="H34">
            <v>0</v>
          </cell>
          <cell r="I34">
            <v>59052.5</v>
          </cell>
          <cell r="J34">
            <v>2194360.9215923809</v>
          </cell>
          <cell r="K34">
            <v>4611829.3496632157</v>
          </cell>
          <cell r="L34">
            <v>6554763.1391874831</v>
          </cell>
          <cell r="M34">
            <v>5991069.3513298817</v>
          </cell>
          <cell r="N34">
            <v>4658843.1434132149</v>
          </cell>
          <cell r="O34">
            <v>1662721.5090232147</v>
          </cell>
          <cell r="P34">
            <v>804527.64129988139</v>
          </cell>
          <cell r="Q34">
            <v>162843</v>
          </cell>
          <cell r="R34">
            <v>128918</v>
          </cell>
          <cell r="S34">
            <v>33925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C35">
            <v>20</v>
          </cell>
          <cell r="D35" t="str">
            <v>VAT</v>
          </cell>
          <cell r="E35" t="str">
            <v>EUR</v>
          </cell>
          <cell r="F35">
            <v>838318</v>
          </cell>
          <cell r="G35">
            <v>838318</v>
          </cell>
          <cell r="H35">
            <v>0</v>
          </cell>
          <cell r="I35">
            <v>0</v>
          </cell>
          <cell r="J35">
            <v>838318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C36">
            <v>21</v>
          </cell>
          <cell r="D36" t="str">
            <v>TOTAL</v>
          </cell>
          <cell r="E36" t="str">
            <v>EUR</v>
          </cell>
          <cell r="F36">
            <v>27538328.555509269</v>
          </cell>
          <cell r="G36">
            <v>27375485.555509269</v>
          </cell>
          <cell r="H36">
            <v>0</v>
          </cell>
          <cell r="I36">
            <v>59052.5</v>
          </cell>
          <cell r="J36">
            <v>3032678.9215923809</v>
          </cell>
          <cell r="K36">
            <v>4611829.3496632157</v>
          </cell>
          <cell r="L36">
            <v>6554763.1391874831</v>
          </cell>
          <cell r="M36">
            <v>5991069.3513298817</v>
          </cell>
          <cell r="N36">
            <v>4658843.1434132149</v>
          </cell>
          <cell r="O36">
            <v>1662721.5090232147</v>
          </cell>
          <cell r="P36">
            <v>804527.64129988139</v>
          </cell>
          <cell r="Q36">
            <v>162843</v>
          </cell>
          <cell r="R36">
            <v>128918</v>
          </cell>
          <cell r="S36">
            <v>33925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D37" t="str">
            <v>(*) Values after implementation period will be ignored</v>
          </cell>
        </row>
        <row r="39">
          <cell r="F39" t="str">
            <v>TOTAL</v>
          </cell>
          <cell r="G39" t="str">
            <v>N o n -  e  l  i  g  i  b  l  e</v>
          </cell>
        </row>
        <row r="40">
          <cell r="D40" t="str">
            <v>Project cost after implementation (2016-2045)  (**)</v>
          </cell>
          <cell r="G40" t="str">
            <v>Non-eligible</v>
          </cell>
          <cell r="H40">
            <v>2007</v>
          </cell>
          <cell r="I40">
            <v>2008</v>
          </cell>
          <cell r="J40">
            <v>2009</v>
          </cell>
          <cell r="K40">
            <v>2010</v>
          </cell>
          <cell r="L40">
            <v>2011</v>
          </cell>
          <cell r="M40">
            <v>2012</v>
          </cell>
          <cell r="N40">
            <v>2013</v>
          </cell>
          <cell r="O40">
            <v>2014</v>
          </cell>
          <cell r="P40">
            <v>2015</v>
          </cell>
          <cell r="Q40">
            <v>2016</v>
          </cell>
          <cell r="R40">
            <v>2017</v>
          </cell>
          <cell r="S40">
            <v>2018</v>
          </cell>
          <cell r="T40">
            <v>2019</v>
          </cell>
          <cell r="U40">
            <v>2020</v>
          </cell>
          <cell r="V40">
            <v>2021</v>
          </cell>
          <cell r="W40">
            <v>2022</v>
          </cell>
          <cell r="X40">
            <v>2023</v>
          </cell>
          <cell r="Y40">
            <v>2024</v>
          </cell>
          <cell r="Z40">
            <v>2025</v>
          </cell>
          <cell r="AA40">
            <v>2026</v>
          </cell>
          <cell r="AB40">
            <v>2027</v>
          </cell>
          <cell r="AC40">
            <v>2028</v>
          </cell>
          <cell r="AD40">
            <v>2029</v>
          </cell>
          <cell r="AE40">
            <v>2030</v>
          </cell>
          <cell r="AF40">
            <v>2031</v>
          </cell>
          <cell r="AG40">
            <v>2032</v>
          </cell>
          <cell r="AH40">
            <v>2033</v>
          </cell>
          <cell r="AI40">
            <v>2034</v>
          </cell>
          <cell r="AJ40">
            <v>2035</v>
          </cell>
          <cell r="AK40">
            <v>2036</v>
          </cell>
          <cell r="AL40">
            <v>2037</v>
          </cell>
          <cell r="AM40">
            <v>2038</v>
          </cell>
          <cell r="AN40">
            <v>2039</v>
          </cell>
          <cell r="AO40">
            <v>2040</v>
          </cell>
        </row>
        <row r="41">
          <cell r="C41">
            <v>22</v>
          </cell>
          <cell r="D41" t="str">
            <v>Planning/design fees</v>
          </cell>
          <cell r="E41" t="str">
            <v>EUR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</row>
        <row r="42">
          <cell r="C42">
            <v>23</v>
          </cell>
          <cell r="D42" t="str">
            <v>Land purchase</v>
          </cell>
          <cell r="E42" t="str">
            <v>EUR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</row>
        <row r="43">
          <cell r="C43">
            <v>24</v>
          </cell>
          <cell r="D43" t="str">
            <v>Building and construction</v>
          </cell>
          <cell r="E43" t="str">
            <v>EUR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</row>
        <row r="44">
          <cell r="C44">
            <v>25</v>
          </cell>
          <cell r="D44" t="str">
            <v>Plant and machinery</v>
          </cell>
          <cell r="E44" t="str">
            <v>EUR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</row>
        <row r="45">
          <cell r="C45">
            <v>26</v>
          </cell>
          <cell r="D45" t="str">
            <v>Technical assistance</v>
          </cell>
          <cell r="E45" t="str">
            <v>EUR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</row>
        <row r="46">
          <cell r="C46">
            <v>27</v>
          </cell>
          <cell r="D46" t="str">
            <v>Publicity</v>
          </cell>
          <cell r="E46" t="str">
            <v>EUR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</row>
        <row r="47">
          <cell r="C47">
            <v>28</v>
          </cell>
          <cell r="D47" t="str">
            <v>Supervision during implementation</v>
          </cell>
          <cell r="E47" t="str">
            <v>EUR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</row>
        <row r="48">
          <cell r="C48">
            <v>29</v>
          </cell>
          <cell r="D48" t="str">
            <v>Sub-TOTAL</v>
          </cell>
          <cell r="E48" t="str">
            <v>EUR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</row>
        <row r="49">
          <cell r="C49">
            <v>30</v>
          </cell>
          <cell r="D49" t="str">
            <v>VAT</v>
          </cell>
          <cell r="E49" t="str">
            <v>EUR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</row>
        <row r="50">
          <cell r="C50">
            <v>31</v>
          </cell>
          <cell r="D50" t="str">
            <v>TOTAL</v>
          </cell>
          <cell r="E50" t="str">
            <v>EUR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</row>
        <row r="51">
          <cell r="D51" t="str">
            <v>(**)   Including renovation of project assets</v>
          </cell>
        </row>
        <row r="52">
          <cell r="D52" t="str">
            <v xml:space="preserve">        Values during implementation period or after reference period will be ignored</v>
          </cell>
        </row>
        <row r="54">
          <cell r="D54" t="str">
            <v>Economic life of project assets</v>
          </cell>
        </row>
        <row r="55">
          <cell r="C55">
            <v>32</v>
          </cell>
          <cell r="D55" t="str">
            <v>Building and construction</v>
          </cell>
          <cell r="E55" t="str">
            <v>Years</v>
          </cell>
          <cell r="F55">
            <v>50</v>
          </cell>
        </row>
        <row r="56">
          <cell r="C56">
            <v>33</v>
          </cell>
          <cell r="D56" t="str">
            <v>Plant and machinery</v>
          </cell>
          <cell r="E56" t="str">
            <v>Years</v>
          </cell>
          <cell r="F56">
            <v>12</v>
          </cell>
        </row>
        <row r="57">
          <cell r="C57">
            <v>34</v>
          </cell>
          <cell r="D57" t="str">
            <v>Intangible assets</v>
          </cell>
          <cell r="E57" t="str">
            <v>Years</v>
          </cell>
          <cell r="F57">
            <v>5</v>
          </cell>
        </row>
        <row r="60">
          <cell r="D60" t="str">
            <v>Project revenues and costs (*)</v>
          </cell>
        </row>
        <row r="61">
          <cell r="D61" t="str">
            <v>(*) Cash basis, not accrual basis</v>
          </cell>
        </row>
        <row r="62">
          <cell r="H62">
            <v>2007</v>
          </cell>
          <cell r="I62">
            <v>2008</v>
          </cell>
          <cell r="J62">
            <v>2009</v>
          </cell>
          <cell r="K62">
            <v>2010</v>
          </cell>
          <cell r="L62">
            <v>2011</v>
          </cell>
          <cell r="M62">
            <v>2012</v>
          </cell>
          <cell r="N62">
            <v>2013</v>
          </cell>
          <cell r="O62">
            <v>2014</v>
          </cell>
          <cell r="P62">
            <v>2015</v>
          </cell>
          <cell r="Q62">
            <v>2016</v>
          </cell>
          <cell r="R62">
            <v>2017</v>
          </cell>
          <cell r="S62">
            <v>2018</v>
          </cell>
          <cell r="T62">
            <v>2019</v>
          </cell>
          <cell r="U62">
            <v>2020</v>
          </cell>
          <cell r="V62">
            <v>2021</v>
          </cell>
          <cell r="W62">
            <v>2022</v>
          </cell>
          <cell r="X62">
            <v>2023</v>
          </cell>
          <cell r="Y62">
            <v>2024</v>
          </cell>
          <cell r="Z62">
            <v>2025</v>
          </cell>
          <cell r="AA62">
            <v>2026</v>
          </cell>
          <cell r="AB62">
            <v>2027</v>
          </cell>
          <cell r="AC62">
            <v>2028</v>
          </cell>
          <cell r="AD62">
            <v>2029</v>
          </cell>
          <cell r="AE62">
            <v>2030</v>
          </cell>
          <cell r="AF62">
            <v>2031</v>
          </cell>
          <cell r="AG62">
            <v>2032</v>
          </cell>
          <cell r="AH62">
            <v>2033</v>
          </cell>
          <cell r="AI62">
            <v>2034</v>
          </cell>
          <cell r="AJ62">
            <v>2035</v>
          </cell>
          <cell r="AK62">
            <v>2036</v>
          </cell>
          <cell r="AL62">
            <v>2037</v>
          </cell>
          <cell r="AM62">
            <v>2038</v>
          </cell>
          <cell r="AN62">
            <v>2039</v>
          </cell>
          <cell r="AO62">
            <v>2040</v>
          </cell>
        </row>
        <row r="63">
          <cell r="C63">
            <v>35</v>
          </cell>
          <cell r="D63" t="str">
            <v>Revenues from new customers</v>
          </cell>
          <cell r="E63" t="str">
            <v>EUR</v>
          </cell>
          <cell r="F63" t="str">
            <v xml:space="preserve"> [from financial projections]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C64">
            <v>36</v>
          </cell>
          <cell r="D64" t="str">
            <v>Additional revenues from existing customers</v>
          </cell>
          <cell r="E64" t="str">
            <v>EUR</v>
          </cell>
          <cell r="F64" t="str">
            <v xml:space="preserve"> [from financial projections]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</row>
        <row r="65">
          <cell r="C65">
            <v>37</v>
          </cell>
          <cell r="D65" t="str">
            <v>[Other revenues - EXPLAIN]</v>
          </cell>
          <cell r="E65" t="str">
            <v>EUR</v>
          </cell>
          <cell r="F65" t="str">
            <v xml:space="preserve"> [from financial projections]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</row>
        <row r="66">
          <cell r="C66">
            <v>38</v>
          </cell>
          <cell r="D66" t="str">
            <v>[Other revenues - EXPLAIN]</v>
          </cell>
          <cell r="E66" t="str">
            <v>EUR</v>
          </cell>
          <cell r="F66" t="str">
            <v xml:space="preserve"> [from financial projections]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</row>
        <row r="67">
          <cell r="C67">
            <v>39</v>
          </cell>
          <cell r="D67" t="str">
            <v>[Other revenues - EXPLAIN]</v>
          </cell>
          <cell r="E67" t="str">
            <v>EUR</v>
          </cell>
          <cell r="F67" t="str">
            <v xml:space="preserve"> [from financial projections]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</row>
        <row r="68">
          <cell r="C68">
            <v>40</v>
          </cell>
          <cell r="D68" t="str">
            <v>[Other revenues - EXPLAIN]</v>
          </cell>
          <cell r="E68" t="str">
            <v>EUR</v>
          </cell>
          <cell r="F68" t="str">
            <v xml:space="preserve"> [from financial projections]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</row>
        <row r="69">
          <cell r="C69">
            <v>41</v>
          </cell>
          <cell r="D69" t="str">
            <v>[Other revenues - EXPLAIN]</v>
          </cell>
          <cell r="E69" t="str">
            <v>EUR</v>
          </cell>
          <cell r="F69" t="str">
            <v xml:space="preserve"> [from financial projections]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</row>
        <row r="70">
          <cell r="C70">
            <v>42</v>
          </cell>
          <cell r="D70" t="str">
            <v>[Other revenues - EXPLAIN]</v>
          </cell>
          <cell r="E70" t="str">
            <v>EUR</v>
          </cell>
          <cell r="F70" t="str">
            <v xml:space="preserve"> [from financial projections]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</row>
        <row r="72">
          <cell r="C72">
            <v>43</v>
          </cell>
          <cell r="D72" t="str">
            <v>Incremental O&amp;M costs due to project</v>
          </cell>
          <cell r="E72" t="str">
            <v>EUR</v>
          </cell>
          <cell r="F72" t="str">
            <v xml:space="preserve"> [from financial projections]</v>
          </cell>
          <cell r="H72">
            <v>0</v>
          </cell>
          <cell r="I72">
            <v>0</v>
          </cell>
          <cell r="J72">
            <v>79583.333333333328</v>
          </cell>
          <cell r="K72">
            <v>175798.33333333334</v>
          </cell>
          <cell r="L72">
            <v>557158.70163221343</v>
          </cell>
          <cell r="M72">
            <v>726258.70163221343</v>
          </cell>
          <cell r="N72">
            <v>1074928.7016322133</v>
          </cell>
          <cell r="O72">
            <v>1213695.3682988801</v>
          </cell>
          <cell r="P72">
            <v>1382795.3682988801</v>
          </cell>
          <cell r="Q72">
            <v>1382795.3682988801</v>
          </cell>
          <cell r="R72">
            <v>1382795.3682988801</v>
          </cell>
          <cell r="S72">
            <v>1382795.3682988801</v>
          </cell>
          <cell r="T72">
            <v>1304545.3682988801</v>
          </cell>
          <cell r="U72">
            <v>1304545.3682988801</v>
          </cell>
          <cell r="V72">
            <v>1304545.3682988801</v>
          </cell>
          <cell r="W72">
            <v>1304545.3682988801</v>
          </cell>
          <cell r="X72">
            <v>1304545.3682988801</v>
          </cell>
          <cell r="Y72">
            <v>1346945.3682988801</v>
          </cell>
          <cell r="Z72">
            <v>1507855.3682988801</v>
          </cell>
          <cell r="AA72">
            <v>1486855.3682988801</v>
          </cell>
          <cell r="AB72">
            <v>1486855.3682988801</v>
          </cell>
          <cell r="AC72">
            <v>1564055.3682988801</v>
          </cell>
          <cell r="AD72">
            <v>1564055.3682988801</v>
          </cell>
          <cell r="AE72">
            <v>1564055.3682988801</v>
          </cell>
          <cell r="AF72">
            <v>1564055.3682988801</v>
          </cell>
          <cell r="AG72">
            <v>1564055.3682988801</v>
          </cell>
          <cell r="AH72">
            <v>1564055.3682988801</v>
          </cell>
          <cell r="AI72">
            <v>1564055.3682988801</v>
          </cell>
          <cell r="AJ72">
            <v>1564055.3682988801</v>
          </cell>
          <cell r="AK72">
            <v>1564055.3682988801</v>
          </cell>
          <cell r="AL72">
            <v>1564055.3682988801</v>
          </cell>
          <cell r="AM72">
            <v>0</v>
          </cell>
          <cell r="AN72">
            <v>0</v>
          </cell>
          <cell r="AO72">
            <v>0</v>
          </cell>
        </row>
        <row r="75">
          <cell r="D75" t="str">
            <v>Loans</v>
          </cell>
        </row>
        <row r="77">
          <cell r="D77" t="str">
            <v>Loan #1 (Automatic calculation)</v>
          </cell>
        </row>
        <row r="78">
          <cell r="C78">
            <v>44</v>
          </cell>
          <cell r="D78" t="str">
            <v>Loan amount</v>
          </cell>
          <cell r="E78" t="str">
            <v>EUR</v>
          </cell>
          <cell r="F78">
            <v>0</v>
          </cell>
        </row>
        <row r="79">
          <cell r="C79">
            <v>45</v>
          </cell>
          <cell r="D79" t="str">
            <v>Interest (*)</v>
          </cell>
          <cell r="E79" t="str">
            <v>%</v>
          </cell>
          <cell r="F79">
            <v>5.5E-2</v>
          </cell>
        </row>
        <row r="80">
          <cell r="C80">
            <v>46</v>
          </cell>
          <cell r="D80" t="str">
            <v>Credit fee (at signature)</v>
          </cell>
          <cell r="E80" t="str">
            <v>%</v>
          </cell>
          <cell r="F80">
            <v>0.01</v>
          </cell>
        </row>
        <row r="81">
          <cell r="C81">
            <v>47</v>
          </cell>
          <cell r="D81" t="str">
            <v>Commitment fee (on undisbursed amounts)</v>
          </cell>
          <cell r="E81" t="str">
            <v>%</v>
          </cell>
          <cell r="F81">
            <v>7.4999999999999997E-3</v>
          </cell>
        </row>
        <row r="82">
          <cell r="C82">
            <v>48</v>
          </cell>
          <cell r="D82" t="str">
            <v>Principal grace period</v>
          </cell>
          <cell r="E82" t="str">
            <v>years</v>
          </cell>
          <cell r="F82">
            <v>3</v>
          </cell>
        </row>
        <row r="83">
          <cell r="C83">
            <v>49</v>
          </cell>
          <cell r="D83" t="str">
            <v>Amortization period (including grace period)</v>
          </cell>
          <cell r="E83" t="str">
            <v>years</v>
          </cell>
          <cell r="F83">
            <v>30</v>
          </cell>
        </row>
        <row r="84">
          <cell r="C84">
            <v>50</v>
          </cell>
          <cell r="D84" t="str">
            <v>Amortization type (**)</v>
          </cell>
          <cell r="E84" t="str">
            <v>0/1</v>
          </cell>
          <cell r="F84">
            <v>1</v>
          </cell>
          <cell r="G84" t="str">
            <v xml:space="preserve">  (Equal Installments of Principal and Interest)</v>
          </cell>
        </row>
        <row r="86">
          <cell r="D86" t="str">
            <v>Loan #2 (Manual input)</v>
          </cell>
          <cell r="H86">
            <v>2007</v>
          </cell>
          <cell r="I86">
            <v>2008</v>
          </cell>
          <cell r="J86">
            <v>2009</v>
          </cell>
          <cell r="K86">
            <v>2010</v>
          </cell>
          <cell r="L86">
            <v>2011</v>
          </cell>
          <cell r="M86">
            <v>2012</v>
          </cell>
          <cell r="N86">
            <v>2013</v>
          </cell>
          <cell r="O86">
            <v>2014</v>
          </cell>
          <cell r="P86">
            <v>2015</v>
          </cell>
          <cell r="Q86">
            <v>2016</v>
          </cell>
          <cell r="R86">
            <v>2017</v>
          </cell>
          <cell r="S86">
            <v>2018</v>
          </cell>
          <cell r="T86">
            <v>2019</v>
          </cell>
          <cell r="U86">
            <v>2020</v>
          </cell>
          <cell r="V86">
            <v>2021</v>
          </cell>
          <cell r="W86">
            <v>2022</v>
          </cell>
          <cell r="X86">
            <v>2023</v>
          </cell>
          <cell r="Y86">
            <v>2024</v>
          </cell>
          <cell r="Z86">
            <v>2025</v>
          </cell>
          <cell r="AA86">
            <v>2026</v>
          </cell>
          <cell r="AB86">
            <v>2027</v>
          </cell>
          <cell r="AC86">
            <v>2028</v>
          </cell>
          <cell r="AD86">
            <v>2029</v>
          </cell>
          <cell r="AE86">
            <v>2030</v>
          </cell>
          <cell r="AF86">
            <v>2031</v>
          </cell>
          <cell r="AG86">
            <v>2032</v>
          </cell>
          <cell r="AH86">
            <v>2033</v>
          </cell>
          <cell r="AI86">
            <v>2034</v>
          </cell>
          <cell r="AJ86">
            <v>2035</v>
          </cell>
          <cell r="AK86">
            <v>2036</v>
          </cell>
          <cell r="AL86">
            <v>2037</v>
          </cell>
          <cell r="AM86">
            <v>2038</v>
          </cell>
          <cell r="AN86">
            <v>2039</v>
          </cell>
          <cell r="AO86">
            <v>2040</v>
          </cell>
        </row>
        <row r="87">
          <cell r="C87">
            <v>51</v>
          </cell>
          <cell r="D87" t="str">
            <v>Loan disbursements</v>
          </cell>
          <cell r="E87" t="str">
            <v>EUR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</row>
        <row r="88">
          <cell r="C88">
            <v>52</v>
          </cell>
          <cell r="D88" t="str">
            <v>Loan repayments</v>
          </cell>
          <cell r="E88" t="str">
            <v>EUR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</row>
        <row r="89">
          <cell r="C89">
            <v>53</v>
          </cell>
          <cell r="D89" t="str">
            <v>Loan balance</v>
          </cell>
          <cell r="E89" t="str">
            <v>EUR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</row>
        <row r="90">
          <cell r="C90">
            <v>54</v>
          </cell>
          <cell r="D90" t="str">
            <v>Interest (*)</v>
          </cell>
          <cell r="E90" t="str">
            <v>EUR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</row>
        <row r="91">
          <cell r="C91">
            <v>55</v>
          </cell>
          <cell r="D91" t="str">
            <v>Credit fee (at signature)</v>
          </cell>
          <cell r="E91" t="str">
            <v>EUR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</row>
        <row r="92">
          <cell r="C92">
            <v>56</v>
          </cell>
          <cell r="D92" t="str">
            <v>Commitment fee (on undisbursed amounts)</v>
          </cell>
          <cell r="E92" t="str">
            <v>EUR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</row>
        <row r="94">
          <cell r="D94" t="str">
            <v>(*) Real, not nominal</v>
          </cell>
        </row>
        <row r="95">
          <cell r="D95" t="str">
            <v>(**) Input "0" for Equal Installments of Principal or "1" for Equal Installments of Principal and Interest</v>
          </cell>
        </row>
        <row r="98">
          <cell r="D98" t="str">
            <v>Economic benefits</v>
          </cell>
        </row>
        <row r="100">
          <cell r="D100" t="str">
            <v>Resource savings and externalities</v>
          </cell>
          <cell r="H100">
            <v>2007</v>
          </cell>
          <cell r="I100">
            <v>2008</v>
          </cell>
          <cell r="J100">
            <v>2009</v>
          </cell>
          <cell r="K100">
            <v>2010</v>
          </cell>
          <cell r="L100">
            <v>2011</v>
          </cell>
          <cell r="M100">
            <v>2012</v>
          </cell>
          <cell r="N100">
            <v>2013</v>
          </cell>
          <cell r="O100">
            <v>2014</v>
          </cell>
          <cell r="P100">
            <v>2015</v>
          </cell>
          <cell r="Q100">
            <v>2016</v>
          </cell>
          <cell r="R100">
            <v>2017</v>
          </cell>
          <cell r="S100">
            <v>2018</v>
          </cell>
          <cell r="T100">
            <v>2019</v>
          </cell>
          <cell r="U100">
            <v>2020</v>
          </cell>
          <cell r="V100">
            <v>2021</v>
          </cell>
          <cell r="W100">
            <v>2022</v>
          </cell>
          <cell r="X100">
            <v>2023</v>
          </cell>
          <cell r="Y100">
            <v>2024</v>
          </cell>
          <cell r="Z100">
            <v>2025</v>
          </cell>
          <cell r="AA100">
            <v>2026</v>
          </cell>
          <cell r="AB100">
            <v>2027</v>
          </cell>
          <cell r="AC100">
            <v>2028</v>
          </cell>
          <cell r="AD100">
            <v>2029</v>
          </cell>
          <cell r="AE100">
            <v>2030</v>
          </cell>
          <cell r="AF100">
            <v>2031</v>
          </cell>
          <cell r="AG100">
            <v>2032</v>
          </cell>
          <cell r="AH100">
            <v>2033</v>
          </cell>
          <cell r="AI100">
            <v>2034</v>
          </cell>
          <cell r="AJ100">
            <v>2035</v>
          </cell>
          <cell r="AK100">
            <v>2036</v>
          </cell>
          <cell r="AL100">
            <v>2037</v>
          </cell>
          <cell r="AM100">
            <v>2038</v>
          </cell>
          <cell r="AN100">
            <v>2039</v>
          </cell>
          <cell r="AO100">
            <v>2040</v>
          </cell>
        </row>
        <row r="101">
          <cell r="C101">
            <v>57</v>
          </cell>
          <cell r="D101" t="str">
            <v>Zmanjšanje škode naravnih nesreč (razen suše)</v>
          </cell>
          <cell r="E101" t="str">
            <v>EUR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1542393.1468163512</v>
          </cell>
          <cell r="Q101">
            <v>1550105.1125504328</v>
          </cell>
          <cell r="R101">
            <v>1557855.6381131846</v>
          </cell>
          <cell r="S101">
            <v>1565644.9163037506</v>
          </cell>
          <cell r="T101">
            <v>1573473.1408852693</v>
          </cell>
          <cell r="U101">
            <v>1581340.5065896953</v>
          </cell>
          <cell r="V101">
            <v>1589247.2091226436</v>
          </cell>
          <cell r="W101">
            <v>1597193.4451682568</v>
          </cell>
          <cell r="X101">
            <v>1605179.4123940978</v>
          </cell>
          <cell r="Y101">
            <v>1613205.3094560681</v>
          </cell>
          <cell r="Z101">
            <v>1621271.3360033482</v>
          </cell>
          <cell r="AA101">
            <v>1629377.692683365</v>
          </cell>
          <cell r="AB101">
            <v>1637524.5811467816</v>
          </cell>
          <cell r="AC101">
            <v>1645712.2040525151</v>
          </cell>
          <cell r="AD101">
            <v>1653940.7650727774</v>
          </cell>
          <cell r="AE101">
            <v>1662210.4688981413</v>
          </cell>
          <cell r="AF101">
            <v>1670521.5212426318</v>
          </cell>
          <cell r="AG101">
            <v>1678874.1288488447</v>
          </cell>
          <cell r="AH101">
            <v>1687268.4994930888</v>
          </cell>
          <cell r="AI101">
            <v>1695704.841990554</v>
          </cell>
          <cell r="AJ101">
            <v>1704183.3662005067</v>
          </cell>
          <cell r="AK101">
            <v>1712704.2830315093</v>
          </cell>
          <cell r="AL101">
            <v>1721267.8044466665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</row>
        <row r="102">
          <cell r="C102">
            <v>58</v>
          </cell>
          <cell r="D102" t="str">
            <v>Zmanjšanje škode, ki jo povzroči suša</v>
          </cell>
          <cell r="E102" t="str">
            <v>EUR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896239.7135037611</v>
          </cell>
          <cell r="Q102">
            <v>900720.91207127983</v>
          </cell>
          <cell r="R102">
            <v>905224.51663163607</v>
          </cell>
          <cell r="S102">
            <v>909750.63921479415</v>
          </cell>
          <cell r="T102">
            <v>914299.39241086808</v>
          </cell>
          <cell r="U102">
            <v>918870.88937292236</v>
          </cell>
          <cell r="V102">
            <v>923465.24381978682</v>
          </cell>
          <cell r="W102">
            <v>928082.57003888569</v>
          </cell>
          <cell r="X102">
            <v>932722.98288907995</v>
          </cell>
          <cell r="Y102">
            <v>937386.59780352528</v>
          </cell>
          <cell r="Z102">
            <v>942073.53079254273</v>
          </cell>
          <cell r="AA102">
            <v>946783.89844650542</v>
          </cell>
          <cell r="AB102">
            <v>951517.8179387378</v>
          </cell>
          <cell r="AC102">
            <v>956275.40702843131</v>
          </cell>
          <cell r="AD102">
            <v>961056.78406357346</v>
          </cell>
          <cell r="AE102">
            <v>965862.06798389123</v>
          </cell>
          <cell r="AF102">
            <v>970691.37832381064</v>
          </cell>
          <cell r="AG102">
            <v>975544.83521542954</v>
          </cell>
          <cell r="AH102">
            <v>980422.5593915066</v>
          </cell>
          <cell r="AI102">
            <v>985324.67218846409</v>
          </cell>
          <cell r="AJ102">
            <v>990251.29554940632</v>
          </cell>
          <cell r="AK102">
            <v>995202.55202715332</v>
          </cell>
          <cell r="AL102">
            <v>1000178.5647872889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</row>
        <row r="103">
          <cell r="C103">
            <v>59</v>
          </cell>
          <cell r="D103" t="str">
            <v>Večji izkoristek hidroelektrarn</v>
          </cell>
          <cell r="E103" t="str">
            <v>EUR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1445218.8636363384</v>
          </cell>
          <cell r="Q103">
            <v>1445218.8636363384</v>
          </cell>
          <cell r="R103">
            <v>1445218.8636363384</v>
          </cell>
          <cell r="S103">
            <v>1445218.8636363384</v>
          </cell>
          <cell r="T103">
            <v>1445218.8636363384</v>
          </cell>
          <cell r="U103">
            <v>1445218.8636363384</v>
          </cell>
          <cell r="V103">
            <v>1445218.8636363384</v>
          </cell>
          <cell r="W103">
            <v>1445218.8636363384</v>
          </cell>
          <cell r="X103">
            <v>1445218.8636363384</v>
          </cell>
          <cell r="Y103">
            <v>1445218.8636363384</v>
          </cell>
          <cell r="Z103">
            <v>1445218.8636363384</v>
          </cell>
          <cell r="AA103">
            <v>1445218.8636363384</v>
          </cell>
          <cell r="AB103">
            <v>1445218.8636363384</v>
          </cell>
          <cell r="AC103">
            <v>1445218.8636363384</v>
          </cell>
          <cell r="AD103">
            <v>1445218.8636363384</v>
          </cell>
          <cell r="AE103">
            <v>1445218.8636363384</v>
          </cell>
          <cell r="AF103">
            <v>1445218.8636363384</v>
          </cell>
          <cell r="AG103">
            <v>1445218.8636363384</v>
          </cell>
          <cell r="AH103">
            <v>1445218.8636363384</v>
          </cell>
          <cell r="AI103">
            <v>1445218.8636363384</v>
          </cell>
          <cell r="AJ103">
            <v>1445218.8636363384</v>
          </cell>
          <cell r="AK103">
            <v>1445218.8636363384</v>
          </cell>
          <cell r="AL103">
            <v>1445218.8636363384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</row>
        <row r="104">
          <cell r="C104">
            <v>60</v>
          </cell>
          <cell r="D104" t="str">
            <v>Bolj učinkovito gospodarjenje z vodami</v>
          </cell>
          <cell r="E104" t="str">
            <v>EUR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1317210</v>
          </cell>
          <cell r="Q104">
            <v>1317210</v>
          </cell>
          <cell r="R104">
            <v>1317210</v>
          </cell>
          <cell r="S104">
            <v>1317210</v>
          </cell>
          <cell r="T104">
            <v>1317210</v>
          </cell>
          <cell r="U104">
            <v>1317210</v>
          </cell>
          <cell r="V104">
            <v>1317210</v>
          </cell>
          <cell r="W104">
            <v>1317210</v>
          </cell>
          <cell r="X104">
            <v>1317210</v>
          </cell>
          <cell r="Y104">
            <v>1317210</v>
          </cell>
          <cell r="Z104">
            <v>1317210</v>
          </cell>
          <cell r="AA104">
            <v>1317210</v>
          </cell>
          <cell r="AB104">
            <v>1317210</v>
          </cell>
          <cell r="AC104">
            <v>1317210</v>
          </cell>
          <cell r="AD104">
            <v>1317210</v>
          </cell>
          <cell r="AE104">
            <v>1317210</v>
          </cell>
          <cell r="AF104">
            <v>1317210</v>
          </cell>
          <cell r="AG104">
            <v>1317210</v>
          </cell>
          <cell r="AH104">
            <v>1317210</v>
          </cell>
          <cell r="AI104">
            <v>1317210</v>
          </cell>
          <cell r="AJ104">
            <v>1317210</v>
          </cell>
          <cell r="AK104">
            <v>1317210</v>
          </cell>
          <cell r="AL104">
            <v>1317210</v>
          </cell>
          <cell r="AM104">
            <v>0</v>
          </cell>
          <cell r="AN104">
            <v>0</v>
          </cell>
          <cell r="AO104">
            <v>0</v>
          </cell>
        </row>
        <row r="105">
          <cell r="C105">
            <v>61</v>
          </cell>
          <cell r="D105" t="str">
            <v>Izboljšanje zdravja prebivalcev (nitrati, pesticidi)</v>
          </cell>
          <cell r="E105" t="str">
            <v>EUR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385437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</row>
        <row r="106">
          <cell r="C106">
            <v>62</v>
          </cell>
          <cell r="D106" t="str">
            <v>[…]</v>
          </cell>
          <cell r="E106" t="str">
            <v>EUR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</row>
        <row r="109">
          <cell r="D109" t="str">
            <v>Economic costs</v>
          </cell>
        </row>
        <row r="111">
          <cell r="D111" t="str">
            <v>Break-down of costs (excluding land adquisition)</v>
          </cell>
          <cell r="F111" t="str">
            <v>Construction</v>
          </cell>
          <cell r="G111" t="str">
            <v>Operation</v>
          </cell>
          <cell r="H111" t="str">
            <v>ConvFactor</v>
          </cell>
        </row>
        <row r="112">
          <cell r="C112">
            <v>63</v>
          </cell>
          <cell r="D112" t="str">
            <v>Traded goods</v>
          </cell>
          <cell r="E112" t="str">
            <v>%</v>
          </cell>
          <cell r="F112">
            <v>0.2</v>
          </cell>
          <cell r="G112">
            <v>0.15</v>
          </cell>
          <cell r="H112">
            <v>1</v>
          </cell>
        </row>
        <row r="113">
          <cell r="C113">
            <v>64</v>
          </cell>
          <cell r="D113" t="str">
            <v>Non-traded goods</v>
          </cell>
          <cell r="E113" t="str">
            <v>%</v>
          </cell>
          <cell r="F113">
            <v>0.1</v>
          </cell>
          <cell r="G113">
            <v>0.05</v>
          </cell>
          <cell r="H113">
            <v>0.9</v>
          </cell>
        </row>
        <row r="114">
          <cell r="C114">
            <v>65</v>
          </cell>
          <cell r="D114" t="str">
            <v>Skilled Labour</v>
          </cell>
          <cell r="E114" t="str">
            <v>%</v>
          </cell>
          <cell r="F114">
            <v>0.2</v>
          </cell>
          <cell r="G114">
            <v>0.25</v>
          </cell>
          <cell r="H114">
            <v>1</v>
          </cell>
          <cell r="J114">
            <v>0.05</v>
          </cell>
          <cell r="K114" t="str">
            <v>&lt;&lt;&lt; Regional unemployment rate (%)</v>
          </cell>
        </row>
        <row r="115">
          <cell r="C115">
            <v>66</v>
          </cell>
          <cell r="D115" t="str">
            <v>Unskilled Labour</v>
          </cell>
          <cell r="E115" t="str">
            <v>%</v>
          </cell>
          <cell r="F115">
            <v>0.35</v>
          </cell>
          <cell r="G115">
            <v>0.4</v>
          </cell>
          <cell r="H115">
            <v>0.52249999999999996</v>
          </cell>
        </row>
        <row r="116">
          <cell r="C116">
            <v>67</v>
          </cell>
          <cell r="D116" t="str">
            <v>Transfer payments</v>
          </cell>
          <cell r="E116" t="str">
            <v>%</v>
          </cell>
          <cell r="F116">
            <v>0.15</v>
          </cell>
          <cell r="G116">
            <v>0.15</v>
          </cell>
          <cell r="H116">
            <v>0</v>
          </cell>
          <cell r="J116">
            <v>0.45</v>
          </cell>
          <cell r="K116" t="str">
            <v>&lt;&lt;&lt; Social security payments and taxes (%)</v>
          </cell>
        </row>
        <row r="117">
          <cell r="D117" t="str">
            <v>Total (%)</v>
          </cell>
          <cell r="F117">
            <v>1</v>
          </cell>
          <cell r="G117">
            <v>1</v>
          </cell>
        </row>
        <row r="119">
          <cell r="C119">
            <v>68</v>
          </cell>
          <cell r="D119" t="str">
            <v>Economic value of land</v>
          </cell>
          <cell r="E119" t="str">
            <v>EUR</v>
          </cell>
          <cell r="F119">
            <v>0</v>
          </cell>
        </row>
        <row r="122">
          <cell r="D122" t="str">
            <v>Risk analysis</v>
          </cell>
        </row>
        <row r="124">
          <cell r="D124" t="str">
            <v>Range of variation of variables as % of the base case</v>
          </cell>
          <cell r="F124" t="str">
            <v>Lower</v>
          </cell>
          <cell r="G124" t="str">
            <v>Upper</v>
          </cell>
        </row>
        <row r="125">
          <cell r="C125">
            <v>69</v>
          </cell>
          <cell r="D125" t="str">
            <v>Project investment cost</v>
          </cell>
          <cell r="E125" t="str">
            <v>%</v>
          </cell>
          <cell r="F125">
            <v>-0.05</v>
          </cell>
          <cell r="G125">
            <v>0.1</v>
          </cell>
        </row>
        <row r="126">
          <cell r="C126">
            <v>70</v>
          </cell>
          <cell r="D126" t="str">
            <v>Revenues</v>
          </cell>
          <cell r="E126" t="str">
            <v>%</v>
          </cell>
          <cell r="F126">
            <v>-0.05</v>
          </cell>
          <cell r="G126">
            <v>0.02</v>
          </cell>
        </row>
        <row r="127">
          <cell r="C127">
            <v>71</v>
          </cell>
          <cell r="D127" t="str">
            <v>O&amp;M costs</v>
          </cell>
          <cell r="E127" t="str">
            <v>%</v>
          </cell>
          <cell r="F127">
            <v>-0.02</v>
          </cell>
          <cell r="G127">
            <v>0.05</v>
          </cell>
        </row>
        <row r="128">
          <cell r="C128">
            <v>72</v>
          </cell>
          <cell r="D128" t="str">
            <v>Economic benefits</v>
          </cell>
          <cell r="E128" t="str">
            <v>%</v>
          </cell>
          <cell r="F128">
            <v>-0.1</v>
          </cell>
          <cell r="G128">
            <v>0.02</v>
          </cell>
        </row>
        <row r="129">
          <cell r="C129">
            <v>73</v>
          </cell>
          <cell r="D129" t="str">
            <v>Economic cost (Investment)</v>
          </cell>
          <cell r="E129" t="str">
            <v>%</v>
          </cell>
          <cell r="F129">
            <v>-0.05</v>
          </cell>
          <cell r="G129">
            <v>0.1</v>
          </cell>
        </row>
        <row r="130">
          <cell r="C130">
            <v>74</v>
          </cell>
          <cell r="D130" t="str">
            <v>Economic cost (O&amp;M)</v>
          </cell>
          <cell r="E130" t="str">
            <v>%</v>
          </cell>
          <cell r="F130">
            <v>-0.05</v>
          </cell>
          <cell r="G130">
            <v>0.1</v>
          </cell>
        </row>
        <row r="132">
          <cell r="C132">
            <v>75</v>
          </cell>
          <cell r="D132" t="str">
            <v>Number of iterations (max 25,000)</v>
          </cell>
          <cell r="E132" t="str">
            <v>#</v>
          </cell>
          <cell r="F132">
            <v>25000</v>
          </cell>
        </row>
      </sheetData>
      <sheetData sheetId="1">
        <row r="6">
          <cell r="C6" t="str">
            <v>Model output</v>
          </cell>
        </row>
        <row r="8">
          <cell r="C8" t="str">
            <v>INVESTMENT COST</v>
          </cell>
        </row>
        <row r="12">
          <cell r="D12" t="str">
            <v>Asset values - building and construction (*)</v>
          </cell>
          <cell r="G12" t="str">
            <v>2007-2015</v>
          </cell>
        </row>
        <row r="13">
          <cell r="C13">
            <v>76</v>
          </cell>
          <cell r="D13" t="str">
            <v>Annual investment</v>
          </cell>
          <cell r="E13" t="str">
            <v>Constant EUR</v>
          </cell>
          <cell r="G13">
            <v>9676954.1167858932</v>
          </cell>
          <cell r="H13">
            <v>0</v>
          </cell>
          <cell r="I13">
            <v>0</v>
          </cell>
          <cell r="J13">
            <v>690244.11842264549</v>
          </cell>
          <cell r="K13">
            <v>2156151.9183317819</v>
          </cell>
          <cell r="L13">
            <v>3032910.680321719</v>
          </cell>
          <cell r="M13">
            <v>1949777.615108636</v>
          </cell>
          <cell r="N13">
            <v>1377447.830563464</v>
          </cell>
          <cell r="O13">
            <v>470421.95403764542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</row>
        <row r="14">
          <cell r="C14">
            <v>77</v>
          </cell>
          <cell r="D14" t="str">
            <v>Cumulative value</v>
          </cell>
          <cell r="E14" t="str">
            <v>Constant EUR</v>
          </cell>
          <cell r="H14">
            <v>0</v>
          </cell>
          <cell r="I14">
            <v>0</v>
          </cell>
          <cell r="J14">
            <v>690244.11842264549</v>
          </cell>
          <cell r="K14">
            <v>2846396.0367544275</v>
          </cell>
          <cell r="L14">
            <v>5879306.717076147</v>
          </cell>
          <cell r="M14">
            <v>7829084.3321847832</v>
          </cell>
          <cell r="N14">
            <v>9206532.1627482474</v>
          </cell>
          <cell r="O14">
            <v>9676954.1167858932</v>
          </cell>
          <cell r="P14">
            <v>9676954.1167858932</v>
          </cell>
          <cell r="Q14">
            <v>9676954.1167858932</v>
          </cell>
          <cell r="R14">
            <v>9676954.1167858932</v>
          </cell>
          <cell r="S14">
            <v>9676954.1167858932</v>
          </cell>
          <cell r="T14">
            <v>9676954.1167858932</v>
          </cell>
          <cell r="U14">
            <v>9676954.1167858932</v>
          </cell>
          <cell r="V14">
            <v>9676954.1167858932</v>
          </cell>
          <cell r="W14">
            <v>9676954.1167858932</v>
          </cell>
          <cell r="X14">
            <v>9676954.1167858932</v>
          </cell>
          <cell r="Y14">
            <v>9676954.1167858932</v>
          </cell>
          <cell r="Z14">
            <v>9676954.1167858932</v>
          </cell>
          <cell r="AA14">
            <v>9676954.1167858932</v>
          </cell>
          <cell r="AB14">
            <v>9676954.1167858932</v>
          </cell>
          <cell r="AC14">
            <v>9676954.1167858932</v>
          </cell>
          <cell r="AD14">
            <v>9676954.1167858932</v>
          </cell>
          <cell r="AE14">
            <v>9676954.1167858932</v>
          </cell>
          <cell r="AF14">
            <v>9676954.1167858932</v>
          </cell>
          <cell r="AG14">
            <v>9676954.1167858932</v>
          </cell>
          <cell r="AH14">
            <v>9676954.1167858932</v>
          </cell>
          <cell r="AI14">
            <v>9676954.1167858932</v>
          </cell>
          <cell r="AJ14">
            <v>9676954.1167858932</v>
          </cell>
          <cell r="AK14">
            <v>9676954.1167858932</v>
          </cell>
          <cell r="AL14">
            <v>9676954.1167858932</v>
          </cell>
          <cell r="AM14">
            <v>9676954.1167858932</v>
          </cell>
          <cell r="AN14">
            <v>9676954.1167858932</v>
          </cell>
          <cell r="AO14">
            <v>9676954.1167858932</v>
          </cell>
          <cell r="AP14">
            <v>9676954.1167858932</v>
          </cell>
        </row>
        <row r="15">
          <cell r="C15">
            <v>78</v>
          </cell>
          <cell r="D15" t="str">
            <v>Annual depreciation (**)</v>
          </cell>
          <cell r="E15" t="str">
            <v>Constant EUR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193539.08233571786</v>
          </cell>
          <cell r="R15">
            <v>193539.08233571786</v>
          </cell>
          <cell r="S15">
            <v>193539.08233571786</v>
          </cell>
          <cell r="T15">
            <v>193539.08233571786</v>
          </cell>
          <cell r="U15">
            <v>193539.08233571786</v>
          </cell>
          <cell r="V15">
            <v>193539.08233571786</v>
          </cell>
          <cell r="W15">
            <v>193539.08233571786</v>
          </cell>
          <cell r="X15">
            <v>193539.08233571786</v>
          </cell>
          <cell r="Y15">
            <v>193539.08233571786</v>
          </cell>
          <cell r="Z15">
            <v>193539.08233571786</v>
          </cell>
          <cell r="AA15">
            <v>193539.08233571786</v>
          </cell>
          <cell r="AB15">
            <v>193539.08233571786</v>
          </cell>
          <cell r="AC15">
            <v>193539.08233571786</v>
          </cell>
          <cell r="AD15">
            <v>193539.08233571786</v>
          </cell>
          <cell r="AE15">
            <v>193539.08233571786</v>
          </cell>
          <cell r="AF15">
            <v>193539.08233571786</v>
          </cell>
          <cell r="AG15">
            <v>193539.08233571786</v>
          </cell>
          <cell r="AH15">
            <v>193539.08233571786</v>
          </cell>
          <cell r="AI15">
            <v>193539.08233571786</v>
          </cell>
          <cell r="AJ15">
            <v>193539.08233571786</v>
          </cell>
          <cell r="AK15">
            <v>193539.08233571786</v>
          </cell>
          <cell r="AL15">
            <v>193539.08233571786</v>
          </cell>
          <cell r="AM15">
            <v>193539.08233571786</v>
          </cell>
          <cell r="AN15">
            <v>193539.08233571786</v>
          </cell>
          <cell r="AO15">
            <v>193539.08233571786</v>
          </cell>
          <cell r="AP15">
            <v>193539.08233571786</v>
          </cell>
        </row>
        <row r="16">
          <cell r="C16">
            <v>79</v>
          </cell>
          <cell r="D16" t="str">
            <v>Cumulative depreciation</v>
          </cell>
          <cell r="E16" t="str">
            <v>Constant EUR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193539.08233571786</v>
          </cell>
          <cell r="R16">
            <v>387078.16467143572</v>
          </cell>
          <cell r="S16">
            <v>580617.24700715358</v>
          </cell>
          <cell r="T16">
            <v>774156.32934287144</v>
          </cell>
          <cell r="U16">
            <v>967695.4116785893</v>
          </cell>
          <cell r="V16">
            <v>1161234.4940143072</v>
          </cell>
          <cell r="W16">
            <v>1354773.5763500249</v>
          </cell>
          <cell r="X16">
            <v>1548312.6586857429</v>
          </cell>
          <cell r="Y16">
            <v>1741851.7410214609</v>
          </cell>
          <cell r="Z16">
            <v>1935390.8233571788</v>
          </cell>
          <cell r="AA16">
            <v>2128929.9056928968</v>
          </cell>
          <cell r="AB16">
            <v>2322468.9880286148</v>
          </cell>
          <cell r="AC16">
            <v>2516008.0703643328</v>
          </cell>
          <cell r="AD16">
            <v>2709547.1527000507</v>
          </cell>
          <cell r="AE16">
            <v>2903086.2350357687</v>
          </cell>
          <cell r="AF16">
            <v>3096625.3173714867</v>
          </cell>
          <cell r="AG16">
            <v>3290164.3997072047</v>
          </cell>
          <cell r="AH16">
            <v>3483703.4820429226</v>
          </cell>
          <cell r="AI16">
            <v>3677242.5643786406</v>
          </cell>
          <cell r="AJ16">
            <v>3870781.6467143586</v>
          </cell>
          <cell r="AK16">
            <v>4064320.7290500766</v>
          </cell>
          <cell r="AL16">
            <v>4257859.8113857945</v>
          </cell>
          <cell r="AM16">
            <v>4451398.8937215125</v>
          </cell>
          <cell r="AN16">
            <v>4644937.9760572305</v>
          </cell>
          <cell r="AO16">
            <v>4838477.0583929485</v>
          </cell>
          <cell r="AP16">
            <v>5032016.1407286664</v>
          </cell>
        </row>
        <row r="17">
          <cell r="C17">
            <v>80</v>
          </cell>
          <cell r="D17" t="str">
            <v>Book value</v>
          </cell>
          <cell r="E17" t="str">
            <v>Constant EUR</v>
          </cell>
          <cell r="H17">
            <v>0</v>
          </cell>
          <cell r="I17">
            <v>0</v>
          </cell>
          <cell r="J17">
            <v>690244.11842264549</v>
          </cell>
          <cell r="K17">
            <v>2846396.0367544275</v>
          </cell>
          <cell r="L17">
            <v>5879306.717076147</v>
          </cell>
          <cell r="M17">
            <v>7829084.3321847832</v>
          </cell>
          <cell r="N17">
            <v>9206532.1627482474</v>
          </cell>
          <cell r="O17">
            <v>9676954.1167858932</v>
          </cell>
          <cell r="P17">
            <v>9676954.1167858932</v>
          </cell>
          <cell r="Q17">
            <v>9483415.0344501752</v>
          </cell>
          <cell r="R17">
            <v>9289875.9521144573</v>
          </cell>
          <cell r="S17">
            <v>9096336.8697787393</v>
          </cell>
          <cell r="T17">
            <v>8902797.7874430213</v>
          </cell>
          <cell r="U17">
            <v>8709258.7051073033</v>
          </cell>
          <cell r="V17">
            <v>8515719.6227715854</v>
          </cell>
          <cell r="W17">
            <v>8322180.5404358683</v>
          </cell>
          <cell r="X17">
            <v>8128641.4581001503</v>
          </cell>
          <cell r="Y17">
            <v>7935102.3757644324</v>
          </cell>
          <cell r="Z17">
            <v>7741563.2934287144</v>
          </cell>
          <cell r="AA17">
            <v>7548024.2110929964</v>
          </cell>
          <cell r="AB17">
            <v>7354485.1287572784</v>
          </cell>
          <cell r="AC17">
            <v>7160946.0464215605</v>
          </cell>
          <cell r="AD17">
            <v>6967406.9640858425</v>
          </cell>
          <cell r="AE17">
            <v>6773867.8817501245</v>
          </cell>
          <cell r="AF17">
            <v>6580328.7994144065</v>
          </cell>
          <cell r="AG17">
            <v>6386789.7170786886</v>
          </cell>
          <cell r="AH17">
            <v>6193250.6347429706</v>
          </cell>
          <cell r="AI17">
            <v>5999711.5524072526</v>
          </cell>
          <cell r="AJ17">
            <v>5806172.4700715346</v>
          </cell>
          <cell r="AK17">
            <v>5612633.3877358167</v>
          </cell>
          <cell r="AL17">
            <v>5419094.3054000987</v>
          </cell>
          <cell r="AM17">
            <v>5225555.2230643807</v>
          </cell>
          <cell r="AN17">
            <v>5032016.1407286627</v>
          </cell>
          <cell r="AO17">
            <v>4838477.0583929447</v>
          </cell>
          <cell r="AP17">
            <v>4644937.9760572268</v>
          </cell>
        </row>
        <row r="19">
          <cell r="D19" t="str">
            <v>Asset values - plant and machinery (*)</v>
          </cell>
          <cell r="G19" t="str">
            <v>2007-2015</v>
          </cell>
        </row>
        <row r="20">
          <cell r="C20">
            <v>81</v>
          </cell>
          <cell r="D20" t="str">
            <v>Annual investment (including reinvestment)</v>
          </cell>
          <cell r="E20" t="str">
            <v>Constant EUR</v>
          </cell>
          <cell r="G20">
            <v>8600783.4712987021</v>
          </cell>
          <cell r="H20">
            <v>0</v>
          </cell>
          <cell r="I20">
            <v>0</v>
          </cell>
          <cell r="J20">
            <v>456458.65278956993</v>
          </cell>
          <cell r="K20">
            <v>1056516.3791829105</v>
          </cell>
          <cell r="L20">
            <v>1803323.2335512715</v>
          </cell>
          <cell r="M20">
            <v>2298086.7018962563</v>
          </cell>
          <cell r="N20">
            <v>1827194.3347545736</v>
          </cell>
          <cell r="O20">
            <v>645383.35860240401</v>
          </cell>
          <cell r="P20">
            <v>513820.81052171625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</row>
        <row r="21">
          <cell r="C21">
            <v>82</v>
          </cell>
          <cell r="D21" t="str">
            <v>Cumulative value</v>
          </cell>
          <cell r="E21" t="str">
            <v>Constant EUR</v>
          </cell>
          <cell r="H21">
            <v>0</v>
          </cell>
          <cell r="I21">
            <v>0</v>
          </cell>
          <cell r="J21">
            <v>456458.65278956993</v>
          </cell>
          <cell r="K21">
            <v>1512975.0319724805</v>
          </cell>
          <cell r="L21">
            <v>3316298.2655237522</v>
          </cell>
          <cell r="M21">
            <v>5614384.967420008</v>
          </cell>
          <cell r="N21">
            <v>7441579.3021745812</v>
          </cell>
          <cell r="O21">
            <v>8086962.6607769849</v>
          </cell>
          <cell r="P21">
            <v>8600783.4712987021</v>
          </cell>
          <cell r="Q21">
            <v>8600783.4712987021</v>
          </cell>
          <cell r="R21">
            <v>8600783.4712987021</v>
          </cell>
          <cell r="S21">
            <v>8600783.4712987021</v>
          </cell>
          <cell r="T21">
            <v>8600783.4712987021</v>
          </cell>
          <cell r="U21">
            <v>8600783.4712987021</v>
          </cell>
          <cell r="V21">
            <v>8600783.4712987021</v>
          </cell>
          <cell r="W21">
            <v>8600783.4712987021</v>
          </cell>
          <cell r="X21">
            <v>8600783.4712987021</v>
          </cell>
          <cell r="Y21">
            <v>8600783.4712987021</v>
          </cell>
          <cell r="Z21">
            <v>8600783.4712987021</v>
          </cell>
          <cell r="AA21">
            <v>8600783.4712987021</v>
          </cell>
          <cell r="AB21">
            <v>8600783.4712987021</v>
          </cell>
          <cell r="AC21">
            <v>8600783.4712987021</v>
          </cell>
          <cell r="AD21">
            <v>8600783.4712987021</v>
          </cell>
          <cell r="AE21">
            <v>8600783.4712987021</v>
          </cell>
          <cell r="AF21">
            <v>8600783.4712987021</v>
          </cell>
          <cell r="AG21">
            <v>8600783.4712987021</v>
          </cell>
          <cell r="AH21">
            <v>8600783.4712987021</v>
          </cell>
          <cell r="AI21">
            <v>8600783.4712987021</v>
          </cell>
          <cell r="AJ21">
            <v>8600783.4712987021</v>
          </cell>
          <cell r="AK21">
            <v>8600783.4712987021</v>
          </cell>
          <cell r="AL21">
            <v>8600783.4712987021</v>
          </cell>
          <cell r="AM21">
            <v>8600783.4712987021</v>
          </cell>
          <cell r="AN21">
            <v>8600783.4712987021</v>
          </cell>
          <cell r="AO21">
            <v>8600783.4712987021</v>
          </cell>
          <cell r="AP21">
            <v>8600783.4712987021</v>
          </cell>
        </row>
        <row r="22">
          <cell r="C22">
            <v>83</v>
          </cell>
          <cell r="D22" t="str">
            <v>Annual depreciation (**)</v>
          </cell>
          <cell r="E22" t="str">
            <v>Constant EUR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716731.95594155847</v>
          </cell>
          <cell r="R22">
            <v>716731.95594155847</v>
          </cell>
          <cell r="S22">
            <v>716731.95594155847</v>
          </cell>
          <cell r="T22">
            <v>716731.95594155847</v>
          </cell>
          <cell r="U22">
            <v>716731.95594155847</v>
          </cell>
          <cell r="V22">
            <v>716731.95594155847</v>
          </cell>
          <cell r="W22">
            <v>716731.95594155847</v>
          </cell>
          <cell r="X22">
            <v>716731.95594155847</v>
          </cell>
          <cell r="Y22">
            <v>716731.95594155847</v>
          </cell>
          <cell r="Z22">
            <v>716731.95594155847</v>
          </cell>
          <cell r="AA22">
            <v>716731.95594155847</v>
          </cell>
          <cell r="AB22">
            <v>716731.95594155847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</row>
        <row r="23">
          <cell r="C23">
            <v>84</v>
          </cell>
          <cell r="D23" t="str">
            <v>Cumulative depreciation</v>
          </cell>
          <cell r="E23" t="str">
            <v>Constant EUR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716731.95594155847</v>
          </cell>
          <cell r="R23">
            <v>1433463.9118831169</v>
          </cell>
          <cell r="S23">
            <v>2150195.8678246755</v>
          </cell>
          <cell r="T23">
            <v>2866927.8237662339</v>
          </cell>
          <cell r="U23">
            <v>3583659.7797077922</v>
          </cell>
          <cell r="V23">
            <v>4300391.735649351</v>
          </cell>
          <cell r="W23">
            <v>5017123.6915909098</v>
          </cell>
          <cell r="X23">
            <v>5733855.6475324687</v>
          </cell>
          <cell r="Y23">
            <v>6450587.6034740275</v>
          </cell>
          <cell r="Z23">
            <v>7167319.5594155863</v>
          </cell>
          <cell r="AA23">
            <v>7884051.5153571451</v>
          </cell>
          <cell r="AB23">
            <v>8600783.4712987039</v>
          </cell>
          <cell r="AC23">
            <v>8600783.4712987039</v>
          </cell>
          <cell r="AD23">
            <v>8600783.4712987039</v>
          </cell>
          <cell r="AE23">
            <v>8600783.4712987039</v>
          </cell>
          <cell r="AF23">
            <v>8600783.4712987039</v>
          </cell>
          <cell r="AG23">
            <v>8600783.4712987039</v>
          </cell>
          <cell r="AH23">
            <v>8600783.4712987039</v>
          </cell>
          <cell r="AI23">
            <v>8600783.4712987039</v>
          </cell>
          <cell r="AJ23">
            <v>8600783.4712987039</v>
          </cell>
          <cell r="AK23">
            <v>8600783.4712987039</v>
          </cell>
          <cell r="AL23">
            <v>8600783.4712987039</v>
          </cell>
          <cell r="AM23">
            <v>8600783.4712987039</v>
          </cell>
          <cell r="AN23">
            <v>8600783.4712987039</v>
          </cell>
          <cell r="AO23">
            <v>8600783.4712987039</v>
          </cell>
          <cell r="AP23">
            <v>8600783.4712987039</v>
          </cell>
        </row>
        <row r="24">
          <cell r="C24">
            <v>85</v>
          </cell>
          <cell r="D24" t="str">
            <v>Book value</v>
          </cell>
          <cell r="E24" t="str">
            <v>Constant EUR</v>
          </cell>
          <cell r="H24">
            <v>0</v>
          </cell>
          <cell r="I24">
            <v>0</v>
          </cell>
          <cell r="J24">
            <v>456458.65278956993</v>
          </cell>
          <cell r="K24">
            <v>1512975.0319724805</v>
          </cell>
          <cell r="L24">
            <v>3316298.2655237522</v>
          </cell>
          <cell r="M24">
            <v>5614384.967420008</v>
          </cell>
          <cell r="N24">
            <v>7441579.3021745812</v>
          </cell>
          <cell r="O24">
            <v>8086962.6607769849</v>
          </cell>
          <cell r="P24">
            <v>8600783.4712987021</v>
          </cell>
          <cell r="Q24">
            <v>7884051.5153571432</v>
          </cell>
          <cell r="R24">
            <v>7167319.5594155854</v>
          </cell>
          <cell r="S24">
            <v>6450587.6034740265</v>
          </cell>
          <cell r="T24">
            <v>5733855.6475324687</v>
          </cell>
          <cell r="U24">
            <v>5017123.6915909098</v>
          </cell>
          <cell r="V24">
            <v>4300391.735649351</v>
          </cell>
          <cell r="W24">
            <v>3583659.7797077922</v>
          </cell>
          <cell r="X24">
            <v>2866927.8237662334</v>
          </cell>
          <cell r="Y24">
            <v>2150195.8678246746</v>
          </cell>
          <cell r="Z24">
            <v>1433463.9118831158</v>
          </cell>
          <cell r="AA24">
            <v>716731.95594155695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</row>
        <row r="26">
          <cell r="D26" t="str">
            <v>Asset values - intangible assets (*)</v>
          </cell>
          <cell r="G26" t="str">
            <v>2007-2015</v>
          </cell>
        </row>
        <row r="27">
          <cell r="C27">
            <v>86</v>
          </cell>
          <cell r="D27" t="str">
            <v>Annual investment</v>
          </cell>
          <cell r="E27" t="str">
            <v>Constant EUR</v>
          </cell>
          <cell r="G27">
            <v>3840762.468255972</v>
          </cell>
          <cell r="H27">
            <v>125284.74246841595</v>
          </cell>
          <cell r="I27">
            <v>87810.634457864784</v>
          </cell>
          <cell r="J27">
            <v>1504969.5000331139</v>
          </cell>
          <cell r="K27">
            <v>631726.24536265049</v>
          </cell>
          <cell r="L27">
            <v>473788.46359186375</v>
          </cell>
          <cell r="M27">
            <v>469456.02357370366</v>
          </cell>
          <cell r="N27">
            <v>359759.90787212749</v>
          </cell>
          <cell r="O27">
            <v>120463.00369987318</v>
          </cell>
          <cell r="P27">
            <v>67503.947196358931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</row>
        <row r="28">
          <cell r="C28">
            <v>87</v>
          </cell>
          <cell r="D28" t="str">
            <v>Cumulative value</v>
          </cell>
          <cell r="E28" t="str">
            <v>Constant EUR</v>
          </cell>
          <cell r="H28">
            <v>125284.74246841595</v>
          </cell>
          <cell r="I28">
            <v>213095.37692628073</v>
          </cell>
          <cell r="J28">
            <v>1718064.8769593947</v>
          </cell>
          <cell r="K28">
            <v>2349791.1223220453</v>
          </cell>
          <cell r="L28">
            <v>2823579.5859139091</v>
          </cell>
          <cell r="M28">
            <v>3293035.6094876127</v>
          </cell>
          <cell r="N28">
            <v>3652795.5173597401</v>
          </cell>
          <cell r="O28">
            <v>3773258.5210596132</v>
          </cell>
          <cell r="P28">
            <v>3840762.468255972</v>
          </cell>
          <cell r="Q28">
            <v>3840762.468255972</v>
          </cell>
          <cell r="R28">
            <v>3840762.468255972</v>
          </cell>
          <cell r="S28">
            <v>3840762.468255972</v>
          </cell>
          <cell r="T28">
            <v>3840762.468255972</v>
          </cell>
          <cell r="U28">
            <v>3840762.468255972</v>
          </cell>
          <cell r="V28">
            <v>3840762.468255972</v>
          </cell>
          <cell r="W28">
            <v>3840762.468255972</v>
          </cell>
          <cell r="X28">
            <v>3840762.468255972</v>
          </cell>
          <cell r="Y28">
            <v>3840762.468255972</v>
          </cell>
          <cell r="Z28">
            <v>3840762.468255972</v>
          </cell>
          <cell r="AA28">
            <v>3840762.468255972</v>
          </cell>
          <cell r="AB28">
            <v>3840762.468255972</v>
          </cell>
          <cell r="AC28">
            <v>3840762.468255972</v>
          </cell>
          <cell r="AD28">
            <v>3840762.468255972</v>
          </cell>
          <cell r="AE28">
            <v>3840762.468255972</v>
          </cell>
          <cell r="AF28">
            <v>3840762.468255972</v>
          </cell>
          <cell r="AG28">
            <v>3840762.468255972</v>
          </cell>
          <cell r="AH28">
            <v>3840762.468255972</v>
          </cell>
          <cell r="AI28">
            <v>3840762.468255972</v>
          </cell>
          <cell r="AJ28">
            <v>3840762.468255972</v>
          </cell>
          <cell r="AK28">
            <v>3840762.468255972</v>
          </cell>
          <cell r="AL28">
            <v>3840762.468255972</v>
          </cell>
          <cell r="AM28">
            <v>3840762.468255972</v>
          </cell>
          <cell r="AN28">
            <v>3840762.468255972</v>
          </cell>
          <cell r="AO28">
            <v>3840762.468255972</v>
          </cell>
          <cell r="AP28">
            <v>3840762.468255972</v>
          </cell>
        </row>
        <row r="29">
          <cell r="C29">
            <v>88</v>
          </cell>
          <cell r="D29" t="str">
            <v>Annual amortization (**)</v>
          </cell>
          <cell r="E29" t="str">
            <v>Constant EUR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768152.49365119438</v>
          </cell>
          <cell r="R29">
            <v>768152.49365119438</v>
          </cell>
          <cell r="S29">
            <v>768152.49365119438</v>
          </cell>
          <cell r="T29">
            <v>768152.49365119438</v>
          </cell>
          <cell r="U29">
            <v>768152.49365119438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</row>
        <row r="30">
          <cell r="C30">
            <v>89</v>
          </cell>
          <cell r="D30" t="str">
            <v>Book value</v>
          </cell>
          <cell r="E30" t="str">
            <v>Constant EUR</v>
          </cell>
          <cell r="H30">
            <v>125284.74246841595</v>
          </cell>
          <cell r="I30">
            <v>213095.37692628073</v>
          </cell>
          <cell r="J30">
            <v>1718064.8769593947</v>
          </cell>
          <cell r="K30">
            <v>2349791.1223220453</v>
          </cell>
          <cell r="L30">
            <v>2823579.5859139091</v>
          </cell>
          <cell r="M30">
            <v>3293035.6094876127</v>
          </cell>
          <cell r="N30">
            <v>3652795.5173597401</v>
          </cell>
          <cell r="O30">
            <v>3773258.5210596132</v>
          </cell>
          <cell r="P30">
            <v>3840762.468255972</v>
          </cell>
          <cell r="Q30">
            <v>3072609.9746047775</v>
          </cell>
          <cell r="R30">
            <v>2304457.480953583</v>
          </cell>
          <cell r="S30">
            <v>1536304.9873023885</v>
          </cell>
          <cell r="T30">
            <v>768152.49365119415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</row>
        <row r="32">
          <cell r="D32" t="str">
            <v>Asset values - non-depreciating assets (*)</v>
          </cell>
          <cell r="G32" t="str">
            <v>2007-2015</v>
          </cell>
        </row>
        <row r="33">
          <cell r="C33">
            <v>90</v>
          </cell>
          <cell r="D33" t="str">
            <v>Annual investment</v>
          </cell>
          <cell r="E33" t="str">
            <v>Constant EUR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</row>
        <row r="34">
          <cell r="C34">
            <v>91</v>
          </cell>
          <cell r="D34" t="str">
            <v>Cumulative value</v>
          </cell>
          <cell r="E34" t="str">
            <v>Constant EUR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</row>
        <row r="35">
          <cell r="C35">
            <v>92</v>
          </cell>
          <cell r="D35" t="str">
            <v>Book value</v>
          </cell>
          <cell r="E35" t="str">
            <v>Constant EUR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</row>
        <row r="37">
          <cell r="D37" t="str">
            <v>TOTAL INVESTMENT (*)</v>
          </cell>
          <cell r="G37" t="str">
            <v>2007-2015</v>
          </cell>
        </row>
        <row r="38">
          <cell r="C38">
            <v>93</v>
          </cell>
          <cell r="D38" t="str">
            <v>Total investment (w/o contingencies)</v>
          </cell>
          <cell r="E38" t="str">
            <v>Constant EUR</v>
          </cell>
          <cell r="G38">
            <v>22118500.056340564</v>
          </cell>
          <cell r="H38">
            <v>125284.74246841595</v>
          </cell>
          <cell r="I38">
            <v>87810.634457864784</v>
          </cell>
          <cell r="J38">
            <v>2651672.2712453296</v>
          </cell>
          <cell r="K38">
            <v>3844394.542877343</v>
          </cell>
          <cell r="L38">
            <v>5310022.3774648542</v>
          </cell>
          <cell r="M38">
            <v>4717320.3405785961</v>
          </cell>
          <cell r="N38">
            <v>3564402.0731901648</v>
          </cell>
          <cell r="O38">
            <v>1236268.3163399226</v>
          </cell>
          <cell r="P38">
            <v>581324.75771807518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</row>
        <row r="39">
          <cell r="C39">
            <v>94</v>
          </cell>
          <cell r="D39" t="str">
            <v>Total depreciation and amortization (**)</v>
          </cell>
          <cell r="E39" t="str">
            <v>Constant EUR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1678423.5319284708</v>
          </cell>
          <cell r="R39">
            <v>1678423.5319284708</v>
          </cell>
          <cell r="S39">
            <v>1678423.5319284708</v>
          </cell>
          <cell r="T39">
            <v>1678423.5319284708</v>
          </cell>
          <cell r="U39">
            <v>1678423.5319284708</v>
          </cell>
          <cell r="V39">
            <v>910271.03827727633</v>
          </cell>
          <cell r="W39">
            <v>910271.03827727633</v>
          </cell>
          <cell r="X39">
            <v>910271.03827727633</v>
          </cell>
          <cell r="Y39">
            <v>910271.03827727633</v>
          </cell>
          <cell r="Z39">
            <v>910271.03827727633</v>
          </cell>
          <cell r="AA39">
            <v>910271.03827727633</v>
          </cell>
          <cell r="AB39">
            <v>910271.03827727633</v>
          </cell>
          <cell r="AC39">
            <v>193539.08233571786</v>
          </cell>
          <cell r="AD39">
            <v>193539.08233571786</v>
          </cell>
          <cell r="AE39">
            <v>193539.08233571786</v>
          </cell>
          <cell r="AF39">
            <v>193539.08233571786</v>
          </cell>
          <cell r="AG39">
            <v>193539.08233571786</v>
          </cell>
          <cell r="AH39">
            <v>193539.08233571786</v>
          </cell>
          <cell r="AI39">
            <v>193539.08233571786</v>
          </cell>
          <cell r="AJ39">
            <v>193539.08233571786</v>
          </cell>
          <cell r="AK39">
            <v>193539.08233571786</v>
          </cell>
          <cell r="AL39">
            <v>193539.08233571786</v>
          </cell>
          <cell r="AM39">
            <v>193539.08233571786</v>
          </cell>
          <cell r="AN39">
            <v>193539.08233571786</v>
          </cell>
          <cell r="AO39">
            <v>193539.08233571786</v>
          </cell>
          <cell r="AP39">
            <v>193539.08233571786</v>
          </cell>
        </row>
        <row r="41">
          <cell r="D41" t="str">
            <v>(*) In constant values and excluding contingencies</v>
          </cell>
        </row>
        <row r="42">
          <cell r="D42" t="str">
            <v>(**) Only for the purpose of calculation of income tax and residual value</v>
          </cell>
        </row>
        <row r="45">
          <cell r="C45" t="str">
            <v>FINANCING GAP</v>
          </cell>
        </row>
        <row r="49">
          <cell r="D49" t="str">
            <v>Calculation of Discounted Investment Cost (DIC)</v>
          </cell>
          <cell r="G49" t="str">
            <v>NPV @ 07%</v>
          </cell>
        </row>
        <row r="50">
          <cell r="C50">
            <v>95</v>
          </cell>
          <cell r="D50" t="str">
            <v>Total investment (w/o contingencies)</v>
          </cell>
          <cell r="E50" t="str">
            <v>Constant EUR</v>
          </cell>
          <cell r="G50">
            <v>15475984.72051049</v>
          </cell>
          <cell r="H50">
            <v>125284.74246841595</v>
          </cell>
          <cell r="I50">
            <v>87810.634457864784</v>
          </cell>
          <cell r="J50">
            <v>2651672.2712453296</v>
          </cell>
          <cell r="K50">
            <v>3844394.542877343</v>
          </cell>
          <cell r="L50">
            <v>5310022.3774648542</v>
          </cell>
          <cell r="M50">
            <v>4717320.3405785961</v>
          </cell>
          <cell r="N50">
            <v>3564402.0731901648</v>
          </cell>
          <cell r="O50">
            <v>1236268.3163399226</v>
          </cell>
          <cell r="P50">
            <v>581324.75771807518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</row>
        <row r="51">
          <cell r="C51">
            <v>96</v>
          </cell>
          <cell r="D51" t="str">
            <v>DISCOUNTED INVESTMENT COST (DIC)</v>
          </cell>
          <cell r="E51" t="str">
            <v>Constant EUR</v>
          </cell>
          <cell r="G51">
            <v>15475984.72051049</v>
          </cell>
          <cell r="H51">
            <v>125284.74246841595</v>
          </cell>
          <cell r="I51">
            <v>87810.634457864784</v>
          </cell>
          <cell r="J51">
            <v>2651672.2712453296</v>
          </cell>
          <cell r="K51">
            <v>3844394.542877343</v>
          </cell>
          <cell r="L51">
            <v>5310022.3774648542</v>
          </cell>
          <cell r="M51">
            <v>4717320.3405785961</v>
          </cell>
          <cell r="N51">
            <v>3564402.0731901648</v>
          </cell>
          <cell r="O51">
            <v>1236268.3163399226</v>
          </cell>
          <cell r="P51">
            <v>581324.75771807518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</row>
        <row r="53">
          <cell r="D53" t="str">
            <v>Calculation of Discounted Net Revenues (DNR)</v>
          </cell>
          <cell r="G53" t="str">
            <v>NPV @ 07%</v>
          </cell>
        </row>
        <row r="54">
          <cell r="C54">
            <v>97</v>
          </cell>
          <cell r="D54" t="str">
            <v>Revenues</v>
          </cell>
          <cell r="E54" t="str">
            <v>Constant EUR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</row>
        <row r="55">
          <cell r="C55">
            <v>98</v>
          </cell>
          <cell r="D55" t="str">
            <v>O&amp;M costs</v>
          </cell>
          <cell r="E55" t="str">
            <v>Constant EUR</v>
          </cell>
          <cell r="G55">
            <v>-11768915.035947619</v>
          </cell>
          <cell r="H55">
            <v>0</v>
          </cell>
          <cell r="I55">
            <v>0</v>
          </cell>
          <cell r="J55">
            <v>-79583.333333333328</v>
          </cell>
          <cell r="K55">
            <v>-175798.33333333334</v>
          </cell>
          <cell r="L55">
            <v>-557158.70163221343</v>
          </cell>
          <cell r="M55">
            <v>-726258.70163221343</v>
          </cell>
          <cell r="N55">
            <v>-1074928.7016322133</v>
          </cell>
          <cell r="O55">
            <v>-1213695.3682988801</v>
          </cell>
          <cell r="P55">
            <v>-1382795.3682988801</v>
          </cell>
          <cell r="Q55">
            <v>-1382795.3682988801</v>
          </cell>
          <cell r="R55">
            <v>-1382795.3682988801</v>
          </cell>
          <cell r="S55">
            <v>-1382795.3682988801</v>
          </cell>
          <cell r="T55">
            <v>-1304545.3682988801</v>
          </cell>
          <cell r="U55">
            <v>-1304545.3682988801</v>
          </cell>
          <cell r="V55">
            <v>-1304545.3682988801</v>
          </cell>
          <cell r="W55">
            <v>-1304545.3682988801</v>
          </cell>
          <cell r="X55">
            <v>-1304545.3682988801</v>
          </cell>
          <cell r="Y55">
            <v>-1346945.3682988801</v>
          </cell>
          <cell r="Z55">
            <v>-1507855.3682988801</v>
          </cell>
          <cell r="AA55">
            <v>-1486855.3682988801</v>
          </cell>
          <cell r="AB55">
            <v>-1486855.3682988801</v>
          </cell>
          <cell r="AC55">
            <v>-1564055.3682988801</v>
          </cell>
          <cell r="AD55">
            <v>-1564055.3682988801</v>
          </cell>
          <cell r="AE55">
            <v>-1564055.3682988801</v>
          </cell>
          <cell r="AF55">
            <v>-1564055.3682988801</v>
          </cell>
          <cell r="AG55">
            <v>-1564055.3682988801</v>
          </cell>
          <cell r="AH55">
            <v>-1564055.3682988801</v>
          </cell>
          <cell r="AI55">
            <v>-1564055.3682988801</v>
          </cell>
          <cell r="AJ55">
            <v>-1564055.3682988801</v>
          </cell>
          <cell r="AK55">
            <v>-1564055.3682988801</v>
          </cell>
          <cell r="AL55">
            <v>-1564055.3682988801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</row>
        <row r="56">
          <cell r="C56">
            <v>99</v>
          </cell>
          <cell r="D56" t="str">
            <v>Income tax on operations</v>
          </cell>
          <cell r="E56" t="str">
            <v>Constant EUR</v>
          </cell>
          <cell r="G56">
            <v>2353783.0071895244</v>
          </cell>
          <cell r="H56">
            <v>0</v>
          </cell>
          <cell r="I56">
            <v>0</v>
          </cell>
          <cell r="J56">
            <v>15916.666666666666</v>
          </cell>
          <cell r="K56">
            <v>35159.666666666672</v>
          </cell>
          <cell r="L56">
            <v>111431.7403264427</v>
          </cell>
          <cell r="M56">
            <v>145251.7403264427</v>
          </cell>
          <cell r="N56">
            <v>214985.74032644267</v>
          </cell>
          <cell r="O56">
            <v>242739.07365977601</v>
          </cell>
          <cell r="P56">
            <v>276559.07365977601</v>
          </cell>
          <cell r="Q56">
            <v>276559.07365977601</v>
          </cell>
          <cell r="R56">
            <v>276559.07365977601</v>
          </cell>
          <cell r="S56">
            <v>276559.07365977601</v>
          </cell>
          <cell r="T56">
            <v>260909.07365977601</v>
          </cell>
          <cell r="U56">
            <v>260909.07365977601</v>
          </cell>
          <cell r="V56">
            <v>260909.07365977601</v>
          </cell>
          <cell r="W56">
            <v>260909.07365977601</v>
          </cell>
          <cell r="X56">
            <v>260909.07365977601</v>
          </cell>
          <cell r="Y56">
            <v>269389.07365977601</v>
          </cell>
          <cell r="Z56">
            <v>301571.07365977601</v>
          </cell>
          <cell r="AA56">
            <v>297371.07365977601</v>
          </cell>
          <cell r="AB56">
            <v>297371.07365977601</v>
          </cell>
          <cell r="AC56">
            <v>312811.07365977601</v>
          </cell>
          <cell r="AD56">
            <v>312811.07365977601</v>
          </cell>
          <cell r="AE56">
            <v>312811.07365977601</v>
          </cell>
          <cell r="AF56">
            <v>312811.07365977601</v>
          </cell>
          <cell r="AG56">
            <v>312811.07365977601</v>
          </cell>
          <cell r="AH56">
            <v>312811.07365977601</v>
          </cell>
          <cell r="AI56">
            <v>312811.07365977601</v>
          </cell>
          <cell r="AJ56">
            <v>312811.07365977601</v>
          </cell>
          <cell r="AK56">
            <v>312811.07365977601</v>
          </cell>
          <cell r="AL56">
            <v>312811.07365977601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</row>
        <row r="57">
          <cell r="C57">
            <v>100</v>
          </cell>
          <cell r="D57" t="str">
            <v>Tax savings on depreciation and amortization</v>
          </cell>
          <cell r="E57" t="str">
            <v>Constant EUR</v>
          </cell>
          <cell r="G57">
            <v>1210916.6465475871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335684.70638569421</v>
          </cell>
          <cell r="R57">
            <v>335684.70638569421</v>
          </cell>
          <cell r="S57">
            <v>335684.70638569421</v>
          </cell>
          <cell r="T57">
            <v>335684.70638569421</v>
          </cell>
          <cell r="U57">
            <v>335684.70638569421</v>
          </cell>
          <cell r="V57">
            <v>182054.20765545528</v>
          </cell>
          <cell r="W57">
            <v>182054.20765545528</v>
          </cell>
          <cell r="X57">
            <v>182054.20765545528</v>
          </cell>
          <cell r="Y57">
            <v>182054.20765545528</v>
          </cell>
          <cell r="Z57">
            <v>182054.20765545528</v>
          </cell>
          <cell r="AA57">
            <v>182054.20765545528</v>
          </cell>
          <cell r="AB57">
            <v>182054.20765545528</v>
          </cell>
          <cell r="AC57">
            <v>38707.816467143573</v>
          </cell>
          <cell r="AD57">
            <v>38707.816467143573</v>
          </cell>
          <cell r="AE57">
            <v>38707.816467143573</v>
          </cell>
          <cell r="AF57">
            <v>38707.816467143573</v>
          </cell>
          <cell r="AG57">
            <v>38707.816467143573</v>
          </cell>
          <cell r="AH57">
            <v>38707.816467143573</v>
          </cell>
          <cell r="AI57">
            <v>38707.816467143573</v>
          </cell>
          <cell r="AJ57">
            <v>38707.816467143573</v>
          </cell>
          <cell r="AK57">
            <v>38707.816467143573</v>
          </cell>
          <cell r="AL57">
            <v>38707.816467143573</v>
          </cell>
          <cell r="AM57">
            <v>38707.816467143573</v>
          </cell>
          <cell r="AN57">
            <v>38707.816467143573</v>
          </cell>
          <cell r="AO57">
            <v>38707.816467143573</v>
          </cell>
          <cell r="AP57">
            <v>38707.816467143573</v>
          </cell>
        </row>
        <row r="58">
          <cell r="C58">
            <v>101</v>
          </cell>
          <cell r="D58" t="str">
            <v>Residual value of investments</v>
          </cell>
          <cell r="E58" t="str">
            <v>Constant EUR</v>
          </cell>
          <cell r="G58">
            <v>737315.46779245185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5612633.3877358167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</row>
        <row r="59">
          <cell r="C59">
            <v>102</v>
          </cell>
          <cell r="D59" t="str">
            <v>DISCOUNTED NET REVENUES (DNR)</v>
          </cell>
          <cell r="E59" t="str">
            <v>Constant EUR</v>
          </cell>
          <cell r="G59">
            <v>-7466899.9144180594</v>
          </cell>
          <cell r="H59">
            <v>0</v>
          </cell>
          <cell r="I59">
            <v>0</v>
          </cell>
          <cell r="J59">
            <v>-63666.666666666664</v>
          </cell>
          <cell r="K59">
            <v>-140638.66666666669</v>
          </cell>
          <cell r="L59">
            <v>-445726.96130577073</v>
          </cell>
          <cell r="M59">
            <v>-581006.96130577079</v>
          </cell>
          <cell r="N59">
            <v>-859942.96130577067</v>
          </cell>
          <cell r="O59">
            <v>-970956.29463910405</v>
          </cell>
          <cell r="P59">
            <v>-1106236.294639104</v>
          </cell>
          <cell r="Q59">
            <v>-770551.58825340983</v>
          </cell>
          <cell r="R59">
            <v>-770551.58825340983</v>
          </cell>
          <cell r="S59">
            <v>-770551.58825340983</v>
          </cell>
          <cell r="T59">
            <v>-707951.58825340983</v>
          </cell>
          <cell r="U59">
            <v>-707951.58825340983</v>
          </cell>
          <cell r="V59">
            <v>-861582.08698364883</v>
          </cell>
          <cell r="W59">
            <v>-861582.08698364883</v>
          </cell>
          <cell r="X59">
            <v>-861582.08698364883</v>
          </cell>
          <cell r="Y59">
            <v>-895502.08698364883</v>
          </cell>
          <cell r="Z59">
            <v>-1024230.0869836488</v>
          </cell>
          <cell r="AA59">
            <v>-1007430.0869836488</v>
          </cell>
          <cell r="AB59">
            <v>-1007430.0869836488</v>
          </cell>
          <cell r="AC59">
            <v>-1212536.4781719605</v>
          </cell>
          <cell r="AD59">
            <v>-1212536.4781719605</v>
          </cell>
          <cell r="AE59">
            <v>-1212536.4781719605</v>
          </cell>
          <cell r="AF59">
            <v>-1212536.4781719605</v>
          </cell>
          <cell r="AG59">
            <v>-1212536.4781719605</v>
          </cell>
          <cell r="AH59">
            <v>-1212536.4781719605</v>
          </cell>
          <cell r="AI59">
            <v>-1212536.4781719605</v>
          </cell>
          <cell r="AJ59">
            <v>-1212536.4781719605</v>
          </cell>
          <cell r="AK59">
            <v>4400096.9095638562</v>
          </cell>
          <cell r="AL59">
            <v>-1212536.4781719605</v>
          </cell>
          <cell r="AM59">
            <v>38707.816467143573</v>
          </cell>
          <cell r="AN59">
            <v>38707.816467143573</v>
          </cell>
          <cell r="AO59">
            <v>38707.816467143573</v>
          </cell>
          <cell r="AP59">
            <v>38707.816467143573</v>
          </cell>
        </row>
        <row r="62">
          <cell r="C62">
            <v>103</v>
          </cell>
          <cell r="D62" t="str">
            <v>ELIGIBLE COST (EC, from project cost table):</v>
          </cell>
          <cell r="G62">
            <v>27375485.555509269</v>
          </cell>
        </row>
        <row r="64">
          <cell r="C64">
            <v>104</v>
          </cell>
          <cell r="D64" t="str">
            <v>ELIGIBLE EXPENDITURE (EE = DIC-DNR):</v>
          </cell>
          <cell r="G64">
            <v>22942884.634928551</v>
          </cell>
        </row>
        <row r="66">
          <cell r="C66">
            <v>105</v>
          </cell>
          <cell r="D66" t="str">
            <v>FUNDING GAP RATE (R = EE / DIC):</v>
          </cell>
          <cell r="G66">
            <v>1.4824830244580234</v>
          </cell>
        </row>
        <row r="68">
          <cell r="C68">
            <v>106</v>
          </cell>
          <cell r="D68" t="str">
            <v>DECISION AMOUNT (DA = R x EC):</v>
          </cell>
          <cell r="G68">
            <v>40583693</v>
          </cell>
        </row>
        <row r="70">
          <cell r="C70">
            <v>107</v>
          </cell>
          <cell r="D70" t="str">
            <v>EU GRANT ( = DA x Max Co-Financing Rate):</v>
          </cell>
          <cell r="G70">
            <v>34496139</v>
          </cell>
        </row>
        <row r="73">
          <cell r="C73" t="str">
            <v>FRR/C</v>
          </cell>
        </row>
        <row r="77">
          <cell r="D77" t="str">
            <v>FRR/C before Community assistance</v>
          </cell>
          <cell r="G77" t="str">
            <v>NPV @ 07%</v>
          </cell>
        </row>
        <row r="78">
          <cell r="C78">
            <v>108</v>
          </cell>
          <cell r="D78" t="str">
            <v>Total investment (w/o contingencies)</v>
          </cell>
          <cell r="E78" t="str">
            <v>Constant EUR</v>
          </cell>
          <cell r="G78">
            <v>-15475984.72051049</v>
          </cell>
          <cell r="H78">
            <v>-125284.74246841595</v>
          </cell>
          <cell r="I78">
            <v>-87810.634457864784</v>
          </cell>
          <cell r="J78">
            <v>-2651672.2712453296</v>
          </cell>
          <cell r="K78">
            <v>-3844394.542877343</v>
          </cell>
          <cell r="L78">
            <v>-5310022.3774648542</v>
          </cell>
          <cell r="M78">
            <v>-4717320.3405785961</v>
          </cell>
          <cell r="N78">
            <v>-3564402.0731901648</v>
          </cell>
          <cell r="O78">
            <v>-1236268.3163399226</v>
          </cell>
          <cell r="P78">
            <v>-581324.75771807518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</row>
        <row r="79">
          <cell r="C79">
            <v>109</v>
          </cell>
          <cell r="D79" t="str">
            <v>Revenues</v>
          </cell>
          <cell r="E79" t="str">
            <v>Constant EUR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</row>
        <row r="80">
          <cell r="C80">
            <v>110</v>
          </cell>
          <cell r="D80" t="str">
            <v>O&amp;M costs</v>
          </cell>
          <cell r="E80" t="str">
            <v>Constant EUR</v>
          </cell>
          <cell r="G80">
            <v>-11768915.035947619</v>
          </cell>
          <cell r="H80">
            <v>0</v>
          </cell>
          <cell r="I80">
            <v>0</v>
          </cell>
          <cell r="J80">
            <v>-79583.333333333328</v>
          </cell>
          <cell r="K80">
            <v>-175798.33333333334</v>
          </cell>
          <cell r="L80">
            <v>-557158.70163221343</v>
          </cell>
          <cell r="M80">
            <v>-726258.70163221343</v>
          </cell>
          <cell r="N80">
            <v>-1074928.7016322133</v>
          </cell>
          <cell r="O80">
            <v>-1213695.3682988801</v>
          </cell>
          <cell r="P80">
            <v>-1382795.3682988801</v>
          </cell>
          <cell r="Q80">
            <v>-1382795.3682988801</v>
          </cell>
          <cell r="R80">
            <v>-1382795.3682988801</v>
          </cell>
          <cell r="S80">
            <v>-1382795.3682988801</v>
          </cell>
          <cell r="T80">
            <v>-1304545.3682988801</v>
          </cell>
          <cell r="U80">
            <v>-1304545.3682988801</v>
          </cell>
          <cell r="V80">
            <v>-1304545.3682988801</v>
          </cell>
          <cell r="W80">
            <v>-1304545.3682988801</v>
          </cell>
          <cell r="X80">
            <v>-1304545.3682988801</v>
          </cell>
          <cell r="Y80">
            <v>-1346945.3682988801</v>
          </cell>
          <cell r="Z80">
            <v>-1507855.3682988801</v>
          </cell>
          <cell r="AA80">
            <v>-1486855.3682988801</v>
          </cell>
          <cell r="AB80">
            <v>-1486855.3682988801</v>
          </cell>
          <cell r="AC80">
            <v>-1564055.3682988801</v>
          </cell>
          <cell r="AD80">
            <v>-1564055.3682988801</v>
          </cell>
          <cell r="AE80">
            <v>-1564055.3682988801</v>
          </cell>
          <cell r="AF80">
            <v>-1564055.3682988801</v>
          </cell>
          <cell r="AG80">
            <v>-1564055.3682988801</v>
          </cell>
          <cell r="AH80">
            <v>-1564055.3682988801</v>
          </cell>
          <cell r="AI80">
            <v>-1564055.3682988801</v>
          </cell>
          <cell r="AJ80">
            <v>-1564055.3682988801</v>
          </cell>
          <cell r="AK80">
            <v>-1564055.3682988801</v>
          </cell>
          <cell r="AL80">
            <v>-1564055.3682988801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</row>
        <row r="81">
          <cell r="C81">
            <v>111</v>
          </cell>
          <cell r="D81" t="str">
            <v>Income tax on operations</v>
          </cell>
          <cell r="E81" t="str">
            <v>Constant EUR</v>
          </cell>
          <cell r="G81">
            <v>2353783.0071895244</v>
          </cell>
          <cell r="H81">
            <v>0</v>
          </cell>
          <cell r="I81">
            <v>0</v>
          </cell>
          <cell r="J81">
            <v>15916.666666666666</v>
          </cell>
          <cell r="K81">
            <v>35159.666666666672</v>
          </cell>
          <cell r="L81">
            <v>111431.7403264427</v>
          </cell>
          <cell r="M81">
            <v>145251.7403264427</v>
          </cell>
          <cell r="N81">
            <v>214985.74032644267</v>
          </cell>
          <cell r="O81">
            <v>242739.07365977601</v>
          </cell>
          <cell r="P81">
            <v>276559.07365977601</v>
          </cell>
          <cell r="Q81">
            <v>276559.07365977601</v>
          </cell>
          <cell r="R81">
            <v>276559.07365977601</v>
          </cell>
          <cell r="S81">
            <v>276559.07365977601</v>
          </cell>
          <cell r="T81">
            <v>260909.07365977601</v>
          </cell>
          <cell r="U81">
            <v>260909.07365977601</v>
          </cell>
          <cell r="V81">
            <v>260909.07365977601</v>
          </cell>
          <cell r="W81">
            <v>260909.07365977601</v>
          </cell>
          <cell r="X81">
            <v>260909.07365977601</v>
          </cell>
          <cell r="Y81">
            <v>269389.07365977601</v>
          </cell>
          <cell r="Z81">
            <v>301571.07365977601</v>
          </cell>
          <cell r="AA81">
            <v>297371.07365977601</v>
          </cell>
          <cell r="AB81">
            <v>297371.07365977601</v>
          </cell>
          <cell r="AC81">
            <v>312811.07365977601</v>
          </cell>
          <cell r="AD81">
            <v>312811.07365977601</v>
          </cell>
          <cell r="AE81">
            <v>312811.07365977601</v>
          </cell>
          <cell r="AF81">
            <v>312811.07365977601</v>
          </cell>
          <cell r="AG81">
            <v>312811.07365977601</v>
          </cell>
          <cell r="AH81">
            <v>312811.07365977601</v>
          </cell>
          <cell r="AI81">
            <v>312811.07365977601</v>
          </cell>
          <cell r="AJ81">
            <v>312811.07365977601</v>
          </cell>
          <cell r="AK81">
            <v>312811.07365977601</v>
          </cell>
          <cell r="AL81">
            <v>312811.07365977601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</row>
        <row r="82">
          <cell r="C82">
            <v>112</v>
          </cell>
          <cell r="D82" t="str">
            <v>Tax savings of depreciation and amortization</v>
          </cell>
          <cell r="E82" t="str">
            <v>Constant EUR</v>
          </cell>
          <cell r="G82">
            <v>1210916.6465475871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335684.70638569421</v>
          </cell>
          <cell r="R82">
            <v>335684.70638569421</v>
          </cell>
          <cell r="S82">
            <v>335684.70638569421</v>
          </cell>
          <cell r="T82">
            <v>335684.70638569421</v>
          </cell>
          <cell r="U82">
            <v>335684.70638569421</v>
          </cell>
          <cell r="V82">
            <v>182054.20765545528</v>
          </cell>
          <cell r="W82">
            <v>182054.20765545528</v>
          </cell>
          <cell r="X82">
            <v>182054.20765545528</v>
          </cell>
          <cell r="Y82">
            <v>182054.20765545528</v>
          </cell>
          <cell r="Z82">
            <v>182054.20765545528</v>
          </cell>
          <cell r="AA82">
            <v>182054.20765545528</v>
          </cell>
          <cell r="AB82">
            <v>182054.20765545528</v>
          </cell>
          <cell r="AC82">
            <v>38707.816467143573</v>
          </cell>
          <cell r="AD82">
            <v>38707.816467143573</v>
          </cell>
          <cell r="AE82">
            <v>38707.816467143573</v>
          </cell>
          <cell r="AF82">
            <v>38707.816467143573</v>
          </cell>
          <cell r="AG82">
            <v>38707.816467143573</v>
          </cell>
          <cell r="AH82">
            <v>38707.816467143573</v>
          </cell>
          <cell r="AI82">
            <v>38707.816467143573</v>
          </cell>
          <cell r="AJ82">
            <v>38707.816467143573</v>
          </cell>
          <cell r="AK82">
            <v>38707.816467143573</v>
          </cell>
          <cell r="AL82">
            <v>38707.816467143573</v>
          </cell>
          <cell r="AM82">
            <v>38707.816467143573</v>
          </cell>
          <cell r="AN82">
            <v>38707.816467143573</v>
          </cell>
          <cell r="AO82">
            <v>38707.816467143573</v>
          </cell>
          <cell r="AP82">
            <v>38707.816467143573</v>
          </cell>
        </row>
        <row r="83">
          <cell r="C83">
            <v>113</v>
          </cell>
          <cell r="D83" t="str">
            <v>Residual value of investments</v>
          </cell>
          <cell r="E83" t="str">
            <v>Constant EUR</v>
          </cell>
          <cell r="G83">
            <v>737315.46779245185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5612633.3877358167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</row>
        <row r="84">
          <cell r="C84">
            <v>114</v>
          </cell>
          <cell r="D84" t="str">
            <v>PROJECT CASH-FLOW before Community assistance</v>
          </cell>
          <cell r="E84" t="str">
            <v>Constant EUR</v>
          </cell>
          <cell r="G84">
            <v>-29823951.835781675</v>
          </cell>
          <cell r="H84">
            <v>-125284.74246841595</v>
          </cell>
          <cell r="I84">
            <v>-87810.634457864784</v>
          </cell>
          <cell r="J84">
            <v>-2715338.9379119966</v>
          </cell>
          <cell r="K84">
            <v>-3985033.20954401</v>
          </cell>
          <cell r="L84">
            <v>-5755749.3387706252</v>
          </cell>
          <cell r="M84">
            <v>-5298327.3018843671</v>
          </cell>
          <cell r="N84">
            <v>-4424345.0344959358</v>
          </cell>
          <cell r="O84">
            <v>-2207224.6109790271</v>
          </cell>
          <cell r="P84">
            <v>-1687561.0523571793</v>
          </cell>
          <cell r="Q84">
            <v>-770551.58825340983</v>
          </cell>
          <cell r="R84">
            <v>-770551.58825340983</v>
          </cell>
          <cell r="S84">
            <v>-770551.58825340983</v>
          </cell>
          <cell r="T84">
            <v>-707951.58825340983</v>
          </cell>
          <cell r="U84">
            <v>-707951.58825340983</v>
          </cell>
          <cell r="V84">
            <v>-861582.08698364883</v>
          </cell>
          <cell r="W84">
            <v>-861582.08698364883</v>
          </cell>
          <cell r="X84">
            <v>-861582.08698364883</v>
          </cell>
          <cell r="Y84">
            <v>-895502.08698364883</v>
          </cell>
          <cell r="Z84">
            <v>-1024230.0869836488</v>
          </cell>
          <cell r="AA84">
            <v>-1007430.0869836488</v>
          </cell>
          <cell r="AB84">
            <v>-1007430.0869836488</v>
          </cell>
          <cell r="AC84">
            <v>-1212536.4781719605</v>
          </cell>
          <cell r="AD84">
            <v>-1212536.4781719605</v>
          </cell>
          <cell r="AE84">
            <v>-1212536.4781719605</v>
          </cell>
          <cell r="AF84">
            <v>-1212536.4781719605</v>
          </cell>
          <cell r="AG84">
            <v>-1212536.4781719605</v>
          </cell>
          <cell r="AH84">
            <v>-1212536.4781719605</v>
          </cell>
          <cell r="AI84">
            <v>-1212536.4781719605</v>
          </cell>
          <cell r="AJ84">
            <v>-1212536.4781719605</v>
          </cell>
          <cell r="AK84">
            <v>4400096.9095638562</v>
          </cell>
          <cell r="AL84">
            <v>-1212536.4781719605</v>
          </cell>
          <cell r="AM84">
            <v>38707.816467143573</v>
          </cell>
          <cell r="AN84">
            <v>38707.816467143573</v>
          </cell>
          <cell r="AO84">
            <v>38707.816467143573</v>
          </cell>
          <cell r="AP84">
            <v>38707.816467143573</v>
          </cell>
        </row>
        <row r="87">
          <cell r="C87">
            <v>115</v>
          </cell>
          <cell r="D87" t="str">
            <v>FRR/C before Community assistance</v>
          </cell>
          <cell r="G87" t="e">
            <v>#DIV/0!</v>
          </cell>
        </row>
        <row r="89">
          <cell r="D89" t="str">
            <v>FRR/C after Community assistance</v>
          </cell>
          <cell r="G89" t="str">
            <v>NPV @ 07%</v>
          </cell>
        </row>
        <row r="90">
          <cell r="C90">
            <v>116</v>
          </cell>
          <cell r="D90" t="str">
            <v>PROJECT CASH-FLOW before Community assistance</v>
          </cell>
          <cell r="E90" t="str">
            <v>Constant EUR</v>
          </cell>
          <cell r="G90">
            <v>-22942884.634928543</v>
          </cell>
          <cell r="H90">
            <v>-125284.74246841595</v>
          </cell>
          <cell r="I90">
            <v>-87810.634457864784</v>
          </cell>
          <cell r="J90">
            <v>-2715338.9379119966</v>
          </cell>
          <cell r="K90">
            <v>-3985033.20954401</v>
          </cell>
          <cell r="L90">
            <v>-5755749.3387706252</v>
          </cell>
          <cell r="M90">
            <v>-5298327.3018843671</v>
          </cell>
          <cell r="N90">
            <v>-4424345.0344959358</v>
          </cell>
          <cell r="O90">
            <v>-2207224.6109790271</v>
          </cell>
          <cell r="P90">
            <v>-1687561.0523571793</v>
          </cell>
          <cell r="Q90">
            <v>-770551.58825340983</v>
          </cell>
          <cell r="R90">
            <v>-770551.58825340983</v>
          </cell>
          <cell r="S90">
            <v>-770551.58825340983</v>
          </cell>
          <cell r="T90">
            <v>-707951.58825340983</v>
          </cell>
          <cell r="U90">
            <v>-707951.58825340983</v>
          </cell>
          <cell r="V90">
            <v>-861582.08698364883</v>
          </cell>
          <cell r="W90">
            <v>-861582.08698364883</v>
          </cell>
          <cell r="X90">
            <v>-861582.08698364883</v>
          </cell>
          <cell r="Y90">
            <v>-895502.08698364883</v>
          </cell>
          <cell r="Z90">
            <v>-1024230.0869836488</v>
          </cell>
          <cell r="AA90">
            <v>-1007430.0869836488</v>
          </cell>
          <cell r="AB90">
            <v>-1007430.0869836488</v>
          </cell>
          <cell r="AC90">
            <v>-1212536.4781719605</v>
          </cell>
          <cell r="AD90">
            <v>-1212536.4781719605</v>
          </cell>
          <cell r="AE90">
            <v>-1212536.4781719605</v>
          </cell>
          <cell r="AF90">
            <v>-1212536.4781719605</v>
          </cell>
          <cell r="AG90">
            <v>-1212536.4781719605</v>
          </cell>
          <cell r="AH90">
            <v>-1212536.4781719605</v>
          </cell>
          <cell r="AI90">
            <v>-1212536.4781719605</v>
          </cell>
          <cell r="AJ90">
            <v>-1212536.4781719605</v>
          </cell>
          <cell r="AK90">
            <v>4400096.9095638562</v>
          </cell>
          <cell r="AL90">
            <v>-1212536.4781719605</v>
          </cell>
          <cell r="AM90">
            <v>38707.816467143573</v>
          </cell>
          <cell r="AN90">
            <v>38707.816467143573</v>
          </cell>
          <cell r="AO90">
            <v>38707.816467143573</v>
          </cell>
          <cell r="AP90">
            <v>38707.816467143573</v>
          </cell>
        </row>
        <row r="91">
          <cell r="C91">
            <v>117</v>
          </cell>
          <cell r="D91" t="str">
            <v>Community assistance</v>
          </cell>
          <cell r="E91" t="str">
            <v>Constant EUR</v>
          </cell>
          <cell r="G91">
            <v>24136434.148823187</v>
          </cell>
          <cell r="H91">
            <v>195394.79981739385</v>
          </cell>
          <cell r="I91">
            <v>136949.96696072764</v>
          </cell>
          <cell r="J91">
            <v>4135563.2171406117</v>
          </cell>
          <cell r="K91">
            <v>5995739.6832576767</v>
          </cell>
          <cell r="L91">
            <v>8281541.2238420947</v>
          </cell>
          <cell r="M91">
            <v>7357159.7423704164</v>
          </cell>
          <cell r="N91">
            <v>5559061.8285803925</v>
          </cell>
          <cell r="O91">
            <v>1928091.1261219431</v>
          </cell>
          <cell r="P91">
            <v>906637.41190874518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</row>
        <row r="92">
          <cell r="C92">
            <v>118</v>
          </cell>
          <cell r="D92" t="str">
            <v>PROJECT CASH-FLOW after Community assistance</v>
          </cell>
          <cell r="E92" t="str">
            <v>Constant EUR</v>
          </cell>
          <cell r="G92">
            <v>-28555250.6561573</v>
          </cell>
          <cell r="H92">
            <v>70110.057348977905</v>
          </cell>
          <cell r="I92">
            <v>49139.332502862861</v>
          </cell>
          <cell r="J92">
            <v>1420224.2792286151</v>
          </cell>
          <cell r="K92">
            <v>2010706.4737136667</v>
          </cell>
          <cell r="L92">
            <v>2525791.8850714695</v>
          </cell>
          <cell r="M92">
            <v>2058832.4404860493</v>
          </cell>
          <cell r="N92">
            <v>1134716.7940844567</v>
          </cell>
          <cell r="O92">
            <v>-279133.484857084</v>
          </cell>
          <cell r="P92">
            <v>-780923.64044843416</v>
          </cell>
          <cell r="Q92">
            <v>-770551.58825340983</v>
          </cell>
          <cell r="R92">
            <v>-770551.58825340983</v>
          </cell>
          <cell r="S92">
            <v>-770551.58825340983</v>
          </cell>
          <cell r="T92">
            <v>-707951.58825340983</v>
          </cell>
          <cell r="U92">
            <v>-707951.58825340983</v>
          </cell>
          <cell r="V92">
            <v>-861582.08698364883</v>
          </cell>
          <cell r="W92">
            <v>-861582.08698364883</v>
          </cell>
          <cell r="X92">
            <v>-861582.08698364883</v>
          </cell>
          <cell r="Y92">
            <v>-895502.08698364883</v>
          </cell>
          <cell r="Z92">
            <v>-1024230.0869836488</v>
          </cell>
          <cell r="AA92">
            <v>-1007430.0869836488</v>
          </cell>
          <cell r="AB92">
            <v>-1007430.0869836488</v>
          </cell>
          <cell r="AC92">
            <v>-1212536.4781719605</v>
          </cell>
          <cell r="AD92">
            <v>-1212536.4781719605</v>
          </cell>
          <cell r="AE92">
            <v>-1212536.4781719605</v>
          </cell>
          <cell r="AF92">
            <v>-1212536.4781719605</v>
          </cell>
          <cell r="AG92">
            <v>-1212536.4781719605</v>
          </cell>
          <cell r="AH92">
            <v>-1212536.4781719605</v>
          </cell>
          <cell r="AI92">
            <v>-1212536.4781719605</v>
          </cell>
          <cell r="AJ92">
            <v>-1212536.4781719605</v>
          </cell>
          <cell r="AK92">
            <v>4400096.9095638562</v>
          </cell>
          <cell r="AL92">
            <v>-1212536.4781719605</v>
          </cell>
          <cell r="AM92">
            <v>38707.816467143573</v>
          </cell>
          <cell r="AN92">
            <v>38707.816467143573</v>
          </cell>
          <cell r="AO92">
            <v>38707.816467143573</v>
          </cell>
          <cell r="AP92">
            <v>38707.816467143573</v>
          </cell>
        </row>
        <row r="95">
          <cell r="C95">
            <v>119</v>
          </cell>
          <cell r="D95" t="str">
            <v>FRR/C after Community assistance</v>
          </cell>
          <cell r="G95" t="e">
            <v>#DIV/0!</v>
          </cell>
        </row>
        <row r="98">
          <cell r="C98" t="str">
            <v>FRR/K</v>
          </cell>
        </row>
        <row r="102">
          <cell r="D102" t="str">
            <v>Loan Balance (loan #1)</v>
          </cell>
        </row>
        <row r="103">
          <cell r="C103">
            <v>120</v>
          </cell>
          <cell r="D103" t="str">
            <v>Beginning balance</v>
          </cell>
          <cell r="E103" t="str">
            <v>Constant EUR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</row>
        <row r="104">
          <cell r="C104">
            <v>121</v>
          </cell>
          <cell r="D104" t="str">
            <v>Loan disbursements</v>
          </cell>
          <cell r="E104" t="str">
            <v>Constant EUR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</row>
        <row r="105">
          <cell r="C105">
            <v>122</v>
          </cell>
          <cell r="D105" t="str">
            <v>Principal repayments</v>
          </cell>
          <cell r="E105" t="str">
            <v>Constant EUR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</row>
        <row r="106">
          <cell r="C106">
            <v>123</v>
          </cell>
          <cell r="D106" t="str">
            <v>Ending balance</v>
          </cell>
          <cell r="E106" t="str">
            <v>Constant EUR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</row>
        <row r="108">
          <cell r="D108" t="str">
            <v>Loan Balance (loan #2)</v>
          </cell>
        </row>
        <row r="109">
          <cell r="C109">
            <v>124</v>
          </cell>
          <cell r="D109" t="str">
            <v>Beginning balance</v>
          </cell>
          <cell r="E109" t="str">
            <v>Constant EUR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</row>
        <row r="110">
          <cell r="C110">
            <v>125</v>
          </cell>
          <cell r="D110" t="str">
            <v>Loan disbursements</v>
          </cell>
          <cell r="E110" t="str">
            <v>Constant EUR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</row>
        <row r="111">
          <cell r="C111">
            <v>126</v>
          </cell>
          <cell r="D111" t="str">
            <v>Principal repayments</v>
          </cell>
          <cell r="E111" t="str">
            <v>Constant EUR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</row>
        <row r="112">
          <cell r="C112">
            <v>127</v>
          </cell>
          <cell r="D112" t="str">
            <v>Ending balance</v>
          </cell>
          <cell r="E112" t="str">
            <v>Constant EUR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</row>
        <row r="114">
          <cell r="D114" t="str">
            <v>FRR/K before Community assistance</v>
          </cell>
          <cell r="G114" t="str">
            <v>NPV @ 07%</v>
          </cell>
        </row>
        <row r="115">
          <cell r="C115">
            <v>128</v>
          </cell>
          <cell r="D115" t="str">
            <v>PROJECT CASH-FLOW before Community assistance</v>
          </cell>
          <cell r="E115" t="str">
            <v>Constant EUR</v>
          </cell>
          <cell r="G115">
            <v>-22942884.634928543</v>
          </cell>
          <cell r="H115">
            <v>-125284.74246841595</v>
          </cell>
          <cell r="I115">
            <v>-87810.634457864784</v>
          </cell>
          <cell r="J115">
            <v>-2715338.9379119966</v>
          </cell>
          <cell r="K115">
            <v>-3985033.20954401</v>
          </cell>
          <cell r="L115">
            <v>-5755749.3387706252</v>
          </cell>
          <cell r="M115">
            <v>-5298327.3018843671</v>
          </cell>
          <cell r="N115">
            <v>-4424345.0344959358</v>
          </cell>
          <cell r="O115">
            <v>-2207224.6109790271</v>
          </cell>
          <cell r="P115">
            <v>-1687561.0523571793</v>
          </cell>
          <cell r="Q115">
            <v>-770551.58825340983</v>
          </cell>
          <cell r="R115">
            <v>-770551.58825340983</v>
          </cell>
          <cell r="S115">
            <v>-770551.58825340983</v>
          </cell>
          <cell r="T115">
            <v>-707951.58825340983</v>
          </cell>
          <cell r="U115">
            <v>-707951.58825340983</v>
          </cell>
          <cell r="V115">
            <v>-861582.08698364883</v>
          </cell>
          <cell r="W115">
            <v>-861582.08698364883</v>
          </cell>
          <cell r="X115">
            <v>-861582.08698364883</v>
          </cell>
          <cell r="Y115">
            <v>-895502.08698364883</v>
          </cell>
          <cell r="Z115">
            <v>-1024230.0869836488</v>
          </cell>
          <cell r="AA115">
            <v>-1007430.0869836488</v>
          </cell>
          <cell r="AB115">
            <v>-1007430.0869836488</v>
          </cell>
          <cell r="AC115">
            <v>-1212536.4781719605</v>
          </cell>
          <cell r="AD115">
            <v>-1212536.4781719605</v>
          </cell>
          <cell r="AE115">
            <v>-1212536.4781719605</v>
          </cell>
          <cell r="AF115">
            <v>-1212536.4781719605</v>
          </cell>
          <cell r="AG115">
            <v>-1212536.4781719605</v>
          </cell>
          <cell r="AH115">
            <v>-1212536.4781719605</v>
          </cell>
          <cell r="AI115">
            <v>-1212536.4781719605</v>
          </cell>
          <cell r="AJ115">
            <v>-1212536.4781719605</v>
          </cell>
          <cell r="AK115">
            <v>4400096.9095638562</v>
          </cell>
          <cell r="AL115">
            <v>-1212536.4781719605</v>
          </cell>
          <cell r="AM115">
            <v>38707.816467143573</v>
          </cell>
          <cell r="AN115">
            <v>38707.816467143573</v>
          </cell>
          <cell r="AO115">
            <v>38707.816467143573</v>
          </cell>
          <cell r="AP115">
            <v>38707.816467143573</v>
          </cell>
        </row>
        <row r="116">
          <cell r="C116">
            <v>129</v>
          </cell>
          <cell r="D116" t="str">
            <v>Loan disbursements</v>
          </cell>
          <cell r="E116" t="str">
            <v>Constant EUR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</row>
        <row r="117">
          <cell r="C117">
            <v>130</v>
          </cell>
          <cell r="D117" t="str">
            <v>Interest payments</v>
          </cell>
          <cell r="E117" t="str">
            <v>Constant EUR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</row>
        <row r="118">
          <cell r="C118">
            <v>131</v>
          </cell>
          <cell r="D118" t="str">
            <v>Principal repayments</v>
          </cell>
          <cell r="E118" t="str">
            <v>Constant EUR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</row>
        <row r="119">
          <cell r="C119">
            <v>132</v>
          </cell>
          <cell r="D119" t="str">
            <v>Loan fees</v>
          </cell>
          <cell r="E119" t="str">
            <v>Constant EUR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</row>
        <row r="120">
          <cell r="C120">
            <v>133</v>
          </cell>
          <cell r="D120" t="str">
            <v>Tax savings of interest and loan fees</v>
          </cell>
          <cell r="E120" t="str">
            <v>Constant EUR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</row>
        <row r="121">
          <cell r="C121">
            <v>134</v>
          </cell>
          <cell r="D121" t="str">
            <v>PROMOTER CASH-FLOW before Community assistance</v>
          </cell>
          <cell r="E121" t="str">
            <v>Constant EUR</v>
          </cell>
          <cell r="G121">
            <v>-29823951.835781675</v>
          </cell>
          <cell r="H121">
            <v>-125284.74246841595</v>
          </cell>
          <cell r="I121">
            <v>-87810.634457864784</v>
          </cell>
          <cell r="J121">
            <v>-2715338.9379119966</v>
          </cell>
          <cell r="K121">
            <v>-3985033.20954401</v>
          </cell>
          <cell r="L121">
            <v>-5755749.3387706252</v>
          </cell>
          <cell r="M121">
            <v>-5298327.3018843671</v>
          </cell>
          <cell r="N121">
            <v>-4424345.0344959358</v>
          </cell>
          <cell r="O121">
            <v>-2207224.6109790271</v>
          </cell>
          <cell r="P121">
            <v>-1687561.0523571793</v>
          </cell>
          <cell r="Q121">
            <v>-770551.58825340983</v>
          </cell>
          <cell r="R121">
            <v>-770551.58825340983</v>
          </cell>
          <cell r="S121">
            <v>-770551.58825340983</v>
          </cell>
          <cell r="T121">
            <v>-707951.58825340983</v>
          </cell>
          <cell r="U121">
            <v>-707951.58825340983</v>
          </cell>
          <cell r="V121">
            <v>-861582.08698364883</v>
          </cell>
          <cell r="W121">
            <v>-861582.08698364883</v>
          </cell>
          <cell r="X121">
            <v>-861582.08698364883</v>
          </cell>
          <cell r="Y121">
            <v>-895502.08698364883</v>
          </cell>
          <cell r="Z121">
            <v>-1024230.0869836488</v>
          </cell>
          <cell r="AA121">
            <v>-1007430.0869836488</v>
          </cell>
          <cell r="AB121">
            <v>-1007430.0869836488</v>
          </cell>
          <cell r="AC121">
            <v>-1212536.4781719605</v>
          </cell>
          <cell r="AD121">
            <v>-1212536.4781719605</v>
          </cell>
          <cell r="AE121">
            <v>-1212536.4781719605</v>
          </cell>
          <cell r="AF121">
            <v>-1212536.4781719605</v>
          </cell>
          <cell r="AG121">
            <v>-1212536.4781719605</v>
          </cell>
          <cell r="AH121">
            <v>-1212536.4781719605</v>
          </cell>
          <cell r="AI121">
            <v>-1212536.4781719605</v>
          </cell>
          <cell r="AJ121">
            <v>-1212536.4781719605</v>
          </cell>
          <cell r="AK121">
            <v>4400096.9095638562</v>
          </cell>
          <cell r="AL121">
            <v>-1212536.4781719605</v>
          </cell>
          <cell r="AM121">
            <v>38707.816467143573</v>
          </cell>
          <cell r="AN121">
            <v>38707.816467143573</v>
          </cell>
          <cell r="AO121">
            <v>38707.816467143573</v>
          </cell>
          <cell r="AP121">
            <v>38707.816467143573</v>
          </cell>
        </row>
        <row r="124">
          <cell r="C124">
            <v>135</v>
          </cell>
          <cell r="D124" t="str">
            <v>FRR/K before Community assistance</v>
          </cell>
          <cell r="G124" t="e">
            <v>#DIV/0!</v>
          </cell>
        </row>
        <row r="126">
          <cell r="D126" t="str">
            <v>FRR/K after Community assistance</v>
          </cell>
          <cell r="G126" t="str">
            <v>NPV @ 07%</v>
          </cell>
        </row>
        <row r="127">
          <cell r="C127">
            <v>136</v>
          </cell>
          <cell r="D127" t="str">
            <v>NET PROMOTER CASH-FLOW before Community assistance</v>
          </cell>
          <cell r="E127" t="str">
            <v>Constant EUR</v>
          </cell>
          <cell r="G127">
            <v>-22942884.634928543</v>
          </cell>
          <cell r="H127">
            <v>-125284.74246841595</v>
          </cell>
          <cell r="I127">
            <v>-87810.634457864784</v>
          </cell>
          <cell r="J127">
            <v>-2715338.9379119966</v>
          </cell>
          <cell r="K127">
            <v>-3985033.20954401</v>
          </cell>
          <cell r="L127">
            <v>-5755749.3387706252</v>
          </cell>
          <cell r="M127">
            <v>-5298327.3018843671</v>
          </cell>
          <cell r="N127">
            <v>-4424345.0344959358</v>
          </cell>
          <cell r="O127">
            <v>-2207224.6109790271</v>
          </cell>
          <cell r="P127">
            <v>-1687561.0523571793</v>
          </cell>
          <cell r="Q127">
            <v>-770551.58825340983</v>
          </cell>
          <cell r="R127">
            <v>-770551.58825340983</v>
          </cell>
          <cell r="S127">
            <v>-770551.58825340983</v>
          </cell>
          <cell r="T127">
            <v>-707951.58825340983</v>
          </cell>
          <cell r="U127">
            <v>-707951.58825340983</v>
          </cell>
          <cell r="V127">
            <v>-861582.08698364883</v>
          </cell>
          <cell r="W127">
            <v>-861582.08698364883</v>
          </cell>
          <cell r="X127">
            <v>-861582.08698364883</v>
          </cell>
          <cell r="Y127">
            <v>-895502.08698364883</v>
          </cell>
          <cell r="Z127">
            <v>-1024230.0869836488</v>
          </cell>
          <cell r="AA127">
            <v>-1007430.0869836488</v>
          </cell>
          <cell r="AB127">
            <v>-1007430.0869836488</v>
          </cell>
          <cell r="AC127">
            <v>-1212536.4781719605</v>
          </cell>
          <cell r="AD127">
            <v>-1212536.4781719605</v>
          </cell>
          <cell r="AE127">
            <v>-1212536.4781719605</v>
          </cell>
          <cell r="AF127">
            <v>-1212536.4781719605</v>
          </cell>
          <cell r="AG127">
            <v>-1212536.4781719605</v>
          </cell>
          <cell r="AH127">
            <v>-1212536.4781719605</v>
          </cell>
          <cell r="AI127">
            <v>-1212536.4781719605</v>
          </cell>
          <cell r="AJ127">
            <v>-1212536.4781719605</v>
          </cell>
          <cell r="AK127">
            <v>4400096.9095638562</v>
          </cell>
          <cell r="AL127">
            <v>-1212536.4781719605</v>
          </cell>
          <cell r="AM127">
            <v>38707.816467143573</v>
          </cell>
          <cell r="AN127">
            <v>38707.816467143573</v>
          </cell>
          <cell r="AO127">
            <v>38707.816467143573</v>
          </cell>
          <cell r="AP127">
            <v>38707.816467143573</v>
          </cell>
        </row>
        <row r="128">
          <cell r="C128">
            <v>137</v>
          </cell>
          <cell r="D128" t="str">
            <v>Community assistance</v>
          </cell>
          <cell r="E128" t="str">
            <v>Constant EUR</v>
          </cell>
          <cell r="G128">
            <v>24136434.148823187</v>
          </cell>
          <cell r="H128">
            <v>195394.79981739385</v>
          </cell>
          <cell r="I128">
            <v>136949.96696072764</v>
          </cell>
          <cell r="J128">
            <v>4135563.2171406117</v>
          </cell>
          <cell r="K128">
            <v>5995739.6832576767</v>
          </cell>
          <cell r="L128">
            <v>8281541.2238420947</v>
          </cell>
          <cell r="M128">
            <v>7357159.7423704164</v>
          </cell>
          <cell r="N128">
            <v>5559061.8285803925</v>
          </cell>
          <cell r="O128">
            <v>1928091.1261219431</v>
          </cell>
          <cell r="P128">
            <v>906637.41190874518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</row>
        <row r="129">
          <cell r="C129">
            <v>138</v>
          </cell>
          <cell r="D129" t="str">
            <v>PROMOTER CASH-FLOW after Community assistance</v>
          </cell>
          <cell r="E129" t="str">
            <v>Constant EUR</v>
          </cell>
          <cell r="G129">
            <v>-28555250.6561573</v>
          </cell>
          <cell r="H129">
            <v>70110.057348977905</v>
          </cell>
          <cell r="I129">
            <v>49139.332502862861</v>
          </cell>
          <cell r="J129">
            <v>1420224.2792286151</v>
          </cell>
          <cell r="K129">
            <v>2010706.4737136667</v>
          </cell>
          <cell r="L129">
            <v>2525791.8850714695</v>
          </cell>
          <cell r="M129">
            <v>2058832.4404860493</v>
          </cell>
          <cell r="N129">
            <v>1134716.7940844567</v>
          </cell>
          <cell r="O129">
            <v>-279133.484857084</v>
          </cell>
          <cell r="P129">
            <v>-780923.64044843416</v>
          </cell>
          <cell r="Q129">
            <v>-770551.58825340983</v>
          </cell>
          <cell r="R129">
            <v>-770551.58825340983</v>
          </cell>
          <cell r="S129">
            <v>-770551.58825340983</v>
          </cell>
          <cell r="T129">
            <v>-707951.58825340983</v>
          </cell>
          <cell r="U129">
            <v>-707951.58825340983</v>
          </cell>
          <cell r="V129">
            <v>-861582.08698364883</v>
          </cell>
          <cell r="W129">
            <v>-861582.08698364883</v>
          </cell>
          <cell r="X129">
            <v>-861582.08698364883</v>
          </cell>
          <cell r="Y129">
            <v>-895502.08698364883</v>
          </cell>
          <cell r="Z129">
            <v>-1024230.0869836488</v>
          </cell>
          <cell r="AA129">
            <v>-1007430.0869836488</v>
          </cell>
          <cell r="AB129">
            <v>-1007430.0869836488</v>
          </cell>
          <cell r="AC129">
            <v>-1212536.4781719605</v>
          </cell>
          <cell r="AD129">
            <v>-1212536.4781719605</v>
          </cell>
          <cell r="AE129">
            <v>-1212536.4781719605</v>
          </cell>
          <cell r="AF129">
            <v>-1212536.4781719605</v>
          </cell>
          <cell r="AG129">
            <v>-1212536.4781719605</v>
          </cell>
          <cell r="AH129">
            <v>-1212536.4781719605</v>
          </cell>
          <cell r="AI129">
            <v>-1212536.4781719605</v>
          </cell>
          <cell r="AJ129">
            <v>-1212536.4781719605</v>
          </cell>
          <cell r="AK129">
            <v>4400096.9095638562</v>
          </cell>
          <cell r="AL129">
            <v>-1212536.4781719605</v>
          </cell>
          <cell r="AM129">
            <v>38707.816467143573</v>
          </cell>
          <cell r="AN129">
            <v>38707.816467143573</v>
          </cell>
          <cell r="AO129">
            <v>38707.816467143573</v>
          </cell>
          <cell r="AP129">
            <v>38707.816467143573</v>
          </cell>
        </row>
        <row r="132">
          <cell r="C132">
            <v>139</v>
          </cell>
          <cell r="D132" t="str">
            <v>FRR/K after Community assistance</v>
          </cell>
          <cell r="G132" t="e">
            <v>#DIV/0!</v>
          </cell>
        </row>
        <row r="135">
          <cell r="C135" t="str">
            <v>ERR</v>
          </cell>
        </row>
        <row r="139">
          <cell r="D139" t="str">
            <v>Economic Benefits</v>
          </cell>
          <cell r="G139" t="str">
            <v>NPV @ 05%</v>
          </cell>
        </row>
        <row r="140">
          <cell r="C140">
            <v>140</v>
          </cell>
          <cell r="D140" t="str">
            <v>Zmanjšanje škode naravnih nesreč (razen suše)</v>
          </cell>
          <cell r="E140" t="str">
            <v>Constant EUR</v>
          </cell>
          <cell r="G140">
            <v>14727960.790506966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1542393.1468163512</v>
          </cell>
          <cell r="Q140">
            <v>1550105.1125504328</v>
          </cell>
          <cell r="R140">
            <v>1557855.6381131846</v>
          </cell>
          <cell r="S140">
            <v>1565644.9163037506</v>
          </cell>
          <cell r="T140">
            <v>1573473.1408852693</v>
          </cell>
          <cell r="U140">
            <v>1581340.5065896953</v>
          </cell>
          <cell r="V140">
            <v>1589247.2091226436</v>
          </cell>
          <cell r="W140">
            <v>1597193.4451682568</v>
          </cell>
          <cell r="X140">
            <v>1605179.4123940978</v>
          </cell>
          <cell r="Y140">
            <v>1613205.3094560681</v>
          </cell>
          <cell r="Z140">
            <v>1621271.3360033482</v>
          </cell>
          <cell r="AA140">
            <v>1629377.692683365</v>
          </cell>
          <cell r="AB140">
            <v>1637524.5811467816</v>
          </cell>
          <cell r="AC140">
            <v>1645712.2040525151</v>
          </cell>
          <cell r="AD140">
            <v>1653940.7650727774</v>
          </cell>
          <cell r="AE140">
            <v>1662210.4688981413</v>
          </cell>
          <cell r="AF140">
            <v>1670521.5212426318</v>
          </cell>
          <cell r="AG140">
            <v>1678874.1288488447</v>
          </cell>
          <cell r="AH140">
            <v>1687268.4994930888</v>
          </cell>
          <cell r="AI140">
            <v>1695704.841990554</v>
          </cell>
          <cell r="AJ140">
            <v>1704183.3662005067</v>
          </cell>
          <cell r="AK140">
            <v>1712704.2830315093</v>
          </cell>
          <cell r="AL140">
            <v>1721267.8044466665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</row>
        <row r="141">
          <cell r="C141">
            <v>141</v>
          </cell>
          <cell r="D141" t="str">
            <v>Zmanjšanje škode, ki jo povzroči suša</v>
          </cell>
          <cell r="E141" t="str">
            <v>Constant EUR</v>
          </cell>
          <cell r="G141">
            <v>8557988.8542841505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896239.7135037611</v>
          </cell>
          <cell r="Q141">
            <v>900720.91207127983</v>
          </cell>
          <cell r="R141">
            <v>905224.51663163607</v>
          </cell>
          <cell r="S141">
            <v>909750.63921479415</v>
          </cell>
          <cell r="T141">
            <v>914299.39241086808</v>
          </cell>
          <cell r="U141">
            <v>918870.88937292236</v>
          </cell>
          <cell r="V141">
            <v>923465.24381978682</v>
          </cell>
          <cell r="W141">
            <v>928082.57003888569</v>
          </cell>
          <cell r="X141">
            <v>932722.98288907995</v>
          </cell>
          <cell r="Y141">
            <v>937386.59780352528</v>
          </cell>
          <cell r="Z141">
            <v>942073.53079254273</v>
          </cell>
          <cell r="AA141">
            <v>946783.89844650542</v>
          </cell>
          <cell r="AB141">
            <v>951517.8179387378</v>
          </cell>
          <cell r="AC141">
            <v>956275.40702843131</v>
          </cell>
          <cell r="AD141">
            <v>961056.78406357346</v>
          </cell>
          <cell r="AE141">
            <v>965862.06798389123</v>
          </cell>
          <cell r="AF141">
            <v>970691.37832381064</v>
          </cell>
          <cell r="AG141">
            <v>975544.83521542954</v>
          </cell>
          <cell r="AH141">
            <v>980422.5593915066</v>
          </cell>
          <cell r="AI141">
            <v>985324.67218846409</v>
          </cell>
          <cell r="AJ141">
            <v>990251.29554940632</v>
          </cell>
          <cell r="AK141">
            <v>995202.55202715332</v>
          </cell>
          <cell r="AL141">
            <v>1000178.5647872889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</row>
        <row r="142">
          <cell r="C142">
            <v>142</v>
          </cell>
          <cell r="D142" t="str">
            <v>Večji izkoristek hidroelektrarn</v>
          </cell>
          <cell r="E142" t="str">
            <v>Constant EUR</v>
          </cell>
          <cell r="G142">
            <v>13194266.874680396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1445218.8636363384</v>
          </cell>
          <cell r="Q142">
            <v>1445218.8636363384</v>
          </cell>
          <cell r="R142">
            <v>1445218.8636363384</v>
          </cell>
          <cell r="S142">
            <v>1445218.8636363384</v>
          </cell>
          <cell r="T142">
            <v>1445218.8636363384</v>
          </cell>
          <cell r="U142">
            <v>1445218.8636363384</v>
          </cell>
          <cell r="V142">
            <v>1445218.8636363384</v>
          </cell>
          <cell r="W142">
            <v>1445218.8636363384</v>
          </cell>
          <cell r="X142">
            <v>1445218.8636363384</v>
          </cell>
          <cell r="Y142">
            <v>1445218.8636363384</v>
          </cell>
          <cell r="Z142">
            <v>1445218.8636363384</v>
          </cell>
          <cell r="AA142">
            <v>1445218.8636363384</v>
          </cell>
          <cell r="AB142">
            <v>1445218.8636363384</v>
          </cell>
          <cell r="AC142">
            <v>1445218.8636363384</v>
          </cell>
          <cell r="AD142">
            <v>1445218.8636363384</v>
          </cell>
          <cell r="AE142">
            <v>1445218.8636363384</v>
          </cell>
          <cell r="AF142">
            <v>1445218.8636363384</v>
          </cell>
          <cell r="AG142">
            <v>1445218.8636363384</v>
          </cell>
          <cell r="AH142">
            <v>1445218.8636363384</v>
          </cell>
          <cell r="AI142">
            <v>1445218.8636363384</v>
          </cell>
          <cell r="AJ142">
            <v>1445218.8636363384</v>
          </cell>
          <cell r="AK142">
            <v>1445218.8636363384</v>
          </cell>
          <cell r="AL142">
            <v>1445218.8636363384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</row>
        <row r="143">
          <cell r="C143">
            <v>143</v>
          </cell>
          <cell r="D143" t="str">
            <v>Bolj učinkovito gospodarjenje z vodami</v>
          </cell>
          <cell r="E143" t="str">
            <v>Constant EUR</v>
          </cell>
          <cell r="G143">
            <v>12025597.442223122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1317210</v>
          </cell>
          <cell r="Q143">
            <v>1317210</v>
          </cell>
          <cell r="R143">
            <v>1317210</v>
          </cell>
          <cell r="S143">
            <v>1317210</v>
          </cell>
          <cell r="T143">
            <v>1317210</v>
          </cell>
          <cell r="U143">
            <v>1317210</v>
          </cell>
          <cell r="V143">
            <v>1317210</v>
          </cell>
          <cell r="W143">
            <v>1317210</v>
          </cell>
          <cell r="X143">
            <v>1317210</v>
          </cell>
          <cell r="Y143">
            <v>1317210</v>
          </cell>
          <cell r="Z143">
            <v>1317210</v>
          </cell>
          <cell r="AA143">
            <v>1317210</v>
          </cell>
          <cell r="AB143">
            <v>1317210</v>
          </cell>
          <cell r="AC143">
            <v>1317210</v>
          </cell>
          <cell r="AD143">
            <v>1317210</v>
          </cell>
          <cell r="AE143">
            <v>1317210</v>
          </cell>
          <cell r="AF143">
            <v>1317210</v>
          </cell>
          <cell r="AG143">
            <v>1317210</v>
          </cell>
          <cell r="AH143">
            <v>1317210</v>
          </cell>
          <cell r="AI143">
            <v>1317210</v>
          </cell>
          <cell r="AJ143">
            <v>1317210</v>
          </cell>
          <cell r="AK143">
            <v>1317210</v>
          </cell>
          <cell r="AL143">
            <v>1317210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</row>
        <row r="144">
          <cell r="C144">
            <v>144</v>
          </cell>
          <cell r="D144" t="str">
            <v>Izboljšanje zdravja prebivalcev (nitrati, pesticidi)</v>
          </cell>
          <cell r="E144" t="str">
            <v>Constant EUR</v>
          </cell>
          <cell r="G144">
            <v>194671.87659873368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385437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</row>
        <row r="145">
          <cell r="C145">
            <v>145</v>
          </cell>
          <cell r="D145" t="str">
            <v>[…]</v>
          </cell>
          <cell r="E145" t="str">
            <v>Constant EUR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</row>
        <row r="146">
          <cell r="C146">
            <v>146</v>
          </cell>
          <cell r="D146" t="str">
            <v>TOTAL ECONOMIC BENEFITS</v>
          </cell>
          <cell r="E146" t="str">
            <v>Constant EUR</v>
          </cell>
          <cell r="G146">
            <v>51135510.130208068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5201061.7239564508</v>
          </cell>
          <cell r="Q146">
            <v>5213254.8882580511</v>
          </cell>
          <cell r="R146">
            <v>5225509.0183811588</v>
          </cell>
          <cell r="S146">
            <v>5237824.4191548834</v>
          </cell>
          <cell r="T146">
            <v>5250201.3969324753</v>
          </cell>
          <cell r="U146">
            <v>5648077.2595989564</v>
          </cell>
          <cell r="V146">
            <v>5275141.3165787691</v>
          </cell>
          <cell r="W146">
            <v>5287704.8788434807</v>
          </cell>
          <cell r="X146">
            <v>5300331.2589195156</v>
          </cell>
          <cell r="Y146">
            <v>5313020.7708959319</v>
          </cell>
          <cell r="Z146">
            <v>5325773.7304322291</v>
          </cell>
          <cell r="AA146">
            <v>5338590.4547662083</v>
          </cell>
          <cell r="AB146">
            <v>5351471.262721858</v>
          </cell>
          <cell r="AC146">
            <v>5364416.4747172846</v>
          </cell>
          <cell r="AD146">
            <v>5377426.412772689</v>
          </cell>
          <cell r="AE146">
            <v>5390501.4005183708</v>
          </cell>
          <cell r="AF146">
            <v>5403641.7632027809</v>
          </cell>
          <cell r="AG146">
            <v>5416847.8277006121</v>
          </cell>
          <cell r="AH146">
            <v>5430119.9225209337</v>
          </cell>
          <cell r="AI146">
            <v>5443458.3778153565</v>
          </cell>
          <cell r="AJ146">
            <v>5456863.5253862515</v>
          </cell>
          <cell r="AK146">
            <v>5470335.6986950012</v>
          </cell>
          <cell r="AL146">
            <v>5483875.2328702938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</row>
        <row r="148">
          <cell r="D148" t="str">
            <v>Economic Costs (Investment)</v>
          </cell>
          <cell r="G148" t="str">
            <v>NPV @ 05%</v>
          </cell>
        </row>
        <row r="149">
          <cell r="C149">
            <v>147</v>
          </cell>
          <cell r="D149" t="str">
            <v>Traded goods</v>
          </cell>
          <cell r="E149" t="str">
            <v>Constant EUR</v>
          </cell>
          <cell r="G149">
            <v>-3155809.2207650868</v>
          </cell>
          <cell r="H149">
            <v>-25057</v>
          </cell>
          <cell r="I149">
            <v>-17562</v>
          </cell>
          <cell r="J149">
            <v>-530334</v>
          </cell>
          <cell r="K149">
            <v>-768879</v>
          </cell>
          <cell r="L149">
            <v>-1062004</v>
          </cell>
          <cell r="M149">
            <v>-943464</v>
          </cell>
          <cell r="N149">
            <v>-712880</v>
          </cell>
          <cell r="O149">
            <v>-247254</v>
          </cell>
          <cell r="P149">
            <v>-116265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1122527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</row>
        <row r="150">
          <cell r="C150">
            <v>148</v>
          </cell>
          <cell r="D150" t="str">
            <v>Non-traded goods</v>
          </cell>
          <cell r="E150" t="str">
            <v>Constant EUR</v>
          </cell>
          <cell r="G150">
            <v>-1420115.5247338952</v>
          </cell>
          <cell r="H150">
            <v>-11276</v>
          </cell>
          <cell r="I150">
            <v>-7903</v>
          </cell>
          <cell r="J150">
            <v>-238651</v>
          </cell>
          <cell r="K150">
            <v>-345996</v>
          </cell>
          <cell r="L150">
            <v>-477902</v>
          </cell>
          <cell r="M150">
            <v>-424559</v>
          </cell>
          <cell r="N150">
            <v>-320796</v>
          </cell>
          <cell r="O150">
            <v>-111264</v>
          </cell>
          <cell r="P150">
            <v>-52319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505137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</row>
        <row r="151">
          <cell r="C151">
            <v>149</v>
          </cell>
          <cell r="D151" t="str">
            <v>Skilled Labour</v>
          </cell>
          <cell r="E151" t="str">
            <v>Constant EUR</v>
          </cell>
          <cell r="G151">
            <v>-3155809.2207650868</v>
          </cell>
          <cell r="H151">
            <v>-25057</v>
          </cell>
          <cell r="I151">
            <v>-17562</v>
          </cell>
          <cell r="J151">
            <v>-530334</v>
          </cell>
          <cell r="K151">
            <v>-768879</v>
          </cell>
          <cell r="L151">
            <v>-1062004</v>
          </cell>
          <cell r="M151">
            <v>-943464</v>
          </cell>
          <cell r="N151">
            <v>-712880</v>
          </cell>
          <cell r="O151">
            <v>-247254</v>
          </cell>
          <cell r="P151">
            <v>-116265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1122527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</row>
        <row r="152">
          <cell r="C152">
            <v>150</v>
          </cell>
          <cell r="D152" t="str">
            <v>Unskilled Labour</v>
          </cell>
          <cell r="E152" t="str">
            <v>Constant EUR</v>
          </cell>
          <cell r="G152">
            <v>-2885594.0568893556</v>
          </cell>
          <cell r="H152">
            <v>-22911</v>
          </cell>
          <cell r="I152">
            <v>-16058</v>
          </cell>
          <cell r="J152">
            <v>-484925</v>
          </cell>
          <cell r="K152">
            <v>-703044</v>
          </cell>
          <cell r="L152">
            <v>-971070</v>
          </cell>
          <cell r="M152">
            <v>-862680</v>
          </cell>
          <cell r="N152">
            <v>-651840</v>
          </cell>
          <cell r="O152">
            <v>-226083</v>
          </cell>
          <cell r="P152">
            <v>-106310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1026410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</row>
        <row r="153">
          <cell r="C153">
            <v>151</v>
          </cell>
          <cell r="D153" t="str">
            <v>Economic value of land</v>
          </cell>
          <cell r="E153" t="str">
            <v>Constant EUR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</row>
        <row r="154">
          <cell r="C154">
            <v>152</v>
          </cell>
          <cell r="D154" t="str">
            <v>ECONOMIC COSTS (INVESTMENT)</v>
          </cell>
          <cell r="E154" t="str">
            <v>Constant EUR</v>
          </cell>
          <cell r="G154">
            <v>21481170.683959402</v>
          </cell>
          <cell r="H154">
            <v>-84301</v>
          </cell>
          <cell r="I154">
            <v>-59085</v>
          </cell>
          <cell r="J154">
            <v>-1784244</v>
          </cell>
          <cell r="K154">
            <v>-2586798</v>
          </cell>
          <cell r="L154">
            <v>-3572980</v>
          </cell>
          <cell r="M154">
            <v>-3174167</v>
          </cell>
          <cell r="N154">
            <v>-2398396</v>
          </cell>
          <cell r="O154">
            <v>-831855</v>
          </cell>
          <cell r="P154">
            <v>-391159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3776601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</row>
        <row r="156">
          <cell r="D156" t="str">
            <v>Economic Costs (O&amp;M)</v>
          </cell>
          <cell r="G156" t="str">
            <v>NPV @ 05%</v>
          </cell>
        </row>
        <row r="157">
          <cell r="C157">
            <v>153</v>
          </cell>
          <cell r="D157" t="str">
            <v>Traded goods</v>
          </cell>
          <cell r="E157" t="str">
            <v>Constant EUR</v>
          </cell>
          <cell r="G157">
            <v>-2373982.2175005698</v>
          </cell>
          <cell r="H157">
            <v>0</v>
          </cell>
          <cell r="I157">
            <v>0</v>
          </cell>
          <cell r="J157">
            <v>-11938</v>
          </cell>
          <cell r="K157">
            <v>-26370</v>
          </cell>
          <cell r="L157">
            <v>-83574</v>
          </cell>
          <cell r="M157">
            <v>-108939</v>
          </cell>
          <cell r="N157">
            <v>-161239</v>
          </cell>
          <cell r="O157">
            <v>-182054</v>
          </cell>
          <cell r="P157">
            <v>-207419</v>
          </cell>
          <cell r="Q157">
            <v>-207419</v>
          </cell>
          <cell r="R157">
            <v>-207419</v>
          </cell>
          <cell r="S157">
            <v>-207419</v>
          </cell>
          <cell r="T157">
            <v>-195682</v>
          </cell>
          <cell r="U157">
            <v>-195682</v>
          </cell>
          <cell r="V157">
            <v>-195682</v>
          </cell>
          <cell r="W157">
            <v>-195682</v>
          </cell>
          <cell r="X157">
            <v>-195682</v>
          </cell>
          <cell r="Y157">
            <v>-202042</v>
          </cell>
          <cell r="Z157">
            <v>-226178</v>
          </cell>
          <cell r="AA157">
            <v>-223028</v>
          </cell>
          <cell r="AB157">
            <v>-223028</v>
          </cell>
          <cell r="AC157">
            <v>-234608</v>
          </cell>
          <cell r="AD157">
            <v>-234608</v>
          </cell>
          <cell r="AE157">
            <v>-234608</v>
          </cell>
          <cell r="AF157">
            <v>-234608</v>
          </cell>
          <cell r="AG157">
            <v>-234608</v>
          </cell>
          <cell r="AH157">
            <v>-234608</v>
          </cell>
          <cell r="AI157">
            <v>-234608</v>
          </cell>
          <cell r="AJ157">
            <v>-234608</v>
          </cell>
          <cell r="AK157">
            <v>-234608</v>
          </cell>
          <cell r="AL157">
            <v>-234608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</row>
        <row r="158">
          <cell r="C158">
            <v>154</v>
          </cell>
          <cell r="D158" t="str">
            <v>Non-traded goods</v>
          </cell>
          <cell r="E158" t="str">
            <v>Constant EUR</v>
          </cell>
          <cell r="G158">
            <v>-712194.75396737386</v>
          </cell>
          <cell r="H158">
            <v>0</v>
          </cell>
          <cell r="I158">
            <v>0</v>
          </cell>
          <cell r="J158">
            <v>-3581</v>
          </cell>
          <cell r="K158">
            <v>-7911</v>
          </cell>
          <cell r="L158">
            <v>-25072</v>
          </cell>
          <cell r="M158">
            <v>-32682</v>
          </cell>
          <cell r="N158">
            <v>-48372</v>
          </cell>
          <cell r="O158">
            <v>-54616</v>
          </cell>
          <cell r="P158">
            <v>-62226</v>
          </cell>
          <cell r="Q158">
            <v>-62226</v>
          </cell>
          <cell r="R158">
            <v>-62226</v>
          </cell>
          <cell r="S158">
            <v>-62226</v>
          </cell>
          <cell r="T158">
            <v>-58705</v>
          </cell>
          <cell r="U158">
            <v>-58705</v>
          </cell>
          <cell r="V158">
            <v>-58705</v>
          </cell>
          <cell r="W158">
            <v>-58705</v>
          </cell>
          <cell r="X158">
            <v>-58705</v>
          </cell>
          <cell r="Y158">
            <v>-60613</v>
          </cell>
          <cell r="Z158">
            <v>-67853</v>
          </cell>
          <cell r="AA158">
            <v>-66908</v>
          </cell>
          <cell r="AB158">
            <v>-66908</v>
          </cell>
          <cell r="AC158">
            <v>-70382</v>
          </cell>
          <cell r="AD158">
            <v>-70382</v>
          </cell>
          <cell r="AE158">
            <v>-70382</v>
          </cell>
          <cell r="AF158">
            <v>-70382</v>
          </cell>
          <cell r="AG158">
            <v>-70382</v>
          </cell>
          <cell r="AH158">
            <v>-70382</v>
          </cell>
          <cell r="AI158">
            <v>-70382</v>
          </cell>
          <cell r="AJ158">
            <v>-70382</v>
          </cell>
          <cell r="AK158">
            <v>-70382</v>
          </cell>
          <cell r="AL158">
            <v>-70382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</row>
        <row r="159">
          <cell r="C159">
            <v>155</v>
          </cell>
          <cell r="D159" t="str">
            <v>Skilled Labour</v>
          </cell>
          <cell r="E159" t="str">
            <v>Constant EUR</v>
          </cell>
          <cell r="G159">
            <v>-3956639.4593473757</v>
          </cell>
          <cell r="H159">
            <v>0</v>
          </cell>
          <cell r="I159">
            <v>0</v>
          </cell>
          <cell r="J159">
            <v>-19896</v>
          </cell>
          <cell r="K159">
            <v>-43950</v>
          </cell>
          <cell r="L159">
            <v>-139290</v>
          </cell>
          <cell r="M159">
            <v>-181565</v>
          </cell>
          <cell r="N159">
            <v>-268732</v>
          </cell>
          <cell r="O159">
            <v>-303424</v>
          </cell>
          <cell r="P159">
            <v>-345699</v>
          </cell>
          <cell r="Q159">
            <v>-345699</v>
          </cell>
          <cell r="R159">
            <v>-345699</v>
          </cell>
          <cell r="S159">
            <v>-345699</v>
          </cell>
          <cell r="T159">
            <v>-326136</v>
          </cell>
          <cell r="U159">
            <v>-326136</v>
          </cell>
          <cell r="V159">
            <v>-326136</v>
          </cell>
          <cell r="W159">
            <v>-326136</v>
          </cell>
          <cell r="X159">
            <v>-326136</v>
          </cell>
          <cell r="Y159">
            <v>-336736</v>
          </cell>
          <cell r="Z159">
            <v>-376964</v>
          </cell>
          <cell r="AA159">
            <v>-371714</v>
          </cell>
          <cell r="AB159">
            <v>-371714</v>
          </cell>
          <cell r="AC159">
            <v>-391014</v>
          </cell>
          <cell r="AD159">
            <v>-391014</v>
          </cell>
          <cell r="AE159">
            <v>-391014</v>
          </cell>
          <cell r="AF159">
            <v>-391014</v>
          </cell>
          <cell r="AG159">
            <v>-391014</v>
          </cell>
          <cell r="AH159">
            <v>-391014</v>
          </cell>
          <cell r="AI159">
            <v>-391014</v>
          </cell>
          <cell r="AJ159">
            <v>-391014</v>
          </cell>
          <cell r="AK159">
            <v>-391014</v>
          </cell>
          <cell r="AL159">
            <v>-391014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</row>
        <row r="160">
          <cell r="C160">
            <v>156</v>
          </cell>
          <cell r="D160" t="str">
            <v>Unskilled Labour</v>
          </cell>
          <cell r="E160" t="str">
            <v>Constant EUR</v>
          </cell>
          <cell r="G160">
            <v>-3307750.5775345531</v>
          </cell>
          <cell r="H160">
            <v>0</v>
          </cell>
          <cell r="I160">
            <v>0</v>
          </cell>
          <cell r="J160">
            <v>-16633</v>
          </cell>
          <cell r="K160">
            <v>-36742</v>
          </cell>
          <cell r="L160">
            <v>-116446</v>
          </cell>
          <cell r="M160">
            <v>-151788</v>
          </cell>
          <cell r="N160">
            <v>-224660</v>
          </cell>
          <cell r="O160">
            <v>-253662</v>
          </cell>
          <cell r="P160">
            <v>-289004</v>
          </cell>
          <cell r="Q160">
            <v>-289004</v>
          </cell>
          <cell r="R160">
            <v>-289004</v>
          </cell>
          <cell r="S160">
            <v>-289004</v>
          </cell>
          <cell r="T160">
            <v>-272650</v>
          </cell>
          <cell r="U160">
            <v>-272650</v>
          </cell>
          <cell r="V160">
            <v>-272650</v>
          </cell>
          <cell r="W160">
            <v>-272650</v>
          </cell>
          <cell r="X160">
            <v>-272650</v>
          </cell>
          <cell r="Y160">
            <v>-281512</v>
          </cell>
          <cell r="Z160">
            <v>-315142</v>
          </cell>
          <cell r="AA160">
            <v>-310753</v>
          </cell>
          <cell r="AB160">
            <v>-310753</v>
          </cell>
          <cell r="AC160">
            <v>-326888</v>
          </cell>
          <cell r="AD160">
            <v>-326888</v>
          </cell>
          <cell r="AE160">
            <v>-326888</v>
          </cell>
          <cell r="AF160">
            <v>-326888</v>
          </cell>
          <cell r="AG160">
            <v>-326888</v>
          </cell>
          <cell r="AH160">
            <v>-326888</v>
          </cell>
          <cell r="AI160">
            <v>-326888</v>
          </cell>
          <cell r="AJ160">
            <v>-326888</v>
          </cell>
          <cell r="AK160">
            <v>-326888</v>
          </cell>
          <cell r="AL160">
            <v>-326888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</row>
        <row r="161">
          <cell r="C161">
            <v>157</v>
          </cell>
          <cell r="D161" t="str">
            <v>ECONOMIC COSTS (O&amp;M)</v>
          </cell>
          <cell r="E161" t="str">
            <v>Constant EUR</v>
          </cell>
          <cell r="G161">
            <v>25636463.455398601</v>
          </cell>
          <cell r="H161">
            <v>0</v>
          </cell>
          <cell r="I161">
            <v>0</v>
          </cell>
          <cell r="J161">
            <v>-52048</v>
          </cell>
          <cell r="K161">
            <v>-114973</v>
          </cell>
          <cell r="L161">
            <v>-364382</v>
          </cell>
          <cell r="M161">
            <v>-474974</v>
          </cell>
          <cell r="N161">
            <v>-703003</v>
          </cell>
          <cell r="O161">
            <v>-793756</v>
          </cell>
          <cell r="P161">
            <v>-904348</v>
          </cell>
          <cell r="Q161">
            <v>-904348</v>
          </cell>
          <cell r="R161">
            <v>-904348</v>
          </cell>
          <cell r="S161">
            <v>-904348</v>
          </cell>
          <cell r="T161">
            <v>-853173</v>
          </cell>
          <cell r="U161">
            <v>-853173</v>
          </cell>
          <cell r="V161">
            <v>-853173</v>
          </cell>
          <cell r="W161">
            <v>-853173</v>
          </cell>
          <cell r="X161">
            <v>-853173</v>
          </cell>
          <cell r="Y161">
            <v>-880903</v>
          </cell>
          <cell r="Z161">
            <v>-986137</v>
          </cell>
          <cell r="AA161">
            <v>-972403</v>
          </cell>
          <cell r="AB161">
            <v>-972403</v>
          </cell>
          <cell r="AC161">
            <v>-1022892</v>
          </cell>
          <cell r="AD161">
            <v>-1022892</v>
          </cell>
          <cell r="AE161">
            <v>-1022892</v>
          </cell>
          <cell r="AF161">
            <v>-1022892</v>
          </cell>
          <cell r="AG161">
            <v>-1022892</v>
          </cell>
          <cell r="AH161">
            <v>-1022892</v>
          </cell>
          <cell r="AI161">
            <v>-1022892</v>
          </cell>
          <cell r="AJ161">
            <v>-1022892</v>
          </cell>
          <cell r="AK161">
            <v>-1022892</v>
          </cell>
          <cell r="AL161">
            <v>-1022892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</row>
        <row r="163">
          <cell r="C163">
            <v>158</v>
          </cell>
          <cell r="D163" t="str">
            <v>NET ECONOMIC BENEFITS</v>
          </cell>
          <cell r="E163" t="str">
            <v>Constant EUR</v>
          </cell>
          <cell r="G163">
            <v>4176450.3359634057</v>
          </cell>
          <cell r="H163">
            <v>-84301</v>
          </cell>
          <cell r="I163">
            <v>-59085</v>
          </cell>
          <cell r="J163">
            <v>-1836292</v>
          </cell>
          <cell r="K163">
            <v>-2701771</v>
          </cell>
          <cell r="L163">
            <v>-3937362</v>
          </cell>
          <cell r="M163">
            <v>-3649141</v>
          </cell>
          <cell r="N163">
            <v>-3101399</v>
          </cell>
          <cell r="O163">
            <v>-1625611</v>
          </cell>
          <cell r="P163">
            <v>3905554.7239564508</v>
          </cell>
          <cell r="Q163">
            <v>4308906.8882580511</v>
          </cell>
          <cell r="R163">
            <v>4321161.0183811588</v>
          </cell>
          <cell r="S163">
            <v>4333476.4191548834</v>
          </cell>
          <cell r="T163">
            <v>4397028.3969324753</v>
          </cell>
          <cell r="U163">
            <v>4794904.2595989564</v>
          </cell>
          <cell r="V163">
            <v>4421968.3165787691</v>
          </cell>
          <cell r="W163">
            <v>4434531.8788434807</v>
          </cell>
          <cell r="X163">
            <v>4447158.2589195156</v>
          </cell>
          <cell r="Y163">
            <v>4432117.7708959319</v>
          </cell>
          <cell r="Z163">
            <v>4339636.7304322291</v>
          </cell>
          <cell r="AA163">
            <v>4366187.4547662083</v>
          </cell>
          <cell r="AB163">
            <v>4379068.262721858</v>
          </cell>
          <cell r="AC163">
            <v>4341524.4747172846</v>
          </cell>
          <cell r="AD163">
            <v>4354534.412772689</v>
          </cell>
          <cell r="AE163">
            <v>4367609.4005183708</v>
          </cell>
          <cell r="AF163">
            <v>4380749.7632027809</v>
          </cell>
          <cell r="AG163">
            <v>4393955.8277006121</v>
          </cell>
          <cell r="AH163">
            <v>4407227.9225209337</v>
          </cell>
          <cell r="AI163">
            <v>4420566.3778153565</v>
          </cell>
          <cell r="AJ163">
            <v>4433971.5253862515</v>
          </cell>
          <cell r="AK163">
            <v>8224044.6986950003</v>
          </cell>
          <cell r="AL163">
            <v>4460983.2328702938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</row>
        <row r="165">
          <cell r="C165">
            <v>159</v>
          </cell>
          <cell r="D165" t="str">
            <v>ERR</v>
          </cell>
          <cell r="G165">
            <v>6.2477944026034682E-2</v>
          </cell>
        </row>
        <row r="167">
          <cell r="C167">
            <v>160</v>
          </cell>
          <cell r="D167" t="str">
            <v>B/C RATIO</v>
          </cell>
          <cell r="G167">
            <v>2.38</v>
          </cell>
        </row>
      </sheetData>
      <sheetData sheetId="2">
        <row r="24">
          <cell r="E24">
            <v>715030.34253735049</v>
          </cell>
          <cell r="G24">
            <v>355287.06461990549</v>
          </cell>
        </row>
        <row r="26">
          <cell r="D26">
            <v>-765859.37063546444</v>
          </cell>
        </row>
        <row r="52">
          <cell r="E52">
            <v>25268906.63654251</v>
          </cell>
          <cell r="G52">
            <v>1049788.687121615</v>
          </cell>
        </row>
        <row r="54">
          <cell r="D54">
            <v>20894657.578823522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Customer calculations MS"/>
      <sheetName val="Customer calculations"/>
      <sheetName val="Info data"/>
      <sheetName val="Calculation list"/>
      <sheetName val="230 kg smeti v metan-stara"/>
      <sheetName val="2300 kg smeti v metan (2)"/>
      <sheetName val="Slike"/>
      <sheetName val="Popravki"/>
      <sheetName val="Control model 100"/>
      <sheetName val="Thermodynami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>
            <v>-393.51</v>
          </cell>
        </row>
        <row r="4">
          <cell r="B4">
            <v>-241.82599999999999</v>
          </cell>
          <cell r="C4">
            <v>33.6</v>
          </cell>
          <cell r="D4" t="str">
            <v>CO + 0,5 O2 = CO2</v>
          </cell>
          <cell r="E4">
            <v>-282.98</v>
          </cell>
        </row>
        <row r="5">
          <cell r="C5">
            <v>75.3</v>
          </cell>
          <cell r="E5">
            <v>44.003999999999991</v>
          </cell>
        </row>
        <row r="18">
          <cell r="E18">
            <v>-205.82599999999999</v>
          </cell>
        </row>
        <row r="19">
          <cell r="E19">
            <v>-90.389999999999986</v>
          </cell>
        </row>
        <row r="20">
          <cell r="B20">
            <v>-530.89</v>
          </cell>
        </row>
        <row r="21">
          <cell r="B21">
            <v>174</v>
          </cell>
        </row>
        <row r="34">
          <cell r="E34">
            <v>-463.88</v>
          </cell>
        </row>
        <row r="35">
          <cell r="E35">
            <v>987.07599999999991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en.wikipedia.org/wiki/Atmosphere_of_Earth" TargetMode="External"/><Relationship Id="rId4" Type="http://schemas.openxmlformats.org/officeDocument/2006/relationships/comments" Target="../comments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K14"/>
  <sheetViews>
    <sheetView workbookViewId="0">
      <selection activeCell="I3" sqref="I3"/>
    </sheetView>
  </sheetViews>
  <sheetFormatPr defaultRowHeight="14.4" x14ac:dyDescent="0.3"/>
  <cols>
    <col min="4" max="4" width="11.5546875" bestFit="1" customWidth="1"/>
  </cols>
  <sheetData>
    <row r="2" spans="1:11" x14ac:dyDescent="0.3">
      <c r="D2" t="s">
        <v>641</v>
      </c>
    </row>
    <row r="3" spans="1:11" x14ac:dyDescent="0.3">
      <c r="D3" t="s">
        <v>642</v>
      </c>
      <c r="F3" t="s">
        <v>649</v>
      </c>
      <c r="G3">
        <v>6</v>
      </c>
      <c r="H3">
        <v>1</v>
      </c>
      <c r="I3">
        <v>-320</v>
      </c>
    </row>
    <row r="4" spans="1:11" x14ac:dyDescent="0.3">
      <c r="B4" t="s">
        <v>648</v>
      </c>
      <c r="C4" t="s">
        <v>647</v>
      </c>
      <c r="D4" t="s">
        <v>236</v>
      </c>
      <c r="F4" t="s">
        <v>387</v>
      </c>
      <c r="G4" t="s">
        <v>2</v>
      </c>
      <c r="H4" t="s">
        <v>3</v>
      </c>
      <c r="I4" t="s">
        <v>4</v>
      </c>
      <c r="K4">
        <v>100</v>
      </c>
    </row>
    <row r="5" spans="1:11" x14ac:dyDescent="0.3">
      <c r="A5">
        <f>I5*Thermodynamics!$B$6+G5*(Thermodynamics!$B$16)/10+H5*(Thermodynamics!$B$4)/20</f>
        <v>-1106.4675999999999</v>
      </c>
      <c r="B5">
        <f>+I5*16</f>
        <v>64</v>
      </c>
      <c r="C5">
        <f>12*G5+H5</f>
        <v>294</v>
      </c>
      <c r="D5">
        <f>12*G5+H5+I5*16</f>
        <v>358</v>
      </c>
      <c r="E5" t="s">
        <v>643</v>
      </c>
      <c r="F5">
        <v>-1321</v>
      </c>
      <c r="G5">
        <v>21</v>
      </c>
      <c r="H5">
        <v>42</v>
      </c>
      <c r="I5">
        <v>4</v>
      </c>
      <c r="K5">
        <f>$K$4/D5</f>
        <v>0.27932960893854747</v>
      </c>
    </row>
    <row r="6" spans="1:11" x14ac:dyDescent="0.3">
      <c r="A6">
        <f>I6*Thermodynamics!$B$6+G6*(Thermodynamics!$B$16)/10+H6*(Thermodynamics!$B$4)/20</f>
        <v>-1080.4613999999999</v>
      </c>
      <c r="B6">
        <f t="shared" ref="B6:B8" si="0">+I6*16</f>
        <v>64</v>
      </c>
      <c r="C6">
        <f t="shared" ref="C6:C8" si="1">12*G6+H6</f>
        <v>326</v>
      </c>
      <c r="D6">
        <f>12*G6+H6+I6*16</f>
        <v>390</v>
      </c>
      <c r="E6" t="s">
        <v>644</v>
      </c>
      <c r="F6">
        <v>-1084</v>
      </c>
      <c r="G6">
        <v>24</v>
      </c>
      <c r="H6">
        <v>38</v>
      </c>
      <c r="I6">
        <v>4</v>
      </c>
      <c r="K6">
        <f t="shared" ref="K6:K8" si="2">$K$4/D6</f>
        <v>0.25641025641025639</v>
      </c>
    </row>
    <row r="7" spans="1:11" x14ac:dyDescent="0.3">
      <c r="A7">
        <f>I7*Thermodynamics!$B$6+G7*(Thermodynamics!$B$16)/10+H7*(Thermodynamics!$B$4)/20</f>
        <v>-1043.1963999999998</v>
      </c>
      <c r="B7">
        <f t="shared" si="0"/>
        <v>64</v>
      </c>
      <c r="C7">
        <f t="shared" si="1"/>
        <v>266</v>
      </c>
      <c r="D7">
        <f t="shared" ref="D7:D8" si="3">12*G7+H7+I7*16</f>
        <v>330</v>
      </c>
      <c r="E7" t="s">
        <v>645</v>
      </c>
      <c r="F7">
        <v>-1268</v>
      </c>
      <c r="G7">
        <v>19</v>
      </c>
      <c r="H7">
        <v>38</v>
      </c>
      <c r="I7">
        <v>4</v>
      </c>
      <c r="K7">
        <f t="shared" si="2"/>
        <v>0.30303030303030304</v>
      </c>
    </row>
    <row r="8" spans="1:11" x14ac:dyDescent="0.3">
      <c r="A8">
        <f>I8*Thermodynamics!$B$6+G8*(Thermodynamics!$B$16)/10+H8*(Thermodynamics!$B$4)/20</f>
        <v>-827.37660000000005</v>
      </c>
      <c r="B8">
        <f t="shared" si="0"/>
        <v>64</v>
      </c>
      <c r="C8">
        <f t="shared" si="1"/>
        <v>214</v>
      </c>
      <c r="D8">
        <f t="shared" si="3"/>
        <v>278</v>
      </c>
      <c r="E8" t="s">
        <v>646</v>
      </c>
      <c r="F8">
        <v>-842</v>
      </c>
      <c r="G8">
        <v>16</v>
      </c>
      <c r="H8">
        <v>22</v>
      </c>
      <c r="I8">
        <v>4</v>
      </c>
      <c r="K8">
        <f t="shared" si="2"/>
        <v>0.35971223021582732</v>
      </c>
    </row>
    <row r="9" spans="1:11" x14ac:dyDescent="0.3">
      <c r="G9" t="s">
        <v>651</v>
      </c>
      <c r="H9" t="s">
        <v>650</v>
      </c>
    </row>
    <row r="10" spans="1:11" x14ac:dyDescent="0.3">
      <c r="G10">
        <f>G5*$G$3+H5*$H$3+I5*$I$3</f>
        <v>-1112</v>
      </c>
      <c r="H10" s="162">
        <f>ABS((F5-G10)/F5)</f>
        <v>0.15821347464042393</v>
      </c>
    </row>
    <row r="11" spans="1:11" x14ac:dyDescent="0.3">
      <c r="G11">
        <f t="shared" ref="G11:G13" si="4">G6*$G$3+H6*$H$3+I6*$I$3</f>
        <v>-1098</v>
      </c>
      <c r="H11" s="162">
        <f>ABS((F6-G11)/F6)</f>
        <v>1.2915129151291513E-2</v>
      </c>
    </row>
    <row r="12" spans="1:11" x14ac:dyDescent="0.3">
      <c r="G12">
        <f t="shared" si="4"/>
        <v>-1128</v>
      </c>
      <c r="H12" s="162">
        <f>ABS((F7-G12)/F7)</f>
        <v>0.11041009463722397</v>
      </c>
    </row>
    <row r="13" spans="1:11" x14ac:dyDescent="0.3">
      <c r="G13">
        <f t="shared" si="4"/>
        <v>-1162</v>
      </c>
      <c r="H13" s="162">
        <f>ABS((F8-G13)/F8)</f>
        <v>0.38004750593824227</v>
      </c>
    </row>
    <row r="14" spans="1:11" x14ac:dyDescent="0.3">
      <c r="H14" s="214">
        <f>SUM(H10:H13)</f>
        <v>0.66158620436718163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61"/>
  <sheetViews>
    <sheetView topLeftCell="G1" workbookViewId="0">
      <selection activeCell="Q10" sqref="Q10"/>
    </sheetView>
  </sheetViews>
  <sheetFormatPr defaultRowHeight="14.4" x14ac:dyDescent="0.3"/>
  <cols>
    <col min="1" max="1" width="23.5546875" bestFit="1" customWidth="1"/>
    <col min="2" max="2" width="11.88671875" customWidth="1"/>
    <col min="3" max="3" width="10.33203125" customWidth="1"/>
    <col min="4" max="4" width="10" customWidth="1"/>
    <col min="5" max="5" width="10.77734375" bestFit="1" customWidth="1"/>
    <col min="8" max="8" width="8.88671875" hidden="1" customWidth="1"/>
    <col min="9" max="9" width="9.44140625" hidden="1" customWidth="1"/>
    <col min="11" max="11" width="41.44140625" customWidth="1"/>
    <col min="12" max="14" width="17.21875" bestFit="1" customWidth="1"/>
  </cols>
  <sheetData>
    <row r="1" spans="1:14" x14ac:dyDescent="0.3">
      <c r="A1" t="s">
        <v>224</v>
      </c>
      <c r="B1" s="299" t="s">
        <v>565</v>
      </c>
    </row>
    <row r="2" spans="1:14" x14ac:dyDescent="0.3">
      <c r="B2" s="299"/>
    </row>
    <row r="3" spans="1:14" x14ac:dyDescent="0.3">
      <c r="A3" t="s">
        <v>583</v>
      </c>
      <c r="B3" s="299" t="s">
        <v>566</v>
      </c>
    </row>
    <row r="5" spans="1:14" ht="15.6" x14ac:dyDescent="0.3">
      <c r="A5" s="310" t="s">
        <v>574</v>
      </c>
      <c r="K5" s="310" t="s">
        <v>567</v>
      </c>
    </row>
    <row r="7" spans="1:14" ht="72" x14ac:dyDescent="0.3">
      <c r="B7" s="298" t="s">
        <v>581</v>
      </c>
      <c r="C7" s="298" t="s">
        <v>579</v>
      </c>
      <c r="D7" s="298" t="s">
        <v>578</v>
      </c>
      <c r="E7" s="298" t="s">
        <v>580</v>
      </c>
      <c r="F7" s="298" t="s">
        <v>681</v>
      </c>
      <c r="G7" s="298" t="s">
        <v>682</v>
      </c>
      <c r="H7" s="423" t="s">
        <v>183</v>
      </c>
      <c r="I7" s="424" t="str">
        <f>"X za Monte Carlo +/-"&amp;20&amp;"%"</f>
        <v>X za Monte Carlo +/-20%</v>
      </c>
      <c r="K7" s="249" t="s">
        <v>568</v>
      </c>
      <c r="L7" s="354" t="s">
        <v>570</v>
      </c>
      <c r="M7" s="354" t="s">
        <v>806</v>
      </c>
      <c r="N7" s="354" t="s">
        <v>571</v>
      </c>
    </row>
    <row r="8" spans="1:14" x14ac:dyDescent="0.3">
      <c r="B8" s="294" t="s">
        <v>573</v>
      </c>
      <c r="C8" s="300">
        <f t="shared" ref="C8:C21" si="0">SUMPRODUCT(L10:N10,$L$8:$N$8)</f>
        <v>0.13270118199481867</v>
      </c>
      <c r="D8" s="282">
        <f t="shared" ref="D8:D15" si="1">C8/(1-$C$21)</f>
        <v>0.14744575777202074</v>
      </c>
      <c r="E8" s="170"/>
      <c r="F8" s="300">
        <f>C8*I8</f>
        <v>0.13270118199481867</v>
      </c>
      <c r="G8" s="300">
        <f>F8/$F$22</f>
        <v>0.13270118199481867</v>
      </c>
      <c r="H8" s="423" t="s">
        <v>573</v>
      </c>
      <c r="I8" s="425">
        <f>IF(H7="X",#REF!,1)</f>
        <v>1</v>
      </c>
      <c r="K8" s="170" t="s">
        <v>569</v>
      </c>
      <c r="L8" s="332">
        <v>0</v>
      </c>
      <c r="M8" s="332">
        <v>1</v>
      </c>
      <c r="N8" s="332">
        <v>0</v>
      </c>
    </row>
    <row r="9" spans="1:14" ht="15" thickBot="1" x14ac:dyDescent="0.35">
      <c r="B9" s="294" t="s">
        <v>2</v>
      </c>
      <c r="C9" s="300">
        <f t="shared" si="0"/>
        <v>0.44628400259067358</v>
      </c>
      <c r="D9" s="282">
        <f t="shared" si="1"/>
        <v>0.49587111398963729</v>
      </c>
      <c r="E9" s="286">
        <f t="shared" ref="E9:E20" si="2">D9/(1-$D$8)</f>
        <v>0.58162998836740021</v>
      </c>
      <c r="F9" s="300">
        <f>C9*I9</f>
        <v>0.44628400259067358</v>
      </c>
      <c r="G9" s="300">
        <f t="shared" ref="G9:G21" si="3">F9/$F$22</f>
        <v>0.44628400259067358</v>
      </c>
      <c r="H9" s="423" t="s">
        <v>2</v>
      </c>
      <c r="I9" s="425">
        <f>IF(H7="X",#REF!,1)</f>
        <v>1</v>
      </c>
      <c r="K9" t="s">
        <v>572</v>
      </c>
      <c r="L9" t="s">
        <v>8</v>
      </c>
    </row>
    <row r="10" spans="1:14" x14ac:dyDescent="0.3">
      <c r="A10" s="474" t="s">
        <v>661</v>
      </c>
      <c r="B10" s="294" t="s">
        <v>3</v>
      </c>
      <c r="C10" s="300">
        <f t="shared" si="0"/>
        <v>7.4866418393782372E-2</v>
      </c>
      <c r="D10" s="282">
        <f t="shared" si="1"/>
        <v>8.3184909326424861E-2</v>
      </c>
      <c r="E10" s="286">
        <f t="shared" si="2"/>
        <v>9.7571398048572025E-2</v>
      </c>
      <c r="F10" s="300">
        <f>C10*I10</f>
        <v>7.4866418393782372E-2</v>
      </c>
      <c r="G10" s="300">
        <f t="shared" si="3"/>
        <v>7.4866418393782372E-2</v>
      </c>
      <c r="H10" s="423" t="s">
        <v>683</v>
      </c>
      <c r="I10" s="425">
        <f>IF(H7="X",#REF!,1)</f>
        <v>1</v>
      </c>
      <c r="J10" s="35"/>
      <c r="K10" s="289" t="s">
        <v>573</v>
      </c>
      <c r="L10" s="326">
        <v>0.1179566062176166</v>
      </c>
      <c r="M10" s="382">
        <f>L10/(1-$L$23)*(1-$M$23)</f>
        <v>0.13270118199481867</v>
      </c>
      <c r="N10" s="327"/>
    </row>
    <row r="11" spans="1:14" x14ac:dyDescent="0.3">
      <c r="A11" s="474"/>
      <c r="B11" s="294" t="s">
        <v>4</v>
      </c>
      <c r="C11" s="300">
        <f t="shared" si="0"/>
        <v>0.22632974417098445</v>
      </c>
      <c r="D11" s="282">
        <f t="shared" si="1"/>
        <v>0.25147749352331605</v>
      </c>
      <c r="E11" s="286">
        <f t="shared" si="2"/>
        <v>0.29496949410061013</v>
      </c>
      <c r="F11" s="300">
        <f>C11</f>
        <v>0.22632974417098445</v>
      </c>
      <c r="G11" s="300">
        <f t="shared" si="3"/>
        <v>0.22632974417098445</v>
      </c>
      <c r="H11" s="423" t="s">
        <v>225</v>
      </c>
      <c r="I11" s="425">
        <f>IF(H7="X",#REF!,1)</f>
        <v>1</v>
      </c>
      <c r="K11" s="290" t="s">
        <v>2</v>
      </c>
      <c r="L11" s="328">
        <v>0.39669689119170987</v>
      </c>
      <c r="M11" s="328">
        <f>L11/(1-$L$23)*(1-$M$23)</f>
        <v>0.44628400259067358</v>
      </c>
      <c r="N11" s="329"/>
    </row>
    <row r="12" spans="1:14" x14ac:dyDescent="0.3">
      <c r="A12" s="474"/>
      <c r="B12" s="294" t="s">
        <v>5</v>
      </c>
      <c r="C12" s="300">
        <f t="shared" si="0"/>
        <v>1.7851360103626945E-3</v>
      </c>
      <c r="D12" s="282">
        <f t="shared" si="1"/>
        <v>1.9834844559585493E-3</v>
      </c>
      <c r="E12" s="286">
        <f t="shared" si="2"/>
        <v>2.326519953469601E-3</v>
      </c>
      <c r="F12" s="300">
        <f t="shared" ref="F12:F20" si="4">C12</f>
        <v>1.7851360103626945E-3</v>
      </c>
      <c r="G12" s="300">
        <f t="shared" si="3"/>
        <v>1.7851360103626945E-3</v>
      </c>
      <c r="K12" s="290" t="s">
        <v>3</v>
      </c>
      <c r="L12" s="328">
        <v>6.6547927461139897E-2</v>
      </c>
      <c r="M12" s="328">
        <f t="shared" ref="M12:M17" si="5">L12/(1-$L$23)*(1-$M$23)</f>
        <v>7.4866418393782372E-2</v>
      </c>
      <c r="N12" s="329"/>
    </row>
    <row r="13" spans="1:14" x14ac:dyDescent="0.3">
      <c r="A13" s="474"/>
      <c r="B13" s="294" t="s">
        <v>6</v>
      </c>
      <c r="C13" s="300">
        <f t="shared" si="0"/>
        <v>1.5119009067357511E-2</v>
      </c>
      <c r="D13" s="282">
        <f t="shared" si="1"/>
        <v>1.6798898963730567E-2</v>
      </c>
      <c r="E13" s="286">
        <f t="shared" si="2"/>
        <v>1.9704199605916004E-2</v>
      </c>
      <c r="F13" s="300">
        <f t="shared" si="4"/>
        <v>1.5119009067357511E-2</v>
      </c>
      <c r="G13" s="300">
        <f t="shared" si="3"/>
        <v>1.5119009067357511E-2</v>
      </c>
      <c r="K13" s="290" t="s">
        <v>4</v>
      </c>
      <c r="L13" s="328">
        <v>0.20118199481865284</v>
      </c>
      <c r="M13" s="328">
        <f t="shared" si="5"/>
        <v>0.22632974417098445</v>
      </c>
      <c r="N13" s="329"/>
    </row>
    <row r="14" spans="1:14" x14ac:dyDescent="0.3">
      <c r="A14" s="474"/>
      <c r="B14" s="294" t="s">
        <v>7</v>
      </c>
      <c r="C14" s="300">
        <f t="shared" si="0"/>
        <v>2.9145077720207253E-3</v>
      </c>
      <c r="D14" s="282">
        <f t="shared" si="1"/>
        <v>3.2383419689119169E-3</v>
      </c>
      <c r="E14" s="286">
        <f t="shared" si="2"/>
        <v>3.7983999240320011E-3</v>
      </c>
      <c r="F14" s="300">
        <f t="shared" si="4"/>
        <v>2.9145077720207253E-3</v>
      </c>
      <c r="G14" s="300">
        <f t="shared" si="3"/>
        <v>2.9145077720207253E-3</v>
      </c>
      <c r="K14" s="290" t="s">
        <v>5</v>
      </c>
      <c r="L14" s="328">
        <v>1.5867875647668395E-3</v>
      </c>
      <c r="M14" s="328">
        <f t="shared" si="5"/>
        <v>1.7851360103626945E-3</v>
      </c>
      <c r="N14" s="329"/>
    </row>
    <row r="15" spans="1:14" x14ac:dyDescent="0.3">
      <c r="A15" s="474"/>
      <c r="B15" s="294" t="s">
        <v>1</v>
      </c>
      <c r="C15" s="300">
        <f t="shared" si="0"/>
        <v>0</v>
      </c>
      <c r="D15" s="282">
        <f t="shared" si="1"/>
        <v>0</v>
      </c>
      <c r="E15" s="286">
        <f t="shared" si="2"/>
        <v>0</v>
      </c>
      <c r="F15" s="300">
        <f t="shared" si="4"/>
        <v>0</v>
      </c>
      <c r="G15" s="300">
        <f t="shared" si="3"/>
        <v>0</v>
      </c>
      <c r="K15" s="290" t="s">
        <v>6</v>
      </c>
      <c r="L15" s="328">
        <v>1.3439119170984455E-2</v>
      </c>
      <c r="M15" s="328">
        <f t="shared" si="5"/>
        <v>1.5119009067357511E-2</v>
      </c>
      <c r="N15" s="329"/>
    </row>
    <row r="16" spans="1:14" x14ac:dyDescent="0.3">
      <c r="A16" s="474"/>
      <c r="B16" s="218"/>
      <c r="C16" s="300">
        <f t="shared" si="0"/>
        <v>0</v>
      </c>
      <c r="D16" s="282">
        <f>C16/(1-$C$8)</f>
        <v>0</v>
      </c>
      <c r="E16" s="286">
        <f t="shared" si="2"/>
        <v>0</v>
      </c>
      <c r="F16" s="300">
        <f t="shared" si="4"/>
        <v>0</v>
      </c>
      <c r="G16" s="300">
        <f t="shared" si="3"/>
        <v>0</v>
      </c>
      <c r="K16" s="290" t="s">
        <v>7</v>
      </c>
      <c r="L16" s="328">
        <v>2.5906735751295338E-3</v>
      </c>
      <c r="M16" s="328">
        <f t="shared" si="5"/>
        <v>2.9145077720207253E-3</v>
      </c>
      <c r="N16" s="329"/>
    </row>
    <row r="17" spans="1:14" x14ac:dyDescent="0.3">
      <c r="A17" s="474"/>
      <c r="B17" s="218"/>
      <c r="C17" s="300">
        <f t="shared" si="0"/>
        <v>0</v>
      </c>
      <c r="D17" s="282">
        <f>C17/(1-$C$8)</f>
        <v>0</v>
      </c>
      <c r="E17" s="286">
        <f t="shared" si="2"/>
        <v>0</v>
      </c>
      <c r="F17" s="300">
        <f t="shared" si="4"/>
        <v>0</v>
      </c>
      <c r="G17" s="300">
        <f t="shared" si="3"/>
        <v>0</v>
      </c>
      <c r="K17" s="290" t="s">
        <v>1</v>
      </c>
      <c r="L17" s="328">
        <v>0</v>
      </c>
      <c r="M17" s="328">
        <f t="shared" si="5"/>
        <v>0</v>
      </c>
      <c r="N17" s="329"/>
    </row>
    <row r="18" spans="1:14" x14ac:dyDescent="0.3">
      <c r="A18" s="474"/>
      <c r="B18" s="218"/>
      <c r="C18" s="300">
        <f t="shared" si="0"/>
        <v>0</v>
      </c>
      <c r="D18" s="282">
        <f>C18/(1-$C$8)</f>
        <v>0</v>
      </c>
      <c r="E18" s="286">
        <f t="shared" si="2"/>
        <v>0</v>
      </c>
      <c r="F18" s="300">
        <f t="shared" si="4"/>
        <v>0</v>
      </c>
      <c r="G18" s="300">
        <f t="shared" si="3"/>
        <v>0</v>
      </c>
      <c r="K18" s="337"/>
      <c r="L18" s="329"/>
      <c r="M18" s="329"/>
      <c r="N18" s="329"/>
    </row>
    <row r="19" spans="1:14" x14ac:dyDescent="0.3">
      <c r="A19" s="474"/>
      <c r="B19" s="218"/>
      <c r="C19" s="300">
        <f t="shared" si="0"/>
        <v>0</v>
      </c>
      <c r="D19" s="282">
        <f>C19/(1-$C$8)</f>
        <v>0</v>
      </c>
      <c r="E19" s="286">
        <f t="shared" si="2"/>
        <v>0</v>
      </c>
      <c r="F19" s="300">
        <f t="shared" si="4"/>
        <v>0</v>
      </c>
      <c r="G19" s="300">
        <f t="shared" si="3"/>
        <v>0</v>
      </c>
      <c r="K19" s="337"/>
      <c r="L19" s="329"/>
      <c r="M19" s="329"/>
      <c r="N19" s="329"/>
    </row>
    <row r="20" spans="1:14" x14ac:dyDescent="0.3">
      <c r="A20" s="474"/>
      <c r="B20" s="218"/>
      <c r="C20" s="300">
        <f t="shared" si="0"/>
        <v>0</v>
      </c>
      <c r="D20" s="282">
        <f>C20/(1-$C$8)</f>
        <v>0</v>
      </c>
      <c r="E20" s="286">
        <f t="shared" si="2"/>
        <v>0</v>
      </c>
      <c r="F20" s="300">
        <f t="shared" si="4"/>
        <v>0</v>
      </c>
      <c r="G20" s="300">
        <f t="shared" si="3"/>
        <v>0</v>
      </c>
      <c r="K20" s="337"/>
      <c r="L20" s="329"/>
      <c r="M20" s="329"/>
      <c r="N20" s="329"/>
    </row>
    <row r="21" spans="1:14" x14ac:dyDescent="0.3">
      <c r="A21" s="474"/>
      <c r="B21" s="294" t="s">
        <v>225</v>
      </c>
      <c r="C21" s="300">
        <f t="shared" si="0"/>
        <v>0.1</v>
      </c>
      <c r="D21" s="324"/>
      <c r="E21" s="325"/>
      <c r="F21" s="300">
        <f>C21*I11</f>
        <v>0.1</v>
      </c>
      <c r="G21" s="300">
        <f t="shared" si="3"/>
        <v>0.1</v>
      </c>
      <c r="K21" s="337"/>
      <c r="L21" s="329"/>
      <c r="M21" s="329"/>
      <c r="N21" s="329"/>
    </row>
    <row r="22" spans="1:14" x14ac:dyDescent="0.3">
      <c r="A22" s="474"/>
      <c r="B22" s="295" t="s">
        <v>577</v>
      </c>
      <c r="C22" s="296">
        <f>SUM(C8:C21)</f>
        <v>1</v>
      </c>
      <c r="D22" s="297">
        <f>SUM(D8:D21)</f>
        <v>0.99999999999999989</v>
      </c>
      <c r="E22" s="297">
        <f>SUM(E8:E21)</f>
        <v>0.99999999999999989</v>
      </c>
      <c r="F22" s="296">
        <f>SUM(F8:F21)</f>
        <v>1</v>
      </c>
      <c r="G22" s="296">
        <f>SUM(G8:G21)</f>
        <v>1</v>
      </c>
      <c r="K22" s="337"/>
      <c r="L22" s="329"/>
      <c r="M22" s="329"/>
      <c r="N22" s="329"/>
    </row>
    <row r="23" spans="1:14" ht="15" thickBot="1" x14ac:dyDescent="0.35">
      <c r="A23" s="474"/>
      <c r="C23" s="291"/>
      <c r="K23" s="305" t="s">
        <v>225</v>
      </c>
      <c r="L23" s="330">
        <v>0.2</v>
      </c>
      <c r="M23" s="330">
        <v>0.1</v>
      </c>
      <c r="N23" s="331"/>
    </row>
    <row r="24" spans="1:14" ht="15" thickBot="1" x14ac:dyDescent="0.35">
      <c r="B24" t="s">
        <v>773</v>
      </c>
      <c r="C24" s="291"/>
      <c r="E24" s="352">
        <f>SUMPRODUCT($L$8:$N$8,L34:N34)</f>
        <v>-19.292093750000003</v>
      </c>
      <c r="F24" t="s">
        <v>731</v>
      </c>
      <c r="G24">
        <v>22.4</v>
      </c>
      <c r="H24" t="s">
        <v>775</v>
      </c>
      <c r="K24" s="302" t="s">
        <v>576</v>
      </c>
      <c r="L24" s="303">
        <f>SUM(L10:L23)</f>
        <v>1</v>
      </c>
      <c r="M24" s="303">
        <f t="shared" ref="M24:N24" si="6">SUM(M10:M23)</f>
        <v>1</v>
      </c>
      <c r="N24" s="304">
        <f t="shared" si="6"/>
        <v>0</v>
      </c>
    </row>
    <row r="25" spans="1:14" x14ac:dyDescent="0.3">
      <c r="B25" t="s">
        <v>657</v>
      </c>
      <c r="E25" s="352">
        <f>SUMPRODUCT($L$8:$N$8,L35:N35)</f>
        <v>-24.115117187500001</v>
      </c>
      <c r="F25" t="s">
        <v>731</v>
      </c>
      <c r="G25">
        <v>24.1</v>
      </c>
      <c r="H25" t="s">
        <v>775</v>
      </c>
      <c r="K25" s="293" t="s">
        <v>659</v>
      </c>
    </row>
    <row r="26" spans="1:14" x14ac:dyDescent="0.3">
      <c r="B26" t="s">
        <v>670</v>
      </c>
      <c r="E26" s="352">
        <f>SUMPRODUCT($L$8:$N$8,L41:N41)</f>
        <v>-4.0492248218911868</v>
      </c>
      <c r="F26" t="s">
        <v>731</v>
      </c>
      <c r="K26" s="293" t="s">
        <v>656</v>
      </c>
    </row>
    <row r="27" spans="1:14" x14ac:dyDescent="0.3">
      <c r="B27" t="s">
        <v>754</v>
      </c>
      <c r="E27" s="438">
        <f>E26/(1000/E47)*1000</f>
        <v>-1708.7728748380807</v>
      </c>
      <c r="F27" t="s">
        <v>731</v>
      </c>
      <c r="K27" s="293" t="s">
        <v>655</v>
      </c>
    </row>
    <row r="28" spans="1:14" x14ac:dyDescent="0.3">
      <c r="B28" t="s">
        <v>788</v>
      </c>
      <c r="E28" s="438">
        <f>SUMPRODUCT($L$8:$N$8,L37:N37)</f>
        <v>-22.284882812500001</v>
      </c>
      <c r="K28" t="s">
        <v>654</v>
      </c>
      <c r="N28" s="293"/>
    </row>
    <row r="29" spans="1:14" x14ac:dyDescent="0.3">
      <c r="B29" t="s">
        <v>789</v>
      </c>
      <c r="E29" s="438">
        <f>SUMPRODUCT($L$8:$N$8,L38:N38)</f>
        <v>-24.115117187500001</v>
      </c>
      <c r="K29" t="s">
        <v>653</v>
      </c>
    </row>
    <row r="30" spans="1:14" x14ac:dyDescent="0.3">
      <c r="B30" t="s">
        <v>785</v>
      </c>
      <c r="E30" s="438">
        <f>SUMPRODUCT($L$8:$N$8,L42:N42)</f>
        <v>-21.459138802083334</v>
      </c>
      <c r="K30" s="249" t="s">
        <v>582</v>
      </c>
      <c r="M30">
        <f>M31*(M24-M23)</f>
        <v>-20.07</v>
      </c>
    </row>
    <row r="31" spans="1:14" x14ac:dyDescent="0.3">
      <c r="B31" t="s">
        <v>786</v>
      </c>
      <c r="E31" s="438">
        <f>SUMPRODUCT($L$8:$N$8,L43:N43)</f>
        <v>-21.703605468750002</v>
      </c>
      <c r="K31" t="s">
        <v>776</v>
      </c>
      <c r="L31" s="23">
        <v>-22.3</v>
      </c>
      <c r="M31" s="23">
        <v>-22.3</v>
      </c>
    </row>
    <row r="32" spans="1:14" x14ac:dyDescent="0.3">
      <c r="B32" t="s">
        <v>787</v>
      </c>
      <c r="E32" s="466">
        <f>SUMPRODUCT($L$8:$N$8,L23:N23)</f>
        <v>0.1</v>
      </c>
      <c r="K32" t="s">
        <v>776</v>
      </c>
      <c r="L32" s="23">
        <f>-24.1</f>
        <v>-24.1</v>
      </c>
      <c r="M32" s="23">
        <f>-24.1</f>
        <v>-24.1</v>
      </c>
    </row>
    <row r="33" spans="2:14" x14ac:dyDescent="0.3">
      <c r="E33" s="467"/>
      <c r="K33" s="368" t="s">
        <v>692</v>
      </c>
      <c r="L33" s="367">
        <f>L41</f>
        <v>-4.0341076343911872</v>
      </c>
      <c r="M33" s="367">
        <f>M41</f>
        <v>-4.0492248218911868</v>
      </c>
    </row>
    <row r="34" spans="2:14" x14ac:dyDescent="0.3">
      <c r="E34" s="437">
        <f>E24*'02. Pripravljeno gorivo'!E20</f>
        <v>-1929.2093750000004</v>
      </c>
      <c r="F34" s="22">
        <f>E25*'02. Pripravljeno gorivo'!E21</f>
        <v>-2170.3605468750002</v>
      </c>
      <c r="K34" s="295" t="s">
        <v>773</v>
      </c>
      <c r="L34" s="444">
        <f>L35*(1-L23)</f>
        <v>-19.292093750000003</v>
      </c>
      <c r="M34" s="444">
        <f>L35*(1-L23)</f>
        <v>-19.292093750000003</v>
      </c>
      <c r="N34" s="355">
        <f>N35*(1-N23)+N23/18*(Thermodynamics!$B$4-Thermodynamics!$B$5)</f>
        <v>0</v>
      </c>
    </row>
    <row r="35" spans="2:14" x14ac:dyDescent="0.3">
      <c r="C35" t="s">
        <v>48</v>
      </c>
      <c r="E35" s="437">
        <f>E34/3.6</f>
        <v>-535.89149305555566</v>
      </c>
      <c r="F35" s="437">
        <f>F34/3.6</f>
        <v>-602.8779296875</v>
      </c>
      <c r="K35" s="295" t="s">
        <v>657</v>
      </c>
      <c r="L35" s="444">
        <f>(L39-L41)</f>
        <v>-24.115117187500001</v>
      </c>
      <c r="M35" s="444">
        <f>(L39-L41)</f>
        <v>-24.115117187500001</v>
      </c>
      <c r="N35" s="355">
        <f>(N39-N41)</f>
        <v>0</v>
      </c>
    </row>
    <row r="36" spans="2:14" x14ac:dyDescent="0.3">
      <c r="B36" t="s">
        <v>657</v>
      </c>
      <c r="E36" s="352">
        <f>SUMPRODUCT($L$8:$N$8,L31:N31)</f>
        <v>-22.3</v>
      </c>
      <c r="F36" t="s">
        <v>732</v>
      </c>
      <c r="K36" s="295"/>
      <c r="L36" s="454"/>
      <c r="M36" s="454"/>
      <c r="N36" s="455"/>
    </row>
    <row r="37" spans="2:14" x14ac:dyDescent="0.3">
      <c r="B37" t="s">
        <v>670</v>
      </c>
      <c r="E37" s="446">
        <f>SUMPRODUCT($L$8:$N$8,L33:N33)</f>
        <v>-4.0492248218911868</v>
      </c>
      <c r="F37" s="447" t="s">
        <v>736</v>
      </c>
      <c r="K37" s="295" t="s">
        <v>803</v>
      </c>
      <c r="L37" s="454">
        <f>L38+(L12/2)*(Thermodynamics!$B$4-Thermodynamics!$B$5)/(1-L23)</f>
        <v>-22.284882812500001</v>
      </c>
      <c r="M37" s="454">
        <f>L38+(L12/2)*(Thermodynamics!$B$4-Thermodynamics!$B$5)/(1-L23)</f>
        <v>-22.284882812500001</v>
      </c>
      <c r="N37" s="455"/>
    </row>
    <row r="38" spans="2:14" x14ac:dyDescent="0.3">
      <c r="B38" t="s">
        <v>737</v>
      </c>
      <c r="E38" s="448">
        <f>E37/(1000/E47)*1000</f>
        <v>-1708.7728748380807</v>
      </c>
      <c r="F38" s="447" t="s">
        <v>736</v>
      </c>
      <c r="K38" s="295" t="s">
        <v>804</v>
      </c>
      <c r="L38" s="454">
        <f>L39-L41</f>
        <v>-24.115117187500001</v>
      </c>
      <c r="M38" s="454">
        <f>L39-L41</f>
        <v>-24.115117187500001</v>
      </c>
      <c r="N38" s="455"/>
    </row>
    <row r="39" spans="2:14" x14ac:dyDescent="0.3">
      <c r="K39" s="170" t="s">
        <v>781</v>
      </c>
      <c r="L39" s="445">
        <f>(L11*Thermodynamics!$B$3/12+L12*Thermodynamics!$B$5/2)/(1-L23)</f>
        <v>-28.149224821891188</v>
      </c>
      <c r="M39" s="445">
        <f>(M11*Thermodynamics!$B$3/12-M13/16*(Thermodynamics!$B$3+Thermodynamics!$B$6)/2*0+M12*Thermodynamics!$B$5/2)/(1-M23)</f>
        <v>-28.149224821891188</v>
      </c>
      <c r="N39" s="251">
        <f>(N11*Thermodynamics!$B$3/12+N12*Thermodynamics!$B$4/2)/(1-N23)</f>
        <v>0</v>
      </c>
    </row>
    <row r="40" spans="2:14" x14ac:dyDescent="0.3">
      <c r="B40" t="s">
        <v>585</v>
      </c>
      <c r="C40" s="323">
        <v>5</v>
      </c>
      <c r="K40" s="170" t="s">
        <v>782</v>
      </c>
      <c r="L40" s="445">
        <f>(L11*Thermodynamics!$B$3/12+L12*Thermodynamics!$B$4/2)/(1-L23)</f>
        <v>-26.318990446891192</v>
      </c>
      <c r="M40" s="445">
        <f>(L11*Thermodynamics!$B$3/12-L13/16*(Thermodynamics!$B$3+Thermodynamics!$B$6)/2*0+L12*Thermodynamics!$B$4/2)/(1-L23)</f>
        <v>-26.318990446891192</v>
      </c>
      <c r="N40" s="251"/>
    </row>
    <row r="41" spans="2:14" x14ac:dyDescent="0.3">
      <c r="B41" t="s">
        <v>584</v>
      </c>
      <c r="D41" s="353" t="str">
        <f>"C"&amp;ROUND(D9*100/12*C40,1)&amp;"H"&amp;ROUND(D10*100/1*C40,1)&amp;"O"&amp;ROUND(D11*100/16*C40,1)</f>
        <v>C20,7H41,6O7,9</v>
      </c>
      <c r="K41" s="334" t="s">
        <v>695</v>
      </c>
      <c r="L41" s="445">
        <f>(L39+L40-L31-L32)/2</f>
        <v>-4.0341076343911872</v>
      </c>
      <c r="M41" s="445">
        <f>M39-M32</f>
        <v>-4.0492248218911868</v>
      </c>
      <c r="N41" s="251"/>
    </row>
    <row r="42" spans="2:14" x14ac:dyDescent="0.3">
      <c r="B42" t="s">
        <v>613</v>
      </c>
      <c r="D42" s="249" t="str">
        <f>"C"&amp;ROUND(D9*100/12*C40,0)&amp;"H"&amp;ROUND(D10*100/1*C40,0)&amp;"O"&amp;ROUND(D11*100/16*C40,0)</f>
        <v>C21H42O8</v>
      </c>
      <c r="K42" s="334" t="s">
        <v>784</v>
      </c>
      <c r="L42" s="445">
        <f>L35*(1-L23)+L23/18*(Thermodynamics!$B$4-Thermodynamics!$B$5)</f>
        <v>-18.803160416666671</v>
      </c>
      <c r="M42" s="445">
        <f>M35*(1-M23)+M23/18*(Thermodynamics!$B$4-Thermodynamics!$B$5)</f>
        <v>-21.459138802083334</v>
      </c>
      <c r="N42" s="251"/>
    </row>
    <row r="43" spans="2:14" x14ac:dyDescent="0.3">
      <c r="D43" t="str">
        <f>"C"&amp;ROUND(D9*100/12*C40,1)&amp;"H"&amp;ROUND(D10*100/1*C40,1)&amp;"O"&amp;ROUND(D11*100/16*C40,1)</f>
        <v>C20,7H41,6O7,9</v>
      </c>
      <c r="E43" s="340" t="str">
        <f>"C"&amp;ROUND(D9*100/12*C40,0)&amp;"H"&amp;ROUND(D10*100/1*C40,0)&amp;"O"&amp;ROUND(D11*100/16*C40,0)</f>
        <v>C21H42O8</v>
      </c>
      <c r="K43" s="334" t="s">
        <v>783</v>
      </c>
      <c r="L43" s="445">
        <f>L35*(1-L23)</f>
        <v>-19.292093750000003</v>
      </c>
      <c r="M43" s="445">
        <f>M35*(1-M23)</f>
        <v>-21.703605468750002</v>
      </c>
      <c r="N43" s="251"/>
    </row>
    <row r="44" spans="2:14" x14ac:dyDescent="0.3">
      <c r="B44" t="s">
        <v>595</v>
      </c>
      <c r="C44" t="s">
        <v>2</v>
      </c>
      <c r="D44">
        <f>ROUND(D9*100/12*C40,1)</f>
        <v>20.7</v>
      </c>
      <c r="E44" s="340">
        <f>ROUND(D9*100/12*C40,0)</f>
        <v>21</v>
      </c>
      <c r="K44" s="368" t="s">
        <v>694</v>
      </c>
      <c r="L44" s="367">
        <f>L33*SUM(C9:C11)/(SUM(C9:C11)/E47)</f>
        <v>-1702.3934217130811</v>
      </c>
      <c r="M44" s="367">
        <f>M33*SUM(D9:D11)/(SUM(D9:D11)/E47)</f>
        <v>-1708.7728748380807</v>
      </c>
    </row>
    <row r="45" spans="2:14" x14ac:dyDescent="0.3">
      <c r="C45" t="s">
        <v>3</v>
      </c>
      <c r="D45">
        <f>ROUND(D10*100/1*C40,1)</f>
        <v>41.6</v>
      </c>
      <c r="E45" s="340">
        <f>ROUND(D10*100/1*C40,0)</f>
        <v>42</v>
      </c>
      <c r="K45" t="s">
        <v>751</v>
      </c>
      <c r="M45">
        <v>-0.114</v>
      </c>
    </row>
    <row r="46" spans="2:14" x14ac:dyDescent="0.3">
      <c r="C46" t="s">
        <v>4</v>
      </c>
      <c r="D46">
        <f>ROUND(D11*100/16*C40,1)</f>
        <v>7.9</v>
      </c>
      <c r="E46" s="340">
        <f>ROUND(D11*100/16*C40,0)</f>
        <v>8</v>
      </c>
      <c r="K46" t="s">
        <v>2</v>
      </c>
      <c r="M46">
        <f>M11/12*100*100/1000</f>
        <v>0.37190333549222793</v>
      </c>
    </row>
    <row r="47" spans="2:14" x14ac:dyDescent="0.3">
      <c r="B47" t="s">
        <v>624</v>
      </c>
      <c r="D47">
        <f>D44*12+D45*1+D46*16</f>
        <v>416.4</v>
      </c>
      <c r="E47" s="351">
        <f>E44*12+E45*1+E46*16</f>
        <v>422</v>
      </c>
      <c r="K47" t="s">
        <v>3</v>
      </c>
      <c r="M47">
        <f>M12/2*100*100/1000</f>
        <v>0.37433209196891187</v>
      </c>
    </row>
    <row r="48" spans="2:14" x14ac:dyDescent="0.3">
      <c r="F48" t="s">
        <v>614</v>
      </c>
      <c r="K48" s="334" t="s">
        <v>695</v>
      </c>
      <c r="L48">
        <f>('03.1 Enacbe'!$D$10*$E$44*(-40)+$E$46*(Thermodynamics!$B$3+0*Thermodynamics!$B$6)/1)/1000</f>
        <v>-3.2968675210262015</v>
      </c>
    </row>
    <row r="49" spans="2:13" x14ac:dyDescent="0.3">
      <c r="F49" s="207">
        <f>(E44-D44)/D44</f>
        <v>1.4492753623188441E-2</v>
      </c>
      <c r="G49" s="162"/>
      <c r="K49" s="170" t="s">
        <v>658</v>
      </c>
      <c r="L49">
        <f>L11*1/12*Thermodynamics!B3/(1-L23)</f>
        <v>-16.260853505505182</v>
      </c>
      <c r="M49" t="s">
        <v>23</v>
      </c>
    </row>
    <row r="50" spans="2:13" x14ac:dyDescent="0.3">
      <c r="F50" s="207">
        <f>(E45-D45)/D45</f>
        <v>9.6153846153845812E-3</v>
      </c>
      <c r="G50" s="162"/>
      <c r="L50">
        <f>L12*1/2*Thermodynamics!B5/(1-L23)</f>
        <v>-11.88837131638601</v>
      </c>
      <c r="M50" t="s">
        <v>746</v>
      </c>
    </row>
    <row r="51" spans="2:13" x14ac:dyDescent="0.3">
      <c r="F51" s="207">
        <f>(E46-D46)/D46</f>
        <v>1.2658227848101221E-2</v>
      </c>
      <c r="G51" s="162"/>
      <c r="L51">
        <f>SUM(L49:L50)</f>
        <v>-28.149224821891192</v>
      </c>
      <c r="M51" t="s">
        <v>778</v>
      </c>
    </row>
    <row r="52" spans="2:13" x14ac:dyDescent="0.3">
      <c r="F52" s="207">
        <f>(E47-D47)/D47</f>
        <v>1.3448607108549527E-2</v>
      </c>
      <c r="G52" s="162"/>
      <c r="L52">
        <f>-G25</f>
        <v>-24.1</v>
      </c>
      <c r="M52" t="s">
        <v>780</v>
      </c>
    </row>
    <row r="53" spans="2:13" x14ac:dyDescent="0.3">
      <c r="L53">
        <f>L51-L52</f>
        <v>-4.0492248218911904</v>
      </c>
    </row>
    <row r="54" spans="2:13" x14ac:dyDescent="0.3">
      <c r="B54" t="s">
        <v>805</v>
      </c>
    </row>
    <row r="55" spans="2:13" x14ac:dyDescent="0.3">
      <c r="B55">
        <f>12*6+12+16*6</f>
        <v>180</v>
      </c>
      <c r="L55">
        <f>L11*1/12*Thermodynamics!B3/(1-L23)</f>
        <v>-16.260853505505182</v>
      </c>
      <c r="M55" t="s">
        <v>23</v>
      </c>
    </row>
    <row r="56" spans="2:13" x14ac:dyDescent="0.3">
      <c r="L56">
        <f>L12*1/2*Thermodynamics!B4/(1-L23)</f>
        <v>-10.05813694138601</v>
      </c>
      <c r="M56" t="s">
        <v>779</v>
      </c>
    </row>
    <row r="57" spans="2:13" x14ac:dyDescent="0.3">
      <c r="L57">
        <f>SUM(L55:L56)</f>
        <v>-26.318990446891192</v>
      </c>
      <c r="M57" t="s">
        <v>777</v>
      </c>
    </row>
    <row r="58" spans="2:13" x14ac:dyDescent="0.3">
      <c r="L58">
        <f>-G24</f>
        <v>-22.4</v>
      </c>
    </row>
    <row r="59" spans="2:13" x14ac:dyDescent="0.3">
      <c r="L59">
        <f>L57-L58</f>
        <v>-3.9189904468911934</v>
      </c>
    </row>
    <row r="61" spans="2:13" x14ac:dyDescent="0.3">
      <c r="L61">
        <f>ROUND(AVERAGE(L53,L59),3)</f>
        <v>-3.984</v>
      </c>
    </row>
  </sheetData>
  <mergeCells count="1">
    <mergeCell ref="A10:A2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workbookViewId="0">
      <selection activeCell="C6" sqref="C6"/>
    </sheetView>
  </sheetViews>
  <sheetFormatPr defaultRowHeight="14.4" x14ac:dyDescent="0.3"/>
  <cols>
    <col min="1" max="1" width="3" customWidth="1"/>
    <col min="2" max="2" width="37.44140625" bestFit="1" customWidth="1"/>
    <col min="3" max="3" width="6.88671875" customWidth="1"/>
    <col min="4" max="4" width="8.33203125" customWidth="1"/>
    <col min="5" max="5" width="7.33203125" customWidth="1"/>
    <col min="6" max="6" width="0.88671875" customWidth="1"/>
    <col min="7" max="7" width="7.44140625" customWidth="1"/>
    <col min="8" max="8" width="8.33203125" customWidth="1"/>
    <col min="9" max="9" width="7.88671875" customWidth="1"/>
    <col min="10" max="10" width="1.109375" customWidth="1"/>
    <col min="11" max="11" width="6" bestFit="1" customWidth="1"/>
    <col min="16" max="16" width="10.33203125" bestFit="1" customWidth="1"/>
    <col min="17" max="17" width="5.5546875" bestFit="1" customWidth="1"/>
    <col min="18" max="18" width="8.33203125" bestFit="1" customWidth="1"/>
  </cols>
  <sheetData>
    <row r="1" spans="1:29" ht="15.6" x14ac:dyDescent="0.3">
      <c r="A1" s="180" t="s">
        <v>184</v>
      </c>
      <c r="K1" s="2" t="s">
        <v>183</v>
      </c>
      <c r="L1" s="2"/>
    </row>
    <row r="2" spans="1:29" x14ac:dyDescent="0.3">
      <c r="A2" s="173"/>
      <c r="B2" s="179"/>
      <c r="C2" s="178" t="s">
        <v>182</v>
      </c>
      <c r="D2" s="178" t="s">
        <v>181</v>
      </c>
      <c r="E2" s="178" t="s">
        <v>180</v>
      </c>
      <c r="F2" s="178"/>
      <c r="G2" s="178" t="s">
        <v>179</v>
      </c>
      <c r="H2" s="178" t="s">
        <v>178</v>
      </c>
      <c r="I2" s="178" t="s">
        <v>177</v>
      </c>
      <c r="J2" s="1"/>
      <c r="K2" s="186">
        <v>100</v>
      </c>
      <c r="L2" s="177" t="s">
        <v>176</v>
      </c>
      <c r="P2" t="s">
        <v>145</v>
      </c>
    </row>
    <row r="3" spans="1:29" x14ac:dyDescent="0.3">
      <c r="A3" s="173"/>
      <c r="B3" s="183" t="s">
        <v>185</v>
      </c>
      <c r="C3" s="178"/>
      <c r="D3" s="178"/>
      <c r="E3" s="178"/>
      <c r="F3" s="178"/>
      <c r="G3" s="178"/>
      <c r="H3" s="178"/>
      <c r="I3" s="184">
        <f>I4*K3</f>
        <v>186.66666666666671</v>
      </c>
      <c r="J3" s="1"/>
      <c r="K3" s="185">
        <v>0.8</v>
      </c>
      <c r="L3" s="187" t="s">
        <v>187</v>
      </c>
      <c r="P3" t="s">
        <v>144</v>
      </c>
      <c r="Q3" s="161" t="e">
        <f ca="1">C18</f>
        <v>#DIV/0!</v>
      </c>
      <c r="R3" t="s">
        <v>9</v>
      </c>
    </row>
    <row r="4" spans="1:29" x14ac:dyDescent="0.3">
      <c r="A4" s="475" t="s">
        <v>175</v>
      </c>
      <c r="B4" s="170" t="s">
        <v>174</v>
      </c>
      <c r="C4" s="169"/>
      <c r="D4" s="169"/>
      <c r="E4" s="169"/>
      <c r="F4" s="169"/>
      <c r="G4" s="169"/>
      <c r="H4" s="169"/>
      <c r="I4" s="169">
        <f>H6-I5</f>
        <v>233.33333333333337</v>
      </c>
      <c r="K4" s="176">
        <v>0.3</v>
      </c>
      <c r="L4" s="2" t="s">
        <v>188</v>
      </c>
      <c r="Q4" s="181" t="e">
        <f ca="1">Q3/K14</f>
        <v>#DIV/0!</v>
      </c>
      <c r="R4" t="s">
        <v>189</v>
      </c>
    </row>
    <row r="5" spans="1:29" x14ac:dyDescent="0.3">
      <c r="A5" s="475"/>
      <c r="B5" s="170" t="s">
        <v>173</v>
      </c>
      <c r="C5" s="169"/>
      <c r="D5" s="169"/>
      <c r="E5" s="169"/>
      <c r="F5" s="169"/>
      <c r="G5" s="169"/>
      <c r="H5" s="169"/>
      <c r="I5" s="169">
        <f>K2</f>
        <v>100</v>
      </c>
      <c r="J5" s="161"/>
      <c r="K5" s="157" t="e">
        <f ca="1">I5/G20</f>
        <v>#DIV/0!</v>
      </c>
      <c r="L5" s="2" t="s">
        <v>172</v>
      </c>
      <c r="P5" t="s">
        <v>137</v>
      </c>
      <c r="Q5" s="181" t="e">
        <f ca="1">C12</f>
        <v>#DIV/0!</v>
      </c>
      <c r="R5" t="s">
        <v>9</v>
      </c>
    </row>
    <row r="6" spans="1:29" x14ac:dyDescent="0.3">
      <c r="A6" s="475"/>
      <c r="B6" s="170" t="s">
        <v>171</v>
      </c>
      <c r="C6" s="169"/>
      <c r="D6" s="169" t="e">
        <f ca="1">D9-E7</f>
        <v>#DIV/0!</v>
      </c>
      <c r="E6" s="169" t="e">
        <f ca="1">D6</f>
        <v>#DIV/0!</v>
      </c>
      <c r="F6" s="169"/>
      <c r="G6" s="169"/>
      <c r="H6" s="169">
        <f>1/K4*I5</f>
        <v>333.33333333333337</v>
      </c>
      <c r="I6" s="169"/>
      <c r="K6" s="6" t="e">
        <f ca="1">(H6/(E6/K14))*3.6</f>
        <v>#DIV/0!</v>
      </c>
      <c r="L6" s="2" t="s">
        <v>170</v>
      </c>
      <c r="Q6" s="181" t="e">
        <f ca="1">Q5/K14</f>
        <v>#DIV/0!</v>
      </c>
      <c r="R6" t="s">
        <v>189</v>
      </c>
    </row>
    <row r="7" spans="1:29" x14ac:dyDescent="0.3">
      <c r="A7" s="475"/>
      <c r="B7" s="170" t="s">
        <v>169</v>
      </c>
      <c r="C7" s="169"/>
      <c r="D7" s="169"/>
      <c r="E7" s="169" t="e">
        <f ca="1">C20*'Calculation list'!$F$52</f>
        <v>#DIV/0!</v>
      </c>
      <c r="F7" s="169"/>
      <c r="G7" s="169"/>
      <c r="H7" s="169"/>
      <c r="I7" s="169"/>
      <c r="K7" s="6" t="e">
        <f ca="1">(H9/(D9/K14))*3.6</f>
        <v>#DIV/0!</v>
      </c>
      <c r="L7" s="2" t="s">
        <v>168</v>
      </c>
      <c r="P7" t="s">
        <v>143</v>
      </c>
      <c r="Q7" s="181" t="e">
        <f ca="1">C18+C12</f>
        <v>#DIV/0!</v>
      </c>
      <c r="R7" t="s">
        <v>9</v>
      </c>
    </row>
    <row r="8" spans="1:29" x14ac:dyDescent="0.3">
      <c r="A8" s="475"/>
      <c r="B8" s="170" t="s">
        <v>167</v>
      </c>
      <c r="C8" s="169"/>
      <c r="D8" s="169"/>
      <c r="E8" s="169"/>
      <c r="F8" s="169"/>
      <c r="G8" s="169"/>
      <c r="H8" s="169"/>
      <c r="I8" s="169" t="e">
        <f ca="1">H15-I14+H10</f>
        <v>#DIV/0!</v>
      </c>
      <c r="K8" s="157" t="e">
        <f ca="1">(I8+I5+I4)/I21</f>
        <v>#DIV/0!</v>
      </c>
      <c r="L8" s="2" t="s">
        <v>166</v>
      </c>
      <c r="Q8" s="181" t="e">
        <f ca="1">Q7/K14</f>
        <v>#DIV/0!</v>
      </c>
      <c r="R8" t="s">
        <v>189</v>
      </c>
    </row>
    <row r="9" spans="1:29" x14ac:dyDescent="0.3">
      <c r="A9" s="173"/>
      <c r="B9" s="170" t="s">
        <v>165</v>
      </c>
      <c r="C9" s="169"/>
      <c r="D9" s="169" t="e">
        <f ca="1">C12+D13</f>
        <v>#DIV/0!</v>
      </c>
      <c r="E9" s="169"/>
      <c r="F9" s="169"/>
      <c r="G9" s="169"/>
      <c r="H9" s="169">
        <f>H6</f>
        <v>333.33333333333337</v>
      </c>
      <c r="I9" s="169"/>
      <c r="K9" s="182" t="e">
        <f ca="1">D6/K14</f>
        <v>#DIV/0!</v>
      </c>
      <c r="L9" s="2" t="s">
        <v>186</v>
      </c>
    </row>
    <row r="10" spans="1:29" x14ac:dyDescent="0.3">
      <c r="A10" s="173"/>
      <c r="B10" s="170" t="s">
        <v>164</v>
      </c>
      <c r="C10" s="169"/>
      <c r="D10" s="169"/>
      <c r="E10" s="169"/>
      <c r="F10" s="169"/>
      <c r="G10" s="169"/>
      <c r="H10" s="169" t="e">
        <f ca="1">K11*D13-(D11*K12)</f>
        <v>#DIV/0!</v>
      </c>
      <c r="I10" s="170"/>
      <c r="K10" s="175"/>
      <c r="L10" s="2"/>
    </row>
    <row r="11" spans="1:29" x14ac:dyDescent="0.3">
      <c r="A11" s="173"/>
      <c r="B11" s="170" t="s">
        <v>163</v>
      </c>
      <c r="C11" s="169"/>
      <c r="D11" s="169" t="e">
        <f ca="1">(D13/K14)*'Calculation list'!$E$27/1000</f>
        <v>#DIV/0!</v>
      </c>
      <c r="E11" s="169"/>
      <c r="F11" s="169"/>
      <c r="G11" s="169"/>
      <c r="H11" s="169"/>
      <c r="I11" s="169"/>
      <c r="K11" s="174">
        <v>0.29499999999999998</v>
      </c>
      <c r="L11" s="2" t="s">
        <v>162</v>
      </c>
    </row>
    <row r="12" spans="1:29" x14ac:dyDescent="0.3">
      <c r="A12" s="173"/>
      <c r="B12" s="170" t="s">
        <v>161</v>
      </c>
      <c r="C12" s="169" t="e">
        <f ca="1">C20*'Calculation list'!$D$38</f>
        <v>#DIV/0!</v>
      </c>
      <c r="D12" s="169"/>
      <c r="E12" s="169"/>
      <c r="F12" s="169"/>
      <c r="G12" s="169"/>
      <c r="H12" s="169"/>
      <c r="I12" s="169"/>
      <c r="K12" s="10">
        <v>11</v>
      </c>
      <c r="L12" s="2" t="s">
        <v>160</v>
      </c>
    </row>
    <row r="13" spans="1:29" x14ac:dyDescent="0.3">
      <c r="A13" s="173"/>
      <c r="B13" s="170" t="s">
        <v>159</v>
      </c>
      <c r="C13" s="169"/>
      <c r="D13" s="169" t="e">
        <f ca="1">D16</f>
        <v>#DIV/0!</v>
      </c>
      <c r="E13" s="169"/>
      <c r="F13" s="169"/>
      <c r="G13" s="169"/>
      <c r="H13" s="169" t="e">
        <f ca="1">H9+H10</f>
        <v>#DIV/0!</v>
      </c>
      <c r="I13" s="169"/>
      <c r="K13" s="157">
        <v>0.15</v>
      </c>
      <c r="L13" s="2" t="s">
        <v>158</v>
      </c>
    </row>
    <row r="14" spans="1:29" x14ac:dyDescent="0.3">
      <c r="A14" s="173"/>
      <c r="B14" s="170" t="s">
        <v>157</v>
      </c>
      <c r="C14" s="169"/>
      <c r="D14" s="169"/>
      <c r="E14" s="169"/>
      <c r="F14" s="169"/>
      <c r="G14" s="169"/>
      <c r="H14" s="169"/>
      <c r="I14" s="169" t="e">
        <f ca="1">G20*K13</f>
        <v>#DIV/0!</v>
      </c>
      <c r="K14" s="172">
        <v>1.111</v>
      </c>
      <c r="L14" s="2" t="s">
        <v>156</v>
      </c>
    </row>
    <row r="15" spans="1:29" x14ac:dyDescent="0.3">
      <c r="A15" s="476" t="s">
        <v>155</v>
      </c>
      <c r="B15" s="170" t="s">
        <v>154</v>
      </c>
      <c r="C15" s="169"/>
      <c r="D15" s="169"/>
      <c r="E15" s="169"/>
      <c r="F15" s="169"/>
      <c r="G15" s="169"/>
      <c r="H15" s="169" t="e">
        <f ca="1">I21*K15</f>
        <v>#DIV/0!</v>
      </c>
      <c r="I15" s="170"/>
      <c r="K15" s="171" t="e">
        <f>'Calculation list'!$F$46</f>
        <v>#REF!</v>
      </c>
      <c r="L15" s="2" t="s">
        <v>153</v>
      </c>
      <c r="W15" t="s">
        <v>228</v>
      </c>
    </row>
    <row r="16" spans="1:29" x14ac:dyDescent="0.3">
      <c r="A16" s="476"/>
      <c r="B16" s="170" t="s">
        <v>152</v>
      </c>
      <c r="C16" s="169"/>
      <c r="D16" s="169" t="e">
        <f ca="1">C20+C19+C18-E17</f>
        <v>#DIV/0!</v>
      </c>
      <c r="E16" s="169"/>
      <c r="F16" s="169"/>
      <c r="G16" s="169"/>
      <c r="H16" s="169" t="e">
        <f ca="1">I21*K16</f>
        <v>#DIV/0!</v>
      </c>
      <c r="I16" s="169"/>
      <c r="K16" s="171" t="e">
        <f ca="1">H16/G20</f>
        <v>#DIV/0!</v>
      </c>
      <c r="L16" s="2" t="s">
        <v>151</v>
      </c>
      <c r="AA16" t="s">
        <v>226</v>
      </c>
      <c r="AC16" t="s">
        <v>227</v>
      </c>
    </row>
    <row r="17" spans="1:29" x14ac:dyDescent="0.3">
      <c r="A17" s="476"/>
      <c r="B17" s="170" t="s">
        <v>0</v>
      </c>
      <c r="C17" s="169"/>
      <c r="D17" s="169"/>
      <c r="E17" s="169" t="e">
        <f ca="1">C20*'Calculation list'!$D$56</f>
        <v>#DIV/0!</v>
      </c>
      <c r="F17" s="169"/>
      <c r="G17" s="169"/>
      <c r="H17" s="169"/>
      <c r="I17" s="169"/>
      <c r="K17" s="4" t="e">
        <f ca="1">(H16/(D16/K14))*3.6</f>
        <v>#DIV/0!</v>
      </c>
      <c r="L17" s="2" t="s">
        <v>150</v>
      </c>
      <c r="W17" t="s">
        <v>29</v>
      </c>
      <c r="X17">
        <v>15</v>
      </c>
      <c r="Y17">
        <v>7</v>
      </c>
      <c r="Z17" s="162">
        <f>Y17/X17</f>
        <v>0.46666666666666667</v>
      </c>
      <c r="AA17">
        <v>13.9</v>
      </c>
      <c r="AB17">
        <f>AA17*Z17</f>
        <v>6.4866666666666672</v>
      </c>
      <c r="AC17" s="162">
        <f>AB17/AB$19</f>
        <v>0.64559773828756051</v>
      </c>
    </row>
    <row r="18" spans="1:29" x14ac:dyDescent="0.3">
      <c r="A18" s="476"/>
      <c r="B18" s="170" t="s">
        <v>149</v>
      </c>
      <c r="C18" s="169" t="e">
        <f ca="1">C20*'Calculation list'!$D$30</f>
        <v>#DIV/0!</v>
      </c>
      <c r="D18" s="169"/>
      <c r="E18" s="169"/>
      <c r="F18" s="169"/>
      <c r="G18" s="169"/>
      <c r="H18" s="169"/>
      <c r="I18" s="169"/>
      <c r="K18" s="167"/>
      <c r="L18" s="167"/>
      <c r="W18" t="s">
        <v>23</v>
      </c>
      <c r="X18">
        <v>23</v>
      </c>
      <c r="Y18">
        <v>7</v>
      </c>
      <c r="Z18" s="162">
        <f>Y18/X18</f>
        <v>0.30434782608695654</v>
      </c>
      <c r="AA18">
        <v>11.7</v>
      </c>
      <c r="AB18">
        <f>AA18*Z18</f>
        <v>3.5608695652173914</v>
      </c>
      <c r="AC18" s="162">
        <f>AB18/AB$19</f>
        <v>0.35440226171243938</v>
      </c>
    </row>
    <row r="19" spans="1:29" x14ac:dyDescent="0.3">
      <c r="A19" s="476"/>
      <c r="B19" s="170" t="s">
        <v>148</v>
      </c>
      <c r="C19" s="169" t="e">
        <f ca="1">C20*'Calculation list'!$D$52</f>
        <v>#DIV/0!</v>
      </c>
      <c r="D19" s="169"/>
      <c r="E19" s="169"/>
      <c r="F19" s="169"/>
      <c r="G19" s="169"/>
      <c r="H19" s="169"/>
      <c r="I19" s="169"/>
      <c r="K19" s="167"/>
      <c r="L19" s="167"/>
      <c r="AB19">
        <f>SUM(AB17:AB18)</f>
        <v>10.04753623188406</v>
      </c>
    </row>
    <row r="20" spans="1:29" x14ac:dyDescent="0.3">
      <c r="A20" s="476"/>
      <c r="B20" s="170" t="s">
        <v>147</v>
      </c>
      <c r="C20" s="169" t="e">
        <f ca="1">I21/'Calculation list'!$C$17</f>
        <v>#DIV/0!</v>
      </c>
      <c r="D20" s="169"/>
      <c r="E20" s="169"/>
      <c r="F20" s="169"/>
      <c r="G20" s="169" t="e">
        <f ca="1">H16+H15</f>
        <v>#DIV/0!</v>
      </c>
      <c r="H20" s="169"/>
      <c r="I20" s="169"/>
      <c r="K20" s="168"/>
      <c r="L20" s="167"/>
    </row>
    <row r="21" spans="1:29" x14ac:dyDescent="0.3">
      <c r="A21" s="476"/>
      <c r="B21" s="166" t="s">
        <v>146</v>
      </c>
      <c r="C21" s="165" t="e">
        <f ca="1">SUM(C4:C20)</f>
        <v>#DIV/0!</v>
      </c>
      <c r="D21" s="165"/>
      <c r="E21" s="165" t="e">
        <f ca="1">SUM(E4:E20)</f>
        <v>#DIV/0!</v>
      </c>
      <c r="F21" s="165"/>
      <c r="G21" s="165" t="e">
        <f ca="1">SUM(G4:G20)</f>
        <v>#DIV/0!</v>
      </c>
      <c r="H21" s="165"/>
      <c r="I21" s="165" t="e">
        <f ca="1">SUM(I4:I20)</f>
        <v>#DIV/0!</v>
      </c>
      <c r="J21" s="164"/>
      <c r="K21" s="2"/>
      <c r="L21" s="163"/>
      <c r="M21">
        <f>2000/4</f>
        <v>500</v>
      </c>
    </row>
    <row r="25" spans="1:29" ht="15.6" x14ac:dyDescent="0.3">
      <c r="A25" s="180" t="s">
        <v>184</v>
      </c>
      <c r="K25" s="2" t="s">
        <v>183</v>
      </c>
      <c r="L25" s="2"/>
    </row>
    <row r="26" spans="1:29" x14ac:dyDescent="0.3">
      <c r="A26" s="173"/>
      <c r="B26" s="179"/>
      <c r="C26" s="178" t="s">
        <v>182</v>
      </c>
      <c r="D26" s="178" t="s">
        <v>181</v>
      </c>
      <c r="E26" s="178" t="s">
        <v>180</v>
      </c>
      <c r="F26" s="178"/>
      <c r="G26" s="178" t="s">
        <v>179</v>
      </c>
      <c r="H26" s="178" t="s">
        <v>178</v>
      </c>
      <c r="I26" s="178" t="s">
        <v>177</v>
      </c>
      <c r="J26" s="1"/>
      <c r="K26" s="186" t="e">
        <f>'01.Vhodni podatki'!#REF!</f>
        <v>#REF!</v>
      </c>
      <c r="L26" s="177" t="s">
        <v>176</v>
      </c>
      <c r="P26" t="s">
        <v>145</v>
      </c>
    </row>
    <row r="27" spans="1:29" x14ac:dyDescent="0.3">
      <c r="A27" s="173"/>
      <c r="B27" s="183" t="s">
        <v>185</v>
      </c>
      <c r="C27" s="178"/>
      <c r="D27" s="178"/>
      <c r="E27" s="178"/>
      <c r="F27" s="178"/>
      <c r="G27" s="178"/>
      <c r="H27" s="178"/>
      <c r="I27" s="184" t="e">
        <f>I28*K27</f>
        <v>#REF!</v>
      </c>
      <c r="J27" s="1"/>
      <c r="K27" s="185">
        <v>0.8</v>
      </c>
      <c r="L27" s="187" t="s">
        <v>187</v>
      </c>
      <c r="P27" t="s">
        <v>144</v>
      </c>
      <c r="Q27" s="161" t="e">
        <f>C42</f>
        <v>#REF!</v>
      </c>
      <c r="R27" t="s">
        <v>9</v>
      </c>
    </row>
    <row r="28" spans="1:29" x14ac:dyDescent="0.3">
      <c r="A28" s="475" t="s">
        <v>175</v>
      </c>
      <c r="B28" s="170" t="s">
        <v>174</v>
      </c>
      <c r="C28" s="169"/>
      <c r="D28" s="169"/>
      <c r="E28" s="169"/>
      <c r="F28" s="169"/>
      <c r="G28" s="169"/>
      <c r="H28" s="169"/>
      <c r="I28" s="169" t="e">
        <f>H30-I29</f>
        <v>#REF!</v>
      </c>
      <c r="K28" s="176">
        <v>0.3</v>
      </c>
      <c r="L28" s="2" t="s">
        <v>188</v>
      </c>
      <c r="Q28" s="181" t="e">
        <f>Q27/K38</f>
        <v>#REF!</v>
      </c>
      <c r="R28" t="s">
        <v>189</v>
      </c>
    </row>
    <row r="29" spans="1:29" x14ac:dyDescent="0.3">
      <c r="A29" s="475"/>
      <c r="B29" s="170" t="s">
        <v>173</v>
      </c>
      <c r="C29" s="169"/>
      <c r="D29" s="169"/>
      <c r="E29" s="169"/>
      <c r="F29" s="169"/>
      <c r="G29" s="169"/>
      <c r="H29" s="169"/>
      <c r="I29" s="169" t="e">
        <f>K26</f>
        <v>#REF!</v>
      </c>
      <c r="J29" s="161"/>
      <c r="K29" s="157">
        <f ca="1">I29/G44</f>
        <v>0.18836162932716793</v>
      </c>
      <c r="L29" s="2" t="s">
        <v>172</v>
      </c>
      <c r="P29" t="s">
        <v>137</v>
      </c>
      <c r="Q29" s="181" t="e">
        <f>C36</f>
        <v>#REF!</v>
      </c>
      <c r="R29" t="s">
        <v>9</v>
      </c>
    </row>
    <row r="30" spans="1:29" x14ac:dyDescent="0.3">
      <c r="A30" s="475"/>
      <c r="B30" s="170" t="s">
        <v>171</v>
      </c>
      <c r="C30" s="169"/>
      <c r="D30" s="169" t="e">
        <f>D33-E31</f>
        <v>#REF!</v>
      </c>
      <c r="E30" s="169" t="e">
        <f>D30</f>
        <v>#REF!</v>
      </c>
      <c r="F30" s="169"/>
      <c r="G30" s="169"/>
      <c r="H30" s="169" t="e">
        <f>1/K28*I29</f>
        <v>#REF!</v>
      </c>
      <c r="I30" s="169"/>
      <c r="K30" s="6" t="e">
        <f>(H30/(E30/K38))*3.6</f>
        <v>#REF!</v>
      </c>
      <c r="L30" s="2" t="s">
        <v>170</v>
      </c>
      <c r="Q30" s="181" t="e">
        <f>Q29/K38</f>
        <v>#REF!</v>
      </c>
      <c r="R30" t="s">
        <v>189</v>
      </c>
    </row>
    <row r="31" spans="1:29" x14ac:dyDescent="0.3">
      <c r="A31" s="475"/>
      <c r="B31" s="170" t="s">
        <v>169</v>
      </c>
      <c r="C31" s="169"/>
      <c r="D31" s="169"/>
      <c r="E31" s="169" t="e">
        <f>C44*'Calculation list'!$F$52</f>
        <v>#REF!</v>
      </c>
      <c r="F31" s="169"/>
      <c r="G31" s="169"/>
      <c r="H31" s="169"/>
      <c r="I31" s="169"/>
      <c r="K31" s="6" t="e">
        <f>(H33/(D33/K38))*3.6</f>
        <v>#REF!</v>
      </c>
      <c r="L31" s="2" t="s">
        <v>168</v>
      </c>
      <c r="P31" t="s">
        <v>143</v>
      </c>
      <c r="Q31" s="181" t="e">
        <f>C42+C36</f>
        <v>#REF!</v>
      </c>
      <c r="R31" t="s">
        <v>9</v>
      </c>
    </row>
    <row r="32" spans="1:29" x14ac:dyDescent="0.3">
      <c r="A32" s="475"/>
      <c r="B32" s="170" t="s">
        <v>167</v>
      </c>
      <c r="C32" s="169"/>
      <c r="D32" s="169"/>
      <c r="E32" s="169"/>
      <c r="F32" s="169"/>
      <c r="G32" s="169"/>
      <c r="H32" s="169"/>
      <c r="I32" s="169">
        <f ca="1">H39-I38+H34</f>
        <v>2829.0519644785977</v>
      </c>
      <c r="K32" s="157">
        <f ca="1">(I32+I29+I28)/I45</f>
        <v>0.85000000000000009</v>
      </c>
      <c r="L32" s="2" t="s">
        <v>166</v>
      </c>
      <c r="Q32" s="181" t="e">
        <f>Q31/K38</f>
        <v>#REF!</v>
      </c>
      <c r="R32" t="s">
        <v>189</v>
      </c>
    </row>
    <row r="33" spans="1:12" x14ac:dyDescent="0.3">
      <c r="A33" s="173"/>
      <c r="B33" s="170" t="s">
        <v>165</v>
      </c>
      <c r="C33" s="169"/>
      <c r="D33" s="169" t="e">
        <f>C36+D37</f>
        <v>#REF!</v>
      </c>
      <c r="E33" s="169"/>
      <c r="F33" s="169"/>
      <c r="G33" s="169"/>
      <c r="H33" s="169" t="e">
        <f>H30</f>
        <v>#REF!</v>
      </c>
      <c r="I33" s="169"/>
      <c r="K33" s="182" t="e">
        <f>D30/K38</f>
        <v>#REF!</v>
      </c>
      <c r="L33" s="2" t="s">
        <v>186</v>
      </c>
    </row>
    <row r="34" spans="1:12" x14ac:dyDescent="0.3">
      <c r="A34" s="173"/>
      <c r="B34" s="170" t="s">
        <v>164</v>
      </c>
      <c r="C34" s="169"/>
      <c r="D34" s="169"/>
      <c r="E34" s="169"/>
      <c r="F34" s="169"/>
      <c r="G34" s="169"/>
      <c r="H34" s="169" t="e">
        <f>K35*D37-(D35*K36)</f>
        <v>#REF!</v>
      </c>
      <c r="I34" s="170"/>
      <c r="K34" s="175"/>
      <c r="L34" s="2"/>
    </row>
    <row r="35" spans="1:12" x14ac:dyDescent="0.3">
      <c r="A35" s="173"/>
      <c r="B35" s="170" t="s">
        <v>163</v>
      </c>
      <c r="C35" s="169"/>
      <c r="D35" s="169" t="e">
        <f>(D37/K38)*'Calculation list'!$E$27/1000</f>
        <v>#REF!</v>
      </c>
      <c r="E35" s="169"/>
      <c r="F35" s="169"/>
      <c r="G35" s="169"/>
      <c r="H35" s="169"/>
      <c r="I35" s="169"/>
      <c r="K35" s="174">
        <v>0.29499999999999998</v>
      </c>
      <c r="L35" s="2" t="s">
        <v>162</v>
      </c>
    </row>
    <row r="36" spans="1:12" x14ac:dyDescent="0.3">
      <c r="A36" s="173"/>
      <c r="B36" s="170" t="s">
        <v>161</v>
      </c>
      <c r="C36" s="169" t="e">
        <f>C44*'Calculation list'!$D$38</f>
        <v>#REF!</v>
      </c>
      <c r="D36" s="169"/>
      <c r="E36" s="169"/>
      <c r="F36" s="169"/>
      <c r="G36" s="169"/>
      <c r="H36" s="169"/>
      <c r="I36" s="169"/>
      <c r="K36" s="10">
        <v>11</v>
      </c>
      <c r="L36" s="2" t="s">
        <v>160</v>
      </c>
    </row>
    <row r="37" spans="1:12" x14ac:dyDescent="0.3">
      <c r="A37" s="173"/>
      <c r="B37" s="170" t="s">
        <v>159</v>
      </c>
      <c r="C37" s="169"/>
      <c r="D37" s="169" t="e">
        <f>D40</f>
        <v>#REF!</v>
      </c>
      <c r="E37" s="169"/>
      <c r="F37" s="169"/>
      <c r="G37" s="169"/>
      <c r="H37" s="169" t="e">
        <f>H33+H34</f>
        <v>#REF!</v>
      </c>
      <c r="I37" s="169"/>
      <c r="K37" s="157">
        <v>0.15</v>
      </c>
      <c r="L37" s="2" t="s">
        <v>158</v>
      </c>
    </row>
    <row r="38" spans="1:12" x14ac:dyDescent="0.3">
      <c r="A38" s="173"/>
      <c r="B38" s="170" t="s">
        <v>157</v>
      </c>
      <c r="C38" s="169"/>
      <c r="D38" s="169"/>
      <c r="E38" s="169"/>
      <c r="F38" s="169"/>
      <c r="G38" s="169"/>
      <c r="H38" s="169"/>
      <c r="I38" s="169">
        <f ca="1">G44*K37</f>
        <v>1910.4209349079874</v>
      </c>
      <c r="K38" s="172">
        <v>1.111</v>
      </c>
      <c r="L38" s="2" t="s">
        <v>156</v>
      </c>
    </row>
    <row r="39" spans="1:12" x14ac:dyDescent="0.3">
      <c r="A39" s="476" t="s">
        <v>155</v>
      </c>
      <c r="B39" s="170" t="s">
        <v>154</v>
      </c>
      <c r="C39" s="169"/>
      <c r="D39" s="169"/>
      <c r="E39" s="169"/>
      <c r="F39" s="169"/>
      <c r="G39" s="169"/>
      <c r="H39" s="169" t="e">
        <f>I45*K39</f>
        <v>#REF!</v>
      </c>
      <c r="I39" s="170"/>
      <c r="K39" s="171" t="e">
        <f>'Calculation list'!$F$46</f>
        <v>#REF!</v>
      </c>
      <c r="L39" s="2" t="s">
        <v>153</v>
      </c>
    </row>
    <row r="40" spans="1:12" x14ac:dyDescent="0.3">
      <c r="A40" s="476"/>
      <c r="B40" s="170" t="s">
        <v>152</v>
      </c>
      <c r="C40" s="169"/>
      <c r="D40" s="169" t="e">
        <f>C44+C43+C42-E41</f>
        <v>#REF!</v>
      </c>
      <c r="E40" s="169"/>
      <c r="F40" s="169"/>
      <c r="G40" s="169"/>
      <c r="H40" s="169">
        <f ca="1">I45*K40</f>
        <v>7977.8795975420153</v>
      </c>
      <c r="I40" s="169"/>
      <c r="K40" s="171">
        <f ca="1">H40/G44</f>
        <v>0.62639699856981446</v>
      </c>
      <c r="L40" s="2" t="s">
        <v>151</v>
      </c>
    </row>
    <row r="41" spans="1:12" x14ac:dyDescent="0.3">
      <c r="A41" s="476"/>
      <c r="B41" s="170" t="s">
        <v>0</v>
      </c>
      <c r="C41" s="169"/>
      <c r="D41" s="169"/>
      <c r="E41" s="169" t="e">
        <f>C44*'Calculation list'!$D$56</f>
        <v>#REF!</v>
      </c>
      <c r="F41" s="169"/>
      <c r="G41" s="169"/>
      <c r="H41" s="169"/>
      <c r="I41" s="169"/>
      <c r="K41" s="4">
        <f ca="1">(H40/(D40/K38))*3.6</f>
        <v>3.6973700699781418</v>
      </c>
      <c r="L41" s="2" t="s">
        <v>150</v>
      </c>
    </row>
    <row r="42" spans="1:12" x14ac:dyDescent="0.3">
      <c r="A42" s="476"/>
      <c r="B42" s="170" t="s">
        <v>149</v>
      </c>
      <c r="C42" s="169" t="e">
        <f>C44*'Calculation list'!$D$30</f>
        <v>#REF!</v>
      </c>
      <c r="D42" s="169"/>
      <c r="E42" s="169"/>
      <c r="F42" s="169"/>
      <c r="G42" s="169"/>
      <c r="H42" s="169"/>
      <c r="I42" s="169"/>
      <c r="K42" s="167"/>
      <c r="L42" s="167"/>
    </row>
    <row r="43" spans="1:12" x14ac:dyDescent="0.3">
      <c r="A43" s="476"/>
      <c r="B43" s="170" t="s">
        <v>148</v>
      </c>
      <c r="C43" s="169" t="e">
        <f>C44*'Calculation list'!$D$52</f>
        <v>#REF!</v>
      </c>
      <c r="D43" s="169"/>
      <c r="E43" s="169"/>
      <c r="F43" s="169"/>
      <c r="G43" s="169"/>
      <c r="H43" s="169"/>
      <c r="I43" s="169"/>
      <c r="K43" s="167"/>
      <c r="L43" s="167"/>
    </row>
    <row r="44" spans="1:12" x14ac:dyDescent="0.3">
      <c r="A44" s="476"/>
      <c r="B44" s="170" t="s">
        <v>147</v>
      </c>
      <c r="C44" s="169" t="e">
        <f>I45/'Calculation list'!$C$17</f>
        <v>#REF!</v>
      </c>
      <c r="D44" s="169"/>
      <c r="E44" s="169"/>
      <c r="F44" s="169"/>
      <c r="G44" s="169">
        <f ca="1">H40+H39</f>
        <v>12736.139566053251</v>
      </c>
      <c r="H44" s="169"/>
      <c r="I44" s="169"/>
      <c r="K44" s="168"/>
      <c r="L44" s="167"/>
    </row>
    <row r="45" spans="1:12" x14ac:dyDescent="0.3">
      <c r="A45" s="476"/>
      <c r="B45" s="166" t="s">
        <v>146</v>
      </c>
      <c r="C45" s="165" t="e">
        <f>SUM(C28:C44)</f>
        <v>#REF!</v>
      </c>
      <c r="D45" s="165"/>
      <c r="E45" s="165" t="e">
        <f>SUM(E28:E44)</f>
        <v>#REF!</v>
      </c>
      <c r="F45" s="165"/>
      <c r="G45" s="165">
        <f ca="1">SUM(G28:G44)</f>
        <v>12736.139566053251</v>
      </c>
      <c r="H45" s="165"/>
      <c r="I45" s="165" t="e">
        <f>SUM(I28:I44)</f>
        <v>#REF!</v>
      </c>
      <c r="J45" s="164"/>
      <c r="K45" s="2"/>
      <c r="L45" s="163"/>
    </row>
  </sheetData>
  <mergeCells count="4">
    <mergeCell ref="A4:A8"/>
    <mergeCell ref="A15:A21"/>
    <mergeCell ref="A28:A32"/>
    <mergeCell ref="A39:A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45"/>
  <sheetViews>
    <sheetView workbookViewId="0">
      <selection activeCell="C6" sqref="C6"/>
    </sheetView>
  </sheetViews>
  <sheetFormatPr defaultRowHeight="14.4" x14ac:dyDescent="0.3"/>
  <cols>
    <col min="1" max="1" width="3" customWidth="1"/>
    <col min="2" max="2" width="37.44140625" bestFit="1" customWidth="1"/>
    <col min="3" max="3" width="6.88671875" customWidth="1"/>
    <col min="4" max="4" width="8.33203125" customWidth="1"/>
    <col min="5" max="5" width="7.33203125" customWidth="1"/>
    <col min="6" max="6" width="0.88671875" customWidth="1"/>
    <col min="7" max="7" width="7.44140625" customWidth="1"/>
    <col min="8" max="8" width="8.33203125" customWidth="1"/>
    <col min="9" max="9" width="7.88671875" customWidth="1"/>
    <col min="10" max="10" width="1.109375" customWidth="1"/>
    <col min="11" max="11" width="6" bestFit="1" customWidth="1"/>
    <col min="16" max="16" width="10.33203125" bestFit="1" customWidth="1"/>
    <col min="17" max="17" width="5.5546875" bestFit="1" customWidth="1"/>
    <col min="18" max="18" width="8.33203125" bestFit="1" customWidth="1"/>
  </cols>
  <sheetData>
    <row r="1" spans="1:29" ht="15.6" x14ac:dyDescent="0.3">
      <c r="A1" s="180" t="s">
        <v>184</v>
      </c>
      <c r="K1" s="2" t="s">
        <v>183</v>
      </c>
      <c r="L1" s="2"/>
    </row>
    <row r="2" spans="1:29" x14ac:dyDescent="0.3">
      <c r="A2" s="173"/>
      <c r="B2" s="179"/>
      <c r="C2" s="178" t="s">
        <v>182</v>
      </c>
      <c r="D2" s="178" t="s">
        <v>181</v>
      </c>
      <c r="E2" s="178" t="s">
        <v>180</v>
      </c>
      <c r="F2" s="178"/>
      <c r="G2" s="178" t="s">
        <v>179</v>
      </c>
      <c r="H2" s="178" t="s">
        <v>178</v>
      </c>
      <c r="I2" s="178" t="s">
        <v>177</v>
      </c>
      <c r="J2" s="1"/>
      <c r="K2" s="186" t="e">
        <f>'01.Vhodni podatki'!#REF!</f>
        <v>#REF!</v>
      </c>
      <c r="L2" s="177" t="s">
        <v>176</v>
      </c>
      <c r="P2" t="s">
        <v>145</v>
      </c>
    </row>
    <row r="3" spans="1:29" x14ac:dyDescent="0.3">
      <c r="A3" s="173"/>
      <c r="B3" s="183" t="s">
        <v>185</v>
      </c>
      <c r="C3" s="178"/>
      <c r="D3" s="178"/>
      <c r="E3" s="178"/>
      <c r="F3" s="178"/>
      <c r="G3" s="178"/>
      <c r="H3" s="178"/>
      <c r="I3" s="184" t="e">
        <f>I4*K3</f>
        <v>#REF!</v>
      </c>
      <c r="J3" s="1"/>
      <c r="K3" s="185">
        <v>0.8</v>
      </c>
      <c r="L3" s="187" t="s">
        <v>187</v>
      </c>
      <c r="P3" t="s">
        <v>144</v>
      </c>
      <c r="Q3" s="161" t="e">
        <f>C18</f>
        <v>#REF!</v>
      </c>
      <c r="R3" t="s">
        <v>9</v>
      </c>
    </row>
    <row r="4" spans="1:29" x14ac:dyDescent="0.3">
      <c r="A4" s="475" t="s">
        <v>175</v>
      </c>
      <c r="B4" s="170" t="s">
        <v>174</v>
      </c>
      <c r="C4" s="169"/>
      <c r="D4" s="169"/>
      <c r="E4" s="169"/>
      <c r="F4" s="169"/>
      <c r="G4" s="169"/>
      <c r="H4" s="169"/>
      <c r="I4" s="169" t="e">
        <f>H6-I5</f>
        <v>#REF!</v>
      </c>
      <c r="K4" s="176">
        <v>0.3</v>
      </c>
      <c r="L4" s="2" t="s">
        <v>188</v>
      </c>
      <c r="Q4" s="181" t="e">
        <f>Q3/K14</f>
        <v>#REF!</v>
      </c>
      <c r="R4" t="s">
        <v>189</v>
      </c>
    </row>
    <row r="5" spans="1:29" x14ac:dyDescent="0.3">
      <c r="A5" s="475"/>
      <c r="B5" s="170" t="s">
        <v>173</v>
      </c>
      <c r="C5" s="169"/>
      <c r="D5" s="169"/>
      <c r="E5" s="169"/>
      <c r="F5" s="169"/>
      <c r="G5" s="169"/>
      <c r="H5" s="169"/>
      <c r="I5" s="169" t="e">
        <f>K2</f>
        <v>#REF!</v>
      </c>
      <c r="J5" s="161"/>
      <c r="K5" s="157" t="e">
        <f ca="1">I5/G20</f>
        <v>#DIV/0!</v>
      </c>
      <c r="L5" s="2" t="s">
        <v>172</v>
      </c>
      <c r="P5" t="s">
        <v>137</v>
      </c>
      <c r="Q5" s="181" t="e">
        <f>C12</f>
        <v>#REF!</v>
      </c>
      <c r="R5" t="s">
        <v>9</v>
      </c>
    </row>
    <row r="6" spans="1:29" x14ac:dyDescent="0.3">
      <c r="A6" s="475"/>
      <c r="B6" s="170" t="s">
        <v>171</v>
      </c>
      <c r="C6" s="169"/>
      <c r="D6" s="169" t="e">
        <f>D9-E7</f>
        <v>#REF!</v>
      </c>
      <c r="E6" s="169" t="e">
        <f>D6</f>
        <v>#REF!</v>
      </c>
      <c r="F6" s="169"/>
      <c r="G6" s="169"/>
      <c r="H6" s="169" t="e">
        <f>1/K4*I5</f>
        <v>#REF!</v>
      </c>
      <c r="I6" s="169"/>
      <c r="K6" s="6" t="e">
        <f>(H6/(E6/K14))*3.6</f>
        <v>#REF!</v>
      </c>
      <c r="L6" s="2" t="s">
        <v>170</v>
      </c>
      <c r="Q6" s="181" t="e">
        <f>Q5/K14</f>
        <v>#REF!</v>
      </c>
      <c r="R6" t="s">
        <v>189</v>
      </c>
    </row>
    <row r="7" spans="1:29" x14ac:dyDescent="0.3">
      <c r="A7" s="475"/>
      <c r="B7" s="170" t="s">
        <v>169</v>
      </c>
      <c r="C7" s="169"/>
      <c r="D7" s="169"/>
      <c r="E7" s="169" t="e">
        <f>C20*'Calculation list'!$F$52</f>
        <v>#REF!</v>
      </c>
      <c r="F7" s="169"/>
      <c r="G7" s="169"/>
      <c r="H7" s="169"/>
      <c r="I7" s="169"/>
      <c r="K7" s="6" t="e">
        <f>(H9/(D9/K14))*3.6</f>
        <v>#REF!</v>
      </c>
      <c r="L7" s="2" t="s">
        <v>168</v>
      </c>
      <c r="P7" t="s">
        <v>143</v>
      </c>
      <c r="Q7" s="181" t="e">
        <f>C18+C12</f>
        <v>#REF!</v>
      </c>
      <c r="R7" t="s">
        <v>9</v>
      </c>
    </row>
    <row r="8" spans="1:29" x14ac:dyDescent="0.3">
      <c r="A8" s="475"/>
      <c r="B8" s="170" t="s">
        <v>167</v>
      </c>
      <c r="C8" s="169"/>
      <c r="D8" s="169"/>
      <c r="E8" s="169"/>
      <c r="F8" s="169"/>
      <c r="G8" s="169"/>
      <c r="H8" s="169"/>
      <c r="I8" s="169" t="e">
        <f ca="1">H15-I14+H10</f>
        <v>#DIV/0!</v>
      </c>
      <c r="K8" s="157" t="e">
        <f ca="1">(I8+I5+I4)/I21</f>
        <v>#DIV/0!</v>
      </c>
      <c r="L8" s="2" t="s">
        <v>166</v>
      </c>
      <c r="Q8" s="181" t="e">
        <f>Q7/K14</f>
        <v>#REF!</v>
      </c>
      <c r="R8" t="s">
        <v>189</v>
      </c>
    </row>
    <row r="9" spans="1:29" x14ac:dyDescent="0.3">
      <c r="A9" s="173"/>
      <c r="B9" s="170" t="s">
        <v>165</v>
      </c>
      <c r="C9" s="169"/>
      <c r="D9" s="169" t="e">
        <f>C12+D13</f>
        <v>#REF!</v>
      </c>
      <c r="E9" s="169"/>
      <c r="F9" s="169"/>
      <c r="G9" s="169"/>
      <c r="H9" s="169" t="e">
        <f>H6</f>
        <v>#REF!</v>
      </c>
      <c r="I9" s="169"/>
      <c r="K9" s="182" t="e">
        <f>D6/K14</f>
        <v>#REF!</v>
      </c>
      <c r="L9" s="2" t="s">
        <v>186</v>
      </c>
    </row>
    <row r="10" spans="1:29" x14ac:dyDescent="0.3">
      <c r="A10" s="173"/>
      <c r="B10" s="170" t="s">
        <v>164</v>
      </c>
      <c r="C10" s="169"/>
      <c r="D10" s="169"/>
      <c r="E10" s="169"/>
      <c r="F10" s="169"/>
      <c r="G10" s="169"/>
      <c r="H10" s="169" t="e">
        <f>K11*D13-(D11*K12)</f>
        <v>#REF!</v>
      </c>
      <c r="I10" s="170"/>
      <c r="K10" s="175"/>
      <c r="L10" s="2"/>
    </row>
    <row r="11" spans="1:29" x14ac:dyDescent="0.3">
      <c r="A11" s="173"/>
      <c r="B11" s="170" t="s">
        <v>163</v>
      </c>
      <c r="C11" s="169"/>
      <c r="D11" s="169" t="e">
        <f>(D13/K14)*'Calculation list'!$E$27/1000</f>
        <v>#REF!</v>
      </c>
      <c r="E11" s="169"/>
      <c r="F11" s="169"/>
      <c r="G11" s="169"/>
      <c r="H11" s="169"/>
      <c r="I11" s="169"/>
      <c r="K11" s="174">
        <v>0.29499999999999998</v>
      </c>
      <c r="L11" s="2" t="s">
        <v>162</v>
      </c>
    </row>
    <row r="12" spans="1:29" x14ac:dyDescent="0.3">
      <c r="A12" s="173"/>
      <c r="B12" s="170" t="s">
        <v>161</v>
      </c>
      <c r="C12" s="169" t="e">
        <f>C20*'Calculation list'!$D$38</f>
        <v>#REF!</v>
      </c>
      <c r="D12" s="169"/>
      <c r="E12" s="169"/>
      <c r="F12" s="169"/>
      <c r="G12" s="169"/>
      <c r="H12" s="169"/>
      <c r="I12" s="169"/>
      <c r="K12" s="10">
        <v>11</v>
      </c>
      <c r="L12" s="2" t="s">
        <v>160</v>
      </c>
    </row>
    <row r="13" spans="1:29" x14ac:dyDescent="0.3">
      <c r="A13" s="173"/>
      <c r="B13" s="170" t="s">
        <v>159</v>
      </c>
      <c r="C13" s="169"/>
      <c r="D13" s="169" t="e">
        <f>D16</f>
        <v>#REF!</v>
      </c>
      <c r="E13" s="169"/>
      <c r="F13" s="169"/>
      <c r="G13" s="169"/>
      <c r="H13" s="169" t="e">
        <f>H9+H10</f>
        <v>#REF!</v>
      </c>
      <c r="I13" s="169"/>
      <c r="K13" s="157">
        <v>0.15</v>
      </c>
      <c r="L13" s="2" t="s">
        <v>158</v>
      </c>
    </row>
    <row r="14" spans="1:29" x14ac:dyDescent="0.3">
      <c r="A14" s="173"/>
      <c r="B14" s="170" t="s">
        <v>157</v>
      </c>
      <c r="C14" s="169"/>
      <c r="D14" s="169"/>
      <c r="E14" s="169"/>
      <c r="F14" s="169"/>
      <c r="G14" s="169"/>
      <c r="H14" s="169"/>
      <c r="I14" s="169" t="e">
        <f ca="1">G20*K13</f>
        <v>#DIV/0!</v>
      </c>
      <c r="K14" s="172">
        <v>1.111</v>
      </c>
      <c r="L14" s="2" t="s">
        <v>156</v>
      </c>
    </row>
    <row r="15" spans="1:29" x14ac:dyDescent="0.3">
      <c r="A15" s="476" t="s">
        <v>155</v>
      </c>
      <c r="B15" s="170" t="s">
        <v>154</v>
      </c>
      <c r="C15" s="169"/>
      <c r="D15" s="169"/>
      <c r="E15" s="169"/>
      <c r="F15" s="169"/>
      <c r="G15" s="169"/>
      <c r="H15" s="169" t="e">
        <f>I21*K15</f>
        <v>#REF!</v>
      </c>
      <c r="I15" s="170"/>
      <c r="K15" s="171" t="e">
        <f>'Calculation list'!$F$46</f>
        <v>#REF!</v>
      </c>
      <c r="L15" s="2" t="s">
        <v>153</v>
      </c>
      <c r="W15" t="s">
        <v>228</v>
      </c>
    </row>
    <row r="16" spans="1:29" x14ac:dyDescent="0.3">
      <c r="A16" s="476"/>
      <c r="B16" s="170" t="s">
        <v>152</v>
      </c>
      <c r="C16" s="169"/>
      <c r="D16" s="169" t="e">
        <f>C20+C19+C18-E17</f>
        <v>#REF!</v>
      </c>
      <c r="E16" s="169"/>
      <c r="F16" s="169"/>
      <c r="G16" s="169"/>
      <c r="H16" s="169" t="e">
        <f ca="1">I21*K16</f>
        <v>#DIV/0!</v>
      </c>
      <c r="I16" s="169"/>
      <c r="K16" s="171" t="e">
        <f ca="1">H16/G20</f>
        <v>#DIV/0!</v>
      </c>
      <c r="L16" s="2" t="s">
        <v>151</v>
      </c>
      <c r="AA16" t="s">
        <v>226</v>
      </c>
      <c r="AC16" t="s">
        <v>227</v>
      </c>
    </row>
    <row r="17" spans="1:29" x14ac:dyDescent="0.3">
      <c r="A17" s="476"/>
      <c r="B17" s="170" t="s">
        <v>0</v>
      </c>
      <c r="C17" s="169"/>
      <c r="D17" s="169"/>
      <c r="E17" s="169" t="e">
        <f>C20*'Calculation list'!$D$56</f>
        <v>#REF!</v>
      </c>
      <c r="F17" s="169"/>
      <c r="G17" s="169"/>
      <c r="H17" s="169"/>
      <c r="I17" s="169"/>
      <c r="K17" s="4" t="e">
        <f ca="1">(H16/(D16/K14))*3.6</f>
        <v>#DIV/0!</v>
      </c>
      <c r="L17" s="2" t="s">
        <v>150</v>
      </c>
      <c r="W17" t="s">
        <v>29</v>
      </c>
      <c r="X17">
        <v>15</v>
      </c>
      <c r="Y17">
        <v>7</v>
      </c>
      <c r="Z17" s="162">
        <f>Y17/X17</f>
        <v>0.46666666666666667</v>
      </c>
      <c r="AA17">
        <v>13.9</v>
      </c>
      <c r="AB17">
        <f>AA17*Z17</f>
        <v>6.4866666666666672</v>
      </c>
      <c r="AC17" s="162">
        <f>AB17/AB$19</f>
        <v>0.64559773828756051</v>
      </c>
    </row>
    <row r="18" spans="1:29" x14ac:dyDescent="0.3">
      <c r="A18" s="476"/>
      <c r="B18" s="170" t="s">
        <v>149</v>
      </c>
      <c r="C18" s="169" t="e">
        <f>C20*'Calculation list'!$D$30</f>
        <v>#REF!</v>
      </c>
      <c r="D18" s="169"/>
      <c r="E18" s="169"/>
      <c r="F18" s="169"/>
      <c r="G18" s="169"/>
      <c r="H18" s="169"/>
      <c r="I18" s="169"/>
      <c r="K18" s="167"/>
      <c r="L18" s="167"/>
      <c r="W18" t="s">
        <v>23</v>
      </c>
      <c r="X18">
        <v>23</v>
      </c>
      <c r="Y18">
        <v>7</v>
      </c>
      <c r="Z18" s="162">
        <f>Y18/X18</f>
        <v>0.30434782608695654</v>
      </c>
      <c r="AA18">
        <v>11.7</v>
      </c>
      <c r="AB18">
        <f>AA18*Z18</f>
        <v>3.5608695652173914</v>
      </c>
      <c r="AC18" s="162">
        <f>AB18/AB$19</f>
        <v>0.35440226171243938</v>
      </c>
    </row>
    <row r="19" spans="1:29" x14ac:dyDescent="0.3">
      <c r="A19" s="476"/>
      <c r="B19" s="170" t="s">
        <v>148</v>
      </c>
      <c r="C19" s="169" t="e">
        <f>C20*'Calculation list'!$D$52</f>
        <v>#REF!</v>
      </c>
      <c r="D19" s="169"/>
      <c r="E19" s="169"/>
      <c r="F19" s="169"/>
      <c r="G19" s="169"/>
      <c r="H19" s="169"/>
      <c r="I19" s="169"/>
      <c r="K19" s="167"/>
      <c r="L19" s="167"/>
      <c r="AB19">
        <f>SUM(AB17:AB18)</f>
        <v>10.04753623188406</v>
      </c>
    </row>
    <row r="20" spans="1:29" x14ac:dyDescent="0.3">
      <c r="A20" s="476"/>
      <c r="B20" s="170" t="s">
        <v>147</v>
      </c>
      <c r="C20" s="169" t="e">
        <f>I21/'Calculation list'!$C$17</f>
        <v>#REF!</v>
      </c>
      <c r="D20" s="169"/>
      <c r="E20" s="169"/>
      <c r="F20" s="169"/>
      <c r="G20" s="169" t="e">
        <f ca="1">H16+H15</f>
        <v>#DIV/0!</v>
      </c>
      <c r="H20" s="169"/>
      <c r="I20" s="169"/>
      <c r="K20" s="168"/>
      <c r="L20" s="167"/>
    </row>
    <row r="21" spans="1:29" x14ac:dyDescent="0.3">
      <c r="A21" s="476"/>
      <c r="B21" s="166" t="s">
        <v>146</v>
      </c>
      <c r="C21" s="165" t="e">
        <f>SUM(C4:C20)</f>
        <v>#REF!</v>
      </c>
      <c r="D21" s="165"/>
      <c r="E21" s="165" t="e">
        <f>SUM(E4:E20)</f>
        <v>#REF!</v>
      </c>
      <c r="F21" s="165"/>
      <c r="G21" s="165" t="e">
        <f ca="1">SUM(G4:G20)</f>
        <v>#DIV/0!</v>
      </c>
      <c r="H21" s="165"/>
      <c r="I21" s="165" t="e">
        <f>SUM(I4:I20)</f>
        <v>#REF!</v>
      </c>
      <c r="J21" s="164"/>
      <c r="K21" s="2"/>
      <c r="L21" s="163"/>
      <c r="M21">
        <f>2000/4</f>
        <v>500</v>
      </c>
    </row>
    <row r="25" spans="1:29" ht="15.6" x14ac:dyDescent="0.3">
      <c r="A25" s="180" t="s">
        <v>184</v>
      </c>
      <c r="K25" s="2" t="s">
        <v>183</v>
      </c>
      <c r="L25" s="2"/>
    </row>
    <row r="26" spans="1:29" x14ac:dyDescent="0.3">
      <c r="A26" s="173"/>
      <c r="B26" s="179"/>
      <c r="C26" s="178" t="s">
        <v>182</v>
      </c>
      <c r="D26" s="178" t="s">
        <v>181</v>
      </c>
      <c r="E26" s="178" t="s">
        <v>180</v>
      </c>
      <c r="F26" s="178"/>
      <c r="G26" s="178" t="s">
        <v>179</v>
      </c>
      <c r="H26" s="178" t="s">
        <v>178</v>
      </c>
      <c r="I26" s="178" t="s">
        <v>177</v>
      </c>
      <c r="J26" s="1"/>
      <c r="K26" s="186" t="e">
        <f>'01.Vhodni podatki'!#REF!</f>
        <v>#REF!</v>
      </c>
      <c r="L26" s="177" t="s">
        <v>176</v>
      </c>
      <c r="P26" t="s">
        <v>145</v>
      </c>
    </row>
    <row r="27" spans="1:29" x14ac:dyDescent="0.3">
      <c r="A27" s="173"/>
      <c r="B27" s="183" t="s">
        <v>185</v>
      </c>
      <c r="C27" s="178"/>
      <c r="D27" s="178"/>
      <c r="E27" s="178"/>
      <c r="F27" s="178"/>
      <c r="G27" s="178"/>
      <c r="H27" s="178"/>
      <c r="I27" s="184" t="e">
        <f>I28*K27</f>
        <v>#REF!</v>
      </c>
      <c r="J27" s="1"/>
      <c r="K27" s="185">
        <v>0.8</v>
      </c>
      <c r="L27" s="187" t="s">
        <v>187</v>
      </c>
      <c r="P27" t="s">
        <v>144</v>
      </c>
      <c r="Q27" s="161" t="e">
        <f>C42</f>
        <v>#REF!</v>
      </c>
      <c r="R27" t="s">
        <v>9</v>
      </c>
    </row>
    <row r="28" spans="1:29" x14ac:dyDescent="0.3">
      <c r="A28" s="475" t="s">
        <v>175</v>
      </c>
      <c r="B28" s="170" t="s">
        <v>174</v>
      </c>
      <c r="C28" s="169"/>
      <c r="D28" s="169"/>
      <c r="E28" s="169"/>
      <c r="F28" s="169"/>
      <c r="G28" s="169"/>
      <c r="H28" s="169"/>
      <c r="I28" s="169" t="e">
        <f>H30-I29</f>
        <v>#REF!</v>
      </c>
      <c r="K28" s="176">
        <v>0.3</v>
      </c>
      <c r="L28" s="2" t="s">
        <v>188</v>
      </c>
      <c r="Q28" s="181" t="e">
        <f>Q27/K38</f>
        <v>#REF!</v>
      </c>
      <c r="R28" t="s">
        <v>189</v>
      </c>
    </row>
    <row r="29" spans="1:29" x14ac:dyDescent="0.3">
      <c r="A29" s="475"/>
      <c r="B29" s="170" t="s">
        <v>173</v>
      </c>
      <c r="C29" s="169"/>
      <c r="D29" s="169"/>
      <c r="E29" s="169"/>
      <c r="F29" s="169"/>
      <c r="G29" s="169"/>
      <c r="H29" s="169"/>
      <c r="I29" s="169" t="e">
        <f>K26</f>
        <v>#REF!</v>
      </c>
      <c r="J29" s="161"/>
      <c r="K29" s="157">
        <f ca="1">I29/G44</f>
        <v>0.18836162932716793</v>
      </c>
      <c r="L29" s="2" t="s">
        <v>172</v>
      </c>
      <c r="P29" t="s">
        <v>137</v>
      </c>
      <c r="Q29" s="181" t="e">
        <f>C36</f>
        <v>#REF!</v>
      </c>
      <c r="R29" t="s">
        <v>9</v>
      </c>
    </row>
    <row r="30" spans="1:29" x14ac:dyDescent="0.3">
      <c r="A30" s="475"/>
      <c r="B30" s="170" t="s">
        <v>171</v>
      </c>
      <c r="C30" s="169"/>
      <c r="D30" s="169" t="e">
        <f>D33-E31</f>
        <v>#REF!</v>
      </c>
      <c r="E30" s="169" t="e">
        <f>D30</f>
        <v>#REF!</v>
      </c>
      <c r="F30" s="169"/>
      <c r="G30" s="169"/>
      <c r="H30" s="169" t="e">
        <f>1/K28*I29</f>
        <v>#REF!</v>
      </c>
      <c r="I30" s="169"/>
      <c r="K30" s="6" t="e">
        <f>(H30/(E30/K38))*3.6</f>
        <v>#REF!</v>
      </c>
      <c r="L30" s="2" t="s">
        <v>170</v>
      </c>
      <c r="Q30" s="181" t="e">
        <f>Q29/K38</f>
        <v>#REF!</v>
      </c>
      <c r="R30" t="s">
        <v>189</v>
      </c>
    </row>
    <row r="31" spans="1:29" x14ac:dyDescent="0.3">
      <c r="A31" s="475"/>
      <c r="B31" s="170" t="s">
        <v>169</v>
      </c>
      <c r="C31" s="169"/>
      <c r="D31" s="169"/>
      <c r="E31" s="169" t="e">
        <f>C44*'Calculation list'!$F$52</f>
        <v>#REF!</v>
      </c>
      <c r="F31" s="169"/>
      <c r="G31" s="169"/>
      <c r="H31" s="169"/>
      <c r="I31" s="169"/>
      <c r="K31" s="6" t="e">
        <f>(H33/(D33/K38))*3.6</f>
        <v>#REF!</v>
      </c>
      <c r="L31" s="2" t="s">
        <v>168</v>
      </c>
      <c r="P31" t="s">
        <v>143</v>
      </c>
      <c r="Q31" s="181" t="e">
        <f>C42+C36</f>
        <v>#REF!</v>
      </c>
      <c r="R31" t="s">
        <v>9</v>
      </c>
    </row>
    <row r="32" spans="1:29" x14ac:dyDescent="0.3">
      <c r="A32" s="475"/>
      <c r="B32" s="170" t="s">
        <v>167</v>
      </c>
      <c r="C32" s="169"/>
      <c r="D32" s="169"/>
      <c r="E32" s="169"/>
      <c r="F32" s="169"/>
      <c r="G32" s="169"/>
      <c r="H32" s="169"/>
      <c r="I32" s="169">
        <f ca="1">H39-I38+H34</f>
        <v>2829.0519644785977</v>
      </c>
      <c r="K32" s="157">
        <f ca="1">(I32+I29+I28)/I45</f>
        <v>0.85000000000000009</v>
      </c>
      <c r="L32" s="2" t="s">
        <v>166</v>
      </c>
      <c r="Q32" s="181" t="e">
        <f>Q31/K38</f>
        <v>#REF!</v>
      </c>
      <c r="R32" t="s">
        <v>189</v>
      </c>
    </row>
    <row r="33" spans="1:12" x14ac:dyDescent="0.3">
      <c r="A33" s="173"/>
      <c r="B33" s="170" t="s">
        <v>165</v>
      </c>
      <c r="C33" s="169"/>
      <c r="D33" s="169" t="e">
        <f>C36+D37</f>
        <v>#REF!</v>
      </c>
      <c r="E33" s="169"/>
      <c r="F33" s="169"/>
      <c r="G33" s="169"/>
      <c r="H33" s="169" t="e">
        <f>H30</f>
        <v>#REF!</v>
      </c>
      <c r="I33" s="169"/>
      <c r="K33" s="182" t="e">
        <f>D30/K38</f>
        <v>#REF!</v>
      </c>
      <c r="L33" s="2" t="s">
        <v>186</v>
      </c>
    </row>
    <row r="34" spans="1:12" x14ac:dyDescent="0.3">
      <c r="A34" s="173"/>
      <c r="B34" s="170" t="s">
        <v>164</v>
      </c>
      <c r="C34" s="169"/>
      <c r="D34" s="169"/>
      <c r="E34" s="169"/>
      <c r="F34" s="169"/>
      <c r="G34" s="169"/>
      <c r="H34" s="169" t="e">
        <f>K35*D37-(D35*K36)</f>
        <v>#REF!</v>
      </c>
      <c r="I34" s="170"/>
      <c r="K34" s="175"/>
      <c r="L34" s="2"/>
    </row>
    <row r="35" spans="1:12" x14ac:dyDescent="0.3">
      <c r="A35" s="173"/>
      <c r="B35" s="170" t="s">
        <v>163</v>
      </c>
      <c r="C35" s="169"/>
      <c r="D35" s="169" t="e">
        <f>(D37/K38)*'Calculation list'!$E$27/1000</f>
        <v>#REF!</v>
      </c>
      <c r="E35" s="169"/>
      <c r="F35" s="169"/>
      <c r="G35" s="169"/>
      <c r="H35" s="169"/>
      <c r="I35" s="169"/>
      <c r="K35" s="174">
        <v>0.29499999999999998</v>
      </c>
      <c r="L35" s="2" t="s">
        <v>162</v>
      </c>
    </row>
    <row r="36" spans="1:12" x14ac:dyDescent="0.3">
      <c r="A36" s="173"/>
      <c r="B36" s="170" t="s">
        <v>161</v>
      </c>
      <c r="C36" s="169" t="e">
        <f>C44*'Calculation list'!$D$38</f>
        <v>#REF!</v>
      </c>
      <c r="D36" s="169"/>
      <c r="E36" s="169"/>
      <c r="F36" s="169"/>
      <c r="G36" s="169"/>
      <c r="H36" s="169"/>
      <c r="I36" s="169"/>
      <c r="K36" s="10">
        <v>11</v>
      </c>
      <c r="L36" s="2" t="s">
        <v>160</v>
      </c>
    </row>
    <row r="37" spans="1:12" x14ac:dyDescent="0.3">
      <c r="A37" s="173"/>
      <c r="B37" s="170" t="s">
        <v>159</v>
      </c>
      <c r="C37" s="169"/>
      <c r="D37" s="169" t="e">
        <f>D40</f>
        <v>#REF!</v>
      </c>
      <c r="E37" s="169"/>
      <c r="F37" s="169"/>
      <c r="G37" s="169"/>
      <c r="H37" s="169" t="e">
        <f>H33+H34</f>
        <v>#REF!</v>
      </c>
      <c r="I37" s="169"/>
      <c r="K37" s="157">
        <v>0.15</v>
      </c>
      <c r="L37" s="2" t="s">
        <v>158</v>
      </c>
    </row>
    <row r="38" spans="1:12" x14ac:dyDescent="0.3">
      <c r="A38" s="173"/>
      <c r="B38" s="170" t="s">
        <v>157</v>
      </c>
      <c r="C38" s="169"/>
      <c r="D38" s="169"/>
      <c r="E38" s="169"/>
      <c r="F38" s="169"/>
      <c r="G38" s="169"/>
      <c r="H38" s="169"/>
      <c r="I38" s="169">
        <f ca="1">G44*K37</f>
        <v>1910.4209349079874</v>
      </c>
      <c r="K38" s="172">
        <v>1.111</v>
      </c>
      <c r="L38" s="2" t="s">
        <v>156</v>
      </c>
    </row>
    <row r="39" spans="1:12" x14ac:dyDescent="0.3">
      <c r="A39" s="476" t="s">
        <v>155</v>
      </c>
      <c r="B39" s="170" t="s">
        <v>154</v>
      </c>
      <c r="C39" s="169"/>
      <c r="D39" s="169"/>
      <c r="E39" s="169"/>
      <c r="F39" s="169"/>
      <c r="G39" s="169"/>
      <c r="H39" s="169" t="e">
        <f>I45*K39</f>
        <v>#REF!</v>
      </c>
      <c r="I39" s="170"/>
      <c r="K39" s="171" t="e">
        <f>'Calculation list'!$F$46</f>
        <v>#REF!</v>
      </c>
      <c r="L39" s="2" t="s">
        <v>153</v>
      </c>
    </row>
    <row r="40" spans="1:12" x14ac:dyDescent="0.3">
      <c r="A40" s="476"/>
      <c r="B40" s="170" t="s">
        <v>152</v>
      </c>
      <c r="C40" s="169"/>
      <c r="D40" s="169" t="e">
        <f>C44+C43+C42-E41</f>
        <v>#REF!</v>
      </c>
      <c r="E40" s="169"/>
      <c r="F40" s="169"/>
      <c r="G40" s="169"/>
      <c r="H40" s="169">
        <f ca="1">I45*K40</f>
        <v>7977.8795975420153</v>
      </c>
      <c r="I40" s="169"/>
      <c r="K40" s="171">
        <f ca="1">H40/G44</f>
        <v>0.62639699856981446</v>
      </c>
      <c r="L40" s="2" t="s">
        <v>151</v>
      </c>
    </row>
    <row r="41" spans="1:12" x14ac:dyDescent="0.3">
      <c r="A41" s="476"/>
      <c r="B41" s="170" t="s">
        <v>0</v>
      </c>
      <c r="C41" s="169"/>
      <c r="D41" s="169"/>
      <c r="E41" s="169" t="e">
        <f>C44*'Calculation list'!$D$56</f>
        <v>#REF!</v>
      </c>
      <c r="F41" s="169"/>
      <c r="G41" s="169"/>
      <c r="H41" s="169"/>
      <c r="I41" s="169"/>
      <c r="K41" s="4">
        <f ca="1">(H40/(D40/K38))*3.6</f>
        <v>3.6973700699781418</v>
      </c>
      <c r="L41" s="2" t="s">
        <v>150</v>
      </c>
    </row>
    <row r="42" spans="1:12" x14ac:dyDescent="0.3">
      <c r="A42" s="476"/>
      <c r="B42" s="170" t="s">
        <v>149</v>
      </c>
      <c r="C42" s="169" t="e">
        <f>C44*'Calculation list'!$D$30</f>
        <v>#REF!</v>
      </c>
      <c r="D42" s="169"/>
      <c r="E42" s="169"/>
      <c r="F42" s="169"/>
      <c r="G42" s="169"/>
      <c r="H42" s="169"/>
      <c r="I42" s="169"/>
      <c r="K42" s="167"/>
      <c r="L42" s="167"/>
    </row>
    <row r="43" spans="1:12" x14ac:dyDescent="0.3">
      <c r="A43" s="476"/>
      <c r="B43" s="170" t="s">
        <v>148</v>
      </c>
      <c r="C43" s="169" t="e">
        <f>C44*'Calculation list'!$D$52</f>
        <v>#REF!</v>
      </c>
      <c r="D43" s="169"/>
      <c r="E43" s="169"/>
      <c r="F43" s="169"/>
      <c r="G43" s="169"/>
      <c r="H43" s="169"/>
      <c r="I43" s="169"/>
      <c r="K43" s="167"/>
      <c r="L43" s="167"/>
    </row>
    <row r="44" spans="1:12" x14ac:dyDescent="0.3">
      <c r="A44" s="476"/>
      <c r="B44" s="170" t="s">
        <v>147</v>
      </c>
      <c r="C44" s="169" t="e">
        <f>I45/'Calculation list'!$C$17</f>
        <v>#REF!</v>
      </c>
      <c r="D44" s="169"/>
      <c r="E44" s="169"/>
      <c r="F44" s="169"/>
      <c r="G44" s="169">
        <f ca="1">H40+H39</f>
        <v>12736.139566053251</v>
      </c>
      <c r="H44" s="169"/>
      <c r="I44" s="169"/>
      <c r="K44" s="168"/>
      <c r="L44" s="167"/>
    </row>
    <row r="45" spans="1:12" x14ac:dyDescent="0.3">
      <c r="A45" s="476"/>
      <c r="B45" s="166" t="s">
        <v>146</v>
      </c>
      <c r="C45" s="165" t="e">
        <f>SUM(C28:C44)</f>
        <v>#REF!</v>
      </c>
      <c r="D45" s="165"/>
      <c r="E45" s="165" t="e">
        <f>SUM(E28:E44)</f>
        <v>#REF!</v>
      </c>
      <c r="F45" s="165"/>
      <c r="G45" s="165">
        <f ca="1">SUM(G28:G44)</f>
        <v>12736.139566053251</v>
      </c>
      <c r="H45" s="165"/>
      <c r="I45" s="165" t="e">
        <f>SUM(I28:I44)</f>
        <v>#REF!</v>
      </c>
      <c r="J45" s="164"/>
      <c r="K45" s="2"/>
      <c r="L45" s="163"/>
    </row>
  </sheetData>
  <mergeCells count="4">
    <mergeCell ref="A4:A8"/>
    <mergeCell ref="A15:A21"/>
    <mergeCell ref="A28:A32"/>
    <mergeCell ref="A39:A4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2"/>
  <sheetViews>
    <sheetView workbookViewId="0">
      <selection activeCell="C6" sqref="C6"/>
    </sheetView>
  </sheetViews>
  <sheetFormatPr defaultRowHeight="14.4" x14ac:dyDescent="0.3"/>
  <cols>
    <col min="1" max="1" width="42.6640625" customWidth="1"/>
    <col min="2" max="2" width="9.5546875" bestFit="1" customWidth="1"/>
    <col min="3" max="3" width="10.44140625" bestFit="1" customWidth="1"/>
    <col min="4" max="4" width="12" bestFit="1" customWidth="1"/>
    <col min="5" max="11" width="12" customWidth="1"/>
    <col min="12" max="12" width="13.109375" bestFit="1" customWidth="1"/>
  </cols>
  <sheetData>
    <row r="1" spans="1:14" x14ac:dyDescent="0.3">
      <c r="A1" s="170" t="s">
        <v>221</v>
      </c>
      <c r="B1" s="170"/>
      <c r="C1" s="170"/>
      <c r="D1" s="170"/>
    </row>
    <row r="2" spans="1:14" x14ac:dyDescent="0.3">
      <c r="A2" s="170"/>
      <c r="B2" s="170"/>
      <c r="C2" s="192" t="s">
        <v>220</v>
      </c>
      <c r="D2" s="192" t="s">
        <v>219</v>
      </c>
      <c r="E2" s="14" t="s">
        <v>220</v>
      </c>
      <c r="F2" s="14" t="s">
        <v>254</v>
      </c>
      <c r="G2" s="14"/>
      <c r="H2" s="14"/>
      <c r="I2" s="14"/>
      <c r="J2" s="14"/>
      <c r="K2" s="14"/>
    </row>
    <row r="3" spans="1:14" x14ac:dyDescent="0.3">
      <c r="A3" s="170" t="s">
        <v>218</v>
      </c>
      <c r="B3" s="170" t="s">
        <v>217</v>
      </c>
      <c r="C3" s="191" t="e">
        <f>'Customer calculations'!$K$2</f>
        <v>#REF!</v>
      </c>
      <c r="D3" s="169" t="e">
        <f>'Customer calculations'!$K$26</f>
        <v>#REF!</v>
      </c>
      <c r="E3" s="206">
        <v>500</v>
      </c>
      <c r="F3" s="206">
        <f>E3/485</f>
        <v>1.0309278350515463</v>
      </c>
      <c r="G3" s="161"/>
      <c r="H3" s="161"/>
      <c r="I3" s="161"/>
      <c r="J3" s="161"/>
      <c r="K3" s="161"/>
    </row>
    <row r="4" spans="1:14" x14ac:dyDescent="0.3">
      <c r="A4" s="170" t="s">
        <v>222</v>
      </c>
      <c r="B4" s="170" t="s">
        <v>223</v>
      </c>
      <c r="C4" s="169" t="e">
        <f ca="1">'Customer calculations'!I3+'Customer calculations'!I8</f>
        <v>#DIV/0!</v>
      </c>
      <c r="D4" s="169">
        <f ca="1">'Customer calculations'!I27+'Customer calculations'!I32</f>
        <v>7307.1852978119314</v>
      </c>
      <c r="E4" s="206">
        <v>1038.278042424733</v>
      </c>
      <c r="F4" s="206">
        <f t="shared" ref="F4:F20" si="0">E4/485</f>
        <v>2.1407794689169752</v>
      </c>
      <c r="G4" s="161"/>
      <c r="H4" s="161"/>
      <c r="I4" s="161"/>
      <c r="J4" s="161"/>
      <c r="K4" s="161"/>
    </row>
    <row r="5" spans="1:14" x14ac:dyDescent="0.3">
      <c r="A5" s="170" t="s">
        <v>216</v>
      </c>
      <c r="B5" s="170" t="s">
        <v>48</v>
      </c>
      <c r="C5" s="169" t="e">
        <f>'Customer calculations'!$I$21</f>
        <v>#REF!</v>
      </c>
      <c r="D5" s="169" t="e">
        <f>'Customer calculations'!$I$45</f>
        <v>#REF!</v>
      </c>
      <c r="E5" s="206">
        <v>2084.248677362431</v>
      </c>
      <c r="F5" s="206">
        <f t="shared" si="0"/>
        <v>4.2974199533246003</v>
      </c>
      <c r="G5" s="161"/>
      <c r="H5" s="161"/>
      <c r="I5" s="161"/>
      <c r="J5" s="161"/>
      <c r="K5" s="161"/>
    </row>
    <row r="6" spans="1:14" x14ac:dyDescent="0.3">
      <c r="A6" s="170" t="s">
        <v>198</v>
      </c>
      <c r="B6" s="170" t="s">
        <v>9</v>
      </c>
      <c r="C6" s="169" t="e">
        <f>'Customer calculations'!$C$20</f>
        <v>#REF!</v>
      </c>
      <c r="D6" s="169" t="e">
        <f>'Customer calculations'!$C$44</f>
        <v>#REF!</v>
      </c>
      <c r="E6" s="206">
        <v>485.13021127278517</v>
      </c>
      <c r="F6" s="206">
        <f t="shared" si="0"/>
        <v>1.0002684768511034</v>
      </c>
      <c r="G6" s="161"/>
      <c r="H6" s="161"/>
      <c r="I6" s="161"/>
      <c r="J6" s="161"/>
      <c r="K6" s="161"/>
      <c r="L6" s="161">
        <v>485</v>
      </c>
    </row>
    <row r="7" spans="1:14" x14ac:dyDescent="0.3">
      <c r="A7" s="170" t="s">
        <v>215</v>
      </c>
      <c r="B7" s="170" t="s">
        <v>9</v>
      </c>
      <c r="C7" s="169" t="e">
        <f>'Customer calculations'!$C$18</f>
        <v>#REF!</v>
      </c>
      <c r="D7" s="169" t="e">
        <f>'Customer calculations'!$C$42</f>
        <v>#REF!</v>
      </c>
      <c r="E7" s="206">
        <v>998.95412019329774</v>
      </c>
      <c r="F7" s="206">
        <f t="shared" si="0"/>
        <v>2.0596992168933972</v>
      </c>
      <c r="G7" s="161"/>
      <c r="H7" s="161"/>
      <c r="I7" s="161"/>
      <c r="J7" s="161"/>
      <c r="K7" s="161"/>
    </row>
    <row r="8" spans="1:14" x14ac:dyDescent="0.3">
      <c r="A8" s="170" t="s">
        <v>215</v>
      </c>
      <c r="B8" s="170" t="s">
        <v>189</v>
      </c>
      <c r="C8" s="169" t="e">
        <f>C7/'Customer calculations'!$K$14</f>
        <v>#REF!</v>
      </c>
      <c r="D8" s="169" t="e">
        <f>D7/'Customer calculations'!$K$38</f>
        <v>#REF!</v>
      </c>
      <c r="E8" s="206">
        <v>899.1486230362716</v>
      </c>
      <c r="F8" s="206">
        <f t="shared" si="0"/>
        <v>1.853914686672725</v>
      </c>
      <c r="G8" s="161"/>
      <c r="H8" s="161"/>
      <c r="I8" s="161"/>
      <c r="J8" s="161"/>
      <c r="K8" s="161"/>
      <c r="L8">
        <v>899</v>
      </c>
      <c r="N8">
        <f>L8/L6</f>
        <v>1.8536082474226805</v>
      </c>
    </row>
    <row r="9" spans="1:14" x14ac:dyDescent="0.3">
      <c r="A9" s="170" t="s">
        <v>214</v>
      </c>
      <c r="B9" s="170" t="s">
        <v>9</v>
      </c>
      <c r="C9" s="169" t="e">
        <f>'Customer calculations'!$C$12</f>
        <v>#REF!</v>
      </c>
      <c r="D9" s="169" t="e">
        <f>'Customer calculations'!$C$36</f>
        <v>#REF!</v>
      </c>
      <c r="E9" s="206">
        <v>352.79737216550598</v>
      </c>
      <c r="F9" s="206">
        <f t="shared" si="0"/>
        <v>0.72741726219691949</v>
      </c>
      <c r="G9" s="161"/>
      <c r="H9" s="161"/>
      <c r="I9" s="161"/>
      <c r="J9" s="161"/>
      <c r="K9" s="161"/>
    </row>
    <row r="10" spans="1:14" x14ac:dyDescent="0.3">
      <c r="A10" s="170" t="s">
        <v>214</v>
      </c>
      <c r="B10" s="170" t="s">
        <v>189</v>
      </c>
      <c r="C10" s="169" t="e">
        <f>C9/'Customer calculations'!$K$14</f>
        <v>#REF!</v>
      </c>
      <c r="D10" s="169" t="e">
        <f>D9/'Customer calculations'!$K$38</f>
        <v>#REF!</v>
      </c>
      <c r="E10" s="206">
        <v>317.54938988794419</v>
      </c>
      <c r="F10" s="206">
        <f t="shared" si="0"/>
        <v>0.65474101007823549</v>
      </c>
      <c r="G10" s="161" t="s">
        <v>255</v>
      </c>
      <c r="H10" s="161" t="s">
        <v>45</v>
      </c>
      <c r="I10" s="161" t="s">
        <v>96</v>
      </c>
      <c r="J10" s="161"/>
      <c r="K10" s="161"/>
    </row>
    <row r="11" spans="1:14" x14ac:dyDescent="0.3">
      <c r="A11" s="170" t="s">
        <v>213</v>
      </c>
      <c r="B11" s="170" t="s">
        <v>9</v>
      </c>
      <c r="C11" s="169" t="e">
        <f>C9+C7</f>
        <v>#REF!</v>
      </c>
      <c r="D11" s="169" t="e">
        <f>D7+D9</f>
        <v>#REF!</v>
      </c>
      <c r="E11" s="206">
        <v>1351.7514923588037</v>
      </c>
      <c r="F11" s="206">
        <f t="shared" si="0"/>
        <v>2.7871164790903169</v>
      </c>
      <c r="G11" s="206">
        <f>F11*0.2</f>
        <v>0.55742329581806338</v>
      </c>
      <c r="H11" s="206">
        <f>F11*0.8</f>
        <v>2.2296931832722535</v>
      </c>
      <c r="I11" s="118">
        <f>H11*29.1*300</f>
        <v>19465.221489966774</v>
      </c>
      <c r="J11" s="206"/>
      <c r="K11" s="206"/>
      <c r="M11" t="e">
        <f>C17/C6</f>
        <v>#REF!</v>
      </c>
    </row>
    <row r="12" spans="1:14" x14ac:dyDescent="0.3">
      <c r="A12" s="170" t="s">
        <v>213</v>
      </c>
      <c r="B12" s="170" t="s">
        <v>189</v>
      </c>
      <c r="C12" s="169" t="e">
        <f>C11/'Customer calculations'!$K$14</f>
        <v>#REF!</v>
      </c>
      <c r="D12" s="169" t="e">
        <f>D11/'Customer calculations'!$K$38</f>
        <v>#REF!</v>
      </c>
      <c r="E12" s="206">
        <v>1216.6980129242158</v>
      </c>
      <c r="F12" s="206">
        <f t="shared" si="0"/>
        <v>2.5086556967509606</v>
      </c>
      <c r="G12" s="206">
        <f>F12*0.2</f>
        <v>0.50173113935019209</v>
      </c>
      <c r="H12" s="206">
        <f>F12*0.8</f>
        <v>2.0069245574007684</v>
      </c>
      <c r="I12" s="206"/>
      <c r="J12" s="206"/>
      <c r="K12" s="206"/>
    </row>
    <row r="13" spans="1:14" x14ac:dyDescent="0.3">
      <c r="A13" s="170" t="s">
        <v>212</v>
      </c>
      <c r="B13" s="170" t="s">
        <v>9</v>
      </c>
      <c r="C13" s="169" t="e">
        <f>'Customer calculations'!$D$16</f>
        <v>#REF!</v>
      </c>
      <c r="D13" s="169" t="e">
        <f>'Customer calculations'!$D$40</f>
        <v>#REF!</v>
      </c>
      <c r="E13" s="206">
        <v>1412.2866084314601</v>
      </c>
      <c r="F13" s="206">
        <f t="shared" si="0"/>
        <v>2.9119311514050725</v>
      </c>
      <c r="G13" s="161"/>
      <c r="H13" s="161"/>
      <c r="I13" s="161"/>
      <c r="J13" s="161"/>
      <c r="K13" s="161"/>
      <c r="M13" s="203" t="e">
        <f>C13/C6</f>
        <v>#REF!</v>
      </c>
    </row>
    <row r="14" spans="1:14" x14ac:dyDescent="0.3">
      <c r="A14" s="170" t="s">
        <v>211</v>
      </c>
      <c r="B14" s="170" t="s">
        <v>9</v>
      </c>
      <c r="C14" s="169" t="e">
        <f>'Customer calculations'!$D$9</f>
        <v>#REF!</v>
      </c>
      <c r="D14" s="169" t="e">
        <f>'Customer calculations'!$D$33</f>
        <v>#REF!</v>
      </c>
      <c r="E14" s="206">
        <v>1765.0839805969661</v>
      </c>
      <c r="F14" s="206">
        <f t="shared" si="0"/>
        <v>3.6393484136019918</v>
      </c>
      <c r="G14" s="161"/>
      <c r="H14" s="161"/>
      <c r="I14" s="161"/>
      <c r="J14" s="161"/>
      <c r="K14" s="161"/>
    </row>
    <row r="15" spans="1:14" x14ac:dyDescent="0.3">
      <c r="A15" s="170" t="s">
        <v>211</v>
      </c>
      <c r="B15" s="170" t="s">
        <v>189</v>
      </c>
      <c r="C15" s="169" t="e">
        <f>C14/'Customer calculations'!$K$14</f>
        <v>#REF!</v>
      </c>
      <c r="D15" s="169" t="e">
        <f>D14/'Customer calculations'!$K$38</f>
        <v>#REF!</v>
      </c>
      <c r="E15" s="206">
        <v>1588.7344559828678</v>
      </c>
      <c r="F15" s="206">
        <f t="shared" si="0"/>
        <v>3.2757411463564283</v>
      </c>
      <c r="G15" s="161"/>
      <c r="H15" s="161"/>
      <c r="I15" s="161"/>
      <c r="J15" s="161"/>
      <c r="K15" s="161"/>
    </row>
    <row r="16" spans="1:14" x14ac:dyDescent="0.3">
      <c r="A16" s="170" t="s">
        <v>210</v>
      </c>
      <c r="B16" s="170" t="s">
        <v>9</v>
      </c>
      <c r="C16" s="169" t="e">
        <f>'Customer calculations'!$D$6</f>
        <v>#REF!</v>
      </c>
      <c r="D16" s="169" t="e">
        <f>'Customer calculations'!$D$30</f>
        <v>#REF!</v>
      </c>
      <c r="E16" s="206">
        <v>1533.4916981730371</v>
      </c>
      <c r="F16" s="206">
        <f t="shared" si="0"/>
        <v>3.1618385529340971</v>
      </c>
      <c r="G16" s="161"/>
      <c r="H16" s="161"/>
      <c r="I16" s="161"/>
      <c r="J16" s="161"/>
      <c r="K16" s="161"/>
    </row>
    <row r="17" spans="1:13" x14ac:dyDescent="0.3">
      <c r="A17" s="170" t="s">
        <v>209</v>
      </c>
      <c r="B17" s="170" t="s">
        <v>189</v>
      </c>
      <c r="C17" s="169" t="e">
        <f>'Customer calculations'!$K$9</f>
        <v>#REF!</v>
      </c>
      <c r="D17" s="169" t="e">
        <f>'Customer calculations'!$K$33</f>
        <v>#REF!</v>
      </c>
      <c r="E17" s="206">
        <v>1380.2805564113746</v>
      </c>
      <c r="F17" s="206">
        <f t="shared" si="0"/>
        <v>2.8459392915698447</v>
      </c>
      <c r="G17" s="161"/>
      <c r="H17" s="161"/>
      <c r="I17" s="161"/>
      <c r="J17" s="161"/>
      <c r="K17" s="161"/>
      <c r="L17">
        <v>1380</v>
      </c>
      <c r="M17">
        <f>L17/L6</f>
        <v>2.8453608247422681</v>
      </c>
    </row>
    <row r="18" spans="1:13" x14ac:dyDescent="0.3">
      <c r="A18" s="170" t="s">
        <v>208</v>
      </c>
      <c r="B18" s="170" t="s">
        <v>48</v>
      </c>
      <c r="C18" s="169" t="e">
        <f>'Customer calculations'!$H$6</f>
        <v>#REF!</v>
      </c>
      <c r="D18" s="169" t="e">
        <f>'Customer calculations'!$H$30</f>
        <v>#REF!</v>
      </c>
      <c r="E18" s="206">
        <v>1666.6666666666667</v>
      </c>
      <c r="F18" s="206">
        <f t="shared" si="0"/>
        <v>3.4364261168384882</v>
      </c>
      <c r="G18" s="161"/>
      <c r="H18" s="161"/>
      <c r="I18" s="161"/>
      <c r="J18" s="161"/>
      <c r="K18" s="161"/>
    </row>
    <row r="19" spans="1:13" x14ac:dyDescent="0.3">
      <c r="A19" s="170" t="s">
        <v>207</v>
      </c>
      <c r="B19" s="170" t="s">
        <v>206</v>
      </c>
      <c r="C19" s="190" t="e">
        <f>C18/C17*3.6</f>
        <v>#REF!</v>
      </c>
      <c r="D19" s="190" t="e">
        <f>D18/D17*3.6</f>
        <v>#REF!</v>
      </c>
      <c r="E19" s="206">
        <v>4.346942345981855</v>
      </c>
      <c r="F19" s="206">
        <f t="shared" si="0"/>
        <v>8.962767723673928E-3</v>
      </c>
      <c r="G19" s="204"/>
      <c r="H19" s="204"/>
      <c r="I19" s="204"/>
      <c r="J19" s="204"/>
      <c r="K19" s="204"/>
    </row>
    <row r="20" spans="1:13" x14ac:dyDescent="0.3">
      <c r="A20" s="170" t="s">
        <v>205</v>
      </c>
      <c r="B20" s="170" t="s">
        <v>48</v>
      </c>
      <c r="C20" s="169" t="e">
        <f ca="1">'Customer calculations'!$I$8</f>
        <v>#DIV/0!</v>
      </c>
      <c r="D20" s="169">
        <f ca="1">'Customer calculations'!$I$32</f>
        <v>2829.0519644785977</v>
      </c>
      <c r="E20" s="206">
        <v>104.9447090913996</v>
      </c>
      <c r="F20" s="206">
        <f t="shared" si="0"/>
        <v>0.21638084348742187</v>
      </c>
      <c r="G20" s="161"/>
      <c r="H20" s="161"/>
      <c r="I20" s="161"/>
      <c r="J20" s="161"/>
      <c r="K20" s="161"/>
    </row>
    <row r="21" spans="1:13" x14ac:dyDescent="0.3">
      <c r="A21" s="170"/>
      <c r="B21" s="170"/>
      <c r="C21" s="170"/>
      <c r="D21" s="170"/>
    </row>
    <row r="22" spans="1:13" x14ac:dyDescent="0.3">
      <c r="A22" s="170" t="s">
        <v>204</v>
      </c>
      <c r="B22" s="170"/>
      <c r="C22" s="170"/>
      <c r="D22" s="170"/>
    </row>
    <row r="23" spans="1:13" x14ac:dyDescent="0.3">
      <c r="A23" s="170" t="s">
        <v>203</v>
      </c>
      <c r="B23" s="170" t="s">
        <v>9</v>
      </c>
      <c r="C23" s="169" t="e">
        <f>'Customer calculations'!$C$19</f>
        <v>#REF!</v>
      </c>
      <c r="D23" s="169" t="e">
        <f>'Customer calculations'!$C$43</f>
        <v>#REF!</v>
      </c>
      <c r="E23" s="206">
        <v>30.091638331113806</v>
      </c>
      <c r="F23" s="161"/>
      <c r="G23" s="161"/>
      <c r="H23" s="161"/>
      <c r="I23" s="161"/>
      <c r="J23" s="161"/>
      <c r="K23" s="161"/>
    </row>
    <row r="24" spans="1:13" x14ac:dyDescent="0.3">
      <c r="A24" s="170"/>
      <c r="B24" s="170"/>
      <c r="C24" s="170"/>
      <c r="D24" s="170"/>
    </row>
    <row r="25" spans="1:13" x14ac:dyDescent="0.3">
      <c r="A25" s="170" t="s">
        <v>202</v>
      </c>
      <c r="B25" s="170"/>
      <c r="C25" s="170"/>
      <c r="D25" s="170"/>
    </row>
    <row r="26" spans="1:13" x14ac:dyDescent="0.3">
      <c r="A26" s="170" t="s">
        <v>201</v>
      </c>
      <c r="B26" s="170" t="s">
        <v>9</v>
      </c>
      <c r="C26" s="169" t="e">
        <f>'Customer calculations'!$D$6</f>
        <v>#REF!</v>
      </c>
      <c r="D26" s="169" t="e">
        <f>'Customer calculations'!$D$30</f>
        <v>#REF!</v>
      </c>
      <c r="E26" s="206">
        <v>1533.4916981730371</v>
      </c>
      <c r="F26" s="161"/>
      <c r="G26" s="161"/>
      <c r="H26" s="161"/>
      <c r="I26" s="161"/>
      <c r="J26" s="161"/>
      <c r="K26" s="161"/>
    </row>
    <row r="27" spans="1:13" x14ac:dyDescent="0.3">
      <c r="A27" s="170" t="s">
        <v>200</v>
      </c>
      <c r="B27" s="170" t="s">
        <v>9</v>
      </c>
      <c r="C27" s="169" t="e">
        <f>'Customer calculations'!$E$17</f>
        <v>#REF!</v>
      </c>
      <c r="D27" s="169" t="e">
        <f>'Customer calculations'!$E$41</f>
        <v>#REF!</v>
      </c>
      <c r="E27" s="206">
        <v>101.88936136573659</v>
      </c>
      <c r="F27" s="161"/>
      <c r="G27" s="161"/>
      <c r="H27" s="161"/>
      <c r="I27" s="161"/>
      <c r="J27" s="161"/>
      <c r="K27" s="161"/>
    </row>
    <row r="28" spans="1:13" x14ac:dyDescent="0.3">
      <c r="A28" s="170" t="s">
        <v>169</v>
      </c>
      <c r="B28" s="170" t="s">
        <v>9</v>
      </c>
      <c r="C28" s="169" t="e">
        <f>'Customer calculations'!$E$7</f>
        <v>#REF!</v>
      </c>
      <c r="D28" s="169" t="e">
        <f>'Customer calculations'!$E$31</f>
        <v>#REF!</v>
      </c>
      <c r="E28" s="206">
        <v>231.59228242392888</v>
      </c>
      <c r="F28" s="161"/>
      <c r="G28" s="161"/>
      <c r="H28" s="161"/>
      <c r="I28" s="161"/>
      <c r="J28" s="161"/>
      <c r="K28" s="161"/>
    </row>
    <row r="29" spans="1:13" x14ac:dyDescent="0.3">
      <c r="A29" s="170"/>
      <c r="B29" s="170"/>
      <c r="C29" s="170"/>
      <c r="D29" s="170"/>
    </row>
    <row r="30" spans="1:13" x14ac:dyDescent="0.3">
      <c r="A30" s="170" t="s">
        <v>199</v>
      </c>
      <c r="B30" s="170"/>
      <c r="C30" s="170"/>
      <c r="D30" s="170"/>
    </row>
    <row r="31" spans="1:13" x14ac:dyDescent="0.3">
      <c r="A31" s="170" t="s">
        <v>198</v>
      </c>
      <c r="B31" s="170" t="s">
        <v>9</v>
      </c>
      <c r="C31" s="169" t="e">
        <f>C6</f>
        <v>#REF!</v>
      </c>
      <c r="D31" s="169" t="e">
        <f>D6</f>
        <v>#REF!</v>
      </c>
      <c r="E31" s="206">
        <v>485.13021127278517</v>
      </c>
      <c r="F31" s="161"/>
      <c r="G31" s="161"/>
      <c r="H31" s="161"/>
      <c r="I31" s="161"/>
      <c r="J31" s="161"/>
      <c r="K31" s="161"/>
    </row>
    <row r="32" spans="1:13" x14ac:dyDescent="0.3">
      <c r="A32" s="170" t="s">
        <v>198</v>
      </c>
      <c r="B32" s="170" t="s">
        <v>191</v>
      </c>
      <c r="C32" s="169" t="e">
        <f>C5</f>
        <v>#REF!</v>
      </c>
      <c r="D32" s="169" t="e">
        <f>D5</f>
        <v>#REF!</v>
      </c>
      <c r="E32" s="206">
        <v>2084.248677362431</v>
      </c>
      <c r="F32" s="161"/>
      <c r="G32" s="161"/>
      <c r="H32" s="161"/>
      <c r="I32" s="161"/>
      <c r="J32" s="161"/>
      <c r="K32" s="161"/>
    </row>
    <row r="33" spans="1:11" x14ac:dyDescent="0.3">
      <c r="A33" s="170" t="s">
        <v>197</v>
      </c>
      <c r="B33" s="170" t="s">
        <v>191</v>
      </c>
      <c r="C33" s="169" t="e">
        <f>C18</f>
        <v>#REF!</v>
      </c>
      <c r="D33" s="169" t="e">
        <f>D18</f>
        <v>#REF!</v>
      </c>
      <c r="E33" s="206">
        <v>1666.6666666666667</v>
      </c>
      <c r="F33" s="161"/>
      <c r="G33" s="161"/>
      <c r="H33" s="161"/>
      <c r="I33" s="161"/>
      <c r="J33" s="161"/>
      <c r="K33" s="161"/>
    </row>
    <row r="34" spans="1:11" x14ac:dyDescent="0.3">
      <c r="A34" s="170" t="s">
        <v>196</v>
      </c>
      <c r="B34" s="170" t="s">
        <v>191</v>
      </c>
      <c r="C34" s="169" t="e">
        <f ca="1">C20</f>
        <v>#DIV/0!</v>
      </c>
      <c r="D34" s="169">
        <f ca="1">D20</f>
        <v>2829.0519644785977</v>
      </c>
      <c r="E34" s="206">
        <v>104.9447090913996</v>
      </c>
      <c r="F34" s="161"/>
      <c r="G34" s="161"/>
      <c r="H34" s="161"/>
      <c r="I34" s="161"/>
      <c r="J34" s="161"/>
      <c r="K34" s="161"/>
    </row>
    <row r="35" spans="1:11" x14ac:dyDescent="0.3">
      <c r="A35" s="170" t="s">
        <v>151</v>
      </c>
      <c r="B35" s="170" t="s">
        <v>8</v>
      </c>
      <c r="C35" s="188" t="e">
        <f ca="1">(C34+C33)/C32</f>
        <v>#DIV/0!</v>
      </c>
      <c r="D35" s="188">
        <f ca="1">(D34+D33)/D32</f>
        <v>0.85000000000000009</v>
      </c>
      <c r="E35" s="206">
        <v>0.85</v>
      </c>
      <c r="F35" s="162"/>
      <c r="G35" s="162"/>
      <c r="H35" s="162"/>
      <c r="I35" s="162"/>
      <c r="J35" s="162"/>
      <c r="K35" s="162"/>
    </row>
    <row r="36" spans="1:11" x14ac:dyDescent="0.3">
      <c r="A36" s="170" t="s">
        <v>195</v>
      </c>
      <c r="B36" s="170" t="s">
        <v>191</v>
      </c>
      <c r="C36" s="169" t="e">
        <f>C33*30%</f>
        <v>#REF!</v>
      </c>
      <c r="D36" s="169" t="e">
        <f>D33*30%</f>
        <v>#REF!</v>
      </c>
      <c r="E36" s="206">
        <v>500</v>
      </c>
      <c r="F36" s="161"/>
      <c r="G36" s="161"/>
      <c r="H36" s="161"/>
      <c r="I36" s="161"/>
      <c r="J36" s="161"/>
      <c r="K36" s="161"/>
    </row>
    <row r="37" spans="1:11" x14ac:dyDescent="0.3">
      <c r="A37" s="170" t="s">
        <v>194</v>
      </c>
      <c r="B37" s="170" t="s">
        <v>191</v>
      </c>
      <c r="C37" s="169" t="e">
        <f>C33*55%</f>
        <v>#REF!</v>
      </c>
      <c r="D37" s="169" t="e">
        <f>D33*55%</f>
        <v>#REF!</v>
      </c>
      <c r="E37" s="206">
        <v>916.66666666666674</v>
      </c>
      <c r="F37" s="161"/>
      <c r="G37" s="161"/>
      <c r="H37" s="161"/>
      <c r="I37" s="161"/>
      <c r="J37" s="161"/>
      <c r="K37" s="161"/>
    </row>
    <row r="38" spans="1:11" x14ac:dyDescent="0.3">
      <c r="A38" s="170" t="s">
        <v>193</v>
      </c>
      <c r="B38" s="170" t="s">
        <v>8</v>
      </c>
      <c r="C38" s="188" t="e">
        <f>(C37+C36)/C33</f>
        <v>#REF!</v>
      </c>
      <c r="D38" s="188" t="e">
        <f>(D37+D36)/D33</f>
        <v>#REF!</v>
      </c>
      <c r="E38" s="206">
        <v>0.85</v>
      </c>
      <c r="F38" s="162"/>
      <c r="G38" s="162"/>
      <c r="H38" s="162"/>
      <c r="I38" s="162"/>
      <c r="J38" s="162"/>
      <c r="K38" s="162"/>
    </row>
    <row r="39" spans="1:11" x14ac:dyDescent="0.3">
      <c r="A39" s="170" t="s">
        <v>192</v>
      </c>
      <c r="B39" s="170" t="s">
        <v>191</v>
      </c>
      <c r="C39" s="189">
        <v>40</v>
      </c>
      <c r="D39" s="189">
        <v>250</v>
      </c>
      <c r="E39" s="206">
        <v>40</v>
      </c>
      <c r="F39" s="205"/>
      <c r="G39" s="205"/>
      <c r="H39" s="205"/>
      <c r="I39" s="205"/>
      <c r="J39" s="205"/>
      <c r="K39" s="205"/>
    </row>
    <row r="40" spans="1:11" x14ac:dyDescent="0.3">
      <c r="A40" s="170" t="s">
        <v>190</v>
      </c>
      <c r="B40" s="170" t="s">
        <v>8</v>
      </c>
      <c r="C40" s="188" t="e">
        <f ca="1">(C37+C36+C34-C39)/C32</f>
        <v>#DIV/0!</v>
      </c>
      <c r="D40" s="188">
        <f ca="1">(D37+D36+D34-D39)/D32</f>
        <v>0.73619000345571917</v>
      </c>
      <c r="E40" s="206">
        <v>0.71086113276704177</v>
      </c>
      <c r="F40" s="162"/>
      <c r="G40" s="162"/>
      <c r="H40" s="162"/>
      <c r="I40" s="162"/>
      <c r="J40" s="162"/>
      <c r="K40" s="162"/>
    </row>
    <row r="41" spans="1:11" x14ac:dyDescent="0.3">
      <c r="A41" s="170" t="s">
        <v>172</v>
      </c>
      <c r="B41" s="170" t="s">
        <v>8</v>
      </c>
      <c r="C41" s="188" t="e">
        <f>(C36-C39)/C32</f>
        <v>#REF!</v>
      </c>
      <c r="D41" s="188" t="e">
        <f>(D36-D39)/D32</f>
        <v>#REF!</v>
      </c>
      <c r="E41" s="206">
        <v>0.22070303078331299</v>
      </c>
      <c r="F41" s="162"/>
      <c r="G41" s="162"/>
      <c r="H41" s="162"/>
      <c r="I41" s="162"/>
      <c r="J41" s="162"/>
      <c r="K41" s="162"/>
    </row>
    <row r="42" spans="1:11" x14ac:dyDescent="0.3">
      <c r="C42" s="162"/>
      <c r="D42" s="162"/>
      <c r="E42" s="162"/>
      <c r="F42" s="162"/>
      <c r="G42" s="162"/>
      <c r="H42" s="162"/>
      <c r="I42" s="162"/>
      <c r="J42" s="162"/>
      <c r="K42" s="16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9"/>
  <sheetViews>
    <sheetView zoomScaleNormal="100" workbookViewId="0">
      <selection activeCell="J22" sqref="J22"/>
    </sheetView>
  </sheetViews>
  <sheetFormatPr defaultColWidth="9.109375" defaultRowHeight="14.4" x14ac:dyDescent="0.3"/>
  <cols>
    <col min="1" max="1" width="40.5546875" customWidth="1"/>
    <col min="2" max="2" width="9.6640625" customWidth="1"/>
    <col min="3" max="3" width="11" style="2" bestFit="1" customWidth="1"/>
    <col min="4" max="5" width="9.109375" style="2"/>
    <col min="6" max="6" width="9.5546875" style="2" bestFit="1" customWidth="1"/>
    <col min="7" max="9" width="9.109375" style="2"/>
    <col min="10" max="10" width="10.44140625" style="2" bestFit="1" customWidth="1"/>
    <col min="11" max="12" width="9.109375" style="2"/>
    <col min="14" max="14" width="9.44140625" customWidth="1"/>
    <col min="15" max="15" width="9" customWidth="1"/>
    <col min="16" max="16" width="3" customWidth="1"/>
    <col min="17" max="17" width="6" customWidth="1"/>
    <col min="18" max="18" width="6.6640625" customWidth="1"/>
  </cols>
  <sheetData>
    <row r="1" spans="1:18" ht="15.75" customHeight="1" thickBot="1" x14ac:dyDescent="0.35">
      <c r="A1" s="1"/>
      <c r="B1" s="45">
        <v>42941</v>
      </c>
      <c r="D1" s="40" t="s">
        <v>62</v>
      </c>
      <c r="E1" s="40"/>
      <c r="F1" s="11"/>
      <c r="H1" s="66" t="s">
        <v>71</v>
      </c>
      <c r="I1" s="67"/>
    </row>
    <row r="2" spans="1:18" x14ac:dyDescent="0.3">
      <c r="A2" s="113" t="s">
        <v>119</v>
      </c>
      <c r="B2" s="114">
        <v>0.20946000000000001</v>
      </c>
      <c r="C2" s="113" t="s">
        <v>72</v>
      </c>
      <c r="D2" s="114">
        <f>1-B2</f>
        <v>0.79054000000000002</v>
      </c>
      <c r="E2" s="114"/>
      <c r="F2" s="116" t="s">
        <v>120</v>
      </c>
      <c r="G2" s="115">
        <f>D2/B2</f>
        <v>3.7741812279194118</v>
      </c>
      <c r="H2" s="113" t="s">
        <v>73</v>
      </c>
      <c r="I2" s="116">
        <v>28.954999999999998</v>
      </c>
      <c r="J2" s="116" t="s">
        <v>74</v>
      </c>
    </row>
    <row r="3" spans="1:18" ht="15" customHeight="1" x14ac:dyDescent="0.3">
      <c r="A3" s="112" t="s">
        <v>70</v>
      </c>
      <c r="B3" s="5" t="s">
        <v>0</v>
      </c>
      <c r="C3" s="5" t="s">
        <v>2</v>
      </c>
      <c r="D3" s="5" t="s">
        <v>3</v>
      </c>
      <c r="E3" s="5"/>
      <c r="F3" s="5" t="s">
        <v>4</v>
      </c>
      <c r="G3" s="5" t="s">
        <v>5</v>
      </c>
      <c r="H3" s="5" t="s">
        <v>6</v>
      </c>
      <c r="I3" s="5" t="s">
        <v>7</v>
      </c>
      <c r="J3" s="5" t="s">
        <v>1</v>
      </c>
      <c r="K3" s="5" t="s">
        <v>131</v>
      </c>
      <c r="L3" s="5" t="s">
        <v>17</v>
      </c>
    </row>
    <row r="4" spans="1:18" x14ac:dyDescent="0.3">
      <c r="A4" s="2" t="s">
        <v>83</v>
      </c>
      <c r="B4" s="35">
        <f>'01.Vhodni podatki'!C8</f>
        <v>0.13270118199481867</v>
      </c>
      <c r="C4" s="36">
        <f>'01.Vhodni podatki'!C9</f>
        <v>0.44628400259067358</v>
      </c>
      <c r="D4" s="37">
        <f>'01.Vhodni podatki'!C10</f>
        <v>7.4866418393782372E-2</v>
      </c>
      <c r="E4" s="37"/>
      <c r="F4" s="37">
        <f>'01.Vhodni podatki'!C11</f>
        <v>0.22632974417098445</v>
      </c>
      <c r="G4" s="38">
        <f>'01.Vhodni podatki'!C12</f>
        <v>1.7851360103626945E-3</v>
      </c>
      <c r="H4" s="37">
        <f>'01.Vhodni podatki'!C13</f>
        <v>1.5119009067357511E-2</v>
      </c>
      <c r="I4" s="37">
        <f>'01.Vhodni podatki'!C14</f>
        <v>2.9145077720207253E-3</v>
      </c>
      <c r="J4" s="39">
        <f>'01.Vhodni podatki'!C15</f>
        <v>0</v>
      </c>
      <c r="K4" s="10">
        <v>0</v>
      </c>
      <c r="L4" s="6">
        <f>SUM(B4:K4)</f>
        <v>0.9</v>
      </c>
    </row>
    <row r="5" spans="1:18" x14ac:dyDescent="0.3">
      <c r="A5" s="2" t="s">
        <v>82</v>
      </c>
      <c r="B5" s="4">
        <f>B4*100/$L4</f>
        <v>14.744575777202074</v>
      </c>
      <c r="C5" s="6">
        <f t="shared" ref="C5:K5" si="0">C4*100/$L4</f>
        <v>49.587111398963728</v>
      </c>
      <c r="D5" s="4">
        <f t="shared" si="0"/>
        <v>8.3184909326424847</v>
      </c>
      <c r="E5" s="4"/>
      <c r="F5" s="4">
        <f t="shared" si="0"/>
        <v>25.147749352331605</v>
      </c>
      <c r="G5" s="9">
        <f t="shared" si="0"/>
        <v>0.19834844559585493</v>
      </c>
      <c r="H5" s="4">
        <f t="shared" si="0"/>
        <v>1.6798898963730569</v>
      </c>
      <c r="I5" s="4">
        <f t="shared" si="0"/>
        <v>0.32383419689119169</v>
      </c>
      <c r="J5" s="8">
        <f t="shared" si="0"/>
        <v>0</v>
      </c>
      <c r="K5" s="10">
        <f t="shared" si="0"/>
        <v>0</v>
      </c>
      <c r="L5" s="10">
        <f>SUM(B5:K5)</f>
        <v>100</v>
      </c>
    </row>
    <row r="6" spans="1:18" x14ac:dyDescent="0.3">
      <c r="A6" s="2" t="s">
        <v>84</v>
      </c>
      <c r="B6" s="4">
        <f>B5*(100-$K6)/100</f>
        <v>14.729831201424872</v>
      </c>
      <c r="C6" s="6">
        <f t="shared" ref="C6:J6" si="1">C5*(100-$K6)/100</f>
        <v>49.537524287564764</v>
      </c>
      <c r="D6" s="4">
        <f t="shared" si="1"/>
        <v>8.3101724417098435</v>
      </c>
      <c r="E6" s="4"/>
      <c r="F6" s="4">
        <f t="shared" si="1"/>
        <v>25.122601602979277</v>
      </c>
      <c r="G6" s="9">
        <f t="shared" si="1"/>
        <v>0.19815009715025908</v>
      </c>
      <c r="H6" s="4">
        <f t="shared" si="1"/>
        <v>1.6782100064766841</v>
      </c>
      <c r="I6" s="4">
        <f t="shared" si="1"/>
        <v>0.32351036269430056</v>
      </c>
      <c r="J6" s="8">
        <f t="shared" si="1"/>
        <v>0</v>
      </c>
      <c r="K6" s="76">
        <f>'01.Vhodni podatki'!C21</f>
        <v>0.1</v>
      </c>
      <c r="L6" s="10">
        <f>SUM(B6:K6)</f>
        <v>100</v>
      </c>
    </row>
    <row r="7" spans="1:18" x14ac:dyDescent="0.3">
      <c r="A7" s="2" t="s">
        <v>85</v>
      </c>
      <c r="C7" s="4">
        <f>C6/12.01</f>
        <v>4.124689782478332</v>
      </c>
      <c r="D7" s="4">
        <f>D6/1.008</f>
        <v>8.2442186921724634</v>
      </c>
      <c r="E7" s="4"/>
      <c r="F7" s="9">
        <f>F6/15.999</f>
        <v>1.5702607414825474</v>
      </c>
      <c r="G7" s="44">
        <f>G6/14.007</f>
        <v>1.414650511531799E-2</v>
      </c>
      <c r="H7" s="44">
        <f>H6/32.066</f>
        <v>5.2336119456018335E-2</v>
      </c>
      <c r="I7" s="44">
        <f>I6/35.453</f>
        <v>9.1250490140270361E-3</v>
      </c>
      <c r="J7" s="8">
        <f>J6/200.59</f>
        <v>0</v>
      </c>
      <c r="K7" s="4">
        <f>K6/(2*1.008+15.999)</f>
        <v>5.550929780738274E-3</v>
      </c>
      <c r="L7" s="42"/>
      <c r="M7" s="6"/>
    </row>
    <row r="8" spans="1:18" x14ac:dyDescent="0.3">
      <c r="A8" s="2" t="s">
        <v>288</v>
      </c>
      <c r="C8" s="4">
        <f>C5/12</f>
        <v>4.1322592832469773</v>
      </c>
      <c r="D8" s="4">
        <f>D5/1</f>
        <v>8.3184909326424847</v>
      </c>
      <c r="E8" s="4"/>
      <c r="F8" s="9">
        <f>F5/16</f>
        <v>1.5717343345207253</v>
      </c>
      <c r="G8" s="44">
        <f>G5/14</f>
        <v>1.4167746113989637E-2</v>
      </c>
      <c r="H8" s="44">
        <f>H5/32</f>
        <v>5.2496559261658027E-2</v>
      </c>
      <c r="I8" s="44">
        <f>I5/35.5</f>
        <v>9.1220900532730052E-3</v>
      </c>
      <c r="J8" s="8"/>
      <c r="K8" s="4">
        <v>0</v>
      </c>
      <c r="L8" s="42"/>
      <c r="M8" s="6"/>
    </row>
    <row r="9" spans="1:18" x14ac:dyDescent="0.3">
      <c r="A9" s="2"/>
      <c r="B9" t="s">
        <v>290</v>
      </c>
      <c r="C9" s="4" t="s">
        <v>266</v>
      </c>
      <c r="D9" s="4"/>
      <c r="E9" s="4"/>
      <c r="F9" s="9"/>
      <c r="G9" s="44"/>
      <c r="H9" s="44"/>
      <c r="I9" s="44"/>
      <c r="J9" s="8"/>
      <c r="K9" s="4"/>
      <c r="L9" s="42"/>
      <c r="M9" s="6"/>
    </row>
    <row r="10" spans="1:18" x14ac:dyDescent="0.3">
      <c r="A10" s="2" t="s">
        <v>272</v>
      </c>
      <c r="B10">
        <f>10*12+20+16*2</f>
        <v>172</v>
      </c>
      <c r="C10" s="4">
        <f>100/B10</f>
        <v>0.58139534883720934</v>
      </c>
      <c r="D10" s="4"/>
      <c r="E10" s="4"/>
      <c r="F10" s="9"/>
      <c r="G10" s="44"/>
      <c r="H10" s="44"/>
      <c r="I10" s="44"/>
      <c r="J10" s="8"/>
      <c r="K10" s="4"/>
      <c r="L10" s="42"/>
      <c r="M10" s="6"/>
    </row>
    <row r="11" spans="1:18" x14ac:dyDescent="0.3">
      <c r="A11" s="2" t="s">
        <v>289</v>
      </c>
      <c r="B11">
        <f>418*(10+0.3*20-0.5*2)/B10*1000</f>
        <v>36453.48837209303</v>
      </c>
      <c r="C11" s="4"/>
      <c r="D11" s="4"/>
      <c r="E11" s="4"/>
      <c r="F11" s="9"/>
      <c r="G11" s="44"/>
      <c r="H11" s="44"/>
      <c r="I11" s="44"/>
      <c r="J11" s="8"/>
      <c r="K11" s="4"/>
      <c r="L11" s="42"/>
      <c r="M11" s="6"/>
    </row>
    <row r="12" spans="1:18" x14ac:dyDescent="0.3">
      <c r="A12" s="11"/>
      <c r="B12" s="14" t="s">
        <v>15</v>
      </c>
      <c r="C12" s="64" t="s">
        <v>11</v>
      </c>
      <c r="D12" s="5" t="s">
        <v>48</v>
      </c>
      <c r="E12" s="5"/>
      <c r="F12"/>
      <c r="G12"/>
      <c r="H12" s="52"/>
      <c r="I12" s="484" t="s">
        <v>50</v>
      </c>
      <c r="J12" s="485"/>
      <c r="K12" s="485"/>
      <c r="L12" s="486"/>
      <c r="M12" s="49"/>
      <c r="N12" s="49"/>
      <c r="O12" s="49"/>
      <c r="P12" s="49"/>
      <c r="Q12" s="49"/>
      <c r="R12" s="49"/>
    </row>
    <row r="13" spans="1:18" x14ac:dyDescent="0.3">
      <c r="A13" s="2" t="s">
        <v>56</v>
      </c>
      <c r="B13" s="81">
        <v>22.3</v>
      </c>
      <c r="C13" s="64">
        <f>B13/3.6</f>
        <v>6.1944444444444446</v>
      </c>
      <c r="D13" s="5"/>
      <c r="E13" s="5"/>
      <c r="F13"/>
      <c r="G13"/>
      <c r="H13" s="68"/>
      <c r="I13" s="487" t="s">
        <v>63</v>
      </c>
      <c r="J13" s="486"/>
      <c r="K13" s="487" t="s">
        <v>229</v>
      </c>
      <c r="L13" s="486"/>
      <c r="M13" s="487" t="s">
        <v>47</v>
      </c>
      <c r="N13" s="486"/>
      <c r="O13" s="50"/>
      <c r="P13" s="50"/>
      <c r="Q13" s="50" t="s">
        <v>232</v>
      </c>
      <c r="R13" s="51"/>
    </row>
    <row r="14" spans="1:18" ht="15" thickBot="1" x14ac:dyDescent="0.35">
      <c r="A14" t="s">
        <v>12</v>
      </c>
      <c r="B14" s="82">
        <f>B13*(100-K6)/100+K6*Thermodynamics!F5/100</f>
        <v>22.275257368859283</v>
      </c>
      <c r="C14" s="83">
        <f>B14/3.6</f>
        <v>6.1875714913498001</v>
      </c>
      <c r="D14" s="5"/>
      <c r="E14" s="5"/>
      <c r="F14"/>
      <c r="G14" s="3"/>
      <c r="H14" s="48"/>
      <c r="I14" s="122" t="s">
        <v>64</v>
      </c>
      <c r="J14" s="69" t="s">
        <v>65</v>
      </c>
      <c r="K14" s="122" t="s">
        <v>64</v>
      </c>
      <c r="L14" s="70" t="s">
        <v>65</v>
      </c>
      <c r="M14" s="122" t="s">
        <v>64</v>
      </c>
      <c r="N14" s="70" t="s">
        <v>65</v>
      </c>
      <c r="O14" s="49"/>
      <c r="P14" s="54"/>
      <c r="Q14" s="53"/>
      <c r="R14" s="49"/>
    </row>
    <row r="15" spans="1:18" ht="15" thickBot="1" x14ac:dyDescent="0.35">
      <c r="A15" s="2" t="s">
        <v>98</v>
      </c>
      <c r="B15" s="84">
        <f>(349.1*C5+1178.3*D5-103.4*F5+100.5*H5-17.1*G5-21.1*B5)/1000</f>
        <v>24.366587799546625</v>
      </c>
      <c r="C15" s="64">
        <f>B15/3.6</f>
        <v>6.7684966109851734</v>
      </c>
      <c r="D15" s="5"/>
      <c r="E15" s="5"/>
      <c r="F15"/>
      <c r="G15" s="3"/>
      <c r="H15" s="78" t="s">
        <v>29</v>
      </c>
      <c r="I15" s="89">
        <f>C7</f>
        <v>4.124689782478332</v>
      </c>
      <c r="J15" s="73" t="e">
        <f>(C7-D27*10)*(100-D23)/100</f>
        <v>#REF!</v>
      </c>
      <c r="K15" s="93" t="e">
        <f>J15+10*J18</f>
        <v>#REF!</v>
      </c>
      <c r="L15" s="4" t="e">
        <f>(J15+(J18-L18)*10)*(100-D35)/100</f>
        <v>#REF!</v>
      </c>
      <c r="M15" s="93" t="e">
        <f>L15+10*L18</f>
        <v>#REF!</v>
      </c>
      <c r="N15" s="4" t="e">
        <f>(L15+L18*10)*(100-D35*0)/100</f>
        <v>#REF!</v>
      </c>
    </row>
    <row r="16" spans="1:18" x14ac:dyDescent="0.3">
      <c r="A16" s="2" t="s">
        <v>99</v>
      </c>
      <c r="B16" s="80">
        <f>B15+F6/100*9*Thermodynamics!F5</f>
        <v>18.843715388534967</v>
      </c>
      <c r="C16" s="64">
        <f>B16/3.6</f>
        <v>5.2343653857041579</v>
      </c>
      <c r="D16" s="5"/>
      <c r="E16" s="5"/>
      <c r="F16"/>
      <c r="G16" s="3"/>
      <c r="H16" s="78" t="s">
        <v>116</v>
      </c>
      <c r="I16" s="90">
        <v>0</v>
      </c>
      <c r="J16" s="58" t="e">
        <f>(C7-D27*10)*D23/100</f>
        <v>#REF!</v>
      </c>
      <c r="K16" s="91" t="e">
        <f>J16</f>
        <v>#REF!</v>
      </c>
      <c r="L16" s="4" t="e">
        <f>J16+(J15+(J18-L18)*10)*D35/100</f>
        <v>#REF!</v>
      </c>
      <c r="M16" s="91" t="e">
        <f>L16</f>
        <v>#REF!</v>
      </c>
      <c r="N16" s="4" t="e">
        <f>L16+(L15+L18*10)*D35/100*0</f>
        <v>#REF!</v>
      </c>
    </row>
    <row r="17" spans="1:19" x14ac:dyDescent="0.3">
      <c r="A17" s="2" t="s">
        <v>100</v>
      </c>
      <c r="B17" s="80">
        <f>B16*(100-K6)/100+K6/100*Thermodynamics!F5</f>
        <v>18.822429042005716</v>
      </c>
      <c r="C17" s="64">
        <f>B17/3.6</f>
        <v>5.2284525116682543</v>
      </c>
      <c r="D17" s="5"/>
      <c r="E17" s="5"/>
      <c r="F17"/>
      <c r="G17" s="3"/>
      <c r="H17" s="78" t="s">
        <v>117</v>
      </c>
      <c r="I17" s="89">
        <f>D7/2-C22</f>
        <v>2.5518486046036841</v>
      </c>
      <c r="J17" s="58" t="e">
        <f>(D7/2-D22-D27*4)*(100-D23)/100</f>
        <v>#REF!</v>
      </c>
      <c r="K17" s="91" t="e">
        <f>J17+4*J18</f>
        <v>#REF!</v>
      </c>
      <c r="L17" s="4" t="e">
        <f>(J17+(J18-L18)*4)*(100-D35)/100</f>
        <v>#REF!</v>
      </c>
      <c r="M17" s="91" t="e">
        <f>L17+4*L18</f>
        <v>#REF!</v>
      </c>
      <c r="N17" s="4" t="e">
        <f>(L17+L18*14)*(100-D35*0)/100</f>
        <v>#REF!</v>
      </c>
    </row>
    <row r="18" spans="1:19" x14ac:dyDescent="0.3">
      <c r="A18" s="2" t="s">
        <v>101</v>
      </c>
      <c r="B18" s="80"/>
      <c r="C18" s="64"/>
      <c r="D18" s="106">
        <f>C17*100</f>
        <v>522.84525116682539</v>
      </c>
      <c r="E18" s="106"/>
      <c r="F18"/>
      <c r="G18" s="3"/>
      <c r="H18" s="78" t="s">
        <v>130</v>
      </c>
      <c r="I18" s="120">
        <v>0</v>
      </c>
      <c r="J18" s="58" t="e">
        <f>D27</f>
        <v>#REF!</v>
      </c>
      <c r="K18" s="124">
        <v>0</v>
      </c>
      <c r="L18" s="58" t="e">
        <f>J18*D42/100</f>
        <v>#REF!</v>
      </c>
      <c r="M18" s="124">
        <v>0</v>
      </c>
      <c r="N18" s="10">
        <v>0</v>
      </c>
    </row>
    <row r="19" spans="1:19" x14ac:dyDescent="0.3">
      <c r="A19" s="2"/>
      <c r="B19" s="80"/>
      <c r="C19" s="64"/>
      <c r="D19" s="85"/>
      <c r="E19" s="85"/>
      <c r="F19"/>
      <c r="G19" s="3"/>
      <c r="H19" s="78" t="s">
        <v>131</v>
      </c>
      <c r="I19" s="89">
        <f>C25</f>
        <v>1.5758116712632857</v>
      </c>
      <c r="J19" s="58" t="e">
        <f>D25</f>
        <v>#REF!</v>
      </c>
      <c r="K19" s="91" t="e">
        <f>J19</f>
        <v>#REF!</v>
      </c>
      <c r="L19" s="4" t="e">
        <f>J19+(J17+(J18-L18)*4)*D35/100</f>
        <v>#REF!</v>
      </c>
      <c r="M19" s="91" t="e">
        <f>L19</f>
        <v>#REF!</v>
      </c>
      <c r="N19" s="4" t="e">
        <f>L19-(L18*10)</f>
        <v>#REF!</v>
      </c>
    </row>
    <row r="20" spans="1:19" ht="15" thickBot="1" x14ac:dyDescent="0.35">
      <c r="A20" s="105" t="s">
        <v>87</v>
      </c>
      <c r="B20" s="6"/>
      <c r="C20" s="121" t="s">
        <v>64</v>
      </c>
      <c r="D20" s="64" t="s">
        <v>65</v>
      </c>
      <c r="E20" s="64"/>
      <c r="G20" s="52"/>
      <c r="H20" s="142" t="s">
        <v>118</v>
      </c>
      <c r="I20" s="123">
        <f>G7/2+C28*G2</f>
        <v>7.7907366265680205</v>
      </c>
      <c r="J20" s="74" t="e">
        <f>G7/2+D28*G2</f>
        <v>#REF!</v>
      </c>
      <c r="K20" s="125" t="e">
        <f>J20+C36*G2</f>
        <v>#REF!</v>
      </c>
      <c r="L20" s="79" t="e">
        <f>J20+D36*G2</f>
        <v>#REF!</v>
      </c>
      <c r="M20" s="125" t="e">
        <f>L20+F41*I2</f>
        <v>#REF!</v>
      </c>
      <c r="N20" s="79" t="e">
        <f>L20+G41*I2</f>
        <v>#REF!</v>
      </c>
    </row>
    <row r="21" spans="1:19" x14ac:dyDescent="0.3">
      <c r="A21" s="2" t="s">
        <v>53</v>
      </c>
      <c r="B21" s="2" t="s">
        <v>50</v>
      </c>
      <c r="C21" s="89">
        <f>K7</f>
        <v>5.550929780738274E-3</v>
      </c>
      <c r="D21" s="4">
        <f>C21</f>
        <v>5.550929780738274E-3</v>
      </c>
      <c r="E21" s="4"/>
      <c r="G21" s="55"/>
      <c r="H21" s="65" t="s">
        <v>17</v>
      </c>
      <c r="I21" s="109">
        <f t="shared" ref="I21:N21" si="2">SUM(I15:I20)</f>
        <v>16.043086684913323</v>
      </c>
      <c r="J21" s="73" t="e">
        <f t="shared" si="2"/>
        <v>#REF!</v>
      </c>
      <c r="K21" s="109" t="e">
        <f t="shared" si="2"/>
        <v>#REF!</v>
      </c>
      <c r="L21" s="72" t="e">
        <f t="shared" si="2"/>
        <v>#REF!</v>
      </c>
      <c r="M21" s="109" t="e">
        <f t="shared" si="2"/>
        <v>#REF!</v>
      </c>
      <c r="N21" s="72" t="e">
        <f t="shared" si="2"/>
        <v>#REF!</v>
      </c>
    </row>
    <row r="22" spans="1:19" x14ac:dyDescent="0.3">
      <c r="A22" t="s">
        <v>16</v>
      </c>
      <c r="B22" s="2" t="s">
        <v>50</v>
      </c>
      <c r="C22" s="89">
        <f>F7</f>
        <v>1.5702607414825474</v>
      </c>
      <c r="D22" s="7">
        <f>C22</f>
        <v>1.5702607414825474</v>
      </c>
      <c r="E22" s="7"/>
      <c r="F22" s="46"/>
      <c r="G22" s="56"/>
      <c r="H22" s="78" t="s">
        <v>94</v>
      </c>
      <c r="I22" s="120">
        <f>(-I15*Thermodynamics!$E$4-I17*Thermodynamics!$E$3)/3.6</f>
        <v>495.64112647294689</v>
      </c>
      <c r="J22" s="10" t="e">
        <f>(-J15*Thermodynamics!$E$4-J17*Thermodynamics!$E$3-J18*Thermodynamics!E7)/3.6</f>
        <v>#REF!</v>
      </c>
      <c r="K22" s="120" t="e">
        <f>(-K15*Thermodynamics!$E$4-K17*Thermodynamics!$E$3)/3.6</f>
        <v>#REF!</v>
      </c>
      <c r="L22" s="107" t="e">
        <f>(-L15*Thermodynamics!$E$4-L17*Thermodynamics!$E$3-L18*Thermodynamics!E7)/3.6</f>
        <v>#REF!</v>
      </c>
      <c r="M22" s="120" t="e">
        <f>(-M15*Thermodynamics!$E$4-M17*Thermodynamics!$E$3)/3.6</f>
        <v>#REF!</v>
      </c>
      <c r="N22" s="107" t="e">
        <f>(-N15*Thermodynamics!$E$4-N17*Thermodynamics!$E$3)/3.6</f>
        <v>#REF!</v>
      </c>
      <c r="O22" s="7"/>
      <c r="P22" s="7"/>
      <c r="Q22" s="7"/>
      <c r="R22" s="7"/>
      <c r="S22" s="4"/>
    </row>
    <row r="23" spans="1:19" x14ac:dyDescent="0.3">
      <c r="A23" s="2" t="s">
        <v>59</v>
      </c>
      <c r="B23" s="2" t="s">
        <v>8</v>
      </c>
      <c r="C23" s="90">
        <v>0</v>
      </c>
      <c r="D23" s="36">
        <v>7.5</v>
      </c>
      <c r="E23" s="7"/>
      <c r="F23" s="46"/>
      <c r="G23" s="56" t="s">
        <v>239</v>
      </c>
      <c r="H23" s="78"/>
      <c r="I23" s="120"/>
      <c r="J23" s="10">
        <v>40</v>
      </c>
      <c r="K23" s="120" t="s">
        <v>234</v>
      </c>
      <c r="L23" s="107" t="e">
        <f>-((J18-L18)*Thermodynamics!E7+(L16-J16)*Thermodynamics!E4)</f>
        <v>#REF!</v>
      </c>
      <c r="M23" s="120"/>
      <c r="N23" s="107" t="e">
        <f>-((L18-N18)*Thermodynamics!E10+(N16-L16)*Thermodynamics!E4)</f>
        <v>#REF!</v>
      </c>
      <c r="O23" s="7"/>
      <c r="P23" s="7"/>
      <c r="Q23" s="7"/>
      <c r="R23" s="7"/>
      <c r="S23" s="4"/>
    </row>
    <row r="24" spans="1:19" ht="16.5" customHeight="1" x14ac:dyDescent="0.3">
      <c r="A24" s="2" t="s">
        <v>58</v>
      </c>
      <c r="B24" s="2" t="s">
        <v>50</v>
      </c>
      <c r="C24" s="90">
        <v>0</v>
      </c>
      <c r="D24" s="71" t="e">
        <f>(D7/2-F7-D27*4)*D23/100</f>
        <v>#REF!</v>
      </c>
      <c r="E24" s="36"/>
      <c r="F24" s="46"/>
      <c r="G24" s="57"/>
      <c r="H24" s="2" t="s">
        <v>238</v>
      </c>
      <c r="J24" s="4" t="e">
        <f>J15*Thermodynamics!$E$69+J16*Thermodynamics!$E$70+J17*Thermodynamics!$E$71+J18*Thermodynamics!$E$72+J19*Thermodynamics!$E$73+J20*Thermodynamics!$E$74</f>
        <v>#REF!</v>
      </c>
      <c r="L24" s="4" t="e">
        <f>L15*Thermodynamics!$E$69+L16*Thermodynamics!$E$70+L17*Thermodynamics!$E$71+L18*Thermodynamics!$E$72+L19*Thermodynamics!$E$73+L20*Thermodynamics!$E$74</f>
        <v>#REF!</v>
      </c>
      <c r="M24" s="7"/>
      <c r="N24" s="4" t="e">
        <f>N15*Thermodynamics!$E$69+N16*Thermodynamics!$E$70+N17*Thermodynamics!$E$71+N18*Thermodynamics!$E$72+N19*Thermodynamics!$E$73+N20*Thermodynamics!$E$74</f>
        <v>#REF!</v>
      </c>
      <c r="O24" s="7"/>
      <c r="P24" s="7"/>
      <c r="Q24" s="7"/>
      <c r="R24" s="7"/>
      <c r="S24" s="2"/>
    </row>
    <row r="25" spans="1:19" ht="15.75" customHeight="1" x14ac:dyDescent="0.3">
      <c r="A25" s="2" t="s">
        <v>55</v>
      </c>
      <c r="B25" s="2" t="s">
        <v>50</v>
      </c>
      <c r="C25" s="89">
        <f>C21+C22</f>
        <v>1.5758116712632857</v>
      </c>
      <c r="D25" s="4" t="e">
        <f>D21+D22+D24</f>
        <v>#REF!</v>
      </c>
      <c r="E25" s="196"/>
      <c r="F25" s="198"/>
      <c r="J25" s="4"/>
      <c r="L25" s="4"/>
      <c r="M25" s="7"/>
      <c r="N25" s="4"/>
      <c r="O25" s="2"/>
      <c r="P25" s="2"/>
      <c r="Q25" s="2"/>
      <c r="R25" s="2"/>
    </row>
    <row r="26" spans="1:19" ht="16.5" customHeight="1" thickBot="1" x14ac:dyDescent="0.35">
      <c r="A26" s="2" t="s">
        <v>123</v>
      </c>
      <c r="B26" s="2" t="s">
        <v>121</v>
      </c>
      <c r="C26" s="90">
        <v>0</v>
      </c>
      <c r="D26" s="76">
        <v>30</v>
      </c>
      <c r="E26" s="4"/>
      <c r="F26" s="198"/>
      <c r="J26" s="4"/>
      <c r="L26" s="4"/>
      <c r="M26" s="7"/>
      <c r="N26" s="4"/>
    </row>
    <row r="27" spans="1:19" ht="15" thickBot="1" x14ac:dyDescent="0.35">
      <c r="A27" s="2" t="s">
        <v>107</v>
      </c>
      <c r="B27" s="2" t="s">
        <v>50</v>
      </c>
      <c r="C27" s="120">
        <v>0</v>
      </c>
      <c r="D27" s="75" t="e">
        <f>'01.Vhodni podatki'!#REF!</f>
        <v>#REF!</v>
      </c>
      <c r="E27" s="132" t="e">
        <f>D27*128*1000/J21/22.4</f>
        <v>#REF!</v>
      </c>
      <c r="G27" s="4"/>
      <c r="H27" s="489" t="s">
        <v>109</v>
      </c>
      <c r="I27" s="490"/>
      <c r="K27" s="480" t="s">
        <v>108</v>
      </c>
      <c r="L27" s="481"/>
      <c r="M27" s="2"/>
      <c r="N27" s="2"/>
      <c r="R27" s="3"/>
    </row>
    <row r="28" spans="1:19" x14ac:dyDescent="0.3">
      <c r="A28" s="2" t="s">
        <v>122</v>
      </c>
      <c r="B28" s="2" t="s">
        <v>50</v>
      </c>
      <c r="C28" s="89">
        <f>I15/2</f>
        <v>2.062344891239166</v>
      </c>
      <c r="D28" s="59" t="e">
        <f>J15/2+J16+D24/2</f>
        <v>#REF!</v>
      </c>
      <c r="E28" s="75"/>
      <c r="G28" s="4"/>
      <c r="H28" s="5"/>
      <c r="I28" s="14"/>
      <c r="K28" s="199"/>
      <c r="L28" s="200"/>
      <c r="M28" s="2"/>
      <c r="N28" s="2"/>
      <c r="O28" s="49"/>
      <c r="R28" s="3"/>
    </row>
    <row r="29" spans="1:19" x14ac:dyDescent="0.3">
      <c r="A29" s="2" t="s">
        <v>105</v>
      </c>
      <c r="B29" s="2" t="s">
        <v>50</v>
      </c>
      <c r="C29" s="89">
        <f>C28/B2</f>
        <v>9.8460082652495267</v>
      </c>
      <c r="D29" s="58" t="e">
        <f>D28/B2</f>
        <v>#REF!</v>
      </c>
      <c r="E29" s="59"/>
      <c r="G29" s="4"/>
      <c r="H29" s="5"/>
      <c r="I29" s="14"/>
      <c r="K29" s="199"/>
      <c r="L29" s="200"/>
      <c r="M29" s="2"/>
      <c r="N29" s="2"/>
    </row>
    <row r="30" spans="1:19" ht="16.2" x14ac:dyDescent="0.3">
      <c r="A30" s="2" t="s">
        <v>57</v>
      </c>
      <c r="B30" s="2" t="s">
        <v>46</v>
      </c>
      <c r="C30" s="89">
        <f>C29*I2/100</f>
        <v>2.8509116932030003</v>
      </c>
      <c r="D30" s="4" t="e">
        <f>D29*I2/100</f>
        <v>#REF!</v>
      </c>
      <c r="E30" s="58"/>
      <c r="H30" s="201" t="e">
        <f>ROUND(D43,0)&amp;" oC"</f>
        <v>#REF!</v>
      </c>
      <c r="I30" s="131"/>
      <c r="K30" s="127" t="e">
        <f>(L21-L19)*22.4</f>
        <v>#REF!</v>
      </c>
      <c r="L30" s="128" t="s">
        <v>110</v>
      </c>
      <c r="M30" s="2"/>
      <c r="N30" s="2"/>
    </row>
    <row r="31" spans="1:19" ht="15" thickBot="1" x14ac:dyDescent="0.35">
      <c r="A31" s="2" t="s">
        <v>75</v>
      </c>
      <c r="B31" s="2" t="s">
        <v>48</v>
      </c>
      <c r="C31" s="120">
        <f>$D$18-I22</f>
        <v>27.204124693878498</v>
      </c>
      <c r="D31" s="102" t="e">
        <f>$D$18-J22</f>
        <v>#REF!</v>
      </c>
      <c r="E31" s="4"/>
      <c r="H31" s="201" t="e">
        <f>ROUND(N23,0)&amp;" kW"</f>
        <v>#REF!</v>
      </c>
      <c r="I31" s="10" t="e">
        <f>L19*18</f>
        <v>#REF!</v>
      </c>
      <c r="J31" s="2" t="s">
        <v>9</v>
      </c>
      <c r="K31" s="154" t="e">
        <f>L22</f>
        <v>#REF!</v>
      </c>
      <c r="L31" s="129" t="s">
        <v>141</v>
      </c>
      <c r="M31" s="2"/>
      <c r="N31" s="2"/>
    </row>
    <row r="32" spans="1:19" x14ac:dyDescent="0.3">
      <c r="A32" s="2" t="s">
        <v>103</v>
      </c>
      <c r="B32" s="2" t="s">
        <v>102</v>
      </c>
      <c r="C32" s="120">
        <f>C31*3600/(I15*Thermodynamics!$C$6+I16*Thermodynamics!$C$3+I17*Thermodynamics!$C$8+I18*Thermodynamics!$C$7+I19*Thermodynamics!$C$4+I20*Thermodynamics!$C$9)+25</f>
        <v>231.97191099441213</v>
      </c>
      <c r="D32" s="107" t="e">
        <f>J23*3600/(J15*Thermodynamics!$C$6+J16*Thermodynamics!$C$3+J17*Thermodynamics!$C$8+J18*Thermodynamics!$C$7+J19*Thermodynamics!$C$4+J20*Thermodynamics!$C$9)+25</f>
        <v>#REF!</v>
      </c>
      <c r="E32" s="102" t="s">
        <v>241</v>
      </c>
      <c r="F32" s="119"/>
      <c r="H32" s="10" t="e">
        <f>D41</f>
        <v>#REF!</v>
      </c>
      <c r="I32" s="2" t="s">
        <v>102</v>
      </c>
      <c r="J32" s="2" t="s">
        <v>111</v>
      </c>
      <c r="K32" s="78" t="s">
        <v>29</v>
      </c>
      <c r="L32" s="133" t="e">
        <f>L15/($L$21-$L$19)</f>
        <v>#REF!</v>
      </c>
      <c r="M32" s="2"/>
      <c r="N32" s="2"/>
    </row>
    <row r="33" spans="1:18" x14ac:dyDescent="0.3">
      <c r="A33" s="2"/>
      <c r="B33" s="2"/>
      <c r="C33" s="10"/>
      <c r="D33" s="107"/>
      <c r="E33" s="107"/>
      <c r="F33" s="62"/>
      <c r="H33" s="491" t="s">
        <v>137</v>
      </c>
      <c r="I33" s="492"/>
      <c r="K33" s="78" t="s">
        <v>116</v>
      </c>
      <c r="L33" s="133" t="e">
        <f t="shared" ref="L33" si="3">L16/($L$21-$L$19)</f>
        <v>#REF!</v>
      </c>
      <c r="M33" s="4"/>
    </row>
    <row r="34" spans="1:18" x14ac:dyDescent="0.3">
      <c r="A34" s="105" t="s">
        <v>88</v>
      </c>
      <c r="C34" s="87" t="s">
        <v>64</v>
      </c>
      <c r="D34" s="103" t="s">
        <v>65</v>
      </c>
      <c r="E34" s="107"/>
      <c r="F34" s="62"/>
      <c r="G34" s="65"/>
      <c r="H34" s="148" t="e">
        <f>D40</f>
        <v>#REF!</v>
      </c>
      <c r="I34" s="2" t="s">
        <v>136</v>
      </c>
      <c r="K34" s="78" t="s">
        <v>117</v>
      </c>
      <c r="L34" s="133" t="e">
        <f>L17/($L$21-$L$19)</f>
        <v>#REF!</v>
      </c>
      <c r="M34" s="4"/>
    </row>
    <row r="35" spans="1:18" x14ac:dyDescent="0.3">
      <c r="A35" s="2" t="s">
        <v>60</v>
      </c>
      <c r="B35" s="2" t="s">
        <v>8</v>
      </c>
      <c r="C35" s="90">
        <v>0</v>
      </c>
      <c r="D35" s="36">
        <v>2</v>
      </c>
      <c r="E35" s="5"/>
      <c r="F35" s="477" t="s">
        <v>113</v>
      </c>
      <c r="G35" s="478"/>
      <c r="H35" s="143" t="e">
        <f>D39</f>
        <v>#REF!</v>
      </c>
      <c r="I35" s="2" t="s">
        <v>102</v>
      </c>
      <c r="J35" s="130" t="s">
        <v>112</v>
      </c>
      <c r="K35" s="78" t="s">
        <v>118</v>
      </c>
      <c r="L35" s="133" t="e">
        <f>L20/($L$21-$L$19)</f>
        <v>#REF!</v>
      </c>
      <c r="M35" s="150" t="s">
        <v>139</v>
      </c>
    </row>
    <row r="36" spans="1:18" x14ac:dyDescent="0.3">
      <c r="A36" s="2" t="s">
        <v>54</v>
      </c>
      <c r="B36" s="2" t="s">
        <v>50</v>
      </c>
      <c r="C36" s="89" t="e">
        <f>5*J18</f>
        <v>#REF!</v>
      </c>
      <c r="D36" s="58" t="e">
        <f>(L15-J15)/2+(L16-J16)+(L19-J19)/2</f>
        <v>#REF!</v>
      </c>
      <c r="E36" s="36"/>
      <c r="F36" s="144" t="e">
        <f>D37*I2</f>
        <v>#REF!</v>
      </c>
      <c r="G36" s="48" t="s">
        <v>9</v>
      </c>
      <c r="H36" s="104"/>
      <c r="I36" s="65"/>
      <c r="J36" s="65"/>
      <c r="K36" s="65"/>
      <c r="L36" s="98"/>
      <c r="M36" s="2" t="s">
        <v>140</v>
      </c>
    </row>
    <row r="37" spans="1:18" ht="13.5" customHeight="1" x14ac:dyDescent="0.3">
      <c r="A37" s="2" t="s">
        <v>104</v>
      </c>
      <c r="B37" s="2" t="s">
        <v>50</v>
      </c>
      <c r="C37" s="89" t="e">
        <f>C36/B2</f>
        <v>#REF!</v>
      </c>
      <c r="D37" s="4" t="e">
        <f>D36/B2</f>
        <v>#REF!</v>
      </c>
      <c r="E37" s="58"/>
      <c r="F37" s="62"/>
      <c r="J37" s="152" t="s">
        <v>138</v>
      </c>
      <c r="K37" s="151">
        <v>0.3</v>
      </c>
      <c r="L37" s="156" t="e">
        <f>K31*K37</f>
        <v>#REF!</v>
      </c>
      <c r="M37" s="2"/>
    </row>
    <row r="38" spans="1:18" x14ac:dyDescent="0.3">
      <c r="A38" s="2" t="s">
        <v>81</v>
      </c>
      <c r="B38" s="2" t="s">
        <v>46</v>
      </c>
      <c r="C38" s="89" t="e">
        <f>C37*I2/100</f>
        <v>#REF!</v>
      </c>
      <c r="D38" s="4" t="e">
        <f>D37*I2/100</f>
        <v>#REF!</v>
      </c>
      <c r="E38" s="4"/>
      <c r="F38" s="62"/>
      <c r="H38" s="155" t="e">
        <f>D27*128</f>
        <v>#REF!</v>
      </c>
      <c r="I38" s="78" t="s">
        <v>133</v>
      </c>
      <c r="L38" s="156" t="e">
        <f>K31-L37</f>
        <v>#REF!</v>
      </c>
      <c r="M38" s="2"/>
    </row>
    <row r="39" spans="1:18" ht="15" thickBot="1" x14ac:dyDescent="0.35">
      <c r="A39" s="2" t="s">
        <v>106</v>
      </c>
      <c r="B39" s="2" t="s">
        <v>102</v>
      </c>
      <c r="C39" s="120" t="e">
        <f>(I21*C32+C37*25)/(I21+C37)</f>
        <v>#REF!</v>
      </c>
      <c r="D39" s="107" t="e">
        <f>(J21*D32+D37*25)/(J21+D37)</f>
        <v>#REF!</v>
      </c>
      <c r="E39" s="4"/>
      <c r="G39" s="149" t="s">
        <v>132</v>
      </c>
      <c r="H39" s="10" t="e">
        <f>D32</f>
        <v>#REF!</v>
      </c>
      <c r="I39" s="2" t="s">
        <v>102</v>
      </c>
      <c r="M39" s="2"/>
      <c r="O39" s="5"/>
      <c r="P39" s="5"/>
    </row>
    <row r="40" spans="1:18" x14ac:dyDescent="0.3">
      <c r="A40" s="2" t="s">
        <v>75</v>
      </c>
      <c r="B40" s="2" t="s">
        <v>48</v>
      </c>
      <c r="C40" s="120" t="e">
        <f>J22-K22</f>
        <v>#REF!</v>
      </c>
      <c r="D40" s="10" t="e">
        <f>L23</f>
        <v>#REF!</v>
      </c>
      <c r="E40" s="107"/>
      <c r="F40" s="102">
        <f>C52</f>
        <v>7.7457456794907138</v>
      </c>
      <c r="G40" s="98" t="s">
        <v>9</v>
      </c>
      <c r="H40" s="482" t="s">
        <v>134</v>
      </c>
      <c r="I40" s="483"/>
      <c r="K40" s="480" t="s">
        <v>114</v>
      </c>
      <c r="L40" s="481"/>
      <c r="M40" s="2"/>
      <c r="O40" s="44"/>
      <c r="P40" s="4"/>
    </row>
    <row r="41" spans="1:18" x14ac:dyDescent="0.3">
      <c r="A41" s="2" t="s">
        <v>250</v>
      </c>
      <c r="B41" s="2" t="s">
        <v>102</v>
      </c>
      <c r="C41" s="120" t="e">
        <f>C40*3600/(K15*Thermodynamics!$C$6+K16*Thermodynamics!$C$3+K17*Thermodynamics!$C$8+K18*Thermodynamics!$C$7+K19*Thermodynamics!$C$4+K20*Thermodynamics!$C$9)+C39</f>
        <v>#REF!</v>
      </c>
      <c r="D41" s="107" t="e">
        <f>D40*3600/((J15)*Thermodynamics!$C$6+(J16)*Thermodynamics!$C$3+(J17)*Thermodynamics!$C$8+(J18)*Thermodynamics!$C$7+(J19)*Thermodynamics!$C$4+L20*Thermodynamics!$C$9)+D39</f>
        <v>#REF!</v>
      </c>
      <c r="E41" s="10"/>
      <c r="F41" s="477" t="s">
        <v>113</v>
      </c>
      <c r="G41" s="479"/>
      <c r="H41" s="146" t="e">
        <f>D31</f>
        <v>#REF!</v>
      </c>
      <c r="I41" s="147" t="s">
        <v>135</v>
      </c>
      <c r="K41" s="127">
        <v>100</v>
      </c>
      <c r="L41" s="128" t="s">
        <v>9</v>
      </c>
      <c r="M41" s="2"/>
      <c r="N41" s="2"/>
      <c r="O41" s="2"/>
      <c r="P41" s="2"/>
    </row>
    <row r="42" spans="1:18" ht="15" thickBot="1" x14ac:dyDescent="0.35">
      <c r="A42" s="2" t="s">
        <v>240</v>
      </c>
      <c r="B42" s="2" t="s">
        <v>8</v>
      </c>
      <c r="C42" s="120"/>
      <c r="D42" s="36">
        <v>50</v>
      </c>
      <c r="E42" s="107"/>
      <c r="F42" s="144" t="e">
        <f>D29*I2</f>
        <v>#REF!</v>
      </c>
      <c r="G42" s="57" t="s">
        <v>9</v>
      </c>
      <c r="K42" s="153">
        <f>D18</f>
        <v>522.84525116682539</v>
      </c>
      <c r="L42" s="129" t="s">
        <v>141</v>
      </c>
      <c r="M42" s="2"/>
      <c r="N42" s="2"/>
      <c r="O42" s="2"/>
      <c r="P42" s="4"/>
    </row>
    <row r="43" spans="1:18" x14ac:dyDescent="0.3">
      <c r="A43" s="2" t="s">
        <v>251</v>
      </c>
      <c r="B43" s="2" t="s">
        <v>102</v>
      </c>
      <c r="C43" s="120"/>
      <c r="D43" s="107" t="e">
        <f>N23*3600/((N15)*Thermodynamics!$C$6+(N16)*Thermodynamics!$C$3+(N17)*Thermodynamics!$C$8+(N18)*Thermodynamics!$C$7+(N19)*Thermodynamics!$C$4+(N20)*Thermodynamics!$C$9)+D41</f>
        <v>#REF!</v>
      </c>
      <c r="E43" s="36"/>
      <c r="F43" s="27"/>
      <c r="M43" s="2"/>
      <c r="N43" s="2"/>
      <c r="O43" s="2"/>
      <c r="P43" s="4"/>
    </row>
    <row r="44" spans="1:18" x14ac:dyDescent="0.3">
      <c r="A44" s="2"/>
      <c r="B44" s="2"/>
      <c r="C44" s="10"/>
      <c r="D44" s="10"/>
      <c r="E44" s="107"/>
      <c r="F44" s="27"/>
      <c r="J44" s="145" t="s">
        <v>115</v>
      </c>
      <c r="M44" s="2"/>
      <c r="N44" s="2"/>
      <c r="O44" s="2"/>
      <c r="P44" s="4"/>
    </row>
    <row r="45" spans="1:18" x14ac:dyDescent="0.3">
      <c r="A45" s="105" t="s">
        <v>89</v>
      </c>
      <c r="B45" s="2"/>
      <c r="C45" s="87" t="s">
        <v>64</v>
      </c>
      <c r="D45" s="103" t="s">
        <v>65</v>
      </c>
      <c r="E45" s="10"/>
      <c r="F45" s="159" t="e">
        <f>D40+D31</f>
        <v>#REF!</v>
      </c>
      <c r="I45" s="10">
        <f>C56</f>
        <v>26.226856507467225</v>
      </c>
      <c r="J45" s="2" t="s">
        <v>9</v>
      </c>
      <c r="M45" s="2"/>
      <c r="N45" s="2"/>
      <c r="O45" s="2"/>
      <c r="P45" s="2"/>
    </row>
    <row r="46" spans="1:18" s="11" customFormat="1" x14ac:dyDescent="0.3">
      <c r="A46" s="2" t="s">
        <v>90</v>
      </c>
      <c r="B46" s="2" t="s">
        <v>46</v>
      </c>
      <c r="C46" s="89" t="e">
        <f>C30+C38</f>
        <v>#REF!</v>
      </c>
      <c r="D46" s="4" t="e">
        <f>D30+D38</f>
        <v>#REF!</v>
      </c>
      <c r="E46" s="5"/>
      <c r="F46" s="160" t="e">
        <f>F45/D18</f>
        <v>#REF!</v>
      </c>
      <c r="G46" s="47" t="s">
        <v>142</v>
      </c>
      <c r="H46" s="2"/>
      <c r="I46" s="2"/>
      <c r="J46" s="2"/>
      <c r="K46" s="2"/>
      <c r="L46" s="2"/>
      <c r="M46" s="2"/>
      <c r="N46" s="2"/>
      <c r="O46"/>
      <c r="P46"/>
      <c r="Q46"/>
      <c r="R46"/>
    </row>
    <row r="47" spans="1:18" s="11" customFormat="1" x14ac:dyDescent="0.3">
      <c r="A47" s="2" t="s">
        <v>91</v>
      </c>
      <c r="B47" s="2" t="s">
        <v>9</v>
      </c>
      <c r="C47" s="126" t="e">
        <f>K19*18</f>
        <v>#REF!</v>
      </c>
      <c r="D47" s="6" t="e">
        <f>L19*18</f>
        <v>#REF!</v>
      </c>
      <c r="E47" s="4"/>
      <c r="F47" s="160"/>
      <c r="G47" s="195"/>
      <c r="H47" s="2"/>
      <c r="I47" s="2"/>
      <c r="J47" s="2"/>
      <c r="K47" s="2"/>
      <c r="L47" s="2"/>
      <c r="M47"/>
      <c r="N47" s="2"/>
    </row>
    <row r="48" spans="1:18" s="11" customFormat="1" x14ac:dyDescent="0.3">
      <c r="A48" s="2" t="s">
        <v>92</v>
      </c>
      <c r="B48" s="2" t="s">
        <v>48</v>
      </c>
      <c r="C48" s="120" t="e">
        <f>K22</f>
        <v>#REF!</v>
      </c>
      <c r="D48" s="10" t="e">
        <f>L22</f>
        <v>#REF!</v>
      </c>
      <c r="E48" s="6"/>
      <c r="F48" s="160"/>
      <c r="G48" s="195"/>
      <c r="H48" s="2"/>
      <c r="I48" s="2"/>
      <c r="J48" s="2"/>
      <c r="K48" s="2"/>
      <c r="L48" s="2"/>
      <c r="N48"/>
    </row>
    <row r="49" spans="1:18" s="60" customFormat="1" ht="15.75" customHeight="1" x14ac:dyDescent="0.3">
      <c r="A49" s="2" t="s">
        <v>95</v>
      </c>
      <c r="B49" s="2" t="s">
        <v>129</v>
      </c>
      <c r="C49" s="2"/>
      <c r="D49" s="4" t="e">
        <f>D48/(L21-L19)/22.414</f>
        <v>#REF!</v>
      </c>
      <c r="E49" s="10"/>
      <c r="F49" s="2"/>
      <c r="G49"/>
      <c r="H49" s="108"/>
      <c r="I49" s="47"/>
      <c r="J49" s="47"/>
      <c r="K49" s="110"/>
      <c r="L49" s="96"/>
      <c r="M49" s="11"/>
      <c r="N49" s="11"/>
      <c r="O49" s="11"/>
      <c r="P49" s="11"/>
      <c r="Q49" s="11"/>
      <c r="R49" s="11"/>
    </row>
    <row r="50" spans="1:18" x14ac:dyDescent="0.3">
      <c r="A50" s="2"/>
      <c r="B50" s="2"/>
      <c r="D50" s="4"/>
      <c r="E50" s="4"/>
      <c r="G50"/>
      <c r="H50" s="47"/>
      <c r="I50" s="47"/>
      <c r="J50" s="47"/>
      <c r="K50" s="95"/>
      <c r="L50" s="97"/>
      <c r="M50" s="11"/>
      <c r="N50" s="11"/>
      <c r="O50" s="60"/>
      <c r="P50" s="60"/>
      <c r="Q50" s="60"/>
      <c r="R50" s="60"/>
    </row>
    <row r="51" spans="1:18" x14ac:dyDescent="0.3">
      <c r="A51" s="112" t="s">
        <v>10</v>
      </c>
      <c r="C51"/>
      <c r="E51" s="4"/>
      <c r="G51" s="104"/>
      <c r="H51" s="86"/>
      <c r="I51" s="488" t="s">
        <v>93</v>
      </c>
      <c r="J51" s="485"/>
      <c r="K51" s="485"/>
      <c r="L51" s="485"/>
      <c r="M51" s="61"/>
      <c r="N51" s="11"/>
    </row>
    <row r="52" spans="1:18" x14ac:dyDescent="0.3">
      <c r="A52" t="s">
        <v>124</v>
      </c>
      <c r="B52" t="s">
        <v>9</v>
      </c>
      <c r="C52" s="63">
        <f>(I80+H7)*74*C53</f>
        <v>7.7457456794907138</v>
      </c>
      <c r="D52" s="158">
        <f>C52/100</f>
        <v>7.7457456794907134E-2</v>
      </c>
      <c r="F52" s="157" t="e">
        <f>D47/100</f>
        <v>#REF!</v>
      </c>
      <c r="H52" s="87" t="s">
        <v>50</v>
      </c>
      <c r="I52" s="99" t="s">
        <v>2</v>
      </c>
      <c r="J52" s="100" t="s">
        <v>3</v>
      </c>
      <c r="K52" s="100" t="s">
        <v>4</v>
      </c>
      <c r="L52" s="101" t="s">
        <v>5</v>
      </c>
      <c r="N52" s="61"/>
    </row>
    <row r="53" spans="1:18" x14ac:dyDescent="0.3">
      <c r="A53" t="s">
        <v>125</v>
      </c>
      <c r="B53" t="s">
        <v>13</v>
      </c>
      <c r="C53" s="41">
        <v>2</v>
      </c>
      <c r="D53" s="11"/>
      <c r="E53" s="158"/>
      <c r="G53"/>
      <c r="H53" s="88" t="s">
        <v>51</v>
      </c>
      <c r="I53" s="89">
        <f>C7</f>
        <v>4.124689782478332</v>
      </c>
      <c r="J53" s="89">
        <f>D7+K7*2</f>
        <v>8.2553205517339396</v>
      </c>
      <c r="K53" s="89">
        <f>F7+K7</f>
        <v>1.5758116712632857</v>
      </c>
      <c r="L53" s="89">
        <f>G7</f>
        <v>1.414650511531799E-2</v>
      </c>
    </row>
    <row r="54" spans="1:18" x14ac:dyDescent="0.3">
      <c r="A54" s="2" t="s">
        <v>126</v>
      </c>
      <c r="B54" s="2" t="s">
        <v>9</v>
      </c>
      <c r="C54" s="63">
        <f>I7*55.5</f>
        <v>0.50644022027850055</v>
      </c>
      <c r="D54" s="11"/>
      <c r="E54" s="11"/>
      <c r="F54" s="6" t="e">
        <f>D49*3.6</f>
        <v>#REF!</v>
      </c>
      <c r="G54" s="28"/>
      <c r="H54" s="134" t="s">
        <v>66</v>
      </c>
      <c r="I54" s="135"/>
      <c r="J54" s="135"/>
      <c r="K54" s="136">
        <f>C28*2</f>
        <v>4.124689782478332</v>
      </c>
      <c r="L54" s="137">
        <f>C28*2*G2</f>
        <v>15.567326748020722</v>
      </c>
    </row>
    <row r="55" spans="1:18" x14ac:dyDescent="0.3">
      <c r="A55" s="2" t="s">
        <v>127</v>
      </c>
      <c r="B55" s="2" t="s">
        <v>9</v>
      </c>
      <c r="C55" s="63">
        <f>H7*136</f>
        <v>7.1177122460184936</v>
      </c>
      <c r="D55" s="60"/>
      <c r="E55" s="11"/>
      <c r="F55" s="111"/>
      <c r="G55"/>
      <c r="H55" s="134" t="s">
        <v>67</v>
      </c>
      <c r="I55" s="138">
        <f>I15</f>
        <v>4.124689782478332</v>
      </c>
      <c r="J55" s="139">
        <f>I17*2+I19*2</f>
        <v>8.2553205517339396</v>
      </c>
      <c r="K55" s="140">
        <f>I15+I19</f>
        <v>5.7005014537416177</v>
      </c>
      <c r="L55" s="140">
        <f>I20*2</f>
        <v>15.581473253136041</v>
      </c>
    </row>
    <row r="56" spans="1:18" x14ac:dyDescent="0.3">
      <c r="A56" s="2" t="s">
        <v>128</v>
      </c>
      <c r="B56" s="2" t="s">
        <v>9</v>
      </c>
      <c r="C56" s="63">
        <f>C52/C53+C54+C55+B6</f>
        <v>26.226856507467225</v>
      </c>
      <c r="D56" s="157">
        <f>C56/100</f>
        <v>0.26226856507467228</v>
      </c>
      <c r="E56" s="33"/>
      <c r="F56" s="78"/>
      <c r="H56" s="88" t="s">
        <v>68</v>
      </c>
      <c r="I56" s="89"/>
      <c r="J56" s="94"/>
      <c r="K56" s="91" t="e">
        <f>D28*2</f>
        <v>#REF!</v>
      </c>
      <c r="L56" s="91" t="e">
        <f>D28*G2*2</f>
        <v>#REF!</v>
      </c>
    </row>
    <row r="57" spans="1:18" x14ac:dyDescent="0.3">
      <c r="A57" s="2" t="s">
        <v>14</v>
      </c>
      <c r="B57" s="2" t="s">
        <v>9</v>
      </c>
      <c r="C57" s="8">
        <f>J6</f>
        <v>0</v>
      </c>
      <c r="E57" s="157"/>
      <c r="F57" s="78"/>
      <c r="H57" s="88" t="s">
        <v>69</v>
      </c>
      <c r="I57" s="94" t="e">
        <f>J15+J16+J18*10</f>
        <v>#REF!</v>
      </c>
      <c r="J57" s="91" t="e">
        <f>J17*2+J18*8+J19*2</f>
        <v>#REF!</v>
      </c>
      <c r="K57" s="91" t="e">
        <f>J15+J16*2+J19</f>
        <v>#REF!</v>
      </c>
      <c r="L57" s="91" t="e">
        <f>J20*2</f>
        <v>#REF!</v>
      </c>
    </row>
    <row r="58" spans="1:18" x14ac:dyDescent="0.3">
      <c r="A58" s="11"/>
      <c r="D58" s="43"/>
      <c r="F58" s="78"/>
      <c r="H58" s="134" t="s">
        <v>78</v>
      </c>
      <c r="I58" s="135"/>
      <c r="J58" s="135"/>
      <c r="K58" s="141" t="e">
        <f>2*C36</f>
        <v>#REF!</v>
      </c>
      <c r="L58" s="140" t="e">
        <f>K58*G2</f>
        <v>#REF!</v>
      </c>
    </row>
    <row r="59" spans="1:18" x14ac:dyDescent="0.3">
      <c r="A59" s="11" t="s">
        <v>86</v>
      </c>
      <c r="B59" s="11"/>
      <c r="C59" s="11"/>
      <c r="D59" s="43"/>
      <c r="E59" s="43"/>
      <c r="F59" s="78"/>
      <c r="H59" s="134" t="s">
        <v>79</v>
      </c>
      <c r="I59" s="138" t="e">
        <f>K15+K16</f>
        <v>#REF!</v>
      </c>
      <c r="J59" s="136" t="e">
        <f>K17*2+K19*2</f>
        <v>#REF!</v>
      </c>
      <c r="K59" s="140" t="e">
        <f>K15+K16*2+K19</f>
        <v>#REF!</v>
      </c>
      <c r="L59" s="140" t="e">
        <f>K20*2</f>
        <v>#REF!</v>
      </c>
    </row>
    <row r="60" spans="1:18" x14ac:dyDescent="0.3">
      <c r="A60" s="11"/>
      <c r="B60" s="11"/>
      <c r="C60" s="11"/>
      <c r="E60" s="43"/>
      <c r="H60" s="88" t="s">
        <v>80</v>
      </c>
      <c r="I60" s="89"/>
      <c r="J60" s="92"/>
      <c r="K60" s="91" t="e">
        <f>D36*2</f>
        <v>#REF!</v>
      </c>
      <c r="L60" s="91" t="e">
        <f>K60*G2</f>
        <v>#REF!</v>
      </c>
    </row>
    <row r="61" spans="1:18" x14ac:dyDescent="0.3">
      <c r="A61" s="61"/>
      <c r="B61" s="61"/>
      <c r="C61" s="61"/>
      <c r="D61" s="11"/>
      <c r="H61" s="108" t="s">
        <v>52</v>
      </c>
      <c r="I61" s="109" t="e">
        <f>L15+L16</f>
        <v>#REF!</v>
      </c>
      <c r="J61" s="109" t="e">
        <f>L17*2+L19*2</f>
        <v>#REF!</v>
      </c>
      <c r="K61" s="91" t="e">
        <f>L15+L16*2+L19</f>
        <v>#REF!</v>
      </c>
      <c r="L61" s="91" t="e">
        <f>L20*2</f>
        <v>#REF!</v>
      </c>
      <c r="M61" s="49"/>
    </row>
    <row r="62" spans="1:18" x14ac:dyDescent="0.3">
      <c r="D62" s="11"/>
      <c r="E62" s="11"/>
    </row>
    <row r="63" spans="1:18" x14ac:dyDescent="0.3">
      <c r="D63" s="11"/>
      <c r="E63" s="11"/>
    </row>
    <row r="64" spans="1:18" x14ac:dyDescent="0.3">
      <c r="D64" s="61"/>
      <c r="E64" s="11"/>
    </row>
    <row r="65" spans="1:5" x14ac:dyDescent="0.3">
      <c r="E65" s="197"/>
    </row>
    <row r="69" spans="1:5" x14ac:dyDescent="0.3">
      <c r="A69" s="27"/>
    </row>
  </sheetData>
  <mergeCells count="12">
    <mergeCell ref="M13:N13"/>
    <mergeCell ref="I51:L51"/>
    <mergeCell ref="K27:L27"/>
    <mergeCell ref="H27:I27"/>
    <mergeCell ref="H33:I33"/>
    <mergeCell ref="F35:G35"/>
    <mergeCell ref="F41:G41"/>
    <mergeCell ref="K40:L40"/>
    <mergeCell ref="H40:I40"/>
    <mergeCell ref="I12:L12"/>
    <mergeCell ref="K13:L13"/>
    <mergeCell ref="I13:J13"/>
  </mergeCells>
  <pageMargins left="0.7" right="0.7" top="0.75" bottom="0.75" header="0.3" footer="0.3"/>
  <pageSetup paperSize="9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36"/>
  <sheetViews>
    <sheetView workbookViewId="0">
      <selection activeCell="G33" sqref="G33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6" max="6" width="26.44140625" customWidth="1"/>
    <col min="7" max="7" width="10.5546875" bestFit="1" customWidth="1"/>
    <col min="8" max="8" width="9.5546875" bestFit="1" customWidth="1"/>
    <col min="11" max="11" width="15.88671875" customWidth="1"/>
    <col min="12" max="12" width="9.5546875" bestFit="1" customWidth="1"/>
    <col min="13" max="13" width="14.88671875" customWidth="1"/>
  </cols>
  <sheetData>
    <row r="1" spans="1:17" x14ac:dyDescent="0.3">
      <c r="B1" t="s">
        <v>312</v>
      </c>
    </row>
    <row r="2" spans="1:17" x14ac:dyDescent="0.3">
      <c r="B2" t="s">
        <v>315</v>
      </c>
      <c r="F2" s="112" t="s">
        <v>70</v>
      </c>
      <c r="G2" s="5" t="s">
        <v>0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1</v>
      </c>
      <c r="O2" s="5" t="s">
        <v>131</v>
      </c>
      <c r="P2" s="5" t="s">
        <v>17</v>
      </c>
      <c r="Q2" s="5" t="s">
        <v>293</v>
      </c>
    </row>
    <row r="3" spans="1:17" x14ac:dyDescent="0.3">
      <c r="B3" t="s">
        <v>316</v>
      </c>
      <c r="F3" s="2" t="s">
        <v>83</v>
      </c>
      <c r="G3" s="36">
        <v>14.57</v>
      </c>
      <c r="H3" s="37">
        <v>49</v>
      </c>
      <c r="I3" s="37">
        <v>8.2200000000000006</v>
      </c>
      <c r="J3" s="38">
        <v>24.85</v>
      </c>
      <c r="K3" s="37">
        <v>0.19600000000000001</v>
      </c>
      <c r="L3" s="37">
        <v>1.66</v>
      </c>
      <c r="M3" s="39">
        <v>0.32</v>
      </c>
      <c r="N3" s="10">
        <v>0</v>
      </c>
      <c r="O3" s="10"/>
      <c r="P3" s="6">
        <f>SUM(G3:N3)</f>
        <v>98.816000000000003</v>
      </c>
      <c r="Q3" s="22">
        <v>97.150259067355748</v>
      </c>
    </row>
    <row r="4" spans="1:17" x14ac:dyDescent="0.3">
      <c r="B4" t="s">
        <v>317</v>
      </c>
      <c r="F4" t="s">
        <v>292</v>
      </c>
      <c r="G4" s="3">
        <f>G3*$Q$3/120</f>
        <v>11.795660621761444</v>
      </c>
      <c r="H4" s="3">
        <f t="shared" ref="H4:M4" si="0">H3*$Q$3/120</f>
        <v>39.669689119170265</v>
      </c>
      <c r="I4" s="3">
        <f t="shared" si="0"/>
        <v>6.654792746113869</v>
      </c>
      <c r="J4" s="3">
        <f t="shared" si="0"/>
        <v>20.11819948186492</v>
      </c>
      <c r="K4" s="3">
        <f t="shared" si="0"/>
        <v>0.15867875647668106</v>
      </c>
      <c r="L4" s="3">
        <f t="shared" si="0"/>
        <v>1.3439119170984211</v>
      </c>
      <c r="M4" s="3">
        <f t="shared" si="0"/>
        <v>0.25906735751294868</v>
      </c>
      <c r="N4" s="3">
        <f t="shared" ref="N4" si="1">N3*$P$3/120</f>
        <v>0</v>
      </c>
      <c r="O4">
        <v>20</v>
      </c>
      <c r="P4" s="3">
        <f>SUM(G4:O4)</f>
        <v>99.99999999999855</v>
      </c>
    </row>
    <row r="5" spans="1:17" x14ac:dyDescent="0.3">
      <c r="B5" t="s">
        <v>318</v>
      </c>
      <c r="G5" t="s">
        <v>294</v>
      </c>
      <c r="H5" t="s">
        <v>266</v>
      </c>
      <c r="I5" t="s">
        <v>309</v>
      </c>
      <c r="J5" t="s">
        <v>48</v>
      </c>
      <c r="K5" t="s">
        <v>330</v>
      </c>
      <c r="L5" t="s">
        <v>329</v>
      </c>
      <c r="M5" t="s">
        <v>331</v>
      </c>
    </row>
    <row r="6" spans="1:17" x14ac:dyDescent="0.3">
      <c r="B6" t="s">
        <v>324</v>
      </c>
      <c r="F6" t="s">
        <v>322</v>
      </c>
      <c r="G6">
        <v>2300</v>
      </c>
      <c r="J6">
        <f>1/3600*1000</f>
        <v>0.27777777777777779</v>
      </c>
    </row>
    <row r="7" spans="1:17" x14ac:dyDescent="0.3">
      <c r="B7" t="s">
        <v>325</v>
      </c>
      <c r="F7" t="s">
        <v>323</v>
      </c>
      <c r="G7">
        <f>G6*O4/100</f>
        <v>460</v>
      </c>
      <c r="H7" s="3">
        <f>G7/18</f>
        <v>25.555555555555557</v>
      </c>
      <c r="I7" s="3"/>
      <c r="K7" s="3">
        <f>H7*80*Thermodynamics!C5/1000</f>
        <v>153.94666666666666</v>
      </c>
      <c r="L7">
        <f>H7*Thermodynamics!E5</f>
        <v>1124.5466666666664</v>
      </c>
      <c r="M7" s="3">
        <f>H7*200*Thermodynamics!C4/1000</f>
        <v>171.73333333333335</v>
      </c>
    </row>
    <row r="8" spans="1:17" x14ac:dyDescent="0.3">
      <c r="F8" t="s">
        <v>2</v>
      </c>
      <c r="G8" s="22">
        <f>G6*H4/100</f>
        <v>912.40284974091617</v>
      </c>
      <c r="H8" s="3">
        <f>G8/12</f>
        <v>76.033570811743019</v>
      </c>
      <c r="I8" s="3"/>
    </row>
    <row r="9" spans="1:17" x14ac:dyDescent="0.3">
      <c r="F9" t="s">
        <v>44</v>
      </c>
      <c r="G9" s="22">
        <f>G6*I4/100</f>
        <v>153.06023316061899</v>
      </c>
      <c r="H9" s="3">
        <f>G9/2</f>
        <v>76.530116580309496</v>
      </c>
      <c r="I9" s="3"/>
    </row>
    <row r="10" spans="1:17" x14ac:dyDescent="0.3">
      <c r="F10" t="s">
        <v>4</v>
      </c>
      <c r="G10" s="22">
        <f>G6*J4/100</f>
        <v>462.71858808289318</v>
      </c>
      <c r="H10" s="3">
        <f>G10/16</f>
        <v>28.919911755180824</v>
      </c>
      <c r="I10" s="3"/>
    </row>
    <row r="11" spans="1:17" x14ac:dyDescent="0.3">
      <c r="F11" s="193" t="s">
        <v>298</v>
      </c>
      <c r="G11" s="22"/>
      <c r="H11" s="3"/>
      <c r="I11" s="3"/>
      <c r="J11" s="3">
        <f>C18*H12*J6</f>
        <v>-19.104710513216791</v>
      </c>
    </row>
    <row r="12" spans="1:17" x14ac:dyDescent="0.3">
      <c r="F12" t="s">
        <v>295</v>
      </c>
      <c r="G12" s="22">
        <f>SUM(G8:G10)</f>
        <v>1528.1816709844284</v>
      </c>
      <c r="H12" s="23">
        <f>G12/(9*12+18+16*3)</f>
        <v>8.7826532815197034</v>
      </c>
      <c r="I12" s="23"/>
    </row>
    <row r="13" spans="1:17" x14ac:dyDescent="0.3">
      <c r="F13" t="s">
        <v>255</v>
      </c>
      <c r="G13" s="3">
        <f>H13*32</f>
        <v>210.78367875647288</v>
      </c>
      <c r="H13" s="3">
        <f>H12*3/4</f>
        <v>6.5869899611397775</v>
      </c>
      <c r="I13" s="3">
        <f t="shared" ref="I13:I14" si="2">H13*22.4</f>
        <v>147.548575129531</v>
      </c>
      <c r="J13" t="s">
        <v>300</v>
      </c>
    </row>
    <row r="14" spans="1:17" x14ac:dyDescent="0.3">
      <c r="C14" s="14" t="s">
        <v>19</v>
      </c>
      <c r="F14" t="s">
        <v>225</v>
      </c>
      <c r="G14" s="3">
        <f>H14*18</f>
        <v>39.521939766838663</v>
      </c>
      <c r="H14" s="3">
        <f>H12*1/4</f>
        <v>2.1956633203799258</v>
      </c>
      <c r="I14" s="3">
        <f t="shared" si="2"/>
        <v>49.182858376510339</v>
      </c>
      <c r="J14" t="s">
        <v>300</v>
      </c>
      <c r="M14" t="s">
        <v>302</v>
      </c>
    </row>
    <row r="15" spans="1:17" x14ac:dyDescent="0.3">
      <c r="C15" s="18" t="s">
        <v>20</v>
      </c>
      <c r="F15" t="s">
        <v>29</v>
      </c>
      <c r="G15" s="3">
        <f>H15*28</f>
        <v>2213.2286269429651</v>
      </c>
      <c r="H15" s="3">
        <f>H12*9</f>
        <v>79.043879533677327</v>
      </c>
      <c r="I15" s="3">
        <f t="shared" ref="I15:I16" si="3">H15*22.4</f>
        <v>1770.582901554372</v>
      </c>
      <c r="J15" t="s">
        <v>301</v>
      </c>
      <c r="M15" s="3">
        <f>3.89730136861712*10</f>
        <v>38.9730136861712</v>
      </c>
    </row>
    <row r="16" spans="1:17" x14ac:dyDescent="0.3">
      <c r="A16" s="193">
        <v>3</v>
      </c>
      <c r="B16" s="193" t="s">
        <v>296</v>
      </c>
      <c r="C16" s="193">
        <v>-1111.7099999999998</v>
      </c>
      <c r="D16">
        <f>3/4</f>
        <v>0.75</v>
      </c>
      <c r="F16" t="s">
        <v>44</v>
      </c>
      <c r="G16" s="3">
        <f>H16*2</f>
        <v>162.4790857081145</v>
      </c>
      <c r="H16" s="3">
        <f>H12*9+H14</f>
        <v>81.239542854057248</v>
      </c>
      <c r="I16" s="3">
        <f t="shared" si="3"/>
        <v>1819.7657599308823</v>
      </c>
      <c r="M16" s="3">
        <f>(H16+M15)/(H15-M15)</f>
        <v>2.9999989767555788</v>
      </c>
      <c r="N16" t="s">
        <v>303</v>
      </c>
    </row>
    <row r="17" spans="1:13" x14ac:dyDescent="0.3">
      <c r="A17" s="193">
        <v>1</v>
      </c>
      <c r="B17" s="193" t="s">
        <v>297</v>
      </c>
      <c r="C17" s="193">
        <v>1080.386</v>
      </c>
      <c r="D17">
        <f>1/4</f>
        <v>0.25</v>
      </c>
      <c r="F17" s="193" t="s">
        <v>299</v>
      </c>
      <c r="M17" t="s">
        <v>304</v>
      </c>
    </row>
    <row r="18" spans="1:13" x14ac:dyDescent="0.3">
      <c r="B18" s="193" t="s">
        <v>328</v>
      </c>
      <c r="C18" s="193">
        <f>SUM(C16:C17)/4</f>
        <v>-7.8309999999999604</v>
      </c>
      <c r="F18" t="s">
        <v>327</v>
      </c>
      <c r="G18">
        <f>H18*18</f>
        <v>460</v>
      </c>
      <c r="H18" s="3">
        <f>H7</f>
        <v>25.555555555555557</v>
      </c>
      <c r="I18" s="3"/>
      <c r="J18" t="s">
        <v>306</v>
      </c>
      <c r="M18" s="3">
        <f>1.34444444444456*10</f>
        <v>13.444444444445601</v>
      </c>
    </row>
    <row r="19" spans="1:13" x14ac:dyDescent="0.3">
      <c r="B19" t="s">
        <v>256</v>
      </c>
      <c r="C19">
        <v>-41.153999999999996</v>
      </c>
      <c r="F19" t="s">
        <v>305</v>
      </c>
      <c r="G19">
        <f>H19*18</f>
        <v>242.0000000000208</v>
      </c>
      <c r="H19" s="3">
        <f>M18</f>
        <v>13.444444444445601</v>
      </c>
      <c r="I19" s="3"/>
    </row>
    <row r="20" spans="1:13" x14ac:dyDescent="0.3">
      <c r="B20" t="s">
        <v>308</v>
      </c>
      <c r="C20">
        <f>Thermodynamics!$E$18</f>
        <v>-205.82599999999999</v>
      </c>
      <c r="F20" t="s">
        <v>326</v>
      </c>
      <c r="G20" s="3">
        <f>SUM(G18:G19)</f>
        <v>702.0000000000208</v>
      </c>
      <c r="H20" s="3">
        <f>SUM(H18:H19)</f>
        <v>39.000000000001158</v>
      </c>
      <c r="I20" s="3"/>
    </row>
    <row r="21" spans="1:13" x14ac:dyDescent="0.3">
      <c r="F21" s="211" t="s">
        <v>29</v>
      </c>
      <c r="G21" s="212">
        <f>H21*28</f>
        <v>1121.9842437301716</v>
      </c>
      <c r="H21" s="212">
        <f>H15-M15</f>
        <v>40.070865847506127</v>
      </c>
      <c r="I21" s="212">
        <f t="shared" ref="I21:I23" si="4">H21*22.4</f>
        <v>897.58739498413718</v>
      </c>
    </row>
    <row r="22" spans="1:13" x14ac:dyDescent="0.3">
      <c r="B22" t="s">
        <v>319</v>
      </c>
      <c r="C22">
        <f>Thermodynamics!$E$19</f>
        <v>-90.389999999999986</v>
      </c>
      <c r="F22" s="211" t="s">
        <v>44</v>
      </c>
      <c r="G22" s="212">
        <f>H22*2</f>
        <v>240.4251130804569</v>
      </c>
      <c r="H22" s="212">
        <f>H16+M15</f>
        <v>120.21255654022845</v>
      </c>
      <c r="I22" s="212">
        <f t="shared" si="4"/>
        <v>2692.761266501117</v>
      </c>
    </row>
    <row r="23" spans="1:13" x14ac:dyDescent="0.3">
      <c r="F23" s="211" t="s">
        <v>23</v>
      </c>
      <c r="G23" s="212">
        <f>H23*44</f>
        <v>1714.8126021915327</v>
      </c>
      <c r="H23" s="212">
        <f>M15</f>
        <v>38.9730136861712</v>
      </c>
      <c r="I23" s="212">
        <f t="shared" si="4"/>
        <v>872.99550657023485</v>
      </c>
    </row>
    <row r="24" spans="1:13" x14ac:dyDescent="0.3">
      <c r="F24" s="211" t="s">
        <v>311</v>
      </c>
      <c r="G24" s="211"/>
      <c r="H24" s="212"/>
      <c r="I24" s="212">
        <f>SUM(I21:I23)</f>
        <v>4463.3441680554888</v>
      </c>
      <c r="J24" s="3">
        <f>C19*H21*J6</f>
        <v>-458.0767814134075</v>
      </c>
    </row>
    <row r="25" spans="1:13" x14ac:dyDescent="0.3">
      <c r="F25" s="193" t="s">
        <v>307</v>
      </c>
      <c r="G25" t="s">
        <v>377</v>
      </c>
    </row>
    <row r="26" spans="1:13" x14ac:dyDescent="0.3">
      <c r="F26" s="209" t="s">
        <v>29</v>
      </c>
      <c r="G26" s="210">
        <f>H26*18</f>
        <v>721.27558525511029</v>
      </c>
      <c r="H26" s="210">
        <f>H21</f>
        <v>40.070865847506127</v>
      </c>
      <c r="I26" s="210">
        <f>H26*22.4</f>
        <v>897.58739498413718</v>
      </c>
    </row>
    <row r="27" spans="1:13" x14ac:dyDescent="0.3">
      <c r="F27" s="209" t="s">
        <v>44</v>
      </c>
      <c r="G27" s="210">
        <f>H27*2</f>
        <v>240.4251130804569</v>
      </c>
      <c r="H27" s="210">
        <f>H22</f>
        <v>120.21255654022845</v>
      </c>
      <c r="I27" s="210">
        <f t="shared" ref="I27:I30" si="5">H27*22.4</f>
        <v>2692.761266501117</v>
      </c>
    </row>
    <row r="28" spans="1:13" x14ac:dyDescent="0.3">
      <c r="F28" s="209" t="s">
        <v>310</v>
      </c>
      <c r="G28" s="210"/>
      <c r="H28" s="210"/>
      <c r="I28" s="210">
        <f>SUM(I26:I27)</f>
        <v>3590.3486614852541</v>
      </c>
    </row>
    <row r="29" spans="1:13" x14ac:dyDescent="0.3">
      <c r="F29" s="211" t="s">
        <v>259</v>
      </c>
      <c r="G29" s="212">
        <f>H29*16</f>
        <v>641.13385356009803</v>
      </c>
      <c r="H29" s="212">
        <f>H26</f>
        <v>40.070865847506127</v>
      </c>
      <c r="I29" s="212">
        <f t="shared" si="5"/>
        <v>897.58739498413718</v>
      </c>
    </row>
    <row r="30" spans="1:13" x14ac:dyDescent="0.3">
      <c r="F30" s="211" t="s">
        <v>225</v>
      </c>
      <c r="G30" s="212">
        <f>H30*18</f>
        <v>721.27558525511029</v>
      </c>
      <c r="H30" s="212">
        <f>H26</f>
        <v>40.070865847506127</v>
      </c>
      <c r="I30" s="212">
        <f t="shared" si="5"/>
        <v>897.58739498413718</v>
      </c>
    </row>
    <row r="31" spans="1:13" x14ac:dyDescent="0.3">
      <c r="F31" s="211" t="s">
        <v>311</v>
      </c>
      <c r="G31" s="211"/>
      <c r="H31" s="211"/>
      <c r="I31" s="212">
        <f>SUM(I29:I30)</f>
        <v>1795.1747899682744</v>
      </c>
      <c r="J31">
        <f>C20*H26*J6</f>
        <v>-2291.0072316468882</v>
      </c>
    </row>
    <row r="33" spans="6:10" x14ac:dyDescent="0.3">
      <c r="F33" s="193" t="s">
        <v>313</v>
      </c>
      <c r="G33" t="s">
        <v>378</v>
      </c>
      <c r="I33" t="s">
        <v>320</v>
      </c>
    </row>
    <row r="34" spans="6:10" x14ac:dyDescent="0.3">
      <c r="F34" t="s">
        <v>314</v>
      </c>
      <c r="G34" s="3">
        <f>H34*(13+16+4)</f>
        <v>1322.3385729677022</v>
      </c>
      <c r="H34" s="3">
        <f>H26</f>
        <v>40.070865847506127</v>
      </c>
      <c r="I34" s="3">
        <f>G34/0.792</f>
        <v>1669.6194103127552</v>
      </c>
      <c r="J34">
        <f>H34*C22*J6</f>
        <v>-1006.1126566544663</v>
      </c>
    </row>
    <row r="36" spans="6:10" x14ac:dyDescent="0.3">
      <c r="F36" s="193" t="s">
        <v>321</v>
      </c>
      <c r="G36" s="3">
        <f>H36*28</f>
        <v>46.108929727978442</v>
      </c>
      <c r="H36" s="3">
        <f>H13/0.8*0.2</f>
        <v>1.6467474902849444</v>
      </c>
      <c r="I36">
        <f>H36*22.4</f>
        <v>36.887143782382751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R81"/>
  <sheetViews>
    <sheetView topLeftCell="A13" workbookViewId="0">
      <selection activeCell="J22" sqref="J22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26.44140625" customWidth="1"/>
    <col min="8" max="8" width="10.5546875" bestFit="1" customWidth="1"/>
    <col min="9" max="9" width="9.6640625" bestFit="1" customWidth="1"/>
    <col min="10" max="10" width="16" customWidth="1"/>
    <col min="11" max="11" width="10.88671875" customWidth="1"/>
    <col min="12" max="12" width="20.6640625" customWidth="1"/>
    <col min="13" max="13" width="9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5" t="s">
        <v>0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</v>
      </c>
      <c r="P2" s="5" t="s">
        <v>131</v>
      </c>
      <c r="Q2" s="5" t="s">
        <v>17</v>
      </c>
      <c r="R2" s="5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3">
        <f t="shared" ref="H4:N4" si="0">H3*$R$3/120</f>
        <v>11.795660621761444</v>
      </c>
      <c r="I4" s="3">
        <f t="shared" si="0"/>
        <v>39.669689119170265</v>
      </c>
      <c r="J4" s="3">
        <f t="shared" si="0"/>
        <v>6.654792746113869</v>
      </c>
      <c r="K4" s="3">
        <f t="shared" si="0"/>
        <v>20.11819948186492</v>
      </c>
      <c r="L4" s="3">
        <f t="shared" si="0"/>
        <v>0.15867875647668106</v>
      </c>
      <c r="M4" s="3">
        <f t="shared" si="0"/>
        <v>1.3439119170984211</v>
      </c>
      <c r="N4" s="3">
        <f t="shared" si="0"/>
        <v>0.25906735751294868</v>
      </c>
      <c r="O4" s="3">
        <f>O3*$Q$3/120</f>
        <v>0</v>
      </c>
      <c r="P4">
        <v>20</v>
      </c>
      <c r="Q4" s="3">
        <f>SUM(H4:P4)</f>
        <v>99.99999999999855</v>
      </c>
    </row>
    <row r="5" spans="2:18" x14ac:dyDescent="0.3"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/>
      <c r="N5" s="3"/>
      <c r="O5" s="3"/>
      <c r="Q5" s="3"/>
    </row>
    <row r="6" spans="2:18" x14ac:dyDescent="0.3"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H19/I8</f>
        <v>0.20420312692758255</v>
      </c>
      <c r="K8" s="3"/>
      <c r="L8" s="3"/>
      <c r="M8" s="3"/>
      <c r="N8" s="3"/>
      <c r="O8" s="3"/>
      <c r="Q8" s="3"/>
    </row>
    <row r="9" spans="2:18" x14ac:dyDescent="0.3">
      <c r="H9" t="s">
        <v>294</v>
      </c>
      <c r="I9" t="s">
        <v>266</v>
      </c>
      <c r="J9" t="s">
        <v>309</v>
      </c>
      <c r="K9" t="s">
        <v>336</v>
      </c>
      <c r="L9" t="s">
        <v>330</v>
      </c>
      <c r="M9" t="s">
        <v>329</v>
      </c>
      <c r="N9" t="s">
        <v>331</v>
      </c>
      <c r="O9" t="s">
        <v>335</v>
      </c>
    </row>
    <row r="10" spans="2:18" x14ac:dyDescent="0.3">
      <c r="G10" t="s">
        <v>322</v>
      </c>
      <c r="H10">
        <v>2300</v>
      </c>
      <c r="K10">
        <v>1</v>
      </c>
      <c r="O10" s="3">
        <f>SUM(O11:O12)</f>
        <v>2725.95999999998</v>
      </c>
    </row>
    <row r="11" spans="2:18" x14ac:dyDescent="0.3">
      <c r="G11" t="s">
        <v>334</v>
      </c>
      <c r="H11">
        <f>SUM(H4:O4)/100*H10</f>
        <v>1839.9999999999666</v>
      </c>
      <c r="L11">
        <f>H11*1.2/1000*500</f>
        <v>1103.99999999998</v>
      </c>
      <c r="O11" s="3">
        <f>SUM(L11:N11)</f>
        <v>1103.99999999998</v>
      </c>
    </row>
    <row r="12" spans="2:18" x14ac:dyDescent="0.3">
      <c r="G12" t="s">
        <v>323</v>
      </c>
      <c r="H12">
        <f>H10*P4/100</f>
        <v>460</v>
      </c>
      <c r="I12" s="3">
        <f>H12/18</f>
        <v>25.555555555555557</v>
      </c>
      <c r="J12" s="3"/>
      <c r="L12" s="3">
        <f>I12*80*[3]Thermodynamics!C5/1000</f>
        <v>153.94666666666666</v>
      </c>
      <c r="M12">
        <f>I12*[3]Thermodynamics!E5</f>
        <v>1124.5466666666664</v>
      </c>
      <c r="N12" s="3">
        <f>I12*400*[3]Thermodynamics!C4/1000</f>
        <v>343.4666666666667</v>
      </c>
      <c r="O12" s="3">
        <f>SUM(L12:N12)</f>
        <v>1621.9599999999998</v>
      </c>
    </row>
    <row r="13" spans="2:18" x14ac:dyDescent="0.3">
      <c r="G13" t="s">
        <v>2</v>
      </c>
      <c r="H13" s="22">
        <f>H10*I4/100</f>
        <v>912.40284974091617</v>
      </c>
      <c r="I13" s="3">
        <f>H13/12</f>
        <v>76.033570811743019</v>
      </c>
      <c r="J13" s="3"/>
    </row>
    <row r="14" spans="2:18" x14ac:dyDescent="0.3">
      <c r="G14" t="s">
        <v>44</v>
      </c>
      <c r="H14" s="22">
        <f>H10*J4/100</f>
        <v>153.06023316061899</v>
      </c>
      <c r="I14" s="3">
        <f>H14/2</f>
        <v>76.530116580309496</v>
      </c>
      <c r="J14" s="3"/>
    </row>
    <row r="15" spans="2:18" x14ac:dyDescent="0.3">
      <c r="G15" t="s">
        <v>4</v>
      </c>
      <c r="H15" s="22">
        <f>H10*K4/100</f>
        <v>462.71858808289318</v>
      </c>
      <c r="I15" s="3">
        <f>H15/16</f>
        <v>28.919911755180824</v>
      </c>
      <c r="J15" s="3"/>
    </row>
    <row r="16" spans="2:18" ht="15" thickBot="1" x14ac:dyDescent="0.35">
      <c r="C16" t="s">
        <v>294</v>
      </c>
      <c r="D16" t="s">
        <v>266</v>
      </c>
      <c r="G16" t="s">
        <v>340</v>
      </c>
      <c r="H16" s="22">
        <f>H10*H3/100</f>
        <v>335.11</v>
      </c>
      <c r="I16" s="3"/>
      <c r="J16" s="3">
        <f>H27/2300</f>
        <v>4.1979897182522277E-2</v>
      </c>
    </row>
    <row r="17" spans="1:15" x14ac:dyDescent="0.3">
      <c r="B17" t="str">
        <f>G18</f>
        <v>C9H18O3</v>
      </c>
      <c r="C17" s="213">
        <f>H18</f>
        <v>1528.1816709844284</v>
      </c>
      <c r="D17">
        <f>I18</f>
        <v>8.7826532815197034</v>
      </c>
      <c r="G17" s="193" t="s">
        <v>298</v>
      </c>
      <c r="H17" s="22">
        <f>H19/(H18/0.8)</f>
        <v>0.41796077791493702</v>
      </c>
      <c r="I17" s="3">
        <f>(H20+H27)/(2300)</f>
        <v>0.12568709474953443</v>
      </c>
      <c r="J17" s="3">
        <f>H20/2300</f>
        <v>8.370719756701217E-2</v>
      </c>
      <c r="K17" s="231">
        <f>D25</f>
        <v>-67.287074401014252</v>
      </c>
      <c r="L17" s="221" t="s">
        <v>280</v>
      </c>
    </row>
    <row r="18" spans="1:15" ht="15" thickBot="1" x14ac:dyDescent="0.35">
      <c r="A18" t="s">
        <v>338</v>
      </c>
      <c r="C18" s="14" t="s">
        <v>19</v>
      </c>
      <c r="E18">
        <f>1/3.6</f>
        <v>0.27777777777777779</v>
      </c>
      <c r="G18" t="s">
        <v>295</v>
      </c>
      <c r="H18" s="22">
        <f>SUM(H13:H15)</f>
        <v>1528.1816709844284</v>
      </c>
      <c r="I18" s="23">
        <f>H18/(9*12+18+16*3)</f>
        <v>8.7826532815197034</v>
      </c>
      <c r="J18" s="23"/>
      <c r="K18" s="232">
        <f>K17*$E$18</f>
        <v>-18.690854000281739</v>
      </c>
      <c r="L18" s="225" t="s">
        <v>48</v>
      </c>
    </row>
    <row r="19" spans="1:15" x14ac:dyDescent="0.3">
      <c r="A19" s="162">
        <f>A21/A20*2</f>
        <v>0.50932950900562957</v>
      </c>
      <c r="C19" s="213" t="s">
        <v>20</v>
      </c>
      <c r="D19" t="s">
        <v>369</v>
      </c>
      <c r="E19" t="s">
        <v>368</v>
      </c>
      <c r="G19" t="s">
        <v>255</v>
      </c>
      <c r="H19" s="3">
        <f>I19*32</f>
        <v>798.4</v>
      </c>
      <c r="I19" s="3">
        <f>7*3+7.9*0.5</f>
        <v>24.95</v>
      </c>
      <c r="J19" s="3">
        <f t="shared" ref="J19:J24" si="1">I19*22.4</f>
        <v>558.88</v>
      </c>
      <c r="K19" t="s">
        <v>300</v>
      </c>
    </row>
    <row r="20" spans="1:15" x14ac:dyDescent="0.3">
      <c r="A20" s="212">
        <v>7</v>
      </c>
      <c r="B20" s="229" t="s">
        <v>296</v>
      </c>
      <c r="C20" s="230">
        <f>[3]Thermodynamics!E34</f>
        <v>-463.88</v>
      </c>
      <c r="D20" s="190">
        <f>A20*C20</f>
        <v>-3247.16</v>
      </c>
      <c r="E20" s="190">
        <f t="shared" ref="E20:E25" si="2">D20*$E$18</f>
        <v>-901.98888888888894</v>
      </c>
      <c r="G20" t="s">
        <v>225</v>
      </c>
      <c r="H20" s="3">
        <f>I20*18</f>
        <v>192.52655440412798</v>
      </c>
      <c r="I20" s="3">
        <f>6*A21</f>
        <v>10.69591968911822</v>
      </c>
      <c r="J20" s="3">
        <f t="shared" si="1"/>
        <v>239.58860103624812</v>
      </c>
      <c r="K20" t="s">
        <v>300</v>
      </c>
      <c r="N20" t="s">
        <v>302</v>
      </c>
    </row>
    <row r="21" spans="1:15" x14ac:dyDescent="0.3">
      <c r="A21" s="215">
        <f>D17-A20</f>
        <v>1.7826532815197034</v>
      </c>
      <c r="B21" s="229" t="s">
        <v>297</v>
      </c>
      <c r="C21" s="230">
        <f>[3]Thermodynamics!E35</f>
        <v>987.07599999999991</v>
      </c>
      <c r="D21" s="190">
        <f>C21*A21</f>
        <v>1759.6142705093425</v>
      </c>
      <c r="E21" s="190">
        <f t="shared" si="2"/>
        <v>488.78174180815074</v>
      </c>
      <c r="G21" t="s">
        <v>29</v>
      </c>
      <c r="H21" s="3">
        <f>I21*28</f>
        <v>1991.9057642486687</v>
      </c>
      <c r="I21" s="3">
        <f>I18*9-I23</f>
        <v>71.139491580309596</v>
      </c>
      <c r="J21" s="3">
        <f t="shared" si="1"/>
        <v>1593.5246113989349</v>
      </c>
      <c r="K21" t="s">
        <v>301</v>
      </c>
      <c r="N21" s="215">
        <v>30.919653528877848</v>
      </c>
      <c r="O21" t="s">
        <v>303</v>
      </c>
    </row>
    <row r="22" spans="1:15" x14ac:dyDescent="0.3">
      <c r="A22" s="215">
        <f>(A20+A21)*9*F22</f>
        <v>7.904387953367733</v>
      </c>
      <c r="B22" s="229" t="str">
        <f>[3]Thermodynamics!D4</f>
        <v>CO + 0,5 O2 = CO2</v>
      </c>
      <c r="C22" s="230">
        <f>[3]Thermodynamics!E4</f>
        <v>-282.98</v>
      </c>
      <c r="D22" s="190">
        <f>A22*C22</f>
        <v>-2236.7837030440014</v>
      </c>
      <c r="E22" s="190">
        <f t="shared" si="2"/>
        <v>-621.32880640111148</v>
      </c>
      <c r="F22" s="214">
        <v>0.1</v>
      </c>
      <c r="G22" t="s">
        <v>44</v>
      </c>
      <c r="H22" s="3">
        <f>I22*2</f>
        <v>179.47959844559108</v>
      </c>
      <c r="I22" s="3">
        <f>I18*9+I20</f>
        <v>89.73979922279554</v>
      </c>
      <c r="J22" s="3">
        <f t="shared" si="1"/>
        <v>2010.1715025906199</v>
      </c>
      <c r="N22" s="3">
        <f>(I22+N21)/(I21-N21)</f>
        <v>2.9999984733249847</v>
      </c>
      <c r="O22" t="s">
        <v>395</v>
      </c>
    </row>
    <row r="23" spans="1:15" x14ac:dyDescent="0.3">
      <c r="B23" s="229" t="s">
        <v>388</v>
      </c>
      <c r="C23" s="190"/>
      <c r="D23" s="190">
        <f>SUM(D20:D22)*0.75</f>
        <v>-2793.2470744009943</v>
      </c>
      <c r="E23" s="190">
        <f t="shared" si="2"/>
        <v>-775.90196511138731</v>
      </c>
      <c r="G23" t="s">
        <v>23</v>
      </c>
      <c r="H23" s="3">
        <f>I23*44</f>
        <v>347.79306994818023</v>
      </c>
      <c r="I23" s="3">
        <f>A22</f>
        <v>7.904387953367733</v>
      </c>
      <c r="J23" s="3">
        <f t="shared" si="1"/>
        <v>177.05829015543722</v>
      </c>
      <c r="N23" s="3"/>
    </row>
    <row r="24" spans="1:15" x14ac:dyDescent="0.3">
      <c r="B24" s="229" t="s">
        <v>337</v>
      </c>
      <c r="C24" s="190"/>
      <c r="D24" s="190">
        <f>SUM(O11:O12)</f>
        <v>2725.95999999998</v>
      </c>
      <c r="E24" s="190">
        <f t="shared" si="2"/>
        <v>757.21111111110565</v>
      </c>
      <c r="G24" t="s">
        <v>45</v>
      </c>
      <c r="H24" s="3">
        <f>I24*28</f>
        <v>174.65</v>
      </c>
      <c r="I24" s="3">
        <f>I19/0.8*0.2</f>
        <v>6.2374999999999998</v>
      </c>
      <c r="J24" s="3">
        <f t="shared" si="1"/>
        <v>139.72</v>
      </c>
      <c r="N24" s="3"/>
    </row>
    <row r="25" spans="1:15" x14ac:dyDescent="0.3">
      <c r="B25" s="229" t="s">
        <v>367</v>
      </c>
      <c r="C25" s="190"/>
      <c r="D25" s="190">
        <f>SUM(D23:D24)</f>
        <v>-67.287074401014252</v>
      </c>
      <c r="E25" s="190">
        <f t="shared" si="2"/>
        <v>-18.690854000281739</v>
      </c>
      <c r="G25" s="193" t="s">
        <v>299</v>
      </c>
      <c r="H25" t="s">
        <v>375</v>
      </c>
      <c r="N25" t="s">
        <v>304</v>
      </c>
    </row>
    <row r="26" spans="1:15" ht="15" thickBot="1" x14ac:dyDescent="0.35">
      <c r="B26" s="193"/>
      <c r="C26" s="204"/>
      <c r="D26" s="204"/>
      <c r="E26" s="204"/>
      <c r="G26" t="s">
        <v>327</v>
      </c>
      <c r="H26">
        <f>I26*18</f>
        <v>460</v>
      </c>
      <c r="I26" s="3">
        <f>I12</f>
        <v>25.555555555555557</v>
      </c>
      <c r="J26" s="3"/>
      <c r="K26" t="s">
        <v>306</v>
      </c>
      <c r="N26" s="3">
        <f>N21-I26</f>
        <v>5.3640979733222913</v>
      </c>
    </row>
    <row r="27" spans="1:15" x14ac:dyDescent="0.3">
      <c r="B27" s="193"/>
      <c r="C27" s="204"/>
      <c r="D27" s="204"/>
      <c r="E27" s="204"/>
      <c r="G27" t="s">
        <v>305</v>
      </c>
      <c r="H27" s="3">
        <f>I27*18</f>
        <v>96.553763519801237</v>
      </c>
      <c r="I27" s="3">
        <f>N26</f>
        <v>5.3640979733222913</v>
      </c>
      <c r="J27" s="3"/>
      <c r="K27" s="231">
        <f>I27*[3]Thermodynamics!E5*1.5</f>
        <v>354.0626508271111</v>
      </c>
      <c r="L27" s="221" t="s">
        <v>381</v>
      </c>
    </row>
    <row r="28" spans="1:15" ht="15" thickBot="1" x14ac:dyDescent="0.35">
      <c r="B28" t="s">
        <v>256</v>
      </c>
      <c r="C28" s="204">
        <v>-41.153999999999996</v>
      </c>
      <c r="D28" s="3"/>
      <c r="E28" s="3"/>
      <c r="G28" t="s">
        <v>326</v>
      </c>
      <c r="H28" s="3">
        <f>SUM(H26:H27)</f>
        <v>556.55376351980124</v>
      </c>
      <c r="I28" s="3">
        <f>SUM(I26:I27)</f>
        <v>30.919653528877848</v>
      </c>
      <c r="J28" s="3"/>
      <c r="K28" s="224">
        <f>K27*$E$18</f>
        <v>98.350736340864202</v>
      </c>
      <c r="L28" s="225" t="s">
        <v>374</v>
      </c>
    </row>
    <row r="29" spans="1:15" x14ac:dyDescent="0.3">
      <c r="C29" s="204"/>
      <c r="D29" s="3"/>
      <c r="E29" s="3"/>
      <c r="G29" s="211" t="s">
        <v>29</v>
      </c>
      <c r="H29" s="212">
        <f>I29*28</f>
        <v>1126.1554654400891</v>
      </c>
      <c r="I29" s="212">
        <f>I21-N21</f>
        <v>40.219838051431751</v>
      </c>
      <c r="J29" s="212">
        <f>I29*22.4</f>
        <v>900.92437235207115</v>
      </c>
    </row>
    <row r="30" spans="1:15" x14ac:dyDescent="0.3">
      <c r="B30" t="s">
        <v>308</v>
      </c>
      <c r="C30" s="204">
        <f>[3]Thermodynamics!$E$18</f>
        <v>-205.82599999999999</v>
      </c>
      <c r="G30" s="211" t="s">
        <v>44</v>
      </c>
      <c r="H30" s="212">
        <f>I30*2</f>
        <v>241.31890550334677</v>
      </c>
      <c r="I30" s="212">
        <f>I22+N21</f>
        <v>120.65945275167338</v>
      </c>
      <c r="J30" s="212">
        <f>I30*22.4</f>
        <v>2702.7717416374835</v>
      </c>
    </row>
    <row r="31" spans="1:15" x14ac:dyDescent="0.3">
      <c r="C31" s="204"/>
      <c r="F31" s="214"/>
      <c r="G31" s="211" t="s">
        <v>23</v>
      </c>
      <c r="H31" s="212">
        <f>I31*44</f>
        <v>1708.2578252188057</v>
      </c>
      <c r="I31" s="212">
        <f>N21+I23</f>
        <v>38.824041482245583</v>
      </c>
      <c r="J31" s="212">
        <f>I31*22.4</f>
        <v>869.658529202301</v>
      </c>
    </row>
    <row r="32" spans="1:15" ht="15" thickBot="1" x14ac:dyDescent="0.35">
      <c r="B32" t="s">
        <v>319</v>
      </c>
      <c r="C32" s="204">
        <f>[3]Thermodynamics!$E$19</f>
        <v>-90.389999999999986</v>
      </c>
      <c r="G32" s="211" t="str">
        <f>G24</f>
        <v>N2</v>
      </c>
      <c r="H32" s="212">
        <f>H24</f>
        <v>174.65</v>
      </c>
      <c r="I32" s="212">
        <f>I24</f>
        <v>6.2374999999999998</v>
      </c>
      <c r="J32" s="212">
        <f>J24</f>
        <v>139.72</v>
      </c>
    </row>
    <row r="33" spans="2:12" x14ac:dyDescent="0.3">
      <c r="C33" s="204"/>
      <c r="G33" s="211" t="s">
        <v>311</v>
      </c>
      <c r="H33" s="211"/>
      <c r="I33" s="212"/>
      <c r="J33" s="212">
        <f>SUM(J29:J31)</f>
        <v>4473.3546431918558</v>
      </c>
      <c r="K33" s="227">
        <f>C28*I29*K10</f>
        <v>-1655.207215168622</v>
      </c>
      <c r="L33" s="221" t="s">
        <v>358</v>
      </c>
    </row>
    <row r="34" spans="2:12" ht="15" thickBot="1" x14ac:dyDescent="0.35">
      <c r="C34" s="204" t="s">
        <v>387</v>
      </c>
      <c r="D34" t="s">
        <v>15</v>
      </c>
      <c r="G34" s="193" t="s">
        <v>307</v>
      </c>
      <c r="H34" t="s">
        <v>357</v>
      </c>
      <c r="I34" t="s">
        <v>377</v>
      </c>
      <c r="K34" s="224">
        <f>K33*$E$18</f>
        <v>-459.77978199128393</v>
      </c>
      <c r="L34" s="225" t="s">
        <v>370</v>
      </c>
    </row>
    <row r="35" spans="2:12" x14ac:dyDescent="0.3">
      <c r="B35" s="229" t="s">
        <v>386</v>
      </c>
      <c r="C35" s="204">
        <f>9*([3]Thermodynamics!B3+[3]Thermodynamics!B4)-[3]Thermodynamics!B20</f>
        <v>-5187.134</v>
      </c>
      <c r="D35" s="204">
        <f>C35/[3]Thermodynamics!B21</f>
        <v>-29.811114942528736</v>
      </c>
      <c r="G35" s="209" t="str">
        <f>G32</f>
        <v>N2</v>
      </c>
      <c r="H35" s="210">
        <f>H32</f>
        <v>174.65</v>
      </c>
      <c r="I35" s="210">
        <f>I32</f>
        <v>6.2374999999999998</v>
      </c>
      <c r="J35" s="210">
        <f>J32</f>
        <v>139.72</v>
      </c>
      <c r="K35" s="161"/>
    </row>
    <row r="36" spans="2:12" x14ac:dyDescent="0.3">
      <c r="B36" t="s">
        <v>389</v>
      </c>
      <c r="D36">
        <v>-22.4</v>
      </c>
      <c r="G36" s="209" t="s">
        <v>29</v>
      </c>
      <c r="H36" s="210">
        <f>I36*18</f>
        <v>723.95708492577148</v>
      </c>
      <c r="I36" s="210">
        <f>I29</f>
        <v>40.219838051431751</v>
      </c>
      <c r="J36" s="210">
        <f>I36*22.4</f>
        <v>900.92437235207115</v>
      </c>
      <c r="K36" s="161"/>
    </row>
    <row r="37" spans="2:12" x14ac:dyDescent="0.3">
      <c r="B37" t="s">
        <v>390</v>
      </c>
      <c r="D37" s="162">
        <f>D36/D35</f>
        <v>0.75139759258195371</v>
      </c>
      <c r="G37" s="209" t="s">
        <v>44</v>
      </c>
      <c r="H37" s="210">
        <f>I37*2</f>
        <v>241.31890550334677</v>
      </c>
      <c r="I37" s="210">
        <f>I30</f>
        <v>120.65945275167338</v>
      </c>
      <c r="J37" s="210">
        <f>I37*22.4</f>
        <v>2702.7717416374835</v>
      </c>
      <c r="K37" s="161"/>
    </row>
    <row r="38" spans="2:12" x14ac:dyDescent="0.3">
      <c r="G38" s="209" t="s">
        <v>310</v>
      </c>
      <c r="H38" s="210"/>
      <c r="I38" s="210"/>
      <c r="J38" s="210">
        <f>SUM(J36:J37)</f>
        <v>3603.6961139895548</v>
      </c>
      <c r="K38" s="161"/>
    </row>
    <row r="39" spans="2:12" x14ac:dyDescent="0.3">
      <c r="G39" s="211" t="str">
        <f>G32</f>
        <v>N2</v>
      </c>
      <c r="H39" s="212">
        <f>H32</f>
        <v>174.65</v>
      </c>
      <c r="I39" s="212">
        <f>I32</f>
        <v>6.2374999999999998</v>
      </c>
      <c r="J39" s="212">
        <f>J32</f>
        <v>139.72</v>
      </c>
      <c r="K39" s="161"/>
    </row>
    <row r="40" spans="2:12" x14ac:dyDescent="0.3">
      <c r="G40" s="211" t="s">
        <v>259</v>
      </c>
      <c r="H40" s="212">
        <f>I40*16</f>
        <v>643.51740882290801</v>
      </c>
      <c r="I40" s="212">
        <f>I36</f>
        <v>40.219838051431751</v>
      </c>
      <c r="J40" s="212">
        <f>I40*22.4</f>
        <v>900.92437235207115</v>
      </c>
      <c r="K40" s="161"/>
    </row>
    <row r="41" spans="2:12" ht="15" thickBot="1" x14ac:dyDescent="0.35">
      <c r="G41" s="211" t="s">
        <v>225</v>
      </c>
      <c r="H41" s="212">
        <f>I41*18</f>
        <v>723.95708492577148</v>
      </c>
      <c r="I41" s="212">
        <f>I36</f>
        <v>40.219838051431751</v>
      </c>
      <c r="J41" s="212">
        <f>I41*22.4</f>
        <v>900.92437235207115</v>
      </c>
      <c r="K41" s="161"/>
    </row>
    <row r="42" spans="2:12" x14ac:dyDescent="0.3">
      <c r="G42" s="211" t="s">
        <v>311</v>
      </c>
      <c r="H42" s="211"/>
      <c r="I42" s="211"/>
      <c r="J42" s="212">
        <f>SUM(J40:J41)</f>
        <v>1801.8487447041423</v>
      </c>
      <c r="K42" s="227">
        <f>C30*I36*K10</f>
        <v>-8278.2883867739911</v>
      </c>
      <c r="L42" s="221" t="s">
        <v>355</v>
      </c>
    </row>
    <row r="43" spans="2:12" ht="15" thickBot="1" x14ac:dyDescent="0.35">
      <c r="K43" s="224">
        <f>K42*$E$18</f>
        <v>-2299.5245518816641</v>
      </c>
      <c r="L43" s="225" t="s">
        <v>370</v>
      </c>
    </row>
    <row r="44" spans="2:12" ht="15" thickBot="1" x14ac:dyDescent="0.35">
      <c r="G44" s="193" t="s">
        <v>313</v>
      </c>
      <c r="H44" t="s">
        <v>378</v>
      </c>
      <c r="J44" t="s">
        <v>320</v>
      </c>
      <c r="K44" s="161"/>
    </row>
    <row r="45" spans="2:12" x14ac:dyDescent="0.3">
      <c r="G45" t="s">
        <v>314</v>
      </c>
      <c r="H45" s="3">
        <f>I45*(13+16+4)</f>
        <v>1327.2546556972477</v>
      </c>
      <c r="I45" s="3">
        <f>I36</f>
        <v>40.219838051431751</v>
      </c>
      <c r="J45" s="3">
        <f>H45/0.792</f>
        <v>1675.8265854763229</v>
      </c>
      <c r="K45" s="227">
        <f>I45*C32*K10</f>
        <v>-3635.4711614689154</v>
      </c>
      <c r="L45" s="221" t="s">
        <v>356</v>
      </c>
    </row>
    <row r="46" spans="2:12" ht="15" thickBot="1" x14ac:dyDescent="0.35">
      <c r="K46" s="224">
        <f>K45*$E$18</f>
        <v>-1009.8531004080321</v>
      </c>
      <c r="L46" s="225" t="s">
        <v>370</v>
      </c>
    </row>
    <row r="47" spans="2:12" x14ac:dyDescent="0.3">
      <c r="G47" s="193" t="s">
        <v>341</v>
      </c>
      <c r="H47" s="3">
        <f>I47*28</f>
        <v>174.65</v>
      </c>
      <c r="I47" s="3">
        <f>I19/0.8*0.2</f>
        <v>6.2374999999999998</v>
      </c>
      <c r="J47">
        <f>I47*22.4</f>
        <v>139.72</v>
      </c>
    </row>
    <row r="48" spans="2:12" ht="15" thickBot="1" x14ac:dyDescent="0.35"/>
    <row r="49" spans="7:13" x14ac:dyDescent="0.3">
      <c r="G49" s="170" t="s">
        <v>339</v>
      </c>
      <c r="H49" s="170" t="s">
        <v>294</v>
      </c>
      <c r="I49" s="170" t="s">
        <v>266</v>
      </c>
      <c r="J49" s="218" t="s">
        <v>309</v>
      </c>
      <c r="K49" s="220" t="s">
        <v>359</v>
      </c>
      <c r="L49" s="221"/>
      <c r="M49" t="s">
        <v>360</v>
      </c>
    </row>
    <row r="50" spans="7:13" x14ac:dyDescent="0.3">
      <c r="G50" s="170" t="s">
        <v>322</v>
      </c>
      <c r="H50" s="170">
        <v>2300</v>
      </c>
      <c r="I50" s="170"/>
      <c r="J50" s="218"/>
      <c r="K50" s="222">
        <f>H50/1000*50</f>
        <v>114.99999999999999</v>
      </c>
      <c r="L50" s="223" t="s">
        <v>345</v>
      </c>
      <c r="M50" t="s">
        <v>362</v>
      </c>
    </row>
    <row r="51" spans="7:13" x14ac:dyDescent="0.3">
      <c r="G51" s="170" t="s">
        <v>255</v>
      </c>
      <c r="H51" s="217">
        <f>H19</f>
        <v>798.4</v>
      </c>
      <c r="I51" s="216">
        <f>H51/32</f>
        <v>24.95</v>
      </c>
      <c r="J51" s="219">
        <f>I51*22.4</f>
        <v>558.88</v>
      </c>
      <c r="K51" s="222">
        <f>K50*24</f>
        <v>2759.9999999999995</v>
      </c>
      <c r="L51" s="223" t="s">
        <v>342</v>
      </c>
    </row>
    <row r="52" spans="7:13" ht="15" thickBot="1" x14ac:dyDescent="0.35">
      <c r="G52" s="170" t="s">
        <v>225</v>
      </c>
      <c r="H52" s="217">
        <f>H20</f>
        <v>192.52655440412798</v>
      </c>
      <c r="I52" s="216">
        <f>H52/18</f>
        <v>10.69591968911822</v>
      </c>
      <c r="J52" s="219">
        <f>I52*22.4</f>
        <v>239.58860103624812</v>
      </c>
      <c r="K52" s="224">
        <f>K51*300</f>
        <v>827999.99999999988</v>
      </c>
      <c r="L52" s="225" t="s">
        <v>346</v>
      </c>
      <c r="M52" s="161">
        <f>K52/60*90</f>
        <v>1241999.9999999998</v>
      </c>
    </row>
    <row r="53" spans="7:13" x14ac:dyDescent="0.3">
      <c r="G53" s="170" t="s">
        <v>45</v>
      </c>
      <c r="H53" s="217">
        <f>H24</f>
        <v>174.65</v>
      </c>
      <c r="I53" s="216">
        <f>H53/28</f>
        <v>6.2374999999999998</v>
      </c>
      <c r="J53" s="216">
        <f>I53*22.4</f>
        <v>139.72</v>
      </c>
    </row>
    <row r="55" spans="7:13" ht="15" thickBot="1" x14ac:dyDescent="0.35">
      <c r="G55" s="170" t="s">
        <v>384</v>
      </c>
      <c r="H55" s="170" t="s">
        <v>294</v>
      </c>
      <c r="I55" s="170" t="s">
        <v>266</v>
      </c>
      <c r="J55" s="170" t="s">
        <v>309</v>
      </c>
      <c r="K55" s="34"/>
    </row>
    <row r="56" spans="7:13" x14ac:dyDescent="0.3">
      <c r="G56" s="170" t="s">
        <v>0</v>
      </c>
      <c r="H56" s="216">
        <f>H16</f>
        <v>335.11</v>
      </c>
      <c r="I56" s="170"/>
      <c r="J56" s="218"/>
      <c r="K56" s="226" t="s">
        <v>359</v>
      </c>
      <c r="L56" s="221"/>
      <c r="M56" t="s">
        <v>360</v>
      </c>
    </row>
    <row r="57" spans="7:13" x14ac:dyDescent="0.3">
      <c r="G57" s="170" t="s">
        <v>259</v>
      </c>
      <c r="H57" s="217">
        <f>H40</f>
        <v>643.51740882290801</v>
      </c>
      <c r="I57" s="216">
        <f>H57/18</f>
        <v>35.750967156828224</v>
      </c>
      <c r="J57" s="219">
        <f>I57*22.4</f>
        <v>800.82166431295218</v>
      </c>
      <c r="K57" s="222">
        <f>J57*0.15</f>
        <v>120.12324964694282</v>
      </c>
      <c r="L57" s="223" t="s">
        <v>343</v>
      </c>
      <c r="M57" t="s">
        <v>361</v>
      </c>
    </row>
    <row r="58" spans="7:13" x14ac:dyDescent="0.3">
      <c r="G58" s="170" t="s">
        <v>225</v>
      </c>
      <c r="H58" s="217">
        <f>H41</f>
        <v>723.95708492577148</v>
      </c>
      <c r="I58" s="216">
        <f>H58/18</f>
        <v>40.219838051431751</v>
      </c>
      <c r="J58" s="219">
        <f>I58*22.4</f>
        <v>900.92437235207115</v>
      </c>
      <c r="K58" s="222">
        <f>K57*24</f>
        <v>2882.9579915266277</v>
      </c>
      <c r="L58" s="223" t="s">
        <v>342</v>
      </c>
    </row>
    <row r="59" spans="7:13" ht="15" thickBot="1" x14ac:dyDescent="0.35">
      <c r="G59" s="170" t="s">
        <v>23</v>
      </c>
      <c r="H59" s="217">
        <f>H31</f>
        <v>1708.2578252188057</v>
      </c>
      <c r="I59" s="216">
        <f>H59/44</f>
        <v>38.824041482245583</v>
      </c>
      <c r="J59" s="219">
        <f>I59*22.4</f>
        <v>869.658529202301</v>
      </c>
      <c r="K59" s="224">
        <f>K58*300</f>
        <v>864887.39745798835</v>
      </c>
      <c r="L59" s="225" t="s">
        <v>346</v>
      </c>
      <c r="M59" s="161">
        <f>K59/15*23</f>
        <v>1326160.6761022487</v>
      </c>
    </row>
    <row r="60" spans="7:13" x14ac:dyDescent="0.3">
      <c r="G60" s="170" t="str">
        <f>G53</f>
        <v>N2</v>
      </c>
      <c r="H60" s="217">
        <f>H53</f>
        <v>174.65</v>
      </c>
      <c r="I60" s="216">
        <f>I53</f>
        <v>6.2374999999999998</v>
      </c>
      <c r="J60" s="216">
        <f>I60*22.4</f>
        <v>139.72</v>
      </c>
    </row>
    <row r="63" spans="7:13" ht="15" thickBot="1" x14ac:dyDescent="0.35">
      <c r="G63" s="170" t="s">
        <v>385</v>
      </c>
      <c r="H63" s="170" t="s">
        <v>294</v>
      </c>
      <c r="I63" s="170" t="s">
        <v>266</v>
      </c>
      <c r="J63" s="170" t="str">
        <f>J44</f>
        <v>litrov</v>
      </c>
      <c r="M63" t="s">
        <v>360</v>
      </c>
    </row>
    <row r="64" spans="7:13" x14ac:dyDescent="0.3">
      <c r="G64" s="170" t="str">
        <f>G45</f>
        <v>CH3OH</v>
      </c>
      <c r="H64" s="216">
        <f>H45</f>
        <v>1327.2546556972477</v>
      </c>
      <c r="I64" s="216">
        <f>I45</f>
        <v>40.219838051431751</v>
      </c>
      <c r="J64" s="219">
        <f>J45</f>
        <v>1675.8265854763229</v>
      </c>
      <c r="K64" s="227">
        <f>H64/1000*175</f>
        <v>232.26956474701836</v>
      </c>
      <c r="L64" s="221" t="s">
        <v>344</v>
      </c>
      <c r="M64" t="s">
        <v>364</v>
      </c>
    </row>
    <row r="65" spans="7:14" x14ac:dyDescent="0.3">
      <c r="G65" s="170" t="str">
        <f t="shared" ref="G65:J66" si="3">G59</f>
        <v>CO2</v>
      </c>
      <c r="H65" s="217">
        <f t="shared" si="3"/>
        <v>1708.2578252188057</v>
      </c>
      <c r="I65" s="216">
        <f t="shared" si="3"/>
        <v>38.824041482245583</v>
      </c>
      <c r="J65" s="219">
        <f t="shared" si="3"/>
        <v>869.658529202301</v>
      </c>
      <c r="K65" s="222">
        <f>K64*24</f>
        <v>5574.4695539284403</v>
      </c>
      <c r="L65" s="223" t="s">
        <v>342</v>
      </c>
    </row>
    <row r="66" spans="7:14" ht="15" thickBot="1" x14ac:dyDescent="0.35">
      <c r="G66" s="170" t="str">
        <f t="shared" si="3"/>
        <v>N2</v>
      </c>
      <c r="H66" s="217">
        <f t="shared" si="3"/>
        <v>174.65</v>
      </c>
      <c r="I66" s="216">
        <f t="shared" si="3"/>
        <v>6.2374999999999998</v>
      </c>
      <c r="J66" s="219">
        <f t="shared" si="3"/>
        <v>139.72</v>
      </c>
      <c r="K66" s="224">
        <f>K65*300</f>
        <v>1672340.8661785321</v>
      </c>
      <c r="L66" s="225" t="s">
        <v>346</v>
      </c>
      <c r="M66" s="161">
        <f>K66/175*400</f>
        <v>3822493.4084080732</v>
      </c>
    </row>
    <row r="67" spans="7:14" x14ac:dyDescent="0.3">
      <c r="G67" s="170" t="str">
        <f>G56</f>
        <v>Ash</v>
      </c>
      <c r="H67" s="217">
        <f>H56</f>
        <v>335.11</v>
      </c>
      <c r="I67" s="216">
        <f>I56</f>
        <v>0</v>
      </c>
      <c r="J67" s="216">
        <f>J56</f>
        <v>0</v>
      </c>
      <c r="K67" s="161"/>
      <c r="M67" s="161"/>
    </row>
    <row r="68" spans="7:14" x14ac:dyDescent="0.3">
      <c r="H68" s="3"/>
      <c r="I68" s="22"/>
      <c r="J68" s="233"/>
      <c r="K68" s="161"/>
      <c r="M68" s="161"/>
    </row>
    <row r="69" spans="7:14" x14ac:dyDescent="0.3">
      <c r="J69" s="170"/>
      <c r="K69" s="170" t="s">
        <v>354</v>
      </c>
    </row>
    <row r="70" spans="7:14" x14ac:dyDescent="0.3">
      <c r="J70" s="170" t="s">
        <v>347</v>
      </c>
      <c r="K70" s="169">
        <v>200000</v>
      </c>
    </row>
    <row r="71" spans="7:14" x14ac:dyDescent="0.3">
      <c r="J71" s="170" t="s">
        <v>348</v>
      </c>
      <c r="K71" s="169">
        <f>1500*24*300*0.15</f>
        <v>1620000</v>
      </c>
      <c r="L71" t="s">
        <v>391</v>
      </c>
      <c r="M71">
        <f>1500*0.2</f>
        <v>300</v>
      </c>
      <c r="N71">
        <f>1500*0.1</f>
        <v>150</v>
      </c>
    </row>
    <row r="72" spans="7:14" x14ac:dyDescent="0.3">
      <c r="J72" s="170" t="s">
        <v>349</v>
      </c>
      <c r="K72" s="169">
        <v>1000000</v>
      </c>
      <c r="L72" t="s">
        <v>350</v>
      </c>
    </row>
    <row r="73" spans="7:14" x14ac:dyDescent="0.3">
      <c r="J73" s="170" t="s">
        <v>351</v>
      </c>
      <c r="K73" s="169">
        <f>K72*5*0.05*0.6</f>
        <v>150000</v>
      </c>
      <c r="L73" t="s">
        <v>352</v>
      </c>
    </row>
    <row r="74" spans="7:14" x14ac:dyDescent="0.3">
      <c r="J74" s="170" t="s">
        <v>366</v>
      </c>
      <c r="K74" s="169">
        <f>200000</f>
        <v>200000</v>
      </c>
    </row>
    <row r="75" spans="7:14" x14ac:dyDescent="0.3">
      <c r="J75" s="170" t="s">
        <v>280</v>
      </c>
      <c r="K75" s="169">
        <f>SUM(K70:K74)</f>
        <v>3170000</v>
      </c>
    </row>
    <row r="76" spans="7:14" x14ac:dyDescent="0.3">
      <c r="J76" s="170"/>
      <c r="K76" s="170" t="s">
        <v>365</v>
      </c>
      <c r="L76" s="228" t="s">
        <v>363</v>
      </c>
    </row>
    <row r="77" spans="7:14" x14ac:dyDescent="0.3">
      <c r="J77" s="170" t="s">
        <v>353</v>
      </c>
      <c r="K77" s="169">
        <f>K59+K52-K75</f>
        <v>-1477112.6025420118</v>
      </c>
      <c r="L77" s="169">
        <f>M52+M59-K75</f>
        <v>-601839.32389775151</v>
      </c>
    </row>
    <row r="78" spans="7:14" x14ac:dyDescent="0.3">
      <c r="J78" s="170" t="s">
        <v>373</v>
      </c>
      <c r="K78" s="169">
        <f>K66+K52-K75</f>
        <v>-669659.13382146787</v>
      </c>
      <c r="L78" s="169">
        <f>M52+M66-K75</f>
        <v>1894493.4084080728</v>
      </c>
    </row>
    <row r="79" spans="7:14" x14ac:dyDescent="0.3">
      <c r="K79" t="s">
        <v>374</v>
      </c>
    </row>
    <row r="80" spans="7:14" x14ac:dyDescent="0.3">
      <c r="J80" s="170" t="s">
        <v>371</v>
      </c>
      <c r="K80" s="169">
        <f>K34+K43</f>
        <v>-2759.3043338729481</v>
      </c>
      <c r="L80" s="170" t="s">
        <v>382</v>
      </c>
    </row>
    <row r="81" spans="10:12" x14ac:dyDescent="0.3">
      <c r="J81" s="170" t="s">
        <v>372</v>
      </c>
      <c r="K81" s="169">
        <f>K34+K46</f>
        <v>-1469.632882399316</v>
      </c>
      <c r="L81" s="170" t="s">
        <v>383</v>
      </c>
    </row>
  </sheetData>
  <pageMargins left="0.25" right="0.25" top="0.75" bottom="0.75" header="0.3" footer="0.3"/>
  <pageSetup paperSize="9" scale="41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R83"/>
  <sheetViews>
    <sheetView topLeftCell="A13" workbookViewId="0">
      <selection activeCell="J22" sqref="J22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26.44140625" customWidth="1"/>
    <col min="8" max="8" width="10.5546875" bestFit="1" customWidth="1"/>
    <col min="9" max="9" width="9.6640625" bestFit="1" customWidth="1"/>
    <col min="10" max="10" width="16" customWidth="1"/>
    <col min="11" max="11" width="10.88671875" customWidth="1"/>
    <col min="12" max="12" width="20.6640625" customWidth="1"/>
    <col min="13" max="13" width="9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5" t="s">
        <v>0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</v>
      </c>
      <c r="P2" s="5" t="s">
        <v>131</v>
      </c>
      <c r="Q2" s="5" t="s">
        <v>17</v>
      </c>
      <c r="R2" s="5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3">
        <f>H3*$R$3/120</f>
        <v>11.795660621761444</v>
      </c>
      <c r="I4" s="3">
        <f t="shared" ref="I4:N4" si="0">I3*$R$3/120</f>
        <v>39.669689119170265</v>
      </c>
      <c r="J4" s="3">
        <f t="shared" si="0"/>
        <v>6.654792746113869</v>
      </c>
      <c r="K4" s="3">
        <f t="shared" si="0"/>
        <v>20.11819948186492</v>
      </c>
      <c r="L4" s="3">
        <f t="shared" si="0"/>
        <v>0.15867875647668106</v>
      </c>
      <c r="M4" s="3">
        <f t="shared" si="0"/>
        <v>1.3439119170984211</v>
      </c>
      <c r="N4" s="3">
        <f t="shared" si="0"/>
        <v>0.25906735751294868</v>
      </c>
      <c r="O4" s="3">
        <f t="shared" ref="O4" si="1">O3*$Q$3/120</f>
        <v>0</v>
      </c>
      <c r="P4">
        <v>20</v>
      </c>
      <c r="Q4" s="3">
        <f>SUM(H4:P4)</f>
        <v>99.99999999999855</v>
      </c>
    </row>
    <row r="5" spans="2:18" x14ac:dyDescent="0.3">
      <c r="C5" t="s">
        <v>398</v>
      </c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>
        <f>M4/32</f>
        <v>4.1997247409325658E-2</v>
      </c>
      <c r="N5" s="3">
        <f>N4/35.5</f>
        <v>7.2976720426182725E-3</v>
      </c>
      <c r="O5" s="3"/>
      <c r="Q5" s="3"/>
    </row>
    <row r="6" spans="2:18" x14ac:dyDescent="0.3">
      <c r="C6" t="s">
        <v>399</v>
      </c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H21/I8</f>
        <v>0.20420312692758255</v>
      </c>
      <c r="K8" s="3"/>
      <c r="L8" s="3"/>
      <c r="M8" s="3"/>
      <c r="N8" s="3">
        <f>N7/100*2300</f>
        <v>0</v>
      </c>
      <c r="O8" s="3"/>
      <c r="Q8" s="3"/>
    </row>
    <row r="9" spans="2:18" x14ac:dyDescent="0.3">
      <c r="C9" t="s">
        <v>400</v>
      </c>
      <c r="D9">
        <f>17*2+40</f>
        <v>74</v>
      </c>
      <c r="G9" t="s">
        <v>401</v>
      </c>
      <c r="H9" s="3"/>
      <c r="I9" s="3"/>
      <c r="J9" s="3"/>
      <c r="K9" s="3"/>
      <c r="L9" s="3"/>
      <c r="M9" s="3">
        <f>M5/100*2300*$D$9*2.5</f>
        <v>178.69828772668069</v>
      </c>
      <c r="N9" s="3">
        <f>N5/100*2300*$D$9*2.5/2</f>
        <v>15.525797270670374</v>
      </c>
      <c r="O9" s="3"/>
      <c r="Q9" s="3"/>
    </row>
    <row r="10" spans="2:18" x14ac:dyDescent="0.3">
      <c r="H10" s="3"/>
      <c r="I10" s="3"/>
      <c r="J10" s="3"/>
      <c r="K10" s="3"/>
      <c r="L10" s="3"/>
      <c r="M10" s="3"/>
      <c r="N10" s="3"/>
      <c r="O10" s="3"/>
      <c r="Q10" s="3"/>
    </row>
    <row r="11" spans="2:18" x14ac:dyDescent="0.3">
      <c r="C11" t="s">
        <v>404</v>
      </c>
      <c r="H11" t="s">
        <v>294</v>
      </c>
      <c r="I11" t="s">
        <v>266</v>
      </c>
      <c r="J11" t="s">
        <v>309</v>
      </c>
      <c r="K11" t="s">
        <v>336</v>
      </c>
      <c r="L11" t="s">
        <v>330</v>
      </c>
      <c r="M11" t="s">
        <v>329</v>
      </c>
      <c r="N11" t="s">
        <v>331</v>
      </c>
      <c r="O11" t="s">
        <v>335</v>
      </c>
    </row>
    <row r="12" spans="2:18" x14ac:dyDescent="0.3">
      <c r="C12" t="s">
        <v>403</v>
      </c>
      <c r="D12">
        <v>92</v>
      </c>
      <c r="G12" t="s">
        <v>322</v>
      </c>
      <c r="H12">
        <v>2300</v>
      </c>
      <c r="K12">
        <v>1</v>
      </c>
      <c r="O12" s="3">
        <f>SUM(O13:O14)</f>
        <v>2725.95999999998</v>
      </c>
    </row>
    <row r="13" spans="2:18" x14ac:dyDescent="0.3">
      <c r="G13" t="s">
        <v>334</v>
      </c>
      <c r="H13">
        <f>SUM(H4:O4)/100*H12</f>
        <v>1839.9999999999666</v>
      </c>
      <c r="L13">
        <f>H13*1.2/1000*500</f>
        <v>1103.99999999998</v>
      </c>
      <c r="O13" s="3">
        <f>SUM(L13:N13)</f>
        <v>1103.99999999998</v>
      </c>
    </row>
    <row r="14" spans="2:18" x14ac:dyDescent="0.3">
      <c r="G14" t="s">
        <v>323</v>
      </c>
      <c r="H14">
        <f>H12*P4/100</f>
        <v>460</v>
      </c>
      <c r="I14" s="3">
        <f>H14/18</f>
        <v>25.555555555555557</v>
      </c>
      <c r="J14" s="3">
        <f t="shared" ref="J14" si="2">I14*22.4</f>
        <v>572.44444444444446</v>
      </c>
      <c r="L14" s="3">
        <f>I14*80*Thermodynamics!C5/1000</f>
        <v>153.94666666666666</v>
      </c>
      <c r="M14">
        <f>I14*Thermodynamics!E5</f>
        <v>1124.5466666666664</v>
      </c>
      <c r="N14" s="3">
        <f>I14*400*Thermodynamics!C4/1000</f>
        <v>343.4666666666667</v>
      </c>
      <c r="O14" s="3">
        <f>SUM(L14:N14)</f>
        <v>1621.9599999999998</v>
      </c>
    </row>
    <row r="15" spans="2:18" x14ac:dyDescent="0.3">
      <c r="G15" t="s">
        <v>2</v>
      </c>
      <c r="H15" s="22">
        <f>H12*I4/100</f>
        <v>912.40284974091617</v>
      </c>
      <c r="I15" s="3">
        <f>H15/12</f>
        <v>76.033570811743019</v>
      </c>
      <c r="J15" s="3"/>
    </row>
    <row r="16" spans="2:18" x14ac:dyDescent="0.3">
      <c r="G16" t="s">
        <v>44</v>
      </c>
      <c r="H16" s="22">
        <f>H12*J4/100</f>
        <v>153.06023316061899</v>
      </c>
      <c r="I16" s="3">
        <f>H16/2</f>
        <v>76.530116580309496</v>
      </c>
      <c r="J16" s="3"/>
    </row>
    <row r="17" spans="1:15" x14ac:dyDescent="0.3">
      <c r="G17" t="s">
        <v>4</v>
      </c>
      <c r="H17" s="22">
        <f>H12*K4/100</f>
        <v>462.71858808289318</v>
      </c>
      <c r="I17" s="3">
        <f>H17/16</f>
        <v>28.919911755180824</v>
      </c>
      <c r="J17" s="3"/>
    </row>
    <row r="18" spans="1:15" ht="15" thickBot="1" x14ac:dyDescent="0.35">
      <c r="C18" t="s">
        <v>294</v>
      </c>
      <c r="D18" t="s">
        <v>266</v>
      </c>
      <c r="G18" t="s">
        <v>340</v>
      </c>
      <c r="H18" s="22">
        <f>H12*H3/100</f>
        <v>335.11</v>
      </c>
      <c r="I18" s="3"/>
      <c r="J18" s="3">
        <f>H29/2300</f>
        <v>-6.2941373629331485E-2</v>
      </c>
    </row>
    <row r="19" spans="1:15" x14ac:dyDescent="0.3">
      <c r="B19" t="str">
        <f>G20</f>
        <v>C9H18O3</v>
      </c>
      <c r="C19" s="213">
        <f>H20</f>
        <v>1528.1816709844284</v>
      </c>
      <c r="D19">
        <f>I20</f>
        <v>8.7826532815197034</v>
      </c>
      <c r="G19" s="193" t="s">
        <v>298</v>
      </c>
      <c r="H19" s="22">
        <f>H21/(H20/0.8)</f>
        <v>0.41796077791493702</v>
      </c>
      <c r="I19" s="3">
        <f>(H22+H29)/(2300)</f>
        <v>2.0765823937680686E-2</v>
      </c>
      <c r="J19" s="3">
        <f>H22/2300</f>
        <v>8.370719756701217E-2</v>
      </c>
      <c r="K19" s="231">
        <f>D27</f>
        <v>-67.287074401014252</v>
      </c>
      <c r="L19" s="221" t="s">
        <v>280</v>
      </c>
    </row>
    <row r="20" spans="1:15" ht="15" thickBot="1" x14ac:dyDescent="0.35">
      <c r="A20" t="s">
        <v>338</v>
      </c>
      <c r="C20" s="14" t="s">
        <v>19</v>
      </c>
      <c r="E20">
        <f>1/3.6</f>
        <v>0.27777777777777779</v>
      </c>
      <c r="G20" t="s">
        <v>295</v>
      </c>
      <c r="H20" s="22">
        <f>SUM(H15:H17)</f>
        <v>1528.1816709844284</v>
      </c>
      <c r="I20" s="23">
        <f>H20/(9*12+18+16*3)</f>
        <v>8.7826532815197034</v>
      </c>
      <c r="J20" s="23"/>
      <c r="K20" s="232">
        <f>K19*$E$20</f>
        <v>-18.690854000281739</v>
      </c>
      <c r="L20" s="225" t="s">
        <v>48</v>
      </c>
    </row>
    <row r="21" spans="1:15" x14ac:dyDescent="0.3">
      <c r="A21" s="162">
        <f>A23/A22*2</f>
        <v>0.50932950900562957</v>
      </c>
      <c r="C21" s="213" t="s">
        <v>20</v>
      </c>
      <c r="D21" t="s">
        <v>369</v>
      </c>
      <c r="E21" t="s">
        <v>368</v>
      </c>
      <c r="G21" t="s">
        <v>255</v>
      </c>
      <c r="H21" s="3">
        <f>I21*32</f>
        <v>798.4</v>
      </c>
      <c r="I21" s="3">
        <f>7*3+7.9*0.5</f>
        <v>24.95</v>
      </c>
      <c r="J21" s="3">
        <f t="shared" ref="J21:J26" si="3">I21*22.4</f>
        <v>558.88</v>
      </c>
      <c r="K21" t="s">
        <v>300</v>
      </c>
    </row>
    <row r="22" spans="1:15" x14ac:dyDescent="0.3">
      <c r="A22" s="212">
        <v>7</v>
      </c>
      <c r="B22" s="229" t="s">
        <v>296</v>
      </c>
      <c r="C22" s="230">
        <f>Thermodynamics!E34</f>
        <v>-463.88</v>
      </c>
      <c r="D22" s="190">
        <f>A22*C22</f>
        <v>-3247.16</v>
      </c>
      <c r="E22" s="190">
        <f>D22*$E$20</f>
        <v>-901.98888888888894</v>
      </c>
      <c r="G22" t="s">
        <v>225</v>
      </c>
      <c r="H22" s="3">
        <f>I22*18</f>
        <v>192.52655440412798</v>
      </c>
      <c r="I22" s="3">
        <f>6*A23</f>
        <v>10.69591968911822</v>
      </c>
      <c r="J22" s="3">
        <f t="shared" si="3"/>
        <v>239.58860103624812</v>
      </c>
      <c r="K22" t="s">
        <v>300</v>
      </c>
      <c r="N22" t="s">
        <v>302</v>
      </c>
    </row>
    <row r="23" spans="1:15" x14ac:dyDescent="0.3">
      <c r="A23" s="215">
        <f>D19-A22</f>
        <v>1.7826532815197034</v>
      </c>
      <c r="B23" s="229" t="s">
        <v>297</v>
      </c>
      <c r="C23" s="230">
        <f>Thermodynamics!E35</f>
        <v>987.07599999999991</v>
      </c>
      <c r="D23" s="190">
        <f>C23*A23</f>
        <v>1759.6142705093425</v>
      </c>
      <c r="E23" s="190">
        <f t="shared" ref="E23:E27" si="4">D23*$E$20</f>
        <v>488.78174180815074</v>
      </c>
      <c r="G23" t="s">
        <v>29</v>
      </c>
      <c r="H23" s="3">
        <f>I23*28</f>
        <v>1991.9057642486687</v>
      </c>
      <c r="I23" s="3">
        <f>I20*9-I25</f>
        <v>71.139491580309596</v>
      </c>
      <c r="J23" s="3">
        <f t="shared" si="3"/>
        <v>1593.5246113989349</v>
      </c>
      <c r="K23" t="s">
        <v>301</v>
      </c>
      <c r="N23" s="215">
        <v>17.513046702918757</v>
      </c>
      <c r="O23" t="s">
        <v>303</v>
      </c>
    </row>
    <row r="24" spans="1:15" x14ac:dyDescent="0.3">
      <c r="A24" s="215">
        <f>(A22+A23)*9*F24</f>
        <v>7.904387953367733</v>
      </c>
      <c r="B24" s="229" t="str">
        <f>Thermodynamics!D4</f>
        <v>CO + 0,5 O2 = CO2</v>
      </c>
      <c r="C24" s="230">
        <f>Thermodynamics!E4</f>
        <v>-282.98</v>
      </c>
      <c r="D24" s="190">
        <f>A24*C24</f>
        <v>-2236.7837030440014</v>
      </c>
      <c r="E24" s="190">
        <f t="shared" si="4"/>
        <v>-621.32880640111148</v>
      </c>
      <c r="F24" s="214">
        <v>0.1</v>
      </c>
      <c r="G24" t="s">
        <v>44</v>
      </c>
      <c r="H24" s="3">
        <f>I24*2</f>
        <v>179.47959844559108</v>
      </c>
      <c r="I24" s="3">
        <f>I20*9+I22</f>
        <v>89.73979922279554</v>
      </c>
      <c r="J24" s="3">
        <f t="shared" si="3"/>
        <v>2010.1715025906199</v>
      </c>
      <c r="N24" s="3">
        <f>(I24+N23)/(I23-N23)</f>
        <v>1.9999991826967556</v>
      </c>
      <c r="O24" t="s">
        <v>395</v>
      </c>
    </row>
    <row r="25" spans="1:15" x14ac:dyDescent="0.3">
      <c r="B25" s="229" t="s">
        <v>388</v>
      </c>
      <c r="C25" s="190"/>
      <c r="D25" s="190">
        <f>SUM(D22:D24)*0.75</f>
        <v>-2793.2470744009943</v>
      </c>
      <c r="E25" s="190">
        <f t="shared" si="4"/>
        <v>-775.90196511138731</v>
      </c>
      <c r="G25" t="s">
        <v>23</v>
      </c>
      <c r="H25" s="3">
        <f>I25*44</f>
        <v>347.79306994818023</v>
      </c>
      <c r="I25" s="3">
        <f>A24</f>
        <v>7.904387953367733</v>
      </c>
      <c r="J25" s="3">
        <f t="shared" si="3"/>
        <v>177.05829015543722</v>
      </c>
      <c r="N25" s="3"/>
    </row>
    <row r="26" spans="1:15" x14ac:dyDescent="0.3">
      <c r="B26" s="229" t="s">
        <v>337</v>
      </c>
      <c r="C26" s="190"/>
      <c r="D26" s="190">
        <f>SUM(O13:O14)</f>
        <v>2725.95999999998</v>
      </c>
      <c r="E26" s="190">
        <f t="shared" si="4"/>
        <v>757.21111111110565</v>
      </c>
      <c r="G26" t="s">
        <v>45</v>
      </c>
      <c r="H26" s="3">
        <f>I26*28</f>
        <v>174.65</v>
      </c>
      <c r="I26" s="3">
        <f>I21/0.8*0.2</f>
        <v>6.2374999999999998</v>
      </c>
      <c r="J26" s="3">
        <f t="shared" si="3"/>
        <v>139.72</v>
      </c>
      <c r="N26" s="3"/>
    </row>
    <row r="27" spans="1:15" x14ac:dyDescent="0.3">
      <c r="B27" s="229" t="s">
        <v>367</v>
      </c>
      <c r="C27" s="190"/>
      <c r="D27" s="190">
        <f>SUM(D25:D26)</f>
        <v>-67.287074401014252</v>
      </c>
      <c r="E27" s="190">
        <f t="shared" si="4"/>
        <v>-18.690854000281739</v>
      </c>
      <c r="G27" s="193" t="s">
        <v>299</v>
      </c>
      <c r="H27" t="s">
        <v>375</v>
      </c>
      <c r="N27" t="s">
        <v>304</v>
      </c>
    </row>
    <row r="28" spans="1:15" ht="15" thickBot="1" x14ac:dyDescent="0.35">
      <c r="B28" s="193"/>
      <c r="C28" s="204"/>
      <c r="D28" s="204"/>
      <c r="E28" s="204"/>
      <c r="G28" t="s">
        <v>327</v>
      </c>
      <c r="H28">
        <f>I28*18</f>
        <v>460</v>
      </c>
      <c r="I28" s="3">
        <f>I14</f>
        <v>25.555555555555557</v>
      </c>
      <c r="J28" s="3"/>
      <c r="K28" t="s">
        <v>306</v>
      </c>
      <c r="N28" s="3">
        <f>N23-I28</f>
        <v>-8.0425088526368</v>
      </c>
    </row>
    <row r="29" spans="1:15" x14ac:dyDescent="0.3">
      <c r="B29" s="193"/>
      <c r="C29" s="204"/>
      <c r="D29" s="204"/>
      <c r="E29" s="204"/>
      <c r="G29" t="s">
        <v>305</v>
      </c>
      <c r="H29" s="3">
        <f>I29*18</f>
        <v>-144.7651593474624</v>
      </c>
      <c r="I29" s="3">
        <f>N28</f>
        <v>-8.0425088526368</v>
      </c>
      <c r="J29" s="3"/>
      <c r="K29" s="231">
        <f>I29*Thermodynamics!E5*1.5</f>
        <v>-530.85383932714444</v>
      </c>
      <c r="L29" s="221" t="s">
        <v>381</v>
      </c>
    </row>
    <row r="30" spans="1:15" ht="15" thickBot="1" x14ac:dyDescent="0.35">
      <c r="B30" t="s">
        <v>256</v>
      </c>
      <c r="C30" s="204">
        <v>-41.153999999999996</v>
      </c>
      <c r="D30" s="3"/>
      <c r="E30" s="3"/>
      <c r="G30" t="s">
        <v>326</v>
      </c>
      <c r="H30" s="3">
        <f>SUM(H28:H29)</f>
        <v>315.23484065253763</v>
      </c>
      <c r="I30" s="3">
        <f>SUM(I28:I29)</f>
        <v>17.513046702918757</v>
      </c>
      <c r="J30" s="3"/>
      <c r="K30" s="224">
        <f>K29*$E$20</f>
        <v>-147.45939981309567</v>
      </c>
      <c r="L30" s="225" t="s">
        <v>374</v>
      </c>
    </row>
    <row r="31" spans="1:15" x14ac:dyDescent="0.3">
      <c r="C31" s="204"/>
      <c r="D31" s="3"/>
      <c r="E31" s="3"/>
      <c r="G31" s="211" t="s">
        <v>29</v>
      </c>
      <c r="H31" s="212">
        <f>I31*28</f>
        <v>1501.5404565669435</v>
      </c>
      <c r="I31" s="212">
        <f>I23-N23</f>
        <v>53.626444877390838</v>
      </c>
      <c r="J31" s="212">
        <f t="shared" ref="J31:J33" si="5">I31*22.4</f>
        <v>1201.2323652535547</v>
      </c>
    </row>
    <row r="32" spans="1:15" x14ac:dyDescent="0.3">
      <c r="B32" t="s">
        <v>308</v>
      </c>
      <c r="C32" s="204">
        <f>Thermodynamics!$E$18</f>
        <v>-205.82599999999999</v>
      </c>
      <c r="G32" s="211" t="s">
        <v>44</v>
      </c>
      <c r="H32" s="212">
        <f>I32*2</f>
        <v>214.50569185142859</v>
      </c>
      <c r="I32" s="212">
        <f>I24+N23</f>
        <v>107.2528459257143</v>
      </c>
      <c r="J32" s="212">
        <f t="shared" si="5"/>
        <v>2402.4637487360001</v>
      </c>
    </row>
    <row r="33" spans="2:12" x14ac:dyDescent="0.3">
      <c r="C33" s="204"/>
      <c r="F33" s="214"/>
      <c r="G33" s="211" t="s">
        <v>23</v>
      </c>
      <c r="H33" s="212">
        <f>I33*44</f>
        <v>1118.3671248766054</v>
      </c>
      <c r="I33" s="212">
        <f>N23+I25</f>
        <v>25.417434656286488</v>
      </c>
      <c r="J33" s="212">
        <f t="shared" si="5"/>
        <v>569.35053630081734</v>
      </c>
    </row>
    <row r="34" spans="2:12" ht="15" thickBot="1" x14ac:dyDescent="0.35">
      <c r="B34" t="s">
        <v>319</v>
      </c>
      <c r="C34" s="204">
        <f>Thermodynamics!$E$19</f>
        <v>-90.389999999999986</v>
      </c>
      <c r="G34" s="211" t="str">
        <f t="shared" ref="G34:J34" si="6">G26</f>
        <v>N2</v>
      </c>
      <c r="H34" s="212">
        <f t="shared" si="6"/>
        <v>174.65</v>
      </c>
      <c r="I34" s="212">
        <f t="shared" si="6"/>
        <v>6.2374999999999998</v>
      </c>
      <c r="J34" s="212">
        <f t="shared" si="6"/>
        <v>139.72</v>
      </c>
    </row>
    <row r="35" spans="2:12" x14ac:dyDescent="0.3">
      <c r="C35" s="204"/>
      <c r="G35" s="211" t="s">
        <v>311</v>
      </c>
      <c r="H35" s="211"/>
      <c r="I35" s="212"/>
      <c r="J35" s="212">
        <f>SUM(J31:J33)</f>
        <v>4173.0466502903719</v>
      </c>
      <c r="K35" s="227">
        <f>C30*I31*K12</f>
        <v>-2206.9427124841422</v>
      </c>
      <c r="L35" s="221" t="s">
        <v>358</v>
      </c>
    </row>
    <row r="36" spans="2:12" ht="15" thickBot="1" x14ac:dyDescent="0.35">
      <c r="C36" s="204" t="s">
        <v>387</v>
      </c>
      <c r="D36" t="s">
        <v>15</v>
      </c>
      <c r="G36" s="193" t="s">
        <v>307</v>
      </c>
      <c r="H36" t="s">
        <v>357</v>
      </c>
      <c r="I36" t="s">
        <v>377</v>
      </c>
      <c r="K36" s="224">
        <f>K35*$E$20</f>
        <v>-613.03964235670617</v>
      </c>
      <c r="L36" s="225" t="s">
        <v>370</v>
      </c>
    </row>
    <row r="37" spans="2:12" x14ac:dyDescent="0.3">
      <c r="B37" s="229" t="s">
        <v>386</v>
      </c>
      <c r="C37" s="204">
        <f>9*(Thermodynamics!B3+Thermodynamics!B4)-Thermodynamics!B26</f>
        <v>-5187.134</v>
      </c>
      <c r="D37" s="204">
        <f>C37/Thermodynamics!B27</f>
        <v>-29.811114942528736</v>
      </c>
      <c r="G37" s="209" t="str">
        <f t="shared" ref="G37:J37" si="7">G34</f>
        <v>N2</v>
      </c>
      <c r="H37" s="210">
        <f t="shared" si="7"/>
        <v>174.65</v>
      </c>
      <c r="I37" s="210">
        <f t="shared" si="7"/>
        <v>6.2374999999999998</v>
      </c>
      <c r="J37" s="210">
        <f t="shared" si="7"/>
        <v>139.72</v>
      </c>
      <c r="K37" s="161"/>
    </row>
    <row r="38" spans="2:12" x14ac:dyDescent="0.3">
      <c r="B38" t="s">
        <v>389</v>
      </c>
      <c r="D38">
        <v>-22.4</v>
      </c>
      <c r="G38" s="209" t="s">
        <v>29</v>
      </c>
      <c r="H38" s="210">
        <f>I38*18</f>
        <v>965.27600779303509</v>
      </c>
      <c r="I38" s="210">
        <f>I31</f>
        <v>53.626444877390838</v>
      </c>
      <c r="J38" s="210">
        <f>I38*22.4</f>
        <v>1201.2323652535547</v>
      </c>
      <c r="K38" s="234" t="s">
        <v>396</v>
      </c>
      <c r="L38" s="235"/>
    </row>
    <row r="39" spans="2:12" x14ac:dyDescent="0.3">
      <c r="B39" t="s">
        <v>390</v>
      </c>
      <c r="D39" s="162">
        <f>D38/D37</f>
        <v>0.75139759258195371</v>
      </c>
      <c r="G39" s="209" t="s">
        <v>44</v>
      </c>
      <c r="H39" s="210">
        <f>I39*2</f>
        <v>214.50569185142859</v>
      </c>
      <c r="I39" s="210">
        <f>I32</f>
        <v>107.2528459257143</v>
      </c>
      <c r="J39" s="210">
        <f t="shared" ref="J39:J43" si="8">I39*22.4</f>
        <v>2402.4637487360001</v>
      </c>
      <c r="K39" s="161"/>
    </row>
    <row r="40" spans="2:12" x14ac:dyDescent="0.3">
      <c r="G40" s="209" t="s">
        <v>310</v>
      </c>
      <c r="H40" s="210"/>
      <c r="I40" s="210"/>
      <c r="J40" s="210">
        <f>SUM(J38:J39)</f>
        <v>3603.6961139895548</v>
      </c>
      <c r="K40" s="161"/>
    </row>
    <row r="41" spans="2:12" x14ac:dyDescent="0.3">
      <c r="G41" s="211" t="str">
        <f t="shared" ref="G41:J41" si="9">G34</f>
        <v>N2</v>
      </c>
      <c r="H41" s="212">
        <f t="shared" si="9"/>
        <v>174.65</v>
      </c>
      <c r="I41" s="212">
        <f t="shared" si="9"/>
        <v>6.2374999999999998</v>
      </c>
      <c r="J41" s="212">
        <f t="shared" si="9"/>
        <v>139.72</v>
      </c>
      <c r="K41" s="161"/>
    </row>
    <row r="42" spans="2:12" x14ac:dyDescent="0.3">
      <c r="G42" s="211" t="s">
        <v>259</v>
      </c>
      <c r="H42" s="212">
        <f>I42*16</f>
        <v>858.02311803825341</v>
      </c>
      <c r="I42" s="212">
        <f>I38</f>
        <v>53.626444877390838</v>
      </c>
      <c r="J42" s="212">
        <f t="shared" si="8"/>
        <v>1201.2323652535547</v>
      </c>
      <c r="K42" s="161"/>
    </row>
    <row r="43" spans="2:12" ht="15" thickBot="1" x14ac:dyDescent="0.35">
      <c r="G43" s="211" t="s">
        <v>225</v>
      </c>
      <c r="H43" s="212">
        <f>I43*18</f>
        <v>965.27600779303509</v>
      </c>
      <c r="I43" s="212">
        <f>I38</f>
        <v>53.626444877390838</v>
      </c>
      <c r="J43" s="212">
        <f t="shared" si="8"/>
        <v>1201.2323652535547</v>
      </c>
      <c r="K43" s="161"/>
    </row>
    <row r="44" spans="2:12" x14ac:dyDescent="0.3">
      <c r="G44" s="211" t="s">
        <v>311</v>
      </c>
      <c r="H44" s="211"/>
      <c r="I44" s="211"/>
      <c r="J44" s="212">
        <f>SUM(J42:J43)</f>
        <v>2402.4647305071094</v>
      </c>
      <c r="K44" s="227">
        <f>C32*I38*K12</f>
        <v>-11037.716643333846</v>
      </c>
      <c r="L44" s="221" t="s">
        <v>355</v>
      </c>
    </row>
    <row r="45" spans="2:12" ht="15" thickBot="1" x14ac:dyDescent="0.35">
      <c r="K45" s="224">
        <f>K44*$E$20</f>
        <v>-3066.0324009260685</v>
      </c>
      <c r="L45" s="225" t="s">
        <v>370</v>
      </c>
    </row>
    <row r="46" spans="2:12" ht="15" thickBot="1" x14ac:dyDescent="0.35">
      <c r="G46" s="193" t="s">
        <v>313</v>
      </c>
      <c r="H46" t="s">
        <v>378</v>
      </c>
      <c r="J46" t="s">
        <v>320</v>
      </c>
      <c r="K46" s="161"/>
    </row>
    <row r="47" spans="2:12" x14ac:dyDescent="0.3">
      <c r="G47" t="s">
        <v>314</v>
      </c>
      <c r="H47" s="3">
        <f>I47*(12+16+4)</f>
        <v>1716.0462360765068</v>
      </c>
      <c r="I47" s="3">
        <f>I31</f>
        <v>53.626444877390838</v>
      </c>
      <c r="J47" s="3">
        <f>H47/0.792</f>
        <v>2166.7250455511448</v>
      </c>
      <c r="K47" s="227">
        <f>I47*C34*K12</f>
        <v>-4847.2943524673574</v>
      </c>
      <c r="L47" s="221" t="s">
        <v>356</v>
      </c>
    </row>
    <row r="48" spans="2:12" ht="15" thickBot="1" x14ac:dyDescent="0.35">
      <c r="K48" s="224">
        <f>K47*$E$20</f>
        <v>-1346.4706534631548</v>
      </c>
      <c r="L48" s="225" t="s">
        <v>370</v>
      </c>
    </row>
    <row r="49" spans="7:15" x14ac:dyDescent="0.3">
      <c r="G49" s="193" t="s">
        <v>341</v>
      </c>
      <c r="H49" s="3">
        <f>I49*28</f>
        <v>174.65</v>
      </c>
      <c r="I49" s="3">
        <f>I21/0.8*0.2</f>
        <v>6.2374999999999998</v>
      </c>
      <c r="J49">
        <f>I49*22.4</f>
        <v>139.72</v>
      </c>
    </row>
    <row r="50" spans="7:15" ht="15" thickBot="1" x14ac:dyDescent="0.35"/>
    <row r="51" spans="7:15" x14ac:dyDescent="0.3">
      <c r="G51" s="170" t="s">
        <v>339</v>
      </c>
      <c r="H51" s="170" t="s">
        <v>294</v>
      </c>
      <c r="I51" s="170" t="s">
        <v>266</v>
      </c>
      <c r="J51" s="218" t="s">
        <v>309</v>
      </c>
      <c r="K51" s="220" t="s">
        <v>359</v>
      </c>
      <c r="L51" s="221"/>
      <c r="M51" t="s">
        <v>360</v>
      </c>
    </row>
    <row r="52" spans="7:15" x14ac:dyDescent="0.3">
      <c r="G52" s="170" t="s">
        <v>322</v>
      </c>
      <c r="H52" s="170">
        <v>2300</v>
      </c>
      <c r="I52" s="170"/>
      <c r="J52" s="218"/>
      <c r="K52" s="222">
        <f>H52/1000*50</f>
        <v>114.99999999999999</v>
      </c>
      <c r="L52" s="223" t="s">
        <v>345</v>
      </c>
      <c r="M52" t="s">
        <v>362</v>
      </c>
    </row>
    <row r="53" spans="7:15" x14ac:dyDescent="0.3">
      <c r="G53" s="170" t="s">
        <v>255</v>
      </c>
      <c r="H53" s="217">
        <f>H21</f>
        <v>798.4</v>
      </c>
      <c r="I53" s="216">
        <f>H53/32</f>
        <v>24.95</v>
      </c>
      <c r="J53" s="219">
        <f>I53*22.4</f>
        <v>558.88</v>
      </c>
      <c r="K53" s="222">
        <f>K52*24</f>
        <v>2759.9999999999995</v>
      </c>
      <c r="L53" s="223" t="s">
        <v>342</v>
      </c>
    </row>
    <row r="54" spans="7:15" ht="15" thickBot="1" x14ac:dyDescent="0.35">
      <c r="G54" s="170" t="s">
        <v>225</v>
      </c>
      <c r="H54" s="217">
        <f>H22</f>
        <v>192.52655440412798</v>
      </c>
      <c r="I54" s="216">
        <f>H54/18</f>
        <v>10.69591968911822</v>
      </c>
      <c r="J54" s="219">
        <f t="shared" ref="J54:J55" si="10">I54*22.4</f>
        <v>239.58860103624812</v>
      </c>
      <c r="K54" s="224">
        <f>K53*300</f>
        <v>827999.99999999988</v>
      </c>
      <c r="L54" s="225" t="s">
        <v>346</v>
      </c>
      <c r="M54" s="161">
        <f>K54/60*90</f>
        <v>1241999.9999999998</v>
      </c>
    </row>
    <row r="55" spans="7:15" x14ac:dyDescent="0.3">
      <c r="G55" s="170" t="s">
        <v>45</v>
      </c>
      <c r="H55" s="217">
        <f>H26</f>
        <v>174.65</v>
      </c>
      <c r="I55" s="216">
        <f>H55/28</f>
        <v>6.2374999999999998</v>
      </c>
      <c r="J55" s="216">
        <f t="shared" si="10"/>
        <v>139.72</v>
      </c>
    </row>
    <row r="57" spans="7:15" ht="15" thickBot="1" x14ac:dyDescent="0.35">
      <c r="G57" s="170" t="s">
        <v>384</v>
      </c>
      <c r="H57" s="170" t="s">
        <v>294</v>
      </c>
      <c r="I57" s="170" t="s">
        <v>266</v>
      </c>
      <c r="J57" s="170" t="s">
        <v>309</v>
      </c>
      <c r="K57" s="34"/>
    </row>
    <row r="58" spans="7:15" x14ac:dyDescent="0.3">
      <c r="G58" s="170" t="s">
        <v>0</v>
      </c>
      <c r="H58" s="216">
        <f>H18</f>
        <v>335.11</v>
      </c>
      <c r="I58" s="170"/>
      <c r="J58" s="218"/>
      <c r="K58" s="226" t="s">
        <v>359</v>
      </c>
      <c r="L58" s="221"/>
      <c r="M58" t="s">
        <v>360</v>
      </c>
      <c r="N58" s="234" t="s">
        <v>396</v>
      </c>
      <c r="O58" s="235"/>
    </row>
    <row r="59" spans="7:15" x14ac:dyDescent="0.3">
      <c r="G59" s="170" t="s">
        <v>259</v>
      </c>
      <c r="H59" s="217">
        <f>H42</f>
        <v>858.02311803825341</v>
      </c>
      <c r="I59" s="216">
        <f>H59/18</f>
        <v>47.667951002125193</v>
      </c>
      <c r="J59" s="219">
        <f>I59*22.4</f>
        <v>1067.7621024476043</v>
      </c>
      <c r="K59" s="222">
        <f>J59*0.15</f>
        <v>160.16431536714063</v>
      </c>
      <c r="L59" s="223" t="s">
        <v>343</v>
      </c>
      <c r="M59" t="s">
        <v>361</v>
      </c>
    </row>
    <row r="60" spans="7:15" x14ac:dyDescent="0.3">
      <c r="G60" s="170" t="s">
        <v>225</v>
      </c>
      <c r="H60" s="217">
        <f>H43</f>
        <v>965.27600779303509</v>
      </c>
      <c r="I60" s="216">
        <f>H60/18</f>
        <v>53.626444877390838</v>
      </c>
      <c r="J60" s="219">
        <f t="shared" ref="J60:J62" si="11">I60*22.4</f>
        <v>1201.2323652535547</v>
      </c>
      <c r="K60" s="222">
        <f>K59*24</f>
        <v>3843.9435688113754</v>
      </c>
      <c r="L60" s="223" t="s">
        <v>342</v>
      </c>
    </row>
    <row r="61" spans="7:15" ht="15" thickBot="1" x14ac:dyDescent="0.35">
      <c r="G61" s="170" t="s">
        <v>23</v>
      </c>
      <c r="H61" s="217">
        <f>H33</f>
        <v>1118.3671248766054</v>
      </c>
      <c r="I61" s="216">
        <f>H61/44</f>
        <v>25.417434656286488</v>
      </c>
      <c r="J61" s="219">
        <f t="shared" si="11"/>
        <v>569.35053630081734</v>
      </c>
      <c r="K61" s="224">
        <f>K60*300</f>
        <v>1153183.0706434126</v>
      </c>
      <c r="L61" s="225" t="s">
        <v>346</v>
      </c>
      <c r="M61" s="161">
        <f>K61/15*23</f>
        <v>1768214.0416532329</v>
      </c>
    </row>
    <row r="62" spans="7:15" x14ac:dyDescent="0.3">
      <c r="G62" s="170" t="str">
        <f t="shared" ref="G62:I62" si="12">G55</f>
        <v>N2</v>
      </c>
      <c r="H62" s="217">
        <f t="shared" si="12"/>
        <v>174.65</v>
      </c>
      <c r="I62" s="216">
        <f t="shared" si="12"/>
        <v>6.2374999999999998</v>
      </c>
      <c r="J62" s="216">
        <f t="shared" si="11"/>
        <v>139.72</v>
      </c>
    </row>
    <row r="65" spans="7:14" ht="15" thickBot="1" x14ac:dyDescent="0.35">
      <c r="G65" s="170" t="s">
        <v>385</v>
      </c>
      <c r="H65" s="170" t="s">
        <v>294</v>
      </c>
      <c r="I65" s="170" t="s">
        <v>266</v>
      </c>
      <c r="J65" s="170" t="str">
        <f t="shared" ref="G65:J66" si="13">J46</f>
        <v>litrov</v>
      </c>
      <c r="M65" t="s">
        <v>360</v>
      </c>
    </row>
    <row r="66" spans="7:14" x14ac:dyDescent="0.3">
      <c r="G66" s="170" t="str">
        <f t="shared" si="13"/>
        <v>CH3OH</v>
      </c>
      <c r="H66" s="216">
        <f t="shared" si="13"/>
        <v>1716.0462360765068</v>
      </c>
      <c r="I66" s="216">
        <f t="shared" si="13"/>
        <v>53.626444877390838</v>
      </c>
      <c r="J66" s="219">
        <f t="shared" si="13"/>
        <v>2166.7250455511448</v>
      </c>
      <c r="K66" s="227">
        <f>H66/1000*175</f>
        <v>300.30809131338867</v>
      </c>
      <c r="L66" s="221" t="s">
        <v>344</v>
      </c>
      <c r="M66" t="s">
        <v>364</v>
      </c>
    </row>
    <row r="67" spans="7:14" x14ac:dyDescent="0.3">
      <c r="G67" s="170" t="str">
        <f t="shared" ref="G67:J68" si="14">G61</f>
        <v>CO2</v>
      </c>
      <c r="H67" s="217">
        <f t="shared" si="14"/>
        <v>1118.3671248766054</v>
      </c>
      <c r="I67" s="216">
        <f t="shared" si="14"/>
        <v>25.417434656286488</v>
      </c>
      <c r="J67" s="219">
        <f t="shared" si="14"/>
        <v>569.35053630081734</v>
      </c>
      <c r="K67" s="222">
        <f>K66*24</f>
        <v>7207.3941915213281</v>
      </c>
      <c r="L67" s="223" t="s">
        <v>342</v>
      </c>
    </row>
    <row r="68" spans="7:14" ht="15" thickBot="1" x14ac:dyDescent="0.35">
      <c r="G68" s="170" t="str">
        <f t="shared" si="14"/>
        <v>N2</v>
      </c>
      <c r="H68" s="217">
        <f t="shared" si="14"/>
        <v>174.65</v>
      </c>
      <c r="I68" s="216">
        <f t="shared" si="14"/>
        <v>6.2374999999999998</v>
      </c>
      <c r="J68" s="219">
        <f t="shared" si="14"/>
        <v>139.72</v>
      </c>
      <c r="K68" s="224">
        <f>K67*300</f>
        <v>2162218.2574563986</v>
      </c>
      <c r="L68" s="225" t="s">
        <v>346</v>
      </c>
      <c r="M68" s="161">
        <f>K68/175*400</f>
        <v>4942213.1599003403</v>
      </c>
    </row>
    <row r="69" spans="7:14" x14ac:dyDescent="0.3">
      <c r="G69" s="170" t="str">
        <f t="shared" ref="G69:J69" si="15">G58</f>
        <v>Ash</v>
      </c>
      <c r="H69" s="217">
        <f t="shared" si="15"/>
        <v>335.11</v>
      </c>
      <c r="I69" s="216">
        <f t="shared" si="15"/>
        <v>0</v>
      </c>
      <c r="J69" s="216">
        <f t="shared" si="15"/>
        <v>0</v>
      </c>
      <c r="K69" s="161"/>
      <c r="M69" s="161"/>
    </row>
    <row r="70" spans="7:14" x14ac:dyDescent="0.3">
      <c r="H70" s="3"/>
      <c r="I70" s="22"/>
      <c r="J70" s="233"/>
      <c r="K70" s="161"/>
      <c r="M70" s="161"/>
    </row>
    <row r="71" spans="7:14" x14ac:dyDescent="0.3">
      <c r="J71" s="170"/>
      <c r="K71" s="170" t="s">
        <v>354</v>
      </c>
    </row>
    <row r="72" spans="7:14" x14ac:dyDescent="0.3">
      <c r="J72" s="170" t="s">
        <v>347</v>
      </c>
      <c r="K72" s="169">
        <v>200000</v>
      </c>
    </row>
    <row r="73" spans="7:14" x14ac:dyDescent="0.3">
      <c r="J73" s="170" t="s">
        <v>348</v>
      </c>
      <c r="K73" s="169">
        <f>1500*24*300*0.15</f>
        <v>1620000</v>
      </c>
      <c r="L73" t="s">
        <v>391</v>
      </c>
      <c r="M73">
        <f>1500*0.2</f>
        <v>300</v>
      </c>
      <c r="N73">
        <f>1500*0.1</f>
        <v>150</v>
      </c>
    </row>
    <row r="74" spans="7:14" x14ac:dyDescent="0.3">
      <c r="J74" s="170" t="s">
        <v>349</v>
      </c>
      <c r="K74" s="169">
        <v>1000000</v>
      </c>
      <c r="L74" t="s">
        <v>350</v>
      </c>
    </row>
    <row r="75" spans="7:14" x14ac:dyDescent="0.3">
      <c r="J75" s="170" t="s">
        <v>351</v>
      </c>
      <c r="K75" s="169">
        <f>K74*5*0.05*0.6</f>
        <v>150000</v>
      </c>
      <c r="L75" t="s">
        <v>352</v>
      </c>
    </row>
    <row r="76" spans="7:14" x14ac:dyDescent="0.3">
      <c r="J76" s="170" t="s">
        <v>366</v>
      </c>
      <c r="K76" s="169">
        <f>200000</f>
        <v>200000</v>
      </c>
    </row>
    <row r="77" spans="7:14" x14ac:dyDescent="0.3">
      <c r="J77" s="170" t="s">
        <v>280</v>
      </c>
      <c r="K77" s="169">
        <f>SUM(K72:K76)</f>
        <v>3170000</v>
      </c>
    </row>
    <row r="78" spans="7:14" x14ac:dyDescent="0.3">
      <c r="J78" s="170"/>
      <c r="K78" s="170" t="s">
        <v>365</v>
      </c>
      <c r="L78" s="228" t="s">
        <v>363</v>
      </c>
    </row>
    <row r="79" spans="7:14" x14ac:dyDescent="0.3">
      <c r="J79" s="170" t="s">
        <v>353</v>
      </c>
      <c r="K79" s="169">
        <f>K61+K54-K77</f>
        <v>-1188816.9293565876</v>
      </c>
      <c r="L79" s="169">
        <f>M54+M61-K77</f>
        <v>-159785.95834676735</v>
      </c>
      <c r="M79" s="234" t="s">
        <v>396</v>
      </c>
      <c r="N79" s="235"/>
    </row>
    <row r="80" spans="7:14" x14ac:dyDescent="0.3">
      <c r="J80" s="170" t="s">
        <v>373</v>
      </c>
      <c r="K80" s="169">
        <f>K68+K54-K77</f>
        <v>-179781.74254360143</v>
      </c>
      <c r="L80" s="169">
        <f>M54+M68-K77</f>
        <v>3014213.1599003403</v>
      </c>
    </row>
    <row r="81" spans="10:12" x14ac:dyDescent="0.3">
      <c r="K81" t="s">
        <v>374</v>
      </c>
    </row>
    <row r="82" spans="10:12" x14ac:dyDescent="0.3">
      <c r="J82" s="170" t="s">
        <v>371</v>
      </c>
      <c r="K82" s="169">
        <f>K36+K45</f>
        <v>-3679.0720432827748</v>
      </c>
      <c r="L82" s="170" t="s">
        <v>382</v>
      </c>
    </row>
    <row r="83" spans="10:12" x14ac:dyDescent="0.3">
      <c r="J83" s="170" t="s">
        <v>372</v>
      </c>
      <c r="K83" s="169">
        <f>K36+K48</f>
        <v>-1959.5102958198609</v>
      </c>
      <c r="L83" s="170" t="s">
        <v>383</v>
      </c>
    </row>
  </sheetData>
  <pageMargins left="0.25" right="0.25" top="0.75" bottom="0.75" header="0.3" footer="0.3"/>
  <pageSetup paperSize="9" scale="41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R138"/>
  <sheetViews>
    <sheetView topLeftCell="A82" workbookViewId="0">
      <selection activeCell="K86" sqref="K86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26.44140625" customWidth="1"/>
    <col min="8" max="8" width="10.5546875" bestFit="1" customWidth="1"/>
    <col min="9" max="9" width="11.5546875" bestFit="1" customWidth="1"/>
    <col min="10" max="10" width="16" customWidth="1"/>
    <col min="11" max="11" width="10.88671875" customWidth="1"/>
    <col min="12" max="12" width="20.6640625" customWidth="1"/>
    <col min="13" max="13" width="9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5" t="s">
        <v>0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</v>
      </c>
      <c r="P2" s="5" t="s">
        <v>131</v>
      </c>
      <c r="Q2" s="5" t="s">
        <v>17</v>
      </c>
      <c r="R2" s="5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212">
        <f>H3*$R$3/120</f>
        <v>11.795660621761444</v>
      </c>
      <c r="I4" s="212">
        <f t="shared" ref="I4:N4" si="0">I3*$R$3/120</f>
        <v>39.669689119170265</v>
      </c>
      <c r="J4" s="212">
        <f t="shared" si="0"/>
        <v>6.654792746113869</v>
      </c>
      <c r="K4" s="212">
        <f t="shared" si="0"/>
        <v>20.11819948186492</v>
      </c>
      <c r="L4" s="212">
        <f t="shared" si="0"/>
        <v>0.15867875647668106</v>
      </c>
      <c r="M4" s="212">
        <f t="shared" si="0"/>
        <v>1.3439119170984211</v>
      </c>
      <c r="N4" s="212">
        <f t="shared" si="0"/>
        <v>0.25906735751294868</v>
      </c>
      <c r="O4" s="212">
        <f t="shared" ref="O4" si="1">O3*$Q$3/120</f>
        <v>0</v>
      </c>
      <c r="P4" s="211">
        <v>20</v>
      </c>
      <c r="Q4" s="3">
        <f>SUM(H4:P4)</f>
        <v>99.99999999999855</v>
      </c>
    </row>
    <row r="5" spans="2:18" x14ac:dyDescent="0.3">
      <c r="C5" t="s">
        <v>398</v>
      </c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>
        <f>M4/32</f>
        <v>4.1997247409325658E-2</v>
      </c>
      <c r="N5" s="3">
        <f>N4/35.5</f>
        <v>7.2976720426182725E-3</v>
      </c>
      <c r="O5" s="3"/>
      <c r="Q5" s="3"/>
    </row>
    <row r="6" spans="2:18" x14ac:dyDescent="0.3">
      <c r="C6" t="s">
        <v>399</v>
      </c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H21/I8</f>
        <v>0.18737739473047982</v>
      </c>
      <c r="K8" s="3"/>
      <c r="L8" s="3"/>
      <c r="M8" s="3"/>
      <c r="N8" s="3">
        <f>N7/100*2300</f>
        <v>0</v>
      </c>
      <c r="O8" s="3"/>
      <c r="Q8" s="3"/>
    </row>
    <row r="9" spans="2:18" x14ac:dyDescent="0.3">
      <c r="C9" t="s">
        <v>400</v>
      </c>
      <c r="D9">
        <f>17*2+40</f>
        <v>74</v>
      </c>
      <c r="G9" t="s">
        <v>436</v>
      </c>
      <c r="H9" s="3"/>
      <c r="I9" s="3"/>
      <c r="J9" s="3"/>
      <c r="K9" s="3"/>
      <c r="L9" s="3"/>
      <c r="M9" s="3">
        <f>M5/100*2300*$D$9*1</f>
        <v>71.479315090672273</v>
      </c>
      <c r="N9" s="3">
        <f>N5/100*2300*$D$9*1/2</f>
        <v>6.2103189082681496</v>
      </c>
      <c r="O9" s="3"/>
      <c r="Q9" s="3">
        <f>SUM(H9:P9)</f>
        <v>77.689633998940423</v>
      </c>
      <c r="R9" s="243">
        <f>Q9/H13</f>
        <v>4.2222627173337954E-2</v>
      </c>
    </row>
    <row r="10" spans="2:18" x14ac:dyDescent="0.3">
      <c r="G10" t="s">
        <v>444</v>
      </c>
      <c r="H10" s="3"/>
      <c r="I10" s="3"/>
      <c r="J10" s="3"/>
      <c r="K10" s="3"/>
      <c r="L10" s="3"/>
      <c r="M10" s="3">
        <f>M9*1.5</f>
        <v>107.2189726360084</v>
      </c>
      <c r="N10" s="3">
        <f>N9*1.5</f>
        <v>9.3154783624022244</v>
      </c>
      <c r="O10" s="3"/>
      <c r="Q10" s="3">
        <f>SUM(M10:N10)</f>
        <v>116.53445099841062</v>
      </c>
      <c r="R10" s="243">
        <f>Q10/H13</f>
        <v>6.3333940760006924E-2</v>
      </c>
    </row>
    <row r="11" spans="2:18" x14ac:dyDescent="0.3">
      <c r="C11" t="s">
        <v>404</v>
      </c>
      <c r="H11" t="s">
        <v>294</v>
      </c>
      <c r="I11" t="s">
        <v>266</v>
      </c>
      <c r="J11" t="s">
        <v>309</v>
      </c>
      <c r="K11" t="s">
        <v>336</v>
      </c>
      <c r="L11" t="s">
        <v>330</v>
      </c>
      <c r="M11" t="s">
        <v>329</v>
      </c>
      <c r="N11" t="s">
        <v>331</v>
      </c>
      <c r="O11" t="s">
        <v>335</v>
      </c>
    </row>
    <row r="12" spans="2:18" x14ac:dyDescent="0.3">
      <c r="C12" t="s">
        <v>403</v>
      </c>
      <c r="D12">
        <v>92</v>
      </c>
      <c r="G12" t="s">
        <v>322</v>
      </c>
      <c r="H12">
        <v>2300</v>
      </c>
      <c r="K12">
        <v>1</v>
      </c>
      <c r="O12" s="3">
        <f>SUM(O13:O14)</f>
        <v>2811.8266666666464</v>
      </c>
    </row>
    <row r="13" spans="2:18" x14ac:dyDescent="0.3">
      <c r="G13" t="s">
        <v>334</v>
      </c>
      <c r="H13">
        <f>SUM(H4:O4)/100*H12</f>
        <v>1839.9999999999666</v>
      </c>
      <c r="L13">
        <f>H13*1.2/1000*500</f>
        <v>1103.99999999998</v>
      </c>
      <c r="O13" s="3">
        <f>SUM(L13:N13)</f>
        <v>1103.99999999998</v>
      </c>
    </row>
    <row r="14" spans="2:18" x14ac:dyDescent="0.3">
      <c r="G14" t="s">
        <v>323</v>
      </c>
      <c r="H14" s="211">
        <f>H12*P4/100</f>
        <v>460</v>
      </c>
      <c r="I14" s="3">
        <f>H14/18</f>
        <v>25.555555555555557</v>
      </c>
      <c r="J14" s="3">
        <f t="shared" ref="J14" si="2">I14*22.4</f>
        <v>572.44444444444446</v>
      </c>
      <c r="L14" s="3">
        <f>I14*80*Thermodynamics!C5/1000</f>
        <v>153.94666666666666</v>
      </c>
      <c r="M14">
        <f>I14*Thermodynamics!E5</f>
        <v>1124.5466666666664</v>
      </c>
      <c r="N14" s="3">
        <f>I14*500*Thermodynamics!C4/1000</f>
        <v>429.33333333333337</v>
      </c>
      <c r="O14" s="3">
        <f>SUM(L14:N14)</f>
        <v>1707.8266666666664</v>
      </c>
    </row>
    <row r="15" spans="2:18" x14ac:dyDescent="0.3">
      <c r="G15" t="s">
        <v>2</v>
      </c>
      <c r="H15" s="22">
        <f>H12*I4/100</f>
        <v>912.40284974091617</v>
      </c>
      <c r="I15" s="3">
        <f>H15/12</f>
        <v>76.033570811743019</v>
      </c>
      <c r="J15" s="3"/>
    </row>
    <row r="16" spans="2:18" x14ac:dyDescent="0.3">
      <c r="G16" t="s">
        <v>44</v>
      </c>
      <c r="H16" s="22">
        <f>H12*J4/100</f>
        <v>153.06023316061899</v>
      </c>
      <c r="I16" s="3">
        <f>H16/2</f>
        <v>76.530116580309496</v>
      </c>
      <c r="J16" s="3"/>
    </row>
    <row r="17" spans="1:14" x14ac:dyDescent="0.3">
      <c r="G17" t="s">
        <v>4</v>
      </c>
      <c r="H17" s="22">
        <f>H12*K4/100</f>
        <v>462.71858808289318</v>
      </c>
      <c r="I17" s="3">
        <f>H17/16</f>
        <v>28.919911755180824</v>
      </c>
      <c r="J17" s="3"/>
    </row>
    <row r="18" spans="1:14" ht="15" thickBot="1" x14ac:dyDescent="0.35">
      <c r="C18" t="s">
        <v>294</v>
      </c>
      <c r="D18" t="s">
        <v>266</v>
      </c>
      <c r="G18" t="s">
        <v>340</v>
      </c>
      <c r="H18" s="22">
        <f>H12*(H4+M4+N4+L4)/100</f>
        <v>311.81832901553838</v>
      </c>
      <c r="I18" s="3"/>
      <c r="J18" s="3">
        <f>H51/2300</f>
        <v>3.6610732006547797E-2</v>
      </c>
    </row>
    <row r="19" spans="1:14" x14ac:dyDescent="0.3">
      <c r="B19" t="str">
        <f>G20</f>
        <v>C9H18O3</v>
      </c>
      <c r="C19" s="213">
        <f>H20</f>
        <v>1528.1816709844284</v>
      </c>
      <c r="D19">
        <f>I20</f>
        <v>8.7826532815197034</v>
      </c>
      <c r="G19" s="193" t="s">
        <v>298</v>
      </c>
      <c r="H19" s="22">
        <f>H21/(H20/0.8)</f>
        <v>0.38352204906734488</v>
      </c>
      <c r="I19" s="3">
        <f>(H22+H51)/(2300)</f>
        <v>8.5570103486603433E-2</v>
      </c>
      <c r="J19" s="3">
        <f>H22/2300</f>
        <v>4.8959371480055643E-2</v>
      </c>
      <c r="K19" s="231">
        <f>D28</f>
        <v>-81.973027734347852</v>
      </c>
      <c r="L19" s="221" t="s">
        <v>280</v>
      </c>
    </row>
    <row r="20" spans="1:14" ht="15" thickBot="1" x14ac:dyDescent="0.35">
      <c r="A20" t="s">
        <v>338</v>
      </c>
      <c r="C20" s="14" t="s">
        <v>19</v>
      </c>
      <c r="E20">
        <f>1/3.6</f>
        <v>0.27777777777777779</v>
      </c>
      <c r="G20" t="s">
        <v>295</v>
      </c>
      <c r="H20" s="22">
        <f>SUM(H15:H17)</f>
        <v>1528.1816709844284</v>
      </c>
      <c r="I20" s="23">
        <f>H20/(9*12+18+16*3)</f>
        <v>8.7826532815197034</v>
      </c>
      <c r="J20" s="23"/>
      <c r="K20" s="232">
        <f>K19*$E$20</f>
        <v>-22.770285481763292</v>
      </c>
      <c r="L20" s="225" t="s">
        <v>48</v>
      </c>
    </row>
    <row r="21" spans="1:14" x14ac:dyDescent="0.3">
      <c r="A21" s="162">
        <f>A23/A22*2</f>
        <v>0.32081639431375486</v>
      </c>
      <c r="C21" s="213" t="s">
        <v>20</v>
      </c>
      <c r="D21" t="s">
        <v>369</v>
      </c>
      <c r="E21" t="s">
        <v>368</v>
      </c>
      <c r="G21" t="s">
        <v>255</v>
      </c>
      <c r="H21" s="3">
        <f>I21*32</f>
        <v>732.61420725388371</v>
      </c>
      <c r="I21" s="3">
        <f>A22*3+A24*0.5</f>
        <v>22.894193976683866</v>
      </c>
      <c r="J21" s="3">
        <f t="shared" ref="J21:J28" si="3">I21*22.4</f>
        <v>512.82994507771855</v>
      </c>
      <c r="K21" t="s">
        <v>300</v>
      </c>
      <c r="L21" s="243">
        <f>H21/H13</f>
        <v>0.39815989524668316</v>
      </c>
    </row>
    <row r="22" spans="1:14" x14ac:dyDescent="0.3">
      <c r="A22" s="212">
        <v>6.5</v>
      </c>
      <c r="B22" s="229" t="s">
        <v>296</v>
      </c>
      <c r="C22" s="230">
        <f>Thermodynamics!E34</f>
        <v>-463.88</v>
      </c>
      <c r="D22" s="190">
        <f>A22*C22</f>
        <v>-3015.22</v>
      </c>
      <c r="E22" s="190">
        <f>D22*$E$20</f>
        <v>-837.56111111111113</v>
      </c>
      <c r="G22" t="s">
        <v>225</v>
      </c>
      <c r="H22" s="3">
        <f>I22*18</f>
        <v>112.60655440412798</v>
      </c>
      <c r="I22" s="3">
        <f>6*A23</f>
        <v>6.2559196891182207</v>
      </c>
      <c r="J22" s="3">
        <f t="shared" si="3"/>
        <v>140.13260103624813</v>
      </c>
      <c r="K22" t="s">
        <v>300</v>
      </c>
      <c r="L22" s="243">
        <f>H22/H13</f>
        <v>6.1199214350070662E-2</v>
      </c>
    </row>
    <row r="23" spans="1:14" x14ac:dyDescent="0.3">
      <c r="A23" s="215">
        <f>D19-A22-A25</f>
        <v>1.0426532815197034</v>
      </c>
      <c r="B23" s="229" t="s">
        <v>297</v>
      </c>
      <c r="C23" s="230">
        <f>Thermodynamics!E35</f>
        <v>987.07599999999991</v>
      </c>
      <c r="D23" s="190">
        <f>C23*A23</f>
        <v>1029.1780305093425</v>
      </c>
      <c r="E23" s="190">
        <f t="shared" ref="E23:E28" si="4">D23*$E$20</f>
        <v>285.88278625259517</v>
      </c>
      <c r="G23" t="s">
        <v>29</v>
      </c>
      <c r="H23" s="212">
        <f>I23*28</f>
        <v>1745.3937642486687</v>
      </c>
      <c r="I23" s="3">
        <f>(A22+A23)*9-A24+A25</f>
        <v>62.335491580309601</v>
      </c>
      <c r="J23" s="3">
        <f t="shared" si="3"/>
        <v>1396.315011398935</v>
      </c>
      <c r="K23" t="s">
        <v>301</v>
      </c>
    </row>
    <row r="24" spans="1:14" x14ac:dyDescent="0.3">
      <c r="A24" s="215">
        <f>(A22+A23)*9*F24</f>
        <v>6.7883879533677334</v>
      </c>
      <c r="B24" s="229" t="str">
        <f>Thermodynamics!D4</f>
        <v>CO + 0,5 O2 = CO2</v>
      </c>
      <c r="C24" s="230">
        <f>Thermodynamics!E4</f>
        <v>-282.98</v>
      </c>
      <c r="D24" s="190">
        <f>A24*C24</f>
        <v>-1920.9780230440012</v>
      </c>
      <c r="E24" s="190">
        <f t="shared" si="4"/>
        <v>-533.6050064011115</v>
      </c>
      <c r="F24" s="214">
        <v>0.1</v>
      </c>
      <c r="G24" t="s">
        <v>44</v>
      </c>
      <c r="H24" s="212">
        <f>I24*2</f>
        <v>162.76490500863051</v>
      </c>
      <c r="I24" s="3">
        <f>A22*9+A23*16+5*A25</f>
        <v>81.382452504315253</v>
      </c>
      <c r="J24" s="3">
        <f t="shared" si="3"/>
        <v>1822.9669360966616</v>
      </c>
    </row>
    <row r="25" spans="1:14" x14ac:dyDescent="0.3">
      <c r="A25">
        <v>1.24</v>
      </c>
      <c r="B25" s="193" t="s">
        <v>413</v>
      </c>
      <c r="C25" s="204">
        <f>Thermodynamics!B30+Thermodynamics!B6+Thermodynamics!B3-Thermodynamics!B26</f>
        <v>39.20999999999998</v>
      </c>
      <c r="D25" s="190">
        <f>A25*C25</f>
        <v>48.620399999999975</v>
      </c>
      <c r="E25" s="190">
        <f>D25*$E$20</f>
        <v>13.505666666666661</v>
      </c>
      <c r="F25" s="214"/>
      <c r="G25" t="s">
        <v>23</v>
      </c>
      <c r="H25" s="212">
        <f>I25*44</f>
        <v>353.24906994818025</v>
      </c>
      <c r="I25" s="3">
        <f>A24+A25</f>
        <v>8.0283879533677336</v>
      </c>
      <c r="J25" s="3">
        <f t="shared" si="3"/>
        <v>179.83589015543723</v>
      </c>
      <c r="N25" s="3"/>
    </row>
    <row r="26" spans="1:14" x14ac:dyDescent="0.3">
      <c r="B26" s="229" t="s">
        <v>388</v>
      </c>
      <c r="C26" s="190"/>
      <c r="D26" s="190">
        <f>SUM(D22:D25)*0.75</f>
        <v>-2893.7996944009942</v>
      </c>
      <c r="E26" s="190">
        <f t="shared" si="4"/>
        <v>-803.83324844472065</v>
      </c>
      <c r="G26" t="s">
        <v>498</v>
      </c>
      <c r="H26" s="212">
        <f>I26*28</f>
        <v>71.226381260794255</v>
      </c>
      <c r="I26" s="3">
        <f>I21/0.9*0.1</f>
        <v>2.5437993307426519</v>
      </c>
      <c r="J26" s="3">
        <f t="shared" si="3"/>
        <v>56.981105008635396</v>
      </c>
      <c r="N26" s="3">
        <f>SUM(H20:H22)</f>
        <v>2373.4024326424401</v>
      </c>
    </row>
    <row r="27" spans="1:14" x14ac:dyDescent="0.3">
      <c r="B27" s="229" t="s">
        <v>337</v>
      </c>
      <c r="C27" s="190"/>
      <c r="D27" s="190">
        <f>SUM(O13:O14)</f>
        <v>2811.8266666666464</v>
      </c>
      <c r="E27" s="190">
        <f t="shared" si="4"/>
        <v>781.06296296295739</v>
      </c>
      <c r="G27" t="s">
        <v>415</v>
      </c>
      <c r="H27" s="212">
        <f>I27*D12</f>
        <v>114.08</v>
      </c>
      <c r="I27" s="3">
        <f>A25</f>
        <v>1.24</v>
      </c>
      <c r="J27" s="3">
        <f t="shared" si="3"/>
        <v>27.776</v>
      </c>
      <c r="L27" s="244">
        <f>H27/(SUM(J23:J26))</f>
        <v>3.3008314256248922E-2</v>
      </c>
      <c r="N27" s="3">
        <f>SUM(H27,H23:H25)</f>
        <v>2375.4877392054796</v>
      </c>
    </row>
    <row r="28" spans="1:14" x14ac:dyDescent="0.3">
      <c r="B28" s="229" t="s">
        <v>367</v>
      </c>
      <c r="C28" s="190"/>
      <c r="D28" s="190">
        <f>SUM(D26:D27)</f>
        <v>-81.973027734347852</v>
      </c>
      <c r="E28" s="190">
        <f t="shared" si="4"/>
        <v>-22.770285481763292</v>
      </c>
      <c r="G28" t="s">
        <v>431</v>
      </c>
      <c r="H28" s="212">
        <f>I28*18</f>
        <v>460</v>
      </c>
      <c r="I28" s="3">
        <f>I14</f>
        <v>25.555555555555557</v>
      </c>
      <c r="J28" s="3">
        <f t="shared" si="3"/>
        <v>572.44444444444446</v>
      </c>
      <c r="L28" s="244"/>
      <c r="N28" s="3">
        <f>N27-N26</f>
        <v>2.0853065630394667</v>
      </c>
    </row>
    <row r="29" spans="1:14" x14ac:dyDescent="0.3">
      <c r="G29" s="193" t="s">
        <v>416</v>
      </c>
      <c r="H29" s="3"/>
      <c r="I29" s="3"/>
      <c r="J29" s="3"/>
      <c r="N29" s="3"/>
    </row>
    <row r="30" spans="1:14" x14ac:dyDescent="0.3">
      <c r="B30" s="193"/>
      <c r="C30" s="204"/>
      <c r="D30" s="204"/>
      <c r="E30" s="204"/>
      <c r="G30" t="s">
        <v>415</v>
      </c>
      <c r="H30" s="3">
        <f>H27</f>
        <v>114.08</v>
      </c>
      <c r="I30" s="3">
        <f>I27</f>
        <v>1.24</v>
      </c>
      <c r="J30" s="3"/>
      <c r="N30" s="3"/>
    </row>
    <row r="31" spans="1:14" x14ac:dyDescent="0.3">
      <c r="B31" t="s">
        <v>256</v>
      </c>
      <c r="C31" s="204">
        <v>-41.153999999999996</v>
      </c>
      <c r="D31" s="3"/>
      <c r="E31" s="3"/>
      <c r="G31" t="s">
        <v>255</v>
      </c>
      <c r="H31" s="3">
        <f>I31*32</f>
        <v>83.328000000000003</v>
      </c>
      <c r="I31" s="3">
        <f>A42*7/2</f>
        <v>2.6040000000000001</v>
      </c>
      <c r="J31" s="3">
        <f t="shared" ref="J31:J32" si="5">I31*22.4</f>
        <v>58.329599999999999</v>
      </c>
      <c r="K31" t="s">
        <v>300</v>
      </c>
      <c r="L31" s="245">
        <f>H31/SUM(J23:J26)</f>
        <v>2.4110420848042696E-2</v>
      </c>
      <c r="N31" s="3"/>
    </row>
    <row r="32" spans="1:14" x14ac:dyDescent="0.3">
      <c r="C32" s="204"/>
      <c r="D32" s="3"/>
      <c r="E32" s="3"/>
      <c r="G32" t="s">
        <v>497</v>
      </c>
      <c r="H32" s="3">
        <f>I32*28</f>
        <v>109.36799999999999</v>
      </c>
      <c r="I32" s="3">
        <f>I31/0.4*0.6</f>
        <v>3.9059999999999997</v>
      </c>
      <c r="J32" s="3">
        <f t="shared" si="5"/>
        <v>87.494399999999985</v>
      </c>
      <c r="N32" s="3"/>
    </row>
    <row r="33" spans="1:15" x14ac:dyDescent="0.3">
      <c r="B33" t="s">
        <v>308</v>
      </c>
      <c r="C33" s="204">
        <f>Thermodynamics!$E$18</f>
        <v>-205.82599999999999</v>
      </c>
      <c r="G33" t="s">
        <v>423</v>
      </c>
      <c r="H33" s="3">
        <f>I33*18</f>
        <v>62.496000000000002</v>
      </c>
      <c r="I33" s="3">
        <f>A43*7</f>
        <v>3.472</v>
      </c>
      <c r="J33" s="3"/>
      <c r="L33" s="245">
        <f>H33/SUM(J23:J26)</f>
        <v>1.8082815636032021E-2</v>
      </c>
      <c r="N33" s="3"/>
    </row>
    <row r="34" spans="1:15" x14ac:dyDescent="0.3">
      <c r="C34" s="204"/>
      <c r="G34" t="s">
        <v>417</v>
      </c>
      <c r="H34" s="3">
        <f>I34*28</f>
        <v>243.04</v>
      </c>
      <c r="I34" s="3">
        <f>(A42+A43)*7</f>
        <v>8.68</v>
      </c>
      <c r="J34" s="3"/>
      <c r="N34" s="3"/>
    </row>
    <row r="35" spans="1:15" x14ac:dyDescent="0.3">
      <c r="B35" t="s">
        <v>319</v>
      </c>
      <c r="C35" s="204">
        <f>Thermodynamics!$E$19</f>
        <v>-90.389999999999986</v>
      </c>
      <c r="F35" s="214"/>
      <c r="G35" t="s">
        <v>421</v>
      </c>
      <c r="H35" s="3">
        <f>I35*2</f>
        <v>16.863999999999997</v>
      </c>
      <c r="I35" s="3">
        <f>(A42*4)+A43*11</f>
        <v>8.4319999999999986</v>
      </c>
      <c r="J35" s="3"/>
      <c r="N35" s="3"/>
    </row>
    <row r="36" spans="1:15" x14ac:dyDescent="0.3">
      <c r="C36" s="204"/>
      <c r="G36" s="246" t="s">
        <v>418</v>
      </c>
      <c r="H36" s="212">
        <f>I36*28</f>
        <v>1988.4337642486689</v>
      </c>
      <c r="I36" s="3">
        <f>I23+I34</f>
        <v>71.0154915803096</v>
      </c>
      <c r="J36" s="3">
        <f t="shared" ref="J36:J40" si="6">I36*22.4</f>
        <v>1590.747011398935</v>
      </c>
      <c r="N36" s="3"/>
    </row>
    <row r="37" spans="1:15" x14ac:dyDescent="0.3">
      <c r="C37" s="204" t="s">
        <v>387</v>
      </c>
      <c r="D37" t="s">
        <v>15</v>
      </c>
      <c r="G37" s="246" t="s">
        <v>422</v>
      </c>
      <c r="H37" s="212">
        <f>I37*2</f>
        <v>179.62890500863051</v>
      </c>
      <c r="I37" s="3">
        <f>I35+I24</f>
        <v>89.814452504315256</v>
      </c>
      <c r="J37" s="3">
        <f t="shared" si="6"/>
        <v>2011.8437360966616</v>
      </c>
      <c r="N37" s="3"/>
    </row>
    <row r="38" spans="1:15" x14ac:dyDescent="0.3">
      <c r="B38" s="229" t="s">
        <v>386</v>
      </c>
      <c r="C38" s="204">
        <f>9*(Thermodynamics!B3+Thermodynamics!B4)-Thermodynamics!B26</f>
        <v>-5187.134</v>
      </c>
      <c r="D38" s="204">
        <f>C38/Thermodynamics!B27</f>
        <v>-29.811114942528736</v>
      </c>
      <c r="G38" s="246" t="s">
        <v>23</v>
      </c>
      <c r="H38" s="212">
        <f>I38*44</f>
        <v>353.24906994818025</v>
      </c>
      <c r="I38" s="3">
        <f>I25</f>
        <v>8.0283879533677336</v>
      </c>
      <c r="J38" s="3">
        <f t="shared" si="6"/>
        <v>179.83589015543723</v>
      </c>
      <c r="N38" s="3" t="s">
        <v>434</v>
      </c>
    </row>
    <row r="39" spans="1:15" x14ac:dyDescent="0.3">
      <c r="B39" t="s">
        <v>389</v>
      </c>
      <c r="D39">
        <v>-22.4</v>
      </c>
      <c r="G39" s="246" t="s">
        <v>433</v>
      </c>
      <c r="H39" s="212">
        <f>I39*28</f>
        <v>180.59438126079425</v>
      </c>
      <c r="I39" s="3">
        <f>I32+I26</f>
        <v>6.4497993307426515</v>
      </c>
      <c r="J39" s="3">
        <f t="shared" si="6"/>
        <v>144.47550500863539</v>
      </c>
      <c r="N39" s="3"/>
    </row>
    <row r="40" spans="1:15" x14ac:dyDescent="0.3">
      <c r="B40" t="s">
        <v>390</v>
      </c>
      <c r="D40" s="162">
        <f>D39/D38</f>
        <v>0.75139759258195371</v>
      </c>
      <c r="G40" t="s">
        <v>431</v>
      </c>
      <c r="H40" s="212">
        <f>I40*18</f>
        <v>397.50400000000002</v>
      </c>
      <c r="I40" s="3">
        <f>I14-I33</f>
        <v>22.083555555555556</v>
      </c>
      <c r="J40" s="3">
        <f t="shared" si="6"/>
        <v>494.67164444444444</v>
      </c>
      <c r="N40" t="s">
        <v>302</v>
      </c>
    </row>
    <row r="41" spans="1:15" x14ac:dyDescent="0.3">
      <c r="G41" s="246" t="s">
        <v>488</v>
      </c>
      <c r="H41" s="3">
        <f>I41*(32)</f>
        <v>1437.0312400690441</v>
      </c>
      <c r="I41" s="3">
        <f>I37/2</f>
        <v>44.907226252157628</v>
      </c>
      <c r="J41" s="3"/>
      <c r="N41" s="215">
        <v>17.405517576941115</v>
      </c>
      <c r="O41" t="s">
        <v>424</v>
      </c>
    </row>
    <row r="42" spans="1:15" x14ac:dyDescent="0.3">
      <c r="A42">
        <f>60%*A25</f>
        <v>0.74399999999999999</v>
      </c>
      <c r="B42" t="s">
        <v>420</v>
      </c>
      <c r="C42">
        <f>7*Thermodynamics!B6-Thermodynamics!B30</f>
        <v>-786.07</v>
      </c>
      <c r="D42" s="190">
        <f>A42*C42</f>
        <v>-584.83608000000004</v>
      </c>
      <c r="E42" s="190">
        <f>D42*$E$20</f>
        <v>-162.45446666666669</v>
      </c>
      <c r="H42" s="3"/>
      <c r="I42" s="3"/>
      <c r="J42" s="3"/>
      <c r="N42" s="3">
        <f>(I37+N41)/(I36-N41)</f>
        <v>2.0000004117614272</v>
      </c>
      <c r="O42" t="s">
        <v>425</v>
      </c>
    </row>
    <row r="43" spans="1:15" x14ac:dyDescent="0.3">
      <c r="A43">
        <f>40%*A25</f>
        <v>0.496</v>
      </c>
      <c r="B43" t="s">
        <v>419</v>
      </c>
      <c r="C43">
        <f>7*Thermodynamics!B6-Thermodynamics!B30-7*Thermodynamics!B4</f>
        <v>906.71199999999988</v>
      </c>
      <c r="D43" s="190">
        <f>C43*A43</f>
        <v>449.72915199999994</v>
      </c>
      <c r="E43" s="190">
        <f t="shared" ref="E43" si="7">D43*$E$20</f>
        <v>124.92476444444443</v>
      </c>
      <c r="G43" s="193" t="s">
        <v>299</v>
      </c>
      <c r="H43" t="s">
        <v>375</v>
      </c>
      <c r="N43" t="s">
        <v>428</v>
      </c>
    </row>
    <row r="44" spans="1:15" ht="15" thickBot="1" x14ac:dyDescent="0.35">
      <c r="E44" s="204">
        <f>SUM(E42:E43)</f>
        <v>-37.529702222222255</v>
      </c>
      <c r="G44" t="s">
        <v>327</v>
      </c>
      <c r="H44">
        <f>I44*18</f>
        <v>397.50400000000002</v>
      </c>
      <c r="I44" s="3">
        <f>I14-I33</f>
        <v>22.083555555555556</v>
      </c>
      <c r="J44" s="3"/>
      <c r="K44" t="s">
        <v>306</v>
      </c>
      <c r="N44" s="3">
        <f>N41-I44</f>
        <v>-4.6780379786144408</v>
      </c>
    </row>
    <row r="45" spans="1:15" x14ac:dyDescent="0.3">
      <c r="E45" s="3">
        <f>E44/SUM(J23:J26)</f>
        <v>-1.0858977953143022E-2</v>
      </c>
      <c r="K45" s="231">
        <f>I51*Thermodynamics!E5*1.5</f>
        <v>308.77857481642468</v>
      </c>
      <c r="L45" s="221" t="s">
        <v>381</v>
      </c>
    </row>
    <row r="46" spans="1:15" ht="15" thickBot="1" x14ac:dyDescent="0.35">
      <c r="F46" t="s">
        <v>437</v>
      </c>
      <c r="G46" t="s">
        <v>427</v>
      </c>
      <c r="H46" s="3">
        <f>I46*18</f>
        <v>313.29931638494008</v>
      </c>
      <c r="I46" s="3">
        <f>N41</f>
        <v>17.405517576941115</v>
      </c>
      <c r="J46" s="3"/>
      <c r="K46" s="224">
        <f>K45*$E$20</f>
        <v>85.771826337895746</v>
      </c>
      <c r="L46" s="225" t="s">
        <v>374</v>
      </c>
    </row>
    <row r="47" spans="1:15" x14ac:dyDescent="0.3">
      <c r="B47" t="s">
        <v>489</v>
      </c>
      <c r="C47">
        <f>12+3+16+1</f>
        <v>32</v>
      </c>
      <c r="G47" s="211" t="s">
        <v>29</v>
      </c>
      <c r="H47" s="212">
        <f>I47*28</f>
        <v>1501.0792720943175</v>
      </c>
      <c r="I47" s="212">
        <f>I36-N41</f>
        <v>53.609974003368485</v>
      </c>
      <c r="J47" s="212">
        <f>I47*22.4</f>
        <v>1200.863417675454</v>
      </c>
    </row>
    <row r="48" spans="1:15" x14ac:dyDescent="0.3">
      <c r="G48" s="211" t="s">
        <v>44</v>
      </c>
      <c r="H48" s="212">
        <f>I48*2</f>
        <v>214.43994016251276</v>
      </c>
      <c r="I48" s="212">
        <f>I37+N41</f>
        <v>107.21997008125638</v>
      </c>
      <c r="J48" s="212">
        <f>I48*22.4</f>
        <v>2401.7273298201426</v>
      </c>
    </row>
    <row r="49" spans="7:14" x14ac:dyDescent="0.3">
      <c r="G49" s="211" t="s">
        <v>23</v>
      </c>
      <c r="H49" s="212">
        <f>I49*44</f>
        <v>1119.0918433335894</v>
      </c>
      <c r="I49" s="212">
        <f>N41+I38</f>
        <v>25.433905530308849</v>
      </c>
      <c r="J49" s="212">
        <f>I49*22.4</f>
        <v>569.71948387891814</v>
      </c>
    </row>
    <row r="50" spans="7:14" x14ac:dyDescent="0.3">
      <c r="G50" s="211" t="s">
        <v>446</v>
      </c>
      <c r="H50" s="212">
        <f>I50*28</f>
        <v>180.59438126079425</v>
      </c>
      <c r="I50" s="212">
        <f>I39</f>
        <v>6.4497993307426515</v>
      </c>
      <c r="J50" s="212">
        <f>I50*22.4</f>
        <v>144.47550500863539</v>
      </c>
    </row>
    <row r="51" spans="7:14" ht="15" thickBot="1" x14ac:dyDescent="0.35">
      <c r="G51" s="211" t="s">
        <v>426</v>
      </c>
      <c r="H51" s="212">
        <f>I51*18</f>
        <v>84.204683615059935</v>
      </c>
      <c r="I51" s="212">
        <f>I40-N41</f>
        <v>4.6780379786144408</v>
      </c>
      <c r="J51" s="212">
        <f>I51*22.4</f>
        <v>104.78805072096347</v>
      </c>
      <c r="N51" s="23">
        <f>J51/SUM(J36:J39)</f>
        <v>2.6684660557899999E-2</v>
      </c>
    </row>
    <row r="52" spans="7:14" x14ac:dyDescent="0.3">
      <c r="G52" s="211" t="s">
        <v>311</v>
      </c>
      <c r="H52" s="211"/>
      <c r="I52" s="212"/>
      <c r="J52" s="212">
        <f>SUM(J47:J49)</f>
        <v>4172.3102313745148</v>
      </c>
      <c r="K52" s="227">
        <f>C31*I47*K12</f>
        <v>-2206.2648701346266</v>
      </c>
      <c r="L52" s="221" t="s">
        <v>358</v>
      </c>
    </row>
    <row r="53" spans="7:14" ht="15" thickBot="1" x14ac:dyDescent="0.35">
      <c r="G53" s="193" t="s">
        <v>307</v>
      </c>
      <c r="H53" t="s">
        <v>357</v>
      </c>
      <c r="I53" t="s">
        <v>377</v>
      </c>
      <c r="K53" s="224">
        <f>K52*$E$20</f>
        <v>-612.8513528151741</v>
      </c>
      <c r="L53" s="225" t="s">
        <v>370</v>
      </c>
      <c r="N53" s="23">
        <f>K53/SUM(J36:J39)</f>
        <v>-0.15606483954807523</v>
      </c>
    </row>
    <row r="54" spans="7:14" x14ac:dyDescent="0.3">
      <c r="G54" s="209" t="str">
        <f>G50</f>
        <v xml:space="preserve">N2  </v>
      </c>
      <c r="H54" s="210">
        <f>H50</f>
        <v>180.59438126079425</v>
      </c>
      <c r="I54" s="210">
        <f>I50</f>
        <v>6.4497993307426515</v>
      </c>
      <c r="J54" s="210">
        <f>J50</f>
        <v>144.47550500863539</v>
      </c>
      <c r="K54" s="161"/>
    </row>
    <row r="55" spans="7:14" x14ac:dyDescent="0.3">
      <c r="G55" s="209" t="s">
        <v>29</v>
      </c>
      <c r="H55" s="210">
        <f>I55*18</f>
        <v>964.97953206063278</v>
      </c>
      <c r="I55" s="210">
        <f>I47</f>
        <v>53.609974003368485</v>
      </c>
      <c r="J55" s="210">
        <f>I55*22.4</f>
        <v>1200.863417675454</v>
      </c>
      <c r="K55" s="234" t="s">
        <v>396</v>
      </c>
      <c r="L55" s="235"/>
    </row>
    <row r="56" spans="7:14" x14ac:dyDescent="0.3">
      <c r="G56" s="209" t="s">
        <v>44</v>
      </c>
      <c r="H56" s="210">
        <f>I56*2</f>
        <v>214.43994016251276</v>
      </c>
      <c r="I56" s="210">
        <f>I48</f>
        <v>107.21997008125638</v>
      </c>
      <c r="J56" s="210">
        <f>I56*22.4</f>
        <v>2401.7273298201426</v>
      </c>
      <c r="K56" s="161"/>
    </row>
    <row r="57" spans="7:14" x14ac:dyDescent="0.3">
      <c r="G57" s="209" t="s">
        <v>310</v>
      </c>
      <c r="H57" s="210"/>
      <c r="I57" s="210"/>
      <c r="J57" s="210">
        <f>SUM(J55:J56)</f>
        <v>3602.5907474955966</v>
      </c>
      <c r="K57" s="161"/>
    </row>
    <row r="58" spans="7:14" x14ac:dyDescent="0.3">
      <c r="G58" s="211" t="str">
        <f>G50</f>
        <v xml:space="preserve">N2  </v>
      </c>
      <c r="H58" s="212">
        <f>H50</f>
        <v>180.59438126079425</v>
      </c>
      <c r="I58" s="212">
        <f>I50</f>
        <v>6.4497993307426515</v>
      </c>
      <c r="J58" s="212">
        <f>J50</f>
        <v>144.47550500863539</v>
      </c>
      <c r="K58" s="161"/>
    </row>
    <row r="59" spans="7:14" x14ac:dyDescent="0.3">
      <c r="G59" s="211" t="s">
        <v>259</v>
      </c>
      <c r="H59" s="212">
        <f>I59*16</f>
        <v>857.75958405389576</v>
      </c>
      <c r="I59" s="212">
        <f>I55</f>
        <v>53.609974003368485</v>
      </c>
      <c r="J59" s="212">
        <f>I59*22.4</f>
        <v>1200.863417675454</v>
      </c>
      <c r="K59" s="161"/>
    </row>
    <row r="60" spans="7:14" ht="15" thickBot="1" x14ac:dyDescent="0.35">
      <c r="G60" s="211" t="s">
        <v>225</v>
      </c>
      <c r="H60" s="212">
        <f>I60*18</f>
        <v>964.97953206063278</v>
      </c>
      <c r="I60" s="212">
        <f>I55</f>
        <v>53.609974003368485</v>
      </c>
      <c r="J60" s="212">
        <f>I60*22.4</f>
        <v>1200.863417675454</v>
      </c>
      <c r="K60" s="161"/>
    </row>
    <row r="61" spans="7:14" x14ac:dyDescent="0.3">
      <c r="G61" s="211" t="s">
        <v>311</v>
      </c>
      <c r="H61" s="211"/>
      <c r="I61" s="211"/>
      <c r="J61" s="212">
        <f>SUM(J59:J60)</f>
        <v>2401.726835350908</v>
      </c>
      <c r="K61" s="227">
        <f>C33*I55*K12</f>
        <v>-11034.326509217322</v>
      </c>
      <c r="L61" s="221" t="s">
        <v>355</v>
      </c>
    </row>
    <row r="62" spans="7:14" ht="15" thickBot="1" x14ac:dyDescent="0.35">
      <c r="K62" s="224">
        <f>K61*$E$20</f>
        <v>-3065.0906970048118</v>
      </c>
      <c r="L62" s="225" t="s">
        <v>370</v>
      </c>
    </row>
    <row r="63" spans="7:14" x14ac:dyDescent="0.3">
      <c r="K63" s="161"/>
    </row>
    <row r="64" spans="7:14" x14ac:dyDescent="0.3">
      <c r="G64" s="211" t="s">
        <v>445</v>
      </c>
      <c r="K64" s="161"/>
    </row>
    <row r="65" spans="7:12" x14ac:dyDescent="0.3">
      <c r="G65" s="211" t="s">
        <v>29</v>
      </c>
      <c r="H65" s="3">
        <f t="shared" ref="H65:J69" si="8">H47</f>
        <v>1501.0792720943175</v>
      </c>
      <c r="I65" s="3">
        <f t="shared" si="8"/>
        <v>53.609974003368485</v>
      </c>
      <c r="J65" s="3">
        <f t="shared" si="8"/>
        <v>1200.863417675454</v>
      </c>
      <c r="K65" s="161"/>
    </row>
    <row r="66" spans="7:12" x14ac:dyDescent="0.3">
      <c r="G66" s="211" t="s">
        <v>44</v>
      </c>
      <c r="H66" s="3">
        <f t="shared" si="8"/>
        <v>214.43994016251276</v>
      </c>
      <c r="I66" s="3">
        <f t="shared" si="8"/>
        <v>107.21997008125638</v>
      </c>
      <c r="J66" s="3">
        <f t="shared" si="8"/>
        <v>2401.7273298201426</v>
      </c>
      <c r="K66" s="161"/>
    </row>
    <row r="67" spans="7:12" x14ac:dyDescent="0.3">
      <c r="G67" s="211" t="s">
        <v>23</v>
      </c>
      <c r="H67" s="3">
        <f t="shared" si="8"/>
        <v>1119.0918433335894</v>
      </c>
      <c r="I67" s="3">
        <f t="shared" si="8"/>
        <v>25.433905530308849</v>
      </c>
      <c r="J67" s="3">
        <f t="shared" si="8"/>
        <v>569.71948387891814</v>
      </c>
      <c r="K67" s="161"/>
    </row>
    <row r="68" spans="7:12" x14ac:dyDescent="0.3">
      <c r="G68" s="211" t="s">
        <v>45</v>
      </c>
      <c r="H68" s="3">
        <f t="shared" si="8"/>
        <v>180.59438126079425</v>
      </c>
      <c r="I68" s="3">
        <f t="shared" si="8"/>
        <v>6.4497993307426515</v>
      </c>
      <c r="J68" s="3">
        <f t="shared" si="8"/>
        <v>144.47550500863539</v>
      </c>
      <c r="K68" s="161">
        <f>SUM(J65:J68)</f>
        <v>4316.7857363831499</v>
      </c>
    </row>
    <row r="69" spans="7:12" x14ac:dyDescent="0.3">
      <c r="G69" s="211" t="s">
        <v>447</v>
      </c>
      <c r="H69" s="3">
        <f t="shared" si="8"/>
        <v>84.204683615059935</v>
      </c>
      <c r="I69" s="3">
        <f t="shared" si="8"/>
        <v>4.6780379786144408</v>
      </c>
      <c r="J69" s="3">
        <f t="shared" si="8"/>
        <v>104.78805072096347</v>
      </c>
      <c r="K69" s="161"/>
    </row>
    <row r="70" spans="7:12" x14ac:dyDescent="0.3">
      <c r="G70" s="211" t="s">
        <v>448</v>
      </c>
      <c r="H70" s="3">
        <f>SUM(H65:H67)</f>
        <v>2834.6110555904197</v>
      </c>
      <c r="I70" s="3">
        <f t="shared" ref="I70:J70" si="9">SUM(I65:I67)</f>
        <v>186.26384961493369</v>
      </c>
      <c r="J70" s="3">
        <f t="shared" si="9"/>
        <v>4172.3102313745148</v>
      </c>
      <c r="K70" s="161"/>
    </row>
    <row r="71" spans="7:12" x14ac:dyDescent="0.3">
      <c r="G71" s="211" t="s">
        <v>45</v>
      </c>
      <c r="H71" s="3">
        <f>H68</f>
        <v>180.59438126079425</v>
      </c>
      <c r="I71" s="3">
        <f t="shared" ref="I71:J71" si="10">I68</f>
        <v>6.4497993307426515</v>
      </c>
      <c r="J71" s="3">
        <f t="shared" si="10"/>
        <v>144.47550500863539</v>
      </c>
      <c r="K71" s="161"/>
    </row>
    <row r="72" spans="7:12" x14ac:dyDescent="0.3">
      <c r="G72" s="211" t="s">
        <v>501</v>
      </c>
      <c r="H72" s="3">
        <f>SUM(H70:H71)</f>
        <v>3015.205436851214</v>
      </c>
      <c r="I72" s="3">
        <f t="shared" ref="I72:J72" si="11">SUM(I70:I71)</f>
        <v>192.71364894567634</v>
      </c>
      <c r="J72" s="3">
        <f t="shared" si="11"/>
        <v>4316.7857363831499</v>
      </c>
      <c r="K72" s="251">
        <f>H72/J72</f>
        <v>0.69848392322050379</v>
      </c>
    </row>
    <row r="73" spans="7:12" x14ac:dyDescent="0.3">
      <c r="G73" s="211"/>
      <c r="H73" s="3"/>
      <c r="K73" s="161"/>
    </row>
    <row r="74" spans="7:12" x14ac:dyDescent="0.3">
      <c r="G74" s="211" t="s">
        <v>449</v>
      </c>
      <c r="H74" s="3"/>
      <c r="K74" s="161"/>
    </row>
    <row r="75" spans="7:12" x14ac:dyDescent="0.3">
      <c r="G75" s="211" t="s">
        <v>29</v>
      </c>
      <c r="H75" s="3">
        <f>(1/F88-1)*H65</f>
        <v>8506.1158752011324</v>
      </c>
      <c r="I75" s="3">
        <f>(1/F88-1)*I65</f>
        <v>303.78985268575474</v>
      </c>
      <c r="J75" s="212">
        <f>I75*22.4</f>
        <v>6804.8927001609054</v>
      </c>
      <c r="K75" s="161"/>
    </row>
    <row r="76" spans="7:12" x14ac:dyDescent="0.3">
      <c r="G76" s="211" t="s">
        <v>44</v>
      </c>
      <c r="H76" s="3">
        <f>(1/F88-1)*H66</f>
        <v>1215.1596609209057</v>
      </c>
      <c r="I76" s="3">
        <f>(1/F88-1)*I66</f>
        <v>607.57983046045285</v>
      </c>
      <c r="J76" s="212">
        <f>I76*22.4</f>
        <v>13609.788202314143</v>
      </c>
      <c r="K76" s="161"/>
    </row>
    <row r="77" spans="7:12" x14ac:dyDescent="0.3">
      <c r="G77" s="211" t="s">
        <v>452</v>
      </c>
      <c r="H77" s="3">
        <f>SUM(H75:H76)</f>
        <v>9721.2755361220388</v>
      </c>
      <c r="J77" s="3">
        <f>SUM(J75:J76)</f>
        <v>20414.680902475047</v>
      </c>
      <c r="K77" s="161"/>
    </row>
    <row r="78" spans="7:12" x14ac:dyDescent="0.3">
      <c r="G78" s="211"/>
      <c r="H78" s="3"/>
      <c r="K78" s="161"/>
    </row>
    <row r="79" spans="7:12" x14ac:dyDescent="0.3">
      <c r="G79" s="211" t="s">
        <v>450</v>
      </c>
      <c r="H79" s="3"/>
      <c r="K79" s="161"/>
    </row>
    <row r="80" spans="7:12" x14ac:dyDescent="0.3">
      <c r="G80" s="211" t="s">
        <v>29</v>
      </c>
      <c r="H80" s="3">
        <f>I80*28</f>
        <v>10007.195147295452</v>
      </c>
      <c r="I80" s="3">
        <f t="shared" ref="I80" si="12">I75+I65</f>
        <v>357.39982668912324</v>
      </c>
      <c r="J80" s="3">
        <f>I80*22.4</f>
        <v>8005.7561178363603</v>
      </c>
      <c r="K80" s="161"/>
      <c r="L80" s="162">
        <f>I80/$I$86</f>
        <v>0.32370729301017986</v>
      </c>
    </row>
    <row r="81" spans="5:12" x14ac:dyDescent="0.3">
      <c r="G81" s="211" t="s">
        <v>44</v>
      </c>
      <c r="H81" s="3">
        <f>I81*2</f>
        <v>1429.5996010834185</v>
      </c>
      <c r="I81" s="3">
        <f t="shared" ref="I81" si="13">I66+I76</f>
        <v>714.79980054170926</v>
      </c>
      <c r="J81" s="3">
        <f t="shared" ref="J81:J83" si="14">I81*22.4</f>
        <v>16011.515532134286</v>
      </c>
      <c r="K81" s="161"/>
      <c r="L81" s="162">
        <f t="shared" ref="L81:L83" si="15">I81/$I$86</f>
        <v>0.64741471931053673</v>
      </c>
    </row>
    <row r="82" spans="5:12" x14ac:dyDescent="0.3">
      <c r="G82" s="211" t="s">
        <v>23</v>
      </c>
      <c r="H82" s="3">
        <f>H67</f>
        <v>1119.0918433335894</v>
      </c>
      <c r="I82" s="3">
        <f t="shared" ref="I82" si="16">I67</f>
        <v>25.433905530308849</v>
      </c>
      <c r="J82" s="3">
        <f t="shared" si="14"/>
        <v>569.71948387891814</v>
      </c>
      <c r="K82" s="161"/>
      <c r="L82" s="162">
        <f t="shared" si="15"/>
        <v>2.303621908875279E-2</v>
      </c>
    </row>
    <row r="83" spans="5:12" x14ac:dyDescent="0.3">
      <c r="G83" s="211" t="s">
        <v>45</v>
      </c>
      <c r="H83" s="3">
        <f>H68</f>
        <v>180.59438126079425</v>
      </c>
      <c r="I83" s="3">
        <f t="shared" ref="I83" si="17">I68</f>
        <v>6.4497993307426515</v>
      </c>
      <c r="J83" s="3">
        <f t="shared" si="14"/>
        <v>144.47550500863539</v>
      </c>
      <c r="K83" s="161"/>
      <c r="L83" s="162">
        <f t="shared" si="15"/>
        <v>5.8417685905305253E-3</v>
      </c>
    </row>
    <row r="84" spans="5:12" x14ac:dyDescent="0.3">
      <c r="G84" s="211" t="s">
        <v>451</v>
      </c>
      <c r="H84" s="3">
        <f>SUM(H80:H82)</f>
        <v>12555.88659171246</v>
      </c>
      <c r="I84" s="3">
        <f>SUM(I80:I82)</f>
        <v>1097.6335327611414</v>
      </c>
      <c r="J84" s="3">
        <f>SUM(J80:J82)</f>
        <v>24586.991133849566</v>
      </c>
      <c r="K84" s="161"/>
    </row>
    <row r="85" spans="5:12" x14ac:dyDescent="0.3">
      <c r="G85" s="211" t="s">
        <v>45</v>
      </c>
      <c r="H85" s="3">
        <f>H83</f>
        <v>180.59438126079425</v>
      </c>
      <c r="I85" s="3">
        <f t="shared" ref="I85:J85" si="18">I83</f>
        <v>6.4497993307426515</v>
      </c>
      <c r="J85" s="3">
        <f t="shared" si="18"/>
        <v>144.47550500863539</v>
      </c>
      <c r="K85" s="161"/>
    </row>
    <row r="86" spans="5:12" x14ac:dyDescent="0.3">
      <c r="G86" s="211" t="s">
        <v>501</v>
      </c>
      <c r="H86" s="3">
        <f>SUM(H84:H85)</f>
        <v>12736.480972973255</v>
      </c>
      <c r="I86" s="3">
        <f t="shared" ref="I86:J86" si="19">SUM(I84:I85)</f>
        <v>1104.0833320918841</v>
      </c>
      <c r="J86" s="3">
        <f t="shared" si="19"/>
        <v>24731.466638858201</v>
      </c>
      <c r="K86" s="161"/>
    </row>
    <row r="87" spans="5:12" x14ac:dyDescent="0.3">
      <c r="E87" t="s">
        <v>438</v>
      </c>
      <c r="G87" s="211"/>
      <c r="H87" s="3"/>
      <c r="K87" s="161"/>
    </row>
    <row r="88" spans="5:12" x14ac:dyDescent="0.3">
      <c r="F88" s="214">
        <v>0.15</v>
      </c>
      <c r="G88" s="211" t="s">
        <v>453</v>
      </c>
      <c r="H88" s="3">
        <f>I88*32</f>
        <v>1715.5195213001023</v>
      </c>
      <c r="I88" s="3">
        <f>I81*F88/2</f>
        <v>53.609985040628196</v>
      </c>
      <c r="J88" s="3">
        <f t="shared" ref="J88:J89" si="20">I88*22.4</f>
        <v>1200.8636649100715</v>
      </c>
      <c r="K88" s="161"/>
    </row>
    <row r="89" spans="5:12" x14ac:dyDescent="0.3">
      <c r="G89" s="211" t="s">
        <v>29</v>
      </c>
      <c r="H89" s="3">
        <f>I89*28</f>
        <v>8506.1155661578614</v>
      </c>
      <c r="I89" s="3">
        <f>I80-I88</f>
        <v>303.78984164849504</v>
      </c>
      <c r="J89" s="3">
        <f t="shared" si="20"/>
        <v>6804.8924529262886</v>
      </c>
      <c r="K89" s="161"/>
    </row>
    <row r="90" spans="5:12" x14ac:dyDescent="0.3">
      <c r="G90" s="211" t="s">
        <v>44</v>
      </c>
      <c r="H90" s="3">
        <f>I90*2</f>
        <v>1215.1596609209057</v>
      </c>
      <c r="I90">
        <f>I81-2*I88</f>
        <v>607.57983046045285</v>
      </c>
      <c r="J90" s="3">
        <f t="shared" ref="J90" si="21">I90*22.4</f>
        <v>13609.788202314143</v>
      </c>
      <c r="K90" s="161">
        <f>SUM(J89:J90)</f>
        <v>20414.68065524043</v>
      </c>
    </row>
    <row r="91" spans="5:12" x14ac:dyDescent="0.3">
      <c r="G91" s="211" t="s">
        <v>23</v>
      </c>
      <c r="H91" s="3">
        <f>I91*44</f>
        <v>1119.0918433335894</v>
      </c>
      <c r="I91" s="3">
        <f>I82</f>
        <v>25.433905530308849</v>
      </c>
      <c r="J91" s="3">
        <f t="shared" ref="J91:J92" si="22">I91*22.4</f>
        <v>569.71948387891814</v>
      </c>
      <c r="K91" s="161"/>
    </row>
    <row r="92" spans="5:12" x14ac:dyDescent="0.3">
      <c r="G92" s="211" t="s">
        <v>45</v>
      </c>
      <c r="H92" s="3">
        <f>I92*28</f>
        <v>180.59438126079425</v>
      </c>
      <c r="I92" s="3">
        <f>I83</f>
        <v>6.4497993307426515</v>
      </c>
      <c r="J92" s="3">
        <f t="shared" si="22"/>
        <v>144.47550500863539</v>
      </c>
      <c r="K92" s="161">
        <f>SUM(J91:J92)</f>
        <v>714.19498888755356</v>
      </c>
    </row>
    <row r="93" spans="5:12" x14ac:dyDescent="0.3">
      <c r="G93" s="211" t="s">
        <v>454</v>
      </c>
      <c r="H93" s="3"/>
      <c r="K93" s="161"/>
    </row>
    <row r="94" spans="5:12" x14ac:dyDescent="0.3">
      <c r="G94" s="211" t="s">
        <v>29</v>
      </c>
      <c r="H94" s="3">
        <f>H89</f>
        <v>8506.1155661578614</v>
      </c>
      <c r="I94">
        <f>I90</f>
        <v>607.57983046045285</v>
      </c>
      <c r="J94" s="3">
        <f t="shared" ref="J94:J95" si="23">I94*22.4</f>
        <v>13609.788202314143</v>
      </c>
      <c r="K94" s="161"/>
    </row>
    <row r="95" spans="5:12" x14ac:dyDescent="0.3">
      <c r="G95" s="211" t="s">
        <v>44</v>
      </c>
      <c r="H95" s="3">
        <f>H90</f>
        <v>1215.1596609209057</v>
      </c>
      <c r="I95" s="3">
        <f>I89</f>
        <v>303.78984164849504</v>
      </c>
      <c r="J95" s="3">
        <f t="shared" si="23"/>
        <v>6804.8924529262886</v>
      </c>
      <c r="K95" s="161"/>
    </row>
    <row r="96" spans="5:12" x14ac:dyDescent="0.3">
      <c r="G96" s="211" t="s">
        <v>280</v>
      </c>
      <c r="H96" s="3">
        <f>SUM(H94:H95)</f>
        <v>9721.2752270787678</v>
      </c>
      <c r="I96">
        <f>SUM(I94:I95)</f>
        <v>911.36967210894795</v>
      </c>
      <c r="J96">
        <f>SUM(J94:J95)</f>
        <v>20414.68065524043</v>
      </c>
      <c r="K96" s="161"/>
    </row>
    <row r="97" spans="7:15" x14ac:dyDescent="0.3">
      <c r="G97" s="211"/>
      <c r="H97" s="3"/>
      <c r="K97" s="161"/>
    </row>
    <row r="98" spans="7:15" x14ac:dyDescent="0.3">
      <c r="G98" s="211"/>
      <c r="H98" s="3"/>
      <c r="K98" s="161"/>
    </row>
    <row r="99" spans="7:15" x14ac:dyDescent="0.3">
      <c r="K99" s="161"/>
    </row>
    <row r="100" spans="7:15" x14ac:dyDescent="0.3">
      <c r="K100" s="161"/>
    </row>
    <row r="101" spans="7:15" ht="15" thickBot="1" x14ac:dyDescent="0.35">
      <c r="G101" s="193" t="s">
        <v>313</v>
      </c>
      <c r="H101" t="s">
        <v>378</v>
      </c>
      <c r="J101" t="s">
        <v>320</v>
      </c>
      <c r="K101" s="161"/>
      <c r="N101" t="s">
        <v>438</v>
      </c>
    </row>
    <row r="102" spans="7:15" x14ac:dyDescent="0.3">
      <c r="G102" t="s">
        <v>314</v>
      </c>
      <c r="H102" s="3">
        <f>I102*(12+16+4)</f>
        <v>1715.5191681077915</v>
      </c>
      <c r="I102" s="3">
        <f>I47</f>
        <v>53.609974003368485</v>
      </c>
      <c r="J102" s="3">
        <f>H102/0.792</f>
        <v>2166.059555691656</v>
      </c>
      <c r="K102" s="227">
        <f>I102*C35*K12</f>
        <v>-4845.8055501644767</v>
      </c>
      <c r="L102" s="221" t="s">
        <v>356</v>
      </c>
      <c r="N102" s="214">
        <v>0.25</v>
      </c>
    </row>
    <row r="103" spans="7:15" ht="15" thickBot="1" x14ac:dyDescent="0.35">
      <c r="K103" s="224">
        <f>K102*$E$20</f>
        <v>-1346.0570972679102</v>
      </c>
      <c r="L103" s="225" t="s">
        <v>370</v>
      </c>
      <c r="N103">
        <f>K103*N102</f>
        <v>-336.51427431697755</v>
      </c>
      <c r="O103" t="s">
        <v>439</v>
      </c>
    </row>
    <row r="104" spans="7:15" x14ac:dyDescent="0.3">
      <c r="G104" s="193" t="s">
        <v>341</v>
      </c>
      <c r="H104" s="3">
        <f>I104*28</f>
        <v>160.25935783678705</v>
      </c>
      <c r="I104" s="3">
        <f>I21/0.8*0.2</f>
        <v>5.7235484941709664</v>
      </c>
      <c r="J104">
        <f>I104*22.4</f>
        <v>128.20748626942964</v>
      </c>
      <c r="N104" s="23">
        <f>N103/SUM(J36:J39)</f>
        <v>-8.5694591332255168E-2</v>
      </c>
      <c r="O104" t="s">
        <v>437</v>
      </c>
    </row>
    <row r="105" spans="7:15" ht="15" thickBot="1" x14ac:dyDescent="0.35">
      <c r="N105" t="s">
        <v>440</v>
      </c>
      <c r="O105">
        <f>(1-N102)*SUM(J47:J48)</f>
        <v>2701.9430606216974</v>
      </c>
    </row>
    <row r="106" spans="7:15" x14ac:dyDescent="0.3">
      <c r="G106" s="170" t="s">
        <v>339</v>
      </c>
      <c r="H106" s="170" t="s">
        <v>294</v>
      </c>
      <c r="I106" s="170" t="s">
        <v>266</v>
      </c>
      <c r="J106" s="218" t="s">
        <v>309</v>
      </c>
      <c r="K106" s="220" t="s">
        <v>359</v>
      </c>
      <c r="L106" s="221"/>
      <c r="M106" t="s">
        <v>360</v>
      </c>
      <c r="N106" t="s">
        <v>441</v>
      </c>
      <c r="O106">
        <f>O105/SUM(J47:J50)</f>
        <v>0.62591549027993687</v>
      </c>
    </row>
    <row r="107" spans="7:15" x14ac:dyDescent="0.3">
      <c r="G107" s="170" t="s">
        <v>322</v>
      </c>
      <c r="H107" s="170">
        <v>2300</v>
      </c>
      <c r="I107" s="170"/>
      <c r="J107" s="218"/>
      <c r="K107" s="222">
        <f>H107/1000*50</f>
        <v>114.99999999999999</v>
      </c>
      <c r="L107" s="223" t="s">
        <v>345</v>
      </c>
      <c r="M107" t="s">
        <v>362</v>
      </c>
    </row>
    <row r="108" spans="7:15" x14ac:dyDescent="0.3">
      <c r="G108" s="170" t="s">
        <v>255</v>
      </c>
      <c r="H108" s="217">
        <f>H21</f>
        <v>732.61420725388371</v>
      </c>
      <c r="I108" s="216">
        <f>H108/32</f>
        <v>22.894193976683866</v>
      </c>
      <c r="J108" s="219">
        <f>I108*22.4</f>
        <v>512.82994507771855</v>
      </c>
      <c r="K108" s="222">
        <f>K107*24</f>
        <v>2759.9999999999995</v>
      </c>
      <c r="L108" s="223" t="s">
        <v>342</v>
      </c>
    </row>
    <row r="109" spans="7:15" ht="15" thickBot="1" x14ac:dyDescent="0.35">
      <c r="G109" s="170" t="s">
        <v>225</v>
      </c>
      <c r="H109" s="217">
        <f>H22</f>
        <v>112.60655440412798</v>
      </c>
      <c r="I109" s="216">
        <f>H109/18</f>
        <v>6.2559196891182207</v>
      </c>
      <c r="J109" s="219">
        <f>I109*22.4</f>
        <v>140.13260103624813</v>
      </c>
      <c r="K109" s="224">
        <f>K108*300</f>
        <v>827999.99999999988</v>
      </c>
      <c r="L109" s="225" t="s">
        <v>346</v>
      </c>
      <c r="M109" s="161">
        <f>K109/60*90</f>
        <v>1241999.9999999998</v>
      </c>
    </row>
    <row r="110" spans="7:15" x14ac:dyDescent="0.3">
      <c r="G110" s="170" t="s">
        <v>45</v>
      </c>
      <c r="H110" s="217">
        <f>H26</f>
        <v>71.226381260794255</v>
      </c>
      <c r="I110" s="216">
        <f>H110/28</f>
        <v>2.5437993307426519</v>
      </c>
      <c r="J110" s="216">
        <f>I110*22.4</f>
        <v>56.981105008635396</v>
      </c>
    </row>
    <row r="112" spans="7:15" ht="15" thickBot="1" x14ac:dyDescent="0.35">
      <c r="G112" s="170" t="s">
        <v>384</v>
      </c>
      <c r="H112" s="170" t="s">
        <v>294</v>
      </c>
      <c r="I112" s="170" t="s">
        <v>266</v>
      </c>
      <c r="J112" s="170" t="s">
        <v>309</v>
      </c>
      <c r="K112" s="34"/>
    </row>
    <row r="113" spans="7:15" x14ac:dyDescent="0.3">
      <c r="G113" s="170" t="s">
        <v>0</v>
      </c>
      <c r="H113" s="216">
        <f>H18</f>
        <v>311.81832901553838</v>
      </c>
      <c r="I113" s="170"/>
      <c r="J113" s="218"/>
      <c r="K113" s="226" t="s">
        <v>359</v>
      </c>
      <c r="L113" s="221"/>
      <c r="M113" t="s">
        <v>360</v>
      </c>
      <c r="N113" s="234" t="s">
        <v>396</v>
      </c>
      <c r="O113" s="235"/>
    </row>
    <row r="114" spans="7:15" x14ac:dyDescent="0.3">
      <c r="G114" s="170" t="s">
        <v>259</v>
      </c>
      <c r="H114" s="217">
        <f>H59</f>
        <v>857.75958405389576</v>
      </c>
      <c r="I114" s="216">
        <f>H114/18</f>
        <v>47.65331022521643</v>
      </c>
      <c r="J114" s="219">
        <f>I114*22.4</f>
        <v>1067.434149044848</v>
      </c>
      <c r="K114" s="222">
        <f>J114*0.15</f>
        <v>160.1151223567272</v>
      </c>
      <c r="L114" s="223" t="s">
        <v>343</v>
      </c>
      <c r="M114" t="s">
        <v>361</v>
      </c>
    </row>
    <row r="115" spans="7:15" x14ac:dyDescent="0.3">
      <c r="G115" s="170" t="s">
        <v>225</v>
      </c>
      <c r="H115" s="217">
        <f>H60</f>
        <v>964.97953206063278</v>
      </c>
      <c r="I115" s="216">
        <f>H115/18</f>
        <v>53.609974003368485</v>
      </c>
      <c r="J115" s="219">
        <f>I115*22.4</f>
        <v>1200.863417675454</v>
      </c>
      <c r="K115" s="222">
        <f>K114*24</f>
        <v>3842.762936561453</v>
      </c>
      <c r="L115" s="223" t="s">
        <v>342</v>
      </c>
    </row>
    <row r="116" spans="7:15" ht="15" thickBot="1" x14ac:dyDescent="0.35">
      <c r="G116" s="170" t="s">
        <v>23</v>
      </c>
      <c r="H116" s="217">
        <f>H49</f>
        <v>1119.0918433335894</v>
      </c>
      <c r="I116" s="216">
        <f>H116/44</f>
        <v>25.433905530308849</v>
      </c>
      <c r="J116" s="219">
        <f>I116*22.4</f>
        <v>569.71948387891814</v>
      </c>
      <c r="K116" s="224">
        <f>K115*300</f>
        <v>1152828.8809684359</v>
      </c>
      <c r="L116" s="225" t="s">
        <v>346</v>
      </c>
      <c r="M116" s="161">
        <f>K116/15*23</f>
        <v>1767670.9508182683</v>
      </c>
    </row>
    <row r="117" spans="7:15" x14ac:dyDescent="0.3">
      <c r="G117" s="170" t="str">
        <f t="shared" ref="G117:I117" si="24">G110</f>
        <v>N2</v>
      </c>
      <c r="H117" s="217">
        <f t="shared" si="24"/>
        <v>71.226381260794255</v>
      </c>
      <c r="I117" s="216">
        <f t="shared" si="24"/>
        <v>2.5437993307426519</v>
      </c>
      <c r="J117" s="216">
        <f>I117*22.4</f>
        <v>56.981105008635396</v>
      </c>
    </row>
    <row r="120" spans="7:15" ht="15" thickBot="1" x14ac:dyDescent="0.35">
      <c r="G120" s="170" t="s">
        <v>385</v>
      </c>
      <c r="H120" s="170" t="s">
        <v>294</v>
      </c>
      <c r="I120" s="170" t="s">
        <v>266</v>
      </c>
      <c r="J120" s="170" t="str">
        <f t="shared" ref="G120:J121" si="25">J101</f>
        <v>litrov</v>
      </c>
      <c r="M120" t="s">
        <v>360</v>
      </c>
    </row>
    <row r="121" spans="7:15" x14ac:dyDescent="0.3">
      <c r="G121" s="170" t="str">
        <f t="shared" si="25"/>
        <v>CH3OH</v>
      </c>
      <c r="H121" s="216">
        <f t="shared" si="25"/>
        <v>1715.5191681077915</v>
      </c>
      <c r="I121" s="216">
        <f t="shared" si="25"/>
        <v>53.609974003368485</v>
      </c>
      <c r="J121" s="219">
        <f t="shared" si="25"/>
        <v>2166.059555691656</v>
      </c>
      <c r="K121" s="227">
        <f>H121/1000*175</f>
        <v>300.2158544188635</v>
      </c>
      <c r="L121" s="221" t="s">
        <v>344</v>
      </c>
      <c r="M121" t="s">
        <v>364</v>
      </c>
    </row>
    <row r="122" spans="7:15" x14ac:dyDescent="0.3">
      <c r="G122" s="170" t="str">
        <f t="shared" ref="G122:J123" si="26">G116</f>
        <v>CO2</v>
      </c>
      <c r="H122" s="217">
        <f t="shared" si="26"/>
        <v>1119.0918433335894</v>
      </c>
      <c r="I122" s="216">
        <f t="shared" si="26"/>
        <v>25.433905530308849</v>
      </c>
      <c r="J122" s="219">
        <f t="shared" si="26"/>
        <v>569.71948387891814</v>
      </c>
      <c r="K122" s="222">
        <f>K121*24</f>
        <v>7205.180506052724</v>
      </c>
      <c r="L122" s="223" t="s">
        <v>342</v>
      </c>
    </row>
    <row r="123" spans="7:15" ht="15" thickBot="1" x14ac:dyDescent="0.35">
      <c r="G123" s="170" t="str">
        <f t="shared" si="26"/>
        <v>N2</v>
      </c>
      <c r="H123" s="217">
        <f>H50</f>
        <v>180.59438126079425</v>
      </c>
      <c r="I123" s="216">
        <f t="shared" si="26"/>
        <v>2.5437993307426519</v>
      </c>
      <c r="J123" s="219">
        <f t="shared" si="26"/>
        <v>56.981105008635396</v>
      </c>
      <c r="K123" s="224">
        <f>K122*300</f>
        <v>2161554.1518158172</v>
      </c>
      <c r="L123" s="225" t="s">
        <v>346</v>
      </c>
      <c r="M123" s="161">
        <f>K123/175*400</f>
        <v>4940695.2041504392</v>
      </c>
    </row>
    <row r="124" spans="7:15" x14ac:dyDescent="0.3">
      <c r="G124" s="170" t="str">
        <f t="shared" ref="G124:J124" si="27">G113</f>
        <v>Ash</v>
      </c>
      <c r="H124" s="217">
        <f t="shared" si="27"/>
        <v>311.81832901553838</v>
      </c>
      <c r="I124" s="216">
        <f t="shared" si="27"/>
        <v>0</v>
      </c>
      <c r="J124" s="216">
        <f t="shared" si="27"/>
        <v>0</v>
      </c>
      <c r="K124" s="161"/>
      <c r="M124" s="161"/>
    </row>
    <row r="125" spans="7:15" x14ac:dyDescent="0.3">
      <c r="H125" s="3"/>
      <c r="I125" s="22"/>
      <c r="J125" s="233"/>
      <c r="K125" s="161"/>
      <c r="M125" s="161"/>
    </row>
    <row r="126" spans="7:15" x14ac:dyDescent="0.3">
      <c r="J126" s="170"/>
      <c r="K126" s="170" t="s">
        <v>354</v>
      </c>
    </row>
    <row r="127" spans="7:15" x14ac:dyDescent="0.3">
      <c r="J127" s="170" t="s">
        <v>347</v>
      </c>
      <c r="K127" s="169">
        <v>200000</v>
      </c>
    </row>
    <row r="128" spans="7:15" x14ac:dyDescent="0.3">
      <c r="J128" s="170" t="s">
        <v>348</v>
      </c>
      <c r="K128" s="169">
        <f>1500*24*300*0.15</f>
        <v>1620000</v>
      </c>
      <c r="L128" t="s">
        <v>391</v>
      </c>
      <c r="M128">
        <f>1500*0.2</f>
        <v>300</v>
      </c>
      <c r="N128">
        <f>1500*0.1</f>
        <v>150</v>
      </c>
    </row>
    <row r="129" spans="10:14" x14ac:dyDescent="0.3">
      <c r="J129" s="170" t="s">
        <v>349</v>
      </c>
      <c r="K129" s="169">
        <v>1000000</v>
      </c>
      <c r="L129" t="s">
        <v>350</v>
      </c>
    </row>
    <row r="130" spans="10:14" x14ac:dyDescent="0.3">
      <c r="J130" s="170" t="s">
        <v>351</v>
      </c>
      <c r="K130" s="169">
        <f>K129*5*0.05*0.6</f>
        <v>150000</v>
      </c>
      <c r="L130" t="s">
        <v>352</v>
      </c>
    </row>
    <row r="131" spans="10:14" x14ac:dyDescent="0.3">
      <c r="J131" s="170" t="s">
        <v>366</v>
      </c>
      <c r="K131" s="169">
        <f>200000</f>
        <v>200000</v>
      </c>
    </row>
    <row r="132" spans="10:14" x14ac:dyDescent="0.3">
      <c r="J132" s="170" t="s">
        <v>280</v>
      </c>
      <c r="K132" s="169">
        <f>SUM(K127:K131)</f>
        <v>3170000</v>
      </c>
    </row>
    <row r="133" spans="10:14" x14ac:dyDescent="0.3">
      <c r="J133" s="170"/>
      <c r="K133" s="170" t="s">
        <v>365</v>
      </c>
      <c r="L133" s="228" t="s">
        <v>363</v>
      </c>
    </row>
    <row r="134" spans="10:14" x14ac:dyDescent="0.3">
      <c r="J134" s="170" t="s">
        <v>353</v>
      </c>
      <c r="K134" s="169">
        <f>K116+K109-K132</f>
        <v>-1189171.1190315643</v>
      </c>
      <c r="L134" s="169">
        <f>M109+M116-K132</f>
        <v>-160329.04918173188</v>
      </c>
      <c r="M134" s="234" t="s">
        <v>396</v>
      </c>
      <c r="N134" s="235"/>
    </row>
    <row r="135" spans="10:14" x14ac:dyDescent="0.3">
      <c r="J135" s="170" t="s">
        <v>373</v>
      </c>
      <c r="K135" s="169">
        <f>K123+K109-K132</f>
        <v>-180445.84818418277</v>
      </c>
      <c r="L135" s="169">
        <f>M109+M123-K132</f>
        <v>3012695.2041504392</v>
      </c>
    </row>
    <row r="136" spans="10:14" x14ac:dyDescent="0.3">
      <c r="K136" t="s">
        <v>374</v>
      </c>
    </row>
    <row r="137" spans="10:14" x14ac:dyDescent="0.3">
      <c r="J137" s="170" t="s">
        <v>371</v>
      </c>
      <c r="K137" s="169">
        <f>K53+K62</f>
        <v>-3677.9420498199861</v>
      </c>
      <c r="L137" s="170" t="s">
        <v>382</v>
      </c>
    </row>
    <row r="138" spans="10:14" x14ac:dyDescent="0.3">
      <c r="J138" s="170" t="s">
        <v>372</v>
      </c>
      <c r="K138" s="169">
        <f>K53+K103</f>
        <v>-1958.9084500830843</v>
      </c>
      <c r="L138" s="170" t="s">
        <v>383</v>
      </c>
    </row>
  </sheetData>
  <pageMargins left="0.25" right="0.25" top="0.75" bottom="0.75" header="0.3" footer="0.3"/>
  <pageSetup paperSize="9" scale="41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pageSetUpPr fitToPage="1"/>
  </sheetPr>
  <dimension ref="A1:R144"/>
  <sheetViews>
    <sheetView topLeftCell="A13" workbookViewId="0">
      <selection activeCell="L27" sqref="L27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37.44140625" customWidth="1"/>
    <col min="8" max="8" width="10.5546875" bestFit="1" customWidth="1"/>
    <col min="9" max="9" width="11.5546875" bestFit="1" customWidth="1"/>
    <col min="10" max="10" width="16" customWidth="1"/>
    <col min="11" max="11" width="10.88671875" customWidth="1"/>
    <col min="12" max="12" width="20.6640625" customWidth="1"/>
    <col min="13" max="13" width="11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5" t="s">
        <v>0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</v>
      </c>
      <c r="P2" s="5" t="s">
        <v>131</v>
      </c>
      <c r="Q2" s="5" t="s">
        <v>17</v>
      </c>
      <c r="R2" s="5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212">
        <f>H3*$R$3/120</f>
        <v>11.795660621761444</v>
      </c>
      <c r="I4" s="212">
        <f t="shared" ref="I4:N4" si="0">I3*$R$3/120</f>
        <v>39.669689119170265</v>
      </c>
      <c r="J4" s="212">
        <f t="shared" si="0"/>
        <v>6.654792746113869</v>
      </c>
      <c r="K4" s="212">
        <f t="shared" si="0"/>
        <v>20.11819948186492</v>
      </c>
      <c r="L4" s="212">
        <f t="shared" si="0"/>
        <v>0.15867875647668106</v>
      </c>
      <c r="M4" s="212">
        <f t="shared" si="0"/>
        <v>1.3439119170984211</v>
      </c>
      <c r="N4" s="212">
        <f t="shared" si="0"/>
        <v>0.25906735751294868</v>
      </c>
      <c r="O4" s="212">
        <f t="shared" ref="O4" si="1">O3*$Q$3/120</f>
        <v>0</v>
      </c>
      <c r="P4" s="211">
        <v>20</v>
      </c>
      <c r="Q4" s="3">
        <f>SUM(H4:P4)</f>
        <v>99.99999999999855</v>
      </c>
    </row>
    <row r="5" spans="2:18" x14ac:dyDescent="0.3">
      <c r="C5" t="s">
        <v>398</v>
      </c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>
        <f>M4/32</f>
        <v>4.1997247409325658E-2</v>
      </c>
      <c r="N5" s="3">
        <f>N4/35.5</f>
        <v>7.2976720426182725E-3</v>
      </c>
      <c r="O5" s="3"/>
      <c r="Q5" s="3"/>
    </row>
    <row r="6" spans="2:18" x14ac:dyDescent="0.3">
      <c r="C6" t="s">
        <v>399</v>
      </c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H21/I8</f>
        <v>0.18737739473047982</v>
      </c>
      <c r="K8" s="3"/>
      <c r="L8" s="3"/>
      <c r="M8" s="3"/>
      <c r="N8" s="3">
        <f>N7/100*2300</f>
        <v>0</v>
      </c>
      <c r="O8" s="3"/>
      <c r="Q8" s="3"/>
    </row>
    <row r="9" spans="2:18" x14ac:dyDescent="0.3">
      <c r="C9" t="s">
        <v>400</v>
      </c>
      <c r="D9">
        <f>17*2+40</f>
        <v>74</v>
      </c>
      <c r="G9" t="s">
        <v>436</v>
      </c>
      <c r="H9" s="3"/>
      <c r="I9" s="3"/>
      <c r="J9" s="3"/>
      <c r="K9" s="3"/>
      <c r="L9" s="3"/>
      <c r="M9" s="3">
        <f>M5/100*2300*$D$9*1</f>
        <v>71.479315090672273</v>
      </c>
      <c r="N9" s="3">
        <f>N5/100*2300*$D$9*1/2</f>
        <v>6.2103189082681496</v>
      </c>
      <c r="O9" s="3"/>
      <c r="Q9" s="3">
        <f>SUM(H9:P9)</f>
        <v>77.689633998940423</v>
      </c>
      <c r="R9" s="243">
        <f>Q9/H13</f>
        <v>4.2222627173337954E-2</v>
      </c>
    </row>
    <row r="10" spans="2:18" x14ac:dyDescent="0.3">
      <c r="G10" s="254" t="s">
        <v>444</v>
      </c>
      <c r="H10" s="3"/>
      <c r="I10" s="3"/>
      <c r="J10" s="3"/>
      <c r="K10" s="3"/>
      <c r="L10" s="3"/>
      <c r="M10" s="3">
        <f>M9*1.5</f>
        <v>107.2189726360084</v>
      </c>
      <c r="N10" s="3">
        <f>N9*1.5</f>
        <v>9.3154783624022244</v>
      </c>
      <c r="O10" s="3"/>
      <c r="Q10" s="3">
        <f>SUM(M10:N10)</f>
        <v>116.53445099841062</v>
      </c>
      <c r="R10" s="243">
        <f>Q10/H13</f>
        <v>6.3333940760006924E-2</v>
      </c>
    </row>
    <row r="11" spans="2:18" x14ac:dyDescent="0.3">
      <c r="C11" t="s">
        <v>404</v>
      </c>
      <c r="H11" s="254" t="s">
        <v>294</v>
      </c>
      <c r="I11" s="254" t="s">
        <v>266</v>
      </c>
      <c r="J11" s="254" t="s">
        <v>309</v>
      </c>
      <c r="K11" t="s">
        <v>336</v>
      </c>
      <c r="L11" t="s">
        <v>330</v>
      </c>
      <c r="M11" t="s">
        <v>329</v>
      </c>
      <c r="N11" t="s">
        <v>331</v>
      </c>
      <c r="O11" t="s">
        <v>335</v>
      </c>
    </row>
    <row r="12" spans="2:18" x14ac:dyDescent="0.3">
      <c r="C12" t="s">
        <v>403</v>
      </c>
      <c r="D12">
        <v>92</v>
      </c>
      <c r="G12" s="254" t="s">
        <v>322</v>
      </c>
      <c r="H12">
        <v>2300</v>
      </c>
      <c r="K12">
        <v>1</v>
      </c>
      <c r="O12" s="3">
        <f>SUM(O13:O14)</f>
        <v>2811.8266666666464</v>
      </c>
    </row>
    <row r="13" spans="2:18" x14ac:dyDescent="0.3">
      <c r="G13" t="s">
        <v>334</v>
      </c>
      <c r="H13">
        <f>SUM(H4:O4)/100*H12</f>
        <v>1839.9999999999666</v>
      </c>
      <c r="L13">
        <f>H13*1.2/1000*500</f>
        <v>1103.99999999998</v>
      </c>
      <c r="O13" s="3">
        <f>SUM(L13:N13)</f>
        <v>1103.99999999998</v>
      </c>
    </row>
    <row r="14" spans="2:18" x14ac:dyDescent="0.3">
      <c r="G14" t="s">
        <v>323</v>
      </c>
      <c r="H14" s="211">
        <f>H12*P4/100</f>
        <v>460</v>
      </c>
      <c r="I14" s="3">
        <f>H14/18</f>
        <v>25.555555555555557</v>
      </c>
      <c r="J14" s="3">
        <f t="shared" ref="J14" si="2">I14*22.4</f>
        <v>572.44444444444446</v>
      </c>
      <c r="L14" s="3">
        <f>I14*80*Thermodynamics!C5/1000</f>
        <v>153.94666666666666</v>
      </c>
      <c r="M14">
        <f>I14*Thermodynamics!E5</f>
        <v>1124.5466666666664</v>
      </c>
      <c r="N14" s="3">
        <f>I14*500*Thermodynamics!C4/1000</f>
        <v>429.33333333333337</v>
      </c>
      <c r="O14" s="3">
        <f>SUM(L14:N14)</f>
        <v>1707.8266666666664</v>
      </c>
    </row>
    <row r="15" spans="2:18" x14ac:dyDescent="0.3">
      <c r="G15" t="s">
        <v>2</v>
      </c>
      <c r="H15" s="22">
        <f>H12*I4/100</f>
        <v>912.40284974091617</v>
      </c>
      <c r="I15" s="3">
        <f>H15/12</f>
        <v>76.033570811743019</v>
      </c>
      <c r="J15" s="3"/>
    </row>
    <row r="16" spans="2:18" x14ac:dyDescent="0.3">
      <c r="G16" t="s">
        <v>44</v>
      </c>
      <c r="H16" s="22">
        <f>H12*J4/100</f>
        <v>153.06023316061899</v>
      </c>
      <c r="I16" s="3">
        <f>H16/2</f>
        <v>76.530116580309496</v>
      </c>
      <c r="J16" s="3"/>
    </row>
    <row r="17" spans="1:14" x14ac:dyDescent="0.3">
      <c r="G17" t="s">
        <v>4</v>
      </c>
      <c r="H17" s="22">
        <f>H12*K4/100</f>
        <v>462.71858808289318</v>
      </c>
      <c r="I17" s="3">
        <f>H17/16</f>
        <v>28.919911755180824</v>
      </c>
      <c r="J17" s="3"/>
    </row>
    <row r="18" spans="1:14" ht="15" thickBot="1" x14ac:dyDescent="0.35">
      <c r="C18" t="s">
        <v>294</v>
      </c>
      <c r="D18" t="s">
        <v>266</v>
      </c>
      <c r="G18" t="s">
        <v>340</v>
      </c>
      <c r="H18" s="22">
        <f>H12*(H4+M4+N4+L4)/100</f>
        <v>311.81832901553838</v>
      </c>
      <c r="I18" s="3"/>
      <c r="J18" s="3">
        <f>H52/2300</f>
        <v>3.6610732006547797E-2</v>
      </c>
    </row>
    <row r="19" spans="1:14" x14ac:dyDescent="0.3">
      <c r="B19" t="str">
        <f>G20</f>
        <v>C9H18O3</v>
      </c>
      <c r="C19" s="213">
        <f>H20</f>
        <v>1528.1816709844284</v>
      </c>
      <c r="D19">
        <f>I20</f>
        <v>8.7826532815197034</v>
      </c>
      <c r="G19" s="254" t="s">
        <v>298</v>
      </c>
      <c r="H19" s="22">
        <f>H21/(H20/0.8)</f>
        <v>0.38352204906734488</v>
      </c>
      <c r="I19" s="3">
        <f>(H22+H52)/(2300)</f>
        <v>8.5570103486603433E-2</v>
      </c>
      <c r="J19" s="3">
        <f>H22/2300</f>
        <v>4.8959371480055643E-2</v>
      </c>
      <c r="K19" s="231">
        <f>D28</f>
        <v>-81.973027734347852</v>
      </c>
      <c r="L19" s="221" t="s">
        <v>280</v>
      </c>
    </row>
    <row r="20" spans="1:14" ht="15" thickBot="1" x14ac:dyDescent="0.35">
      <c r="A20" t="s">
        <v>338</v>
      </c>
      <c r="C20" s="14" t="s">
        <v>19</v>
      </c>
      <c r="E20">
        <f>1/3.6</f>
        <v>0.27777777777777779</v>
      </c>
      <c r="G20" s="257" t="s">
        <v>295</v>
      </c>
      <c r="H20" s="22">
        <f>SUM(H15:H17)</f>
        <v>1528.1816709844284</v>
      </c>
      <c r="I20" s="23">
        <f>H20/(9*12+18+16*3)</f>
        <v>8.7826532815197034</v>
      </c>
      <c r="J20" s="23"/>
      <c r="K20" s="232">
        <f>K19*$E$20</f>
        <v>-22.770285481763292</v>
      </c>
      <c r="L20" s="225" t="s">
        <v>48</v>
      </c>
    </row>
    <row r="21" spans="1:14" x14ac:dyDescent="0.3">
      <c r="A21" s="162">
        <f>A23/A22*2</f>
        <v>0.32081639431375486</v>
      </c>
      <c r="C21" s="213" t="s">
        <v>20</v>
      </c>
      <c r="D21" t="s">
        <v>369</v>
      </c>
      <c r="E21" t="s">
        <v>368</v>
      </c>
      <c r="G21" s="257" t="s">
        <v>255</v>
      </c>
      <c r="H21" s="3">
        <f>I21*32</f>
        <v>732.61420725388371</v>
      </c>
      <c r="I21" s="3">
        <f>A22*3+A24*0.5</f>
        <v>22.894193976683866</v>
      </c>
      <c r="J21" s="3">
        <f t="shared" ref="J21:J28" si="3">I21*22.4</f>
        <v>512.82994507771855</v>
      </c>
      <c r="K21" t="s">
        <v>300</v>
      </c>
      <c r="L21" s="243">
        <f>H21/H13</f>
        <v>0.39815989524668316</v>
      </c>
    </row>
    <row r="22" spans="1:14" x14ac:dyDescent="0.3">
      <c r="A22" s="212">
        <v>6.5</v>
      </c>
      <c r="B22" s="229" t="s">
        <v>296</v>
      </c>
      <c r="C22" s="230">
        <f>Thermodynamics!E34</f>
        <v>-463.88</v>
      </c>
      <c r="D22" s="190">
        <f>A22*C22</f>
        <v>-3015.22</v>
      </c>
      <c r="E22" s="190">
        <f>D22*$E$20</f>
        <v>-837.56111111111113</v>
      </c>
      <c r="G22" s="257" t="s">
        <v>225</v>
      </c>
      <c r="H22" s="3">
        <f>I22*18</f>
        <v>112.60655440412798</v>
      </c>
      <c r="I22" s="3">
        <f>6*A23</f>
        <v>6.2559196891182207</v>
      </c>
      <c r="J22" s="3">
        <f t="shared" si="3"/>
        <v>140.13260103624813</v>
      </c>
      <c r="K22" t="s">
        <v>300</v>
      </c>
      <c r="L22" s="243">
        <f>H22/H13</f>
        <v>6.1199214350070662E-2</v>
      </c>
    </row>
    <row r="23" spans="1:14" x14ac:dyDescent="0.3">
      <c r="A23" s="215">
        <f>D19-A22-A25</f>
        <v>1.0426532815197034</v>
      </c>
      <c r="B23" s="229" t="s">
        <v>297</v>
      </c>
      <c r="C23" s="230">
        <f>Thermodynamics!E35</f>
        <v>987.07599999999991</v>
      </c>
      <c r="D23" s="190">
        <f>C23*A23</f>
        <v>1029.1780305093425</v>
      </c>
      <c r="E23" s="190">
        <f t="shared" ref="E23:E28" si="4">D23*$E$20</f>
        <v>285.88278625259517</v>
      </c>
      <c r="G23" s="258" t="s">
        <v>29</v>
      </c>
      <c r="H23" s="212">
        <f>I23*28</f>
        <v>1745.3937642486687</v>
      </c>
      <c r="I23" s="3">
        <f>(A22+A23)*9-A24+A25</f>
        <v>62.335491580309601</v>
      </c>
      <c r="J23" s="3">
        <f t="shared" si="3"/>
        <v>1396.315011398935</v>
      </c>
      <c r="K23" t="s">
        <v>301</v>
      </c>
    </row>
    <row r="24" spans="1:14" x14ac:dyDescent="0.3">
      <c r="A24" s="215">
        <f>(A22+A23)*9*F24</f>
        <v>6.7883879533677334</v>
      </c>
      <c r="B24" s="229" t="str">
        <f>Thermodynamics!D4</f>
        <v>CO + 0,5 O2 = CO2</v>
      </c>
      <c r="C24" s="230">
        <f>Thermodynamics!E4</f>
        <v>-282.98</v>
      </c>
      <c r="D24" s="190">
        <f>A24*C24</f>
        <v>-1920.9780230440012</v>
      </c>
      <c r="E24" s="190">
        <f t="shared" si="4"/>
        <v>-533.6050064011115</v>
      </c>
      <c r="F24" s="214">
        <v>0.1</v>
      </c>
      <c r="G24" s="258" t="s">
        <v>44</v>
      </c>
      <c r="H24" s="212">
        <f>I24*2</f>
        <v>162.76490500863051</v>
      </c>
      <c r="I24" s="3">
        <f>A22*9+A23*16+5*A25</f>
        <v>81.382452504315253</v>
      </c>
      <c r="J24" s="3">
        <f t="shared" si="3"/>
        <v>1822.9669360966616</v>
      </c>
    </row>
    <row r="25" spans="1:14" x14ac:dyDescent="0.3">
      <c r="A25">
        <v>1.24</v>
      </c>
      <c r="B25" s="193" t="s">
        <v>413</v>
      </c>
      <c r="C25" s="204">
        <f>Thermodynamics!B30+Thermodynamics!B6+Thermodynamics!B3-Thermodynamics!B26</f>
        <v>39.20999999999998</v>
      </c>
      <c r="D25" s="190">
        <f>A25*C25</f>
        <v>48.620399999999975</v>
      </c>
      <c r="E25" s="190">
        <f>D25*$E$20</f>
        <v>13.505666666666661</v>
      </c>
      <c r="F25" s="214"/>
      <c r="G25" s="258" t="s">
        <v>23</v>
      </c>
      <c r="H25" s="212">
        <f>I25*44</f>
        <v>353.24906994818025</v>
      </c>
      <c r="I25" s="3">
        <f>A24+A25</f>
        <v>8.0283879533677336</v>
      </c>
      <c r="J25" s="3">
        <f t="shared" si="3"/>
        <v>179.83589015543723</v>
      </c>
      <c r="N25" s="3"/>
    </row>
    <row r="26" spans="1:14" x14ac:dyDescent="0.3">
      <c r="B26" s="229" t="s">
        <v>388</v>
      </c>
      <c r="C26" s="190"/>
      <c r="D26" s="190">
        <f>SUM(D22:D25)*0.75</f>
        <v>-2893.7996944009942</v>
      </c>
      <c r="E26" s="190">
        <f t="shared" si="4"/>
        <v>-803.83324844472065</v>
      </c>
      <c r="G26" s="258" t="s">
        <v>498</v>
      </c>
      <c r="H26" s="212">
        <f>I26*28</f>
        <v>71.226381260794255</v>
      </c>
      <c r="I26" s="3">
        <f>I21/0.9*0.1</f>
        <v>2.5437993307426519</v>
      </c>
      <c r="J26" s="3">
        <f t="shared" si="3"/>
        <v>56.981105008635396</v>
      </c>
      <c r="N26" s="3">
        <f>SUM(H20:H22)</f>
        <v>2373.4024326424401</v>
      </c>
    </row>
    <row r="27" spans="1:14" x14ac:dyDescent="0.3">
      <c r="B27" s="229" t="s">
        <v>337</v>
      </c>
      <c r="C27" s="190"/>
      <c r="D27" s="190">
        <f>SUM(O13:O14)</f>
        <v>2811.8266666666464</v>
      </c>
      <c r="E27" s="190">
        <f t="shared" si="4"/>
        <v>781.06296296295739</v>
      </c>
      <c r="G27" s="258" t="s">
        <v>415</v>
      </c>
      <c r="H27" s="212">
        <f>I27*D12</f>
        <v>114.08</v>
      </c>
      <c r="I27" s="3">
        <f>A25</f>
        <v>1.24</v>
      </c>
      <c r="J27" s="3">
        <f t="shared" si="3"/>
        <v>27.776</v>
      </c>
      <c r="L27" s="244">
        <f>H27/J29</f>
        <v>2.812401813394777E-2</v>
      </c>
      <c r="N27" s="3">
        <f>SUM(H27,H23:H25)</f>
        <v>2375.4877392054796</v>
      </c>
    </row>
    <row r="28" spans="1:14" x14ac:dyDescent="0.3">
      <c r="B28" s="229" t="s">
        <v>367</v>
      </c>
      <c r="C28" s="190"/>
      <c r="D28" s="190">
        <f>SUM(D26:D27)</f>
        <v>-81.973027734347852</v>
      </c>
      <c r="E28" s="190">
        <f t="shared" si="4"/>
        <v>-22.770285481763292</v>
      </c>
      <c r="G28" s="258" t="s">
        <v>431</v>
      </c>
      <c r="H28" s="212">
        <f>I28*18</f>
        <v>460</v>
      </c>
      <c r="I28" s="3">
        <f>I14</f>
        <v>25.555555555555557</v>
      </c>
      <c r="J28" s="3">
        <f t="shared" si="3"/>
        <v>572.44444444444446</v>
      </c>
      <c r="L28" s="244"/>
      <c r="N28" s="3">
        <f>N27-N26</f>
        <v>2.0853065630394667</v>
      </c>
    </row>
    <row r="29" spans="1:14" x14ac:dyDescent="0.3">
      <c r="B29" s="193"/>
      <c r="C29" s="204"/>
      <c r="D29" s="204"/>
      <c r="E29" s="204"/>
      <c r="G29" s="258" t="s">
        <v>280</v>
      </c>
      <c r="H29" s="212"/>
      <c r="I29" s="3"/>
      <c r="J29" s="3">
        <f>SUM(J23:J28)</f>
        <v>4056.3193871041135</v>
      </c>
      <c r="L29" s="244"/>
      <c r="N29" s="3"/>
    </row>
    <row r="30" spans="1:14" x14ac:dyDescent="0.3">
      <c r="G30" s="254" t="s">
        <v>416</v>
      </c>
      <c r="H30" s="254" t="s">
        <v>294</v>
      </c>
      <c r="I30" s="254" t="s">
        <v>266</v>
      </c>
      <c r="J30" s="254" t="s">
        <v>309</v>
      </c>
      <c r="N30" s="3"/>
    </row>
    <row r="31" spans="1:14" x14ac:dyDescent="0.3">
      <c r="B31" s="193"/>
      <c r="C31" s="204"/>
      <c r="D31" s="204"/>
      <c r="E31" s="204"/>
      <c r="G31" s="257" t="s">
        <v>415</v>
      </c>
      <c r="H31" s="3">
        <f>H27</f>
        <v>114.08</v>
      </c>
      <c r="I31" s="3">
        <f>I27</f>
        <v>1.24</v>
      </c>
      <c r="J31" s="3"/>
      <c r="N31" s="3"/>
    </row>
    <row r="32" spans="1:14" x14ac:dyDescent="0.3">
      <c r="B32" t="s">
        <v>256</v>
      </c>
      <c r="C32" s="204">
        <v>-41.153999999999996</v>
      </c>
      <c r="D32" s="3"/>
      <c r="E32" s="3"/>
      <c r="G32" s="257" t="s">
        <v>255</v>
      </c>
      <c r="H32" s="3">
        <f>I32*32</f>
        <v>83.328000000000003</v>
      </c>
      <c r="I32" s="3">
        <f>A43*7/2</f>
        <v>2.6040000000000001</v>
      </c>
      <c r="J32" s="3">
        <f t="shared" ref="J32:J33" si="5">I32*22.4</f>
        <v>58.329599999999999</v>
      </c>
      <c r="K32" t="s">
        <v>300</v>
      </c>
      <c r="L32" s="245">
        <f>H32/SUM(J23:J26)</f>
        <v>2.4110420848042696E-2</v>
      </c>
      <c r="N32" s="3"/>
    </row>
    <row r="33" spans="1:15" x14ac:dyDescent="0.3">
      <c r="C33" s="204"/>
      <c r="D33" s="3"/>
      <c r="E33" s="3"/>
      <c r="G33" s="257" t="s">
        <v>497</v>
      </c>
      <c r="H33" s="3">
        <f>I33*28</f>
        <v>109.36799999999999</v>
      </c>
      <c r="I33" s="3">
        <f>I32/0.4*0.6</f>
        <v>3.9059999999999997</v>
      </c>
      <c r="J33" s="3">
        <f t="shared" si="5"/>
        <v>87.494399999999985</v>
      </c>
      <c r="N33" s="3"/>
    </row>
    <row r="34" spans="1:15" x14ac:dyDescent="0.3">
      <c r="B34" t="s">
        <v>308</v>
      </c>
      <c r="C34" s="204">
        <f>Thermodynamics!$E$18</f>
        <v>-205.82599999999999</v>
      </c>
      <c r="G34" s="257" t="s">
        <v>423</v>
      </c>
      <c r="H34" s="3">
        <f>I34*18</f>
        <v>62.496000000000002</v>
      </c>
      <c r="I34" s="3">
        <f>A44*7</f>
        <v>3.472</v>
      </c>
      <c r="J34" s="3"/>
      <c r="L34" s="245">
        <f>H34/SUM(J23:J26)</f>
        <v>1.8082815636032021E-2</v>
      </c>
      <c r="N34" s="3"/>
    </row>
    <row r="35" spans="1:15" x14ac:dyDescent="0.3">
      <c r="C35" s="204"/>
      <c r="G35" t="s">
        <v>417</v>
      </c>
      <c r="H35" s="3">
        <f>I35*28</f>
        <v>243.04</v>
      </c>
      <c r="I35" s="3">
        <f>(A43+A44)*7</f>
        <v>8.68</v>
      </c>
      <c r="J35" s="3"/>
      <c r="N35" s="3"/>
    </row>
    <row r="36" spans="1:15" x14ac:dyDescent="0.3">
      <c r="B36" t="s">
        <v>319</v>
      </c>
      <c r="C36" s="204">
        <f>Thermodynamics!$E$19</f>
        <v>-90.389999999999986</v>
      </c>
      <c r="F36" s="214"/>
      <c r="G36" t="s">
        <v>421</v>
      </c>
      <c r="H36" s="3">
        <f>I36*2</f>
        <v>16.863999999999997</v>
      </c>
      <c r="I36" s="3">
        <f>(A43*4)+A44*11</f>
        <v>8.4319999999999986</v>
      </c>
      <c r="J36" s="3"/>
      <c r="N36" s="3"/>
    </row>
    <row r="37" spans="1:15" x14ac:dyDescent="0.3">
      <c r="C37" s="204"/>
      <c r="G37" s="258" t="s">
        <v>418</v>
      </c>
      <c r="H37" s="212">
        <f>I37*28</f>
        <v>1988.4337642486689</v>
      </c>
      <c r="I37" s="3">
        <f>I23+I35</f>
        <v>71.0154915803096</v>
      </c>
      <c r="J37" s="3">
        <f t="shared" ref="J37:J41" si="6">I37*22.4</f>
        <v>1590.747011398935</v>
      </c>
      <c r="N37" s="3"/>
    </row>
    <row r="38" spans="1:15" x14ac:dyDescent="0.3">
      <c r="C38" s="204" t="s">
        <v>387</v>
      </c>
      <c r="D38" t="s">
        <v>15</v>
      </c>
      <c r="G38" s="258" t="s">
        <v>422</v>
      </c>
      <c r="H38" s="212">
        <f>I38*2</f>
        <v>179.62890500863051</v>
      </c>
      <c r="I38" s="3">
        <f>I36+I24</f>
        <v>89.814452504315256</v>
      </c>
      <c r="J38" s="3">
        <f t="shared" si="6"/>
        <v>2011.8437360966616</v>
      </c>
      <c r="N38" s="3"/>
    </row>
    <row r="39" spans="1:15" x14ac:dyDescent="0.3">
      <c r="B39" s="229" t="s">
        <v>386</v>
      </c>
      <c r="C39" s="259">
        <f>9*(Thermodynamics!B3+Thermodynamics!B4)-Thermodynamics!B26</f>
        <v>-5187.134</v>
      </c>
      <c r="D39" s="259">
        <f>C39/Thermodynamics!B27</f>
        <v>-29.811114942528736</v>
      </c>
      <c r="G39" s="258" t="s">
        <v>23</v>
      </c>
      <c r="H39" s="212">
        <f>I39*44</f>
        <v>353.24906994818025</v>
      </c>
      <c r="I39" s="3">
        <f>I25</f>
        <v>8.0283879533677336</v>
      </c>
      <c r="J39" s="3">
        <f t="shared" si="6"/>
        <v>179.83589015543723</v>
      </c>
      <c r="N39" s="3" t="s">
        <v>434</v>
      </c>
    </row>
    <row r="40" spans="1:15" x14ac:dyDescent="0.3">
      <c r="B40" t="s">
        <v>389</v>
      </c>
      <c r="D40">
        <v>-22.4</v>
      </c>
      <c r="G40" s="258" t="s">
        <v>433</v>
      </c>
      <c r="H40" s="212">
        <f>I40*28</f>
        <v>180.59438126079425</v>
      </c>
      <c r="I40" s="3">
        <f>I33+I26</f>
        <v>6.4497993307426515</v>
      </c>
      <c r="J40" s="3">
        <f t="shared" si="6"/>
        <v>144.47550500863539</v>
      </c>
      <c r="N40" s="3"/>
    </row>
    <row r="41" spans="1:15" x14ac:dyDescent="0.3">
      <c r="B41" t="s">
        <v>390</v>
      </c>
      <c r="D41" s="162">
        <f>D40/D39</f>
        <v>0.75139759258195371</v>
      </c>
      <c r="G41" t="s">
        <v>431</v>
      </c>
      <c r="H41" s="212">
        <f>I41*18</f>
        <v>397.50400000000002</v>
      </c>
      <c r="I41" s="3">
        <f>I14-I34</f>
        <v>22.083555555555556</v>
      </c>
      <c r="J41" s="3">
        <f t="shared" si="6"/>
        <v>494.67164444444444</v>
      </c>
      <c r="N41" t="s">
        <v>302</v>
      </c>
    </row>
    <row r="42" spans="1:15" x14ac:dyDescent="0.3">
      <c r="G42" s="246" t="s">
        <v>488</v>
      </c>
      <c r="H42" s="3">
        <f>I42*(32)</f>
        <v>1437.0312400690441</v>
      </c>
      <c r="I42" s="3">
        <f>I38/2</f>
        <v>44.907226252157628</v>
      </c>
      <c r="J42" s="3"/>
      <c r="N42" s="215">
        <v>17.405517576941115</v>
      </c>
      <c r="O42" t="s">
        <v>424</v>
      </c>
    </row>
    <row r="43" spans="1:15" x14ac:dyDescent="0.3">
      <c r="A43">
        <f>60%*A25</f>
        <v>0.74399999999999999</v>
      </c>
      <c r="B43" t="s">
        <v>420</v>
      </c>
      <c r="C43">
        <f>7*Thermodynamics!B6-Thermodynamics!B30</f>
        <v>-786.07</v>
      </c>
      <c r="D43" s="190">
        <f>A43*C43</f>
        <v>-584.83608000000004</v>
      </c>
      <c r="E43" s="190">
        <f>D43*$E$20</f>
        <v>-162.45446666666669</v>
      </c>
      <c r="H43" s="3"/>
      <c r="I43" s="3"/>
      <c r="J43" s="3"/>
      <c r="N43" s="3">
        <f>(I38+N42)/(I37-N42)</f>
        <v>2.0000004117614272</v>
      </c>
      <c r="O43" t="s">
        <v>425</v>
      </c>
    </row>
    <row r="44" spans="1:15" x14ac:dyDescent="0.3">
      <c r="A44">
        <f>40%*A25</f>
        <v>0.496</v>
      </c>
      <c r="B44" t="s">
        <v>419</v>
      </c>
      <c r="C44">
        <f>7*Thermodynamics!B6-Thermodynamics!B30-7*Thermodynamics!B4</f>
        <v>906.71199999999988</v>
      </c>
      <c r="D44" s="190">
        <f>C44*A44</f>
        <v>449.72915199999994</v>
      </c>
      <c r="E44" s="190">
        <f t="shared" ref="E44" si="7">D44*$E$20</f>
        <v>124.92476444444443</v>
      </c>
      <c r="G44" s="193" t="s">
        <v>515</v>
      </c>
      <c r="H44" t="s">
        <v>375</v>
      </c>
      <c r="N44" t="s">
        <v>428</v>
      </c>
    </row>
    <row r="45" spans="1:15" x14ac:dyDescent="0.3">
      <c r="E45" s="204">
        <f>SUM(E43:E44)</f>
        <v>-37.529702222222255</v>
      </c>
      <c r="G45" t="s">
        <v>327</v>
      </c>
      <c r="H45">
        <f>I45*18</f>
        <v>397.50400000000002</v>
      </c>
      <c r="I45" s="3">
        <f>I14-I34</f>
        <v>22.083555555555556</v>
      </c>
      <c r="J45" s="3"/>
      <c r="K45" t="s">
        <v>306</v>
      </c>
      <c r="N45" s="3">
        <f>N42-I45</f>
        <v>-4.6780379786144408</v>
      </c>
    </row>
    <row r="46" spans="1:15" hidden="1" x14ac:dyDescent="0.3">
      <c r="E46" s="3">
        <f>E45/SUM(J23:J26)</f>
        <v>-1.0858977953143022E-2</v>
      </c>
      <c r="K46" s="231">
        <f>I52*Thermodynamics!E5*1.5</f>
        <v>308.77857481642468</v>
      </c>
      <c r="L46" s="221" t="s">
        <v>381</v>
      </c>
    </row>
    <row r="47" spans="1:15" ht="15" hidden="1" thickBot="1" x14ac:dyDescent="0.35">
      <c r="F47" t="s">
        <v>437</v>
      </c>
      <c r="G47" t="s">
        <v>427</v>
      </c>
      <c r="H47" s="3">
        <f>I47*18</f>
        <v>313.29931638494008</v>
      </c>
      <c r="I47" s="3">
        <f>N42</f>
        <v>17.405517576941115</v>
      </c>
      <c r="J47" s="3"/>
      <c r="K47" s="224">
        <f>K46*$E$20</f>
        <v>85.771826337895746</v>
      </c>
      <c r="L47" s="225" t="s">
        <v>374</v>
      </c>
    </row>
    <row r="48" spans="1:15" hidden="1" x14ac:dyDescent="0.3">
      <c r="B48" t="s">
        <v>489</v>
      </c>
      <c r="C48">
        <f>12+3+16+1</f>
        <v>32</v>
      </c>
      <c r="G48" s="211" t="s">
        <v>29</v>
      </c>
      <c r="H48" s="212">
        <f>I48*28</f>
        <v>1501.0792720943175</v>
      </c>
      <c r="I48" s="212">
        <f>I37-N42</f>
        <v>53.609974003368485</v>
      </c>
      <c r="J48" s="212">
        <f>I48*22.4</f>
        <v>1200.863417675454</v>
      </c>
    </row>
    <row r="49" spans="7:14" hidden="1" x14ac:dyDescent="0.3">
      <c r="G49" s="211" t="s">
        <v>44</v>
      </c>
      <c r="H49" s="212">
        <f>I49*2</f>
        <v>214.43994016251276</v>
      </c>
      <c r="I49" s="212">
        <f>I38+N42</f>
        <v>107.21997008125638</v>
      </c>
      <c r="J49" s="212">
        <f>I49*22.4</f>
        <v>2401.7273298201426</v>
      </c>
    </row>
    <row r="50" spans="7:14" hidden="1" x14ac:dyDescent="0.3">
      <c r="G50" s="211" t="s">
        <v>23</v>
      </c>
      <c r="H50" s="212">
        <f>I50*44</f>
        <v>1119.0918433335894</v>
      </c>
      <c r="I50" s="212">
        <f>N42+I39</f>
        <v>25.433905530308849</v>
      </c>
      <c r="J50" s="212">
        <f>I50*22.4</f>
        <v>569.71948387891814</v>
      </c>
    </row>
    <row r="51" spans="7:14" hidden="1" x14ac:dyDescent="0.3">
      <c r="G51" s="211" t="s">
        <v>446</v>
      </c>
      <c r="H51" s="212">
        <f>I51*28</f>
        <v>180.59438126079425</v>
      </c>
      <c r="I51" s="212">
        <f>I40</f>
        <v>6.4497993307426515</v>
      </c>
      <c r="J51" s="212">
        <f>I51*22.4</f>
        <v>144.47550500863539</v>
      </c>
    </row>
    <row r="52" spans="7:14" hidden="1" x14ac:dyDescent="0.3">
      <c r="G52" s="211" t="s">
        <v>426</v>
      </c>
      <c r="H52" s="212">
        <f>I52*18</f>
        <v>84.204683615059935</v>
      </c>
      <c r="I52" s="212">
        <f>I41-N42</f>
        <v>4.6780379786144408</v>
      </c>
      <c r="J52" s="212">
        <f>I52*22.4</f>
        <v>104.78805072096347</v>
      </c>
      <c r="N52" s="23">
        <f>J52/SUM(J37:J40)</f>
        <v>2.6684660557899999E-2</v>
      </c>
    </row>
    <row r="53" spans="7:14" hidden="1" x14ac:dyDescent="0.3">
      <c r="G53" s="211" t="s">
        <v>311</v>
      </c>
      <c r="H53" s="211"/>
      <c r="I53" s="212"/>
      <c r="J53" s="212">
        <f>SUM(J48:J50)</f>
        <v>4172.3102313745148</v>
      </c>
      <c r="K53" s="227">
        <f>C32*I48*K12</f>
        <v>-2206.2648701346266</v>
      </c>
      <c r="L53" s="221" t="s">
        <v>358</v>
      </c>
    </row>
    <row r="54" spans="7:14" ht="15" hidden="1" thickBot="1" x14ac:dyDescent="0.35">
      <c r="G54" s="193" t="s">
        <v>307</v>
      </c>
      <c r="H54" t="s">
        <v>357</v>
      </c>
      <c r="I54" t="s">
        <v>377</v>
      </c>
      <c r="K54" s="224">
        <f>K53*$E$20</f>
        <v>-612.8513528151741</v>
      </c>
      <c r="L54" s="225" t="s">
        <v>370</v>
      </c>
      <c r="N54" s="23">
        <f>K54/SUM(J37:J40)</f>
        <v>-0.15606483954807523</v>
      </c>
    </row>
    <row r="55" spans="7:14" hidden="1" x14ac:dyDescent="0.3">
      <c r="G55" s="209" t="str">
        <f>G51</f>
        <v xml:space="preserve">N2  </v>
      </c>
      <c r="H55" s="210">
        <f>H51</f>
        <v>180.59438126079425</v>
      </c>
      <c r="I55" s="210">
        <f>I51</f>
        <v>6.4497993307426515</v>
      </c>
      <c r="J55" s="210">
        <f>J51</f>
        <v>144.47550500863539</v>
      </c>
      <c r="K55" s="161"/>
    </row>
    <row r="56" spans="7:14" hidden="1" x14ac:dyDescent="0.3">
      <c r="G56" s="209" t="s">
        <v>29</v>
      </c>
      <c r="H56" s="210">
        <f>I56*18</f>
        <v>964.97953206063278</v>
      </c>
      <c r="I56" s="210">
        <f>I48</f>
        <v>53.609974003368485</v>
      </c>
      <c r="J56" s="210">
        <f>I56*22.4</f>
        <v>1200.863417675454</v>
      </c>
      <c r="K56" s="234" t="s">
        <v>396</v>
      </c>
      <c r="L56" s="235"/>
    </row>
    <row r="57" spans="7:14" hidden="1" x14ac:dyDescent="0.3">
      <c r="G57" s="209" t="s">
        <v>44</v>
      </c>
      <c r="H57" s="210">
        <f>I57*2</f>
        <v>214.43994016251276</v>
      </c>
      <c r="I57" s="210">
        <f>I49</f>
        <v>107.21997008125638</v>
      </c>
      <c r="J57" s="210">
        <f>I57*22.4</f>
        <v>2401.7273298201426</v>
      </c>
      <c r="K57" s="161"/>
    </row>
    <row r="58" spans="7:14" hidden="1" x14ac:dyDescent="0.3">
      <c r="G58" s="209" t="s">
        <v>310</v>
      </c>
      <c r="H58" s="210"/>
      <c r="I58" s="210"/>
      <c r="J58" s="210">
        <f>SUM(J56:J57)</f>
        <v>3602.5907474955966</v>
      </c>
      <c r="K58" s="161"/>
    </row>
    <row r="59" spans="7:14" hidden="1" x14ac:dyDescent="0.3">
      <c r="G59" s="211" t="str">
        <f>G51</f>
        <v xml:space="preserve">N2  </v>
      </c>
      <c r="H59" s="212">
        <f>H51</f>
        <v>180.59438126079425</v>
      </c>
      <c r="I59" s="212">
        <f>I51</f>
        <v>6.4497993307426515</v>
      </c>
      <c r="J59" s="212">
        <f>J51</f>
        <v>144.47550500863539</v>
      </c>
      <c r="K59" s="161"/>
    </row>
    <row r="60" spans="7:14" hidden="1" x14ac:dyDescent="0.3">
      <c r="G60" s="211" t="s">
        <v>259</v>
      </c>
      <c r="H60" s="212">
        <f>I60*16</f>
        <v>857.75958405389576</v>
      </c>
      <c r="I60" s="212">
        <f>I56</f>
        <v>53.609974003368485</v>
      </c>
      <c r="J60" s="212">
        <f>I60*22.4</f>
        <v>1200.863417675454</v>
      </c>
      <c r="K60" s="161"/>
    </row>
    <row r="61" spans="7:14" hidden="1" x14ac:dyDescent="0.3">
      <c r="G61" s="211" t="s">
        <v>225</v>
      </c>
      <c r="H61" s="212">
        <f>I61*18</f>
        <v>964.97953206063278</v>
      </c>
      <c r="I61" s="212">
        <f>I56</f>
        <v>53.609974003368485</v>
      </c>
      <c r="J61" s="212">
        <f>I61*22.4</f>
        <v>1200.863417675454</v>
      </c>
      <c r="K61" s="161"/>
    </row>
    <row r="62" spans="7:14" hidden="1" x14ac:dyDescent="0.3">
      <c r="G62" s="211" t="s">
        <v>311</v>
      </c>
      <c r="H62" s="211"/>
      <c r="I62" s="211"/>
      <c r="J62" s="212">
        <f>SUM(J60:J61)</f>
        <v>2401.726835350908</v>
      </c>
      <c r="K62" s="227">
        <f>C34*I56*K12</f>
        <v>-11034.326509217322</v>
      </c>
      <c r="L62" s="221" t="s">
        <v>355</v>
      </c>
    </row>
    <row r="63" spans="7:14" ht="15" hidden="1" thickBot="1" x14ac:dyDescent="0.35">
      <c r="K63" s="224">
        <f>K62*$E$20</f>
        <v>-3065.0906970048118</v>
      </c>
      <c r="L63" s="225" t="s">
        <v>370</v>
      </c>
    </row>
    <row r="64" spans="7:14" x14ac:dyDescent="0.3">
      <c r="K64" s="161"/>
    </row>
    <row r="65" spans="7:12" x14ac:dyDescent="0.3">
      <c r="G65" s="254" t="s">
        <v>491</v>
      </c>
      <c r="H65" s="254" t="s">
        <v>294</v>
      </c>
      <c r="I65" s="254" t="s">
        <v>266</v>
      </c>
      <c r="J65" s="254" t="s">
        <v>309</v>
      </c>
      <c r="K65" s="161"/>
      <c r="L65" t="s">
        <v>441</v>
      </c>
    </row>
    <row r="66" spans="7:12" x14ac:dyDescent="0.3">
      <c r="G66" s="258" t="s">
        <v>29</v>
      </c>
      <c r="H66" s="3">
        <f>I66*28</f>
        <v>1988.4337642486689</v>
      </c>
      <c r="I66" s="3">
        <f>I37</f>
        <v>71.0154915803096</v>
      </c>
      <c r="J66" s="3">
        <f>I66*22.4</f>
        <v>1590.747011398935</v>
      </c>
      <c r="K66" s="161"/>
      <c r="L66" s="162">
        <f>I66/$I$73</f>
        <v>0.40508954733502239</v>
      </c>
    </row>
    <row r="67" spans="7:12" x14ac:dyDescent="0.3">
      <c r="G67" s="258" t="s">
        <v>44</v>
      </c>
      <c r="H67" s="3">
        <f>I67*2</f>
        <v>179.62890500863051</v>
      </c>
      <c r="I67" s="3">
        <f>I38</f>
        <v>89.814452504315256</v>
      </c>
      <c r="J67" s="3">
        <f t="shared" ref="J67:J70" si="8">I67*22.4</f>
        <v>2011.8437360966616</v>
      </c>
      <c r="K67" s="161"/>
      <c r="L67" s="162">
        <f t="shared" ref="L67:L69" si="9">I67/$I$73</f>
        <v>0.51232336916194476</v>
      </c>
    </row>
    <row r="68" spans="7:12" x14ac:dyDescent="0.3">
      <c r="G68" s="258" t="s">
        <v>23</v>
      </c>
      <c r="H68" s="3">
        <f>I68*44</f>
        <v>353.24906994818025</v>
      </c>
      <c r="I68" s="3">
        <f>I39</f>
        <v>8.0283879533677336</v>
      </c>
      <c r="J68" s="3">
        <f t="shared" si="8"/>
        <v>179.83589015543723</v>
      </c>
      <c r="K68" s="161"/>
      <c r="L68" s="162">
        <f t="shared" si="9"/>
        <v>4.5795867485925013E-2</v>
      </c>
    </row>
    <row r="69" spans="7:12" x14ac:dyDescent="0.3">
      <c r="G69" s="258" t="s">
        <v>45</v>
      </c>
      <c r="H69" s="3">
        <f>I69*28</f>
        <v>180.59438126079425</v>
      </c>
      <c r="I69" s="3">
        <f>I40</f>
        <v>6.4497993307426515</v>
      </c>
      <c r="J69" s="3">
        <f t="shared" si="8"/>
        <v>144.47550500863539</v>
      </c>
      <c r="K69" s="161">
        <f>SUM(J66:J69)</f>
        <v>3926.9021426596692</v>
      </c>
      <c r="L69" s="162">
        <f t="shared" si="9"/>
        <v>3.6791216017107803E-2</v>
      </c>
    </row>
    <row r="70" spans="7:12" x14ac:dyDescent="0.3">
      <c r="G70" s="211" t="s">
        <v>447</v>
      </c>
      <c r="H70" s="3">
        <f>I70*18</f>
        <v>397.50400000000002</v>
      </c>
      <c r="I70" s="3">
        <f>I41</f>
        <v>22.083555555555556</v>
      </c>
      <c r="J70" s="3">
        <f t="shared" si="8"/>
        <v>494.67164444444444</v>
      </c>
      <c r="K70" s="161"/>
    </row>
    <row r="71" spans="7:12" x14ac:dyDescent="0.3">
      <c r="G71" s="211" t="s">
        <v>448</v>
      </c>
      <c r="H71" s="3">
        <f>SUM(H66:H68)</f>
        <v>2521.3117392054801</v>
      </c>
      <c r="I71" s="3">
        <f t="shared" ref="I71:J71" si="10">SUM(I66:I68)</f>
        <v>168.8583320379926</v>
      </c>
      <c r="J71" s="3">
        <f t="shared" si="10"/>
        <v>3782.4266376510336</v>
      </c>
      <c r="K71" s="161"/>
    </row>
    <row r="72" spans="7:12" x14ac:dyDescent="0.3">
      <c r="G72" s="211" t="s">
        <v>45</v>
      </c>
      <c r="H72" s="3">
        <f>H69</f>
        <v>180.59438126079425</v>
      </c>
      <c r="I72" s="3">
        <f t="shared" ref="I72:J72" si="11">I69</f>
        <v>6.4497993307426515</v>
      </c>
      <c r="J72" s="3">
        <f t="shared" si="11"/>
        <v>144.47550500863539</v>
      </c>
      <c r="K72" s="161"/>
    </row>
    <row r="73" spans="7:12" x14ac:dyDescent="0.3">
      <c r="G73" s="211" t="s">
        <v>500</v>
      </c>
      <c r="H73" s="3">
        <f>SUM(H71:H72)</f>
        <v>2701.9061204662744</v>
      </c>
      <c r="I73" s="3">
        <f t="shared" ref="I73:J73" si="12">SUM(I71:I72)</f>
        <v>175.30813136873525</v>
      </c>
      <c r="J73" s="3">
        <f t="shared" si="12"/>
        <v>3926.9021426596692</v>
      </c>
      <c r="K73" s="161"/>
    </row>
    <row r="74" spans="7:12" x14ac:dyDescent="0.3">
      <c r="G74" s="211"/>
      <c r="H74" s="3"/>
      <c r="K74" s="161"/>
    </row>
    <row r="75" spans="7:12" x14ac:dyDescent="0.3">
      <c r="G75" s="254" t="s">
        <v>449</v>
      </c>
      <c r="H75" s="254" t="s">
        <v>294</v>
      </c>
      <c r="I75" s="254" t="s">
        <v>266</v>
      </c>
      <c r="J75" s="254" t="s">
        <v>309</v>
      </c>
      <c r="K75" s="161"/>
    </row>
    <row r="76" spans="7:12" x14ac:dyDescent="0.3">
      <c r="G76" s="211" t="s">
        <v>29</v>
      </c>
      <c r="H76" s="3">
        <f>I76*28</f>
        <v>0</v>
      </c>
      <c r="I76" s="3">
        <v>0</v>
      </c>
      <c r="J76" s="212">
        <f>I76*22.4</f>
        <v>0</v>
      </c>
      <c r="K76" s="161"/>
    </row>
    <row r="77" spans="7:12" x14ac:dyDescent="0.3">
      <c r="G77" s="258" t="s">
        <v>44</v>
      </c>
      <c r="H77" s="3">
        <f>I77*2</f>
        <v>1017.8971283822397</v>
      </c>
      <c r="I77" s="3">
        <f>(1/F89-1)*I67</f>
        <v>508.94856419111983</v>
      </c>
      <c r="J77" s="212">
        <f>I77*22.4</f>
        <v>11400.447837881084</v>
      </c>
      <c r="K77" s="161"/>
    </row>
    <row r="78" spans="7:12" x14ac:dyDescent="0.3">
      <c r="G78" s="211" t="s">
        <v>452</v>
      </c>
      <c r="H78" s="3">
        <f>SUM(H76:H77)</f>
        <v>1017.8971283822397</v>
      </c>
      <c r="J78" s="3">
        <f>SUM(J76:J77)</f>
        <v>11400.447837881084</v>
      </c>
      <c r="K78" s="161"/>
    </row>
    <row r="79" spans="7:12" x14ac:dyDescent="0.3">
      <c r="G79" s="211"/>
      <c r="H79" s="3"/>
      <c r="K79" s="161"/>
    </row>
    <row r="80" spans="7:12" x14ac:dyDescent="0.3">
      <c r="G80" s="254" t="s">
        <v>450</v>
      </c>
      <c r="H80" s="254" t="s">
        <v>294</v>
      </c>
      <c r="I80" s="254" t="s">
        <v>266</v>
      </c>
      <c r="J80" s="254" t="s">
        <v>309</v>
      </c>
      <c r="K80" s="161"/>
    </row>
    <row r="81" spans="5:13" x14ac:dyDescent="0.3">
      <c r="G81" s="258" t="s">
        <v>29</v>
      </c>
      <c r="H81" s="3">
        <f>I81*28</f>
        <v>1988.4337642486689</v>
      </c>
      <c r="I81" s="3">
        <f t="shared" ref="I81" si="13">I76+I66</f>
        <v>71.0154915803096</v>
      </c>
      <c r="J81" s="3">
        <f>I81*22.4</f>
        <v>1590.747011398935</v>
      </c>
      <c r="K81" s="161"/>
      <c r="L81" s="207">
        <f>I81/$I$87</f>
        <v>0.10378486910121518</v>
      </c>
    </row>
    <row r="82" spans="5:13" x14ac:dyDescent="0.3">
      <c r="G82" s="258" t="s">
        <v>44</v>
      </c>
      <c r="H82" s="3">
        <f>I82*2</f>
        <v>1197.5260333908702</v>
      </c>
      <c r="I82" s="3">
        <f t="shared" ref="I82" si="14">I67+I77</f>
        <v>598.76301669543511</v>
      </c>
      <c r="J82" s="3">
        <f t="shared" ref="J82:J86" si="15">I82*22.4</f>
        <v>13412.291573977745</v>
      </c>
      <c r="K82" s="161"/>
      <c r="L82" s="207">
        <f t="shared" ref="L82:L87" si="16">I82/$I$87</f>
        <v>0.87505613109935376</v>
      </c>
    </row>
    <row r="83" spans="5:13" x14ac:dyDescent="0.3">
      <c r="G83" s="258" t="s">
        <v>23</v>
      </c>
      <c r="H83" s="3">
        <f>I83*44</f>
        <v>353.24906994818025</v>
      </c>
      <c r="I83" s="3">
        <f>I68</f>
        <v>8.0283879533677336</v>
      </c>
      <c r="J83" s="3">
        <f t="shared" si="15"/>
        <v>179.83589015543723</v>
      </c>
      <c r="K83" s="161"/>
      <c r="L83" s="207">
        <f t="shared" si="16"/>
        <v>1.173300605673862E-2</v>
      </c>
    </row>
    <row r="84" spans="5:13" x14ac:dyDescent="0.3">
      <c r="G84" s="258" t="s">
        <v>45</v>
      </c>
      <c r="H84" s="3">
        <f>I84*28</f>
        <v>180.59438126079425</v>
      </c>
      <c r="I84" s="3">
        <f>I69</f>
        <v>6.4497993307426515</v>
      </c>
      <c r="J84" s="3">
        <f t="shared" si="15"/>
        <v>144.47550500863539</v>
      </c>
      <c r="K84" s="161"/>
      <c r="L84" s="207">
        <f t="shared" si="16"/>
        <v>9.4259937426925157E-3</v>
      </c>
    </row>
    <row r="85" spans="5:13" x14ac:dyDescent="0.3">
      <c r="G85" s="211" t="s">
        <v>451</v>
      </c>
      <c r="H85" s="3">
        <f>SUM(H81:H83)</f>
        <v>3539.2088675877194</v>
      </c>
      <c r="I85" s="3">
        <f>SUM(I81:I83)</f>
        <v>677.80689622911245</v>
      </c>
      <c r="J85" s="3">
        <f>SUM(J81:J83)</f>
        <v>15182.874475532117</v>
      </c>
      <c r="K85" s="161"/>
      <c r="L85" s="162">
        <f t="shared" si="16"/>
        <v>0.99057400625730752</v>
      </c>
    </row>
    <row r="86" spans="5:13" x14ac:dyDescent="0.3">
      <c r="G86" s="211" t="s">
        <v>45</v>
      </c>
      <c r="H86" s="3">
        <f>I86*28</f>
        <v>180.59438126079425</v>
      </c>
      <c r="I86" s="3">
        <f>I84</f>
        <v>6.4497993307426515</v>
      </c>
      <c r="J86" s="3">
        <f t="shared" si="15"/>
        <v>144.47550500863539</v>
      </c>
      <c r="K86" s="161"/>
      <c r="L86" s="162">
        <f>I86/$I$87</f>
        <v>9.4259937426925157E-3</v>
      </c>
    </row>
    <row r="87" spans="5:13" x14ac:dyDescent="0.3">
      <c r="G87" s="211" t="s">
        <v>494</v>
      </c>
      <c r="H87" s="3">
        <f>SUM(H85:H86)</f>
        <v>3719.8032488485137</v>
      </c>
      <c r="I87" s="3">
        <f t="shared" ref="I87:J87" si="17">SUM(I85:I86)</f>
        <v>684.25669555985507</v>
      </c>
      <c r="J87" s="3">
        <f t="shared" si="17"/>
        <v>15327.349980540752</v>
      </c>
      <c r="K87" s="161"/>
      <c r="L87" s="162">
        <f t="shared" si="16"/>
        <v>1</v>
      </c>
    </row>
    <row r="88" spans="5:13" x14ac:dyDescent="0.3">
      <c r="E88" t="s">
        <v>438</v>
      </c>
      <c r="G88" s="254" t="s">
        <v>516</v>
      </c>
      <c r="H88" s="254" t="s">
        <v>294</v>
      </c>
      <c r="I88" s="254" t="s">
        <v>266</v>
      </c>
      <c r="J88" s="254" t="s">
        <v>309</v>
      </c>
      <c r="K88" s="161"/>
      <c r="L88" t="s">
        <v>492</v>
      </c>
      <c r="M88" t="s">
        <v>493</v>
      </c>
    </row>
    <row r="89" spans="5:13" x14ac:dyDescent="0.3">
      <c r="F89" s="214">
        <v>0.15</v>
      </c>
      <c r="G89" s="258" t="s">
        <v>517</v>
      </c>
      <c r="H89" s="3">
        <f>I89*32</f>
        <v>1437.0312400690443</v>
      </c>
      <c r="I89" s="3">
        <f>I82*F89/2</f>
        <v>44.907226252157635</v>
      </c>
      <c r="J89" s="3">
        <f t="shared" ref="J89:J93" si="18">I89*22.4</f>
        <v>1005.9218680483309</v>
      </c>
      <c r="K89" s="161"/>
      <c r="L89" s="207">
        <f>I89/$I$94</f>
        <v>7.5545146356568518E-2</v>
      </c>
      <c r="M89" s="3">
        <f>L89*30</f>
        <v>2.2663543906970554</v>
      </c>
    </row>
    <row r="90" spans="5:13" x14ac:dyDescent="0.3">
      <c r="G90" s="258" t="s">
        <v>29</v>
      </c>
      <c r="H90" s="3">
        <f>I90*28</f>
        <v>731.03142918825506</v>
      </c>
      <c r="I90" s="3">
        <f>I81-I89</f>
        <v>26.108265328151965</v>
      </c>
      <c r="J90" s="3">
        <f t="shared" si="18"/>
        <v>584.82514335060398</v>
      </c>
      <c r="K90" s="161"/>
      <c r="L90" s="207">
        <f t="shared" ref="L90:L93" si="19">I90/$I$94</f>
        <v>4.3920608996343855E-2</v>
      </c>
      <c r="M90" s="3">
        <f t="shared" ref="M90:M93" si="20">L90*30</f>
        <v>1.3176182698903156</v>
      </c>
    </row>
    <row r="91" spans="5:13" x14ac:dyDescent="0.3">
      <c r="G91" s="258" t="s">
        <v>44</v>
      </c>
      <c r="H91" s="3">
        <f>I91*2</f>
        <v>1017.8971283822397</v>
      </c>
      <c r="I91" s="181">
        <f>I82-2*I89</f>
        <v>508.94856419111983</v>
      </c>
      <c r="J91" s="3">
        <f t="shared" si="18"/>
        <v>11400.447837881084</v>
      </c>
      <c r="K91" s="161">
        <f>SUM(J90:J91)</f>
        <v>11985.272981231688</v>
      </c>
      <c r="L91" s="207">
        <f t="shared" si="19"/>
        <v>0.85617832537444316</v>
      </c>
      <c r="M91" s="3">
        <f t="shared" si="20"/>
        <v>25.685349761233294</v>
      </c>
    </row>
    <row r="92" spans="5:13" x14ac:dyDescent="0.3">
      <c r="G92" s="258" t="s">
        <v>23</v>
      </c>
      <c r="H92" s="3">
        <f>I92*44</f>
        <v>353.24906994818025</v>
      </c>
      <c r="I92" s="3">
        <f>I83</f>
        <v>8.0283879533677336</v>
      </c>
      <c r="J92" s="3">
        <f t="shared" si="18"/>
        <v>179.83589015543723</v>
      </c>
      <c r="K92" s="161"/>
      <c r="L92" s="207">
        <f t="shared" si="19"/>
        <v>1.3505749376256267E-2</v>
      </c>
      <c r="M92" s="3">
        <f t="shared" si="20"/>
        <v>0.40517248128768801</v>
      </c>
    </row>
    <row r="93" spans="5:13" x14ac:dyDescent="0.3">
      <c r="G93" s="258" t="s">
        <v>45</v>
      </c>
      <c r="H93" s="3">
        <f>I93*28</f>
        <v>180.59438126079425</v>
      </c>
      <c r="I93" s="3">
        <f>I84</f>
        <v>6.4497993307426515</v>
      </c>
      <c r="J93" s="3">
        <f t="shared" si="18"/>
        <v>144.47550500863539</v>
      </c>
      <c r="K93" s="161">
        <f>SUM(J92:J93)</f>
        <v>324.31139516407262</v>
      </c>
      <c r="L93" s="207">
        <f t="shared" si="19"/>
        <v>1.0850169896388125E-2</v>
      </c>
      <c r="M93" s="3">
        <f t="shared" si="20"/>
        <v>0.32550509689164375</v>
      </c>
    </row>
    <row r="94" spans="5:13" x14ac:dyDescent="0.3">
      <c r="G94" s="211" t="s">
        <v>280</v>
      </c>
      <c r="H94" s="3">
        <f>SUM(H89:H93)</f>
        <v>3719.8032488485137</v>
      </c>
      <c r="I94" s="3">
        <f t="shared" ref="I94:J94" si="21">SUM(I89:I93)</f>
        <v>594.44224305553985</v>
      </c>
      <c r="J94" s="3">
        <f t="shared" si="21"/>
        <v>13315.50624444409</v>
      </c>
      <c r="K94" s="161"/>
    </row>
    <row r="95" spans="5:13" x14ac:dyDescent="0.3">
      <c r="G95" s="254" t="s">
        <v>454</v>
      </c>
      <c r="H95" s="254" t="s">
        <v>294</v>
      </c>
      <c r="I95" s="254" t="s">
        <v>266</v>
      </c>
      <c r="J95" s="254" t="s">
        <v>309</v>
      </c>
      <c r="K95" s="161"/>
    </row>
    <row r="96" spans="5:13" x14ac:dyDescent="0.3">
      <c r="G96" s="211" t="s">
        <v>29</v>
      </c>
      <c r="H96" s="3">
        <f>I96*28</f>
        <v>0</v>
      </c>
      <c r="I96">
        <f>0</f>
        <v>0</v>
      </c>
      <c r="J96" s="3">
        <f t="shared" ref="J96:J97" si="22">I96*22.4</f>
        <v>0</v>
      </c>
      <c r="K96" s="161"/>
    </row>
    <row r="97" spans="7:15" x14ac:dyDescent="0.3">
      <c r="G97" s="258" t="s">
        <v>44</v>
      </c>
      <c r="H97" s="3">
        <f>I97*2</f>
        <v>1017.8971283822397</v>
      </c>
      <c r="I97" s="181">
        <f>I91</f>
        <v>508.94856419111983</v>
      </c>
      <c r="J97" s="3">
        <f t="shared" si="22"/>
        <v>11400.447837881084</v>
      </c>
      <c r="K97" s="161"/>
    </row>
    <row r="98" spans="7:15" x14ac:dyDescent="0.3">
      <c r="G98" s="211" t="s">
        <v>280</v>
      </c>
      <c r="H98" s="3">
        <f>SUM(H96:H97)</f>
        <v>1017.8971283822397</v>
      </c>
      <c r="I98" s="3">
        <f>SUM(I96:I97)</f>
        <v>508.94856419111983</v>
      </c>
      <c r="J98" s="3">
        <f>SUM(J96:J97)</f>
        <v>11400.447837881084</v>
      </c>
      <c r="K98" s="161"/>
    </row>
    <row r="99" spans="7:15" x14ac:dyDescent="0.3">
      <c r="G99" s="254" t="s">
        <v>495</v>
      </c>
      <c r="H99" s="254" t="s">
        <v>294</v>
      </c>
      <c r="I99" s="254" t="s">
        <v>266</v>
      </c>
      <c r="J99" s="254" t="s">
        <v>309</v>
      </c>
      <c r="K99" s="161"/>
    </row>
    <row r="100" spans="7:15" x14ac:dyDescent="0.3">
      <c r="G100" s="258" t="s">
        <v>29</v>
      </c>
      <c r="H100" s="3">
        <f>I100*28</f>
        <v>731.03142918825506</v>
      </c>
      <c r="I100" s="3">
        <f>I90</f>
        <v>26.108265328151965</v>
      </c>
      <c r="J100" s="3">
        <f t="shared" ref="J100:J102" si="23">I100*22.4</f>
        <v>584.82514335060398</v>
      </c>
      <c r="K100" s="161"/>
    </row>
    <row r="101" spans="7:15" x14ac:dyDescent="0.3">
      <c r="G101" s="258" t="s">
        <v>23</v>
      </c>
      <c r="H101">
        <f>I101*44</f>
        <v>353.24906994818025</v>
      </c>
      <c r="I101" s="3">
        <f>I92</f>
        <v>8.0283879533677336</v>
      </c>
      <c r="J101" s="3">
        <f t="shared" si="23"/>
        <v>179.83589015543723</v>
      </c>
      <c r="K101" s="161"/>
    </row>
    <row r="102" spans="7:15" x14ac:dyDescent="0.3">
      <c r="G102" s="258" t="s">
        <v>45</v>
      </c>
      <c r="H102">
        <f>I102*28</f>
        <v>180.59438126079425</v>
      </c>
      <c r="I102" s="3">
        <f>I93</f>
        <v>6.4497993307426515</v>
      </c>
      <c r="J102" s="3">
        <f t="shared" si="23"/>
        <v>144.47550500863539</v>
      </c>
      <c r="K102" s="161"/>
    </row>
    <row r="103" spans="7:15" x14ac:dyDescent="0.3">
      <c r="G103" s="211"/>
      <c r="I103" s="3"/>
      <c r="K103" s="161"/>
    </row>
    <row r="104" spans="7:15" x14ac:dyDescent="0.3">
      <c r="G104" s="211"/>
      <c r="I104" s="3"/>
      <c r="K104" s="161"/>
    </row>
    <row r="105" spans="7:15" x14ac:dyDescent="0.3">
      <c r="G105" s="211"/>
      <c r="I105" s="3"/>
      <c r="K105" s="161"/>
    </row>
    <row r="106" spans="7:15" ht="15" thickBot="1" x14ac:dyDescent="0.35">
      <c r="G106" s="254" t="s">
        <v>313</v>
      </c>
      <c r="H106" t="s">
        <v>378</v>
      </c>
      <c r="J106" t="s">
        <v>320</v>
      </c>
      <c r="K106" s="161" t="s">
        <v>514</v>
      </c>
      <c r="N106" t="s">
        <v>438</v>
      </c>
    </row>
    <row r="107" spans="7:15" x14ac:dyDescent="0.3">
      <c r="G107" t="s">
        <v>314</v>
      </c>
      <c r="H107" s="3">
        <f>I107*(12+16+4)</f>
        <v>1437.0312400690443</v>
      </c>
      <c r="I107" s="3">
        <f>I89</f>
        <v>44.907226252157635</v>
      </c>
      <c r="J107" s="3">
        <f>H107/0.792</f>
        <v>1814.433383925561</v>
      </c>
      <c r="K107" s="227">
        <f>I107*C36*K12</f>
        <v>-4059.1641809325279</v>
      </c>
      <c r="L107" s="221" t="s">
        <v>356</v>
      </c>
      <c r="N107" s="214">
        <v>0.25</v>
      </c>
    </row>
    <row r="108" spans="7:15" ht="15" thickBot="1" x14ac:dyDescent="0.35">
      <c r="G108" s="254" t="s">
        <v>518</v>
      </c>
      <c r="K108" s="255">
        <f>K107*$E$20</f>
        <v>-1127.5456058145912</v>
      </c>
      <c r="L108" s="256" t="s">
        <v>370</v>
      </c>
      <c r="N108">
        <f>K108*N107</f>
        <v>-281.88640145364781</v>
      </c>
      <c r="O108" t="s">
        <v>439</v>
      </c>
    </row>
    <row r="109" spans="7:15" hidden="1" x14ac:dyDescent="0.3">
      <c r="G109" s="193" t="s">
        <v>341</v>
      </c>
      <c r="H109" s="3">
        <f>I109*28</f>
        <v>160.25935783678705</v>
      </c>
      <c r="I109" s="3">
        <f>I21/0.8*0.2</f>
        <v>5.7235484941709664</v>
      </c>
      <c r="J109">
        <f>I109*22.4</f>
        <v>128.20748626942964</v>
      </c>
      <c r="N109" s="23">
        <f>N108/SUM(J37:J40)</f>
        <v>-7.1783403612580912E-2</v>
      </c>
      <c r="O109" t="s">
        <v>437</v>
      </c>
    </row>
    <row r="110" spans="7:15" hidden="1" x14ac:dyDescent="0.3">
      <c r="N110" t="s">
        <v>440</v>
      </c>
      <c r="O110">
        <f>(1-N107)*SUM(J48:J49)</f>
        <v>2701.9430606216974</v>
      </c>
    </row>
    <row r="111" spans="7:15" hidden="1" x14ac:dyDescent="0.3">
      <c r="G111" s="170" t="s">
        <v>339</v>
      </c>
      <c r="H111" s="170" t="s">
        <v>294</v>
      </c>
      <c r="I111" s="170" t="s">
        <v>266</v>
      </c>
      <c r="J111" s="218" t="s">
        <v>309</v>
      </c>
      <c r="K111" s="220" t="s">
        <v>359</v>
      </c>
      <c r="L111" s="221"/>
      <c r="M111" t="s">
        <v>360</v>
      </c>
      <c r="N111" t="s">
        <v>441</v>
      </c>
      <c r="O111">
        <f>O110/SUM(J48:J51)</f>
        <v>0.62591549027993687</v>
      </c>
    </row>
    <row r="112" spans="7:15" hidden="1" x14ac:dyDescent="0.3">
      <c r="G112" s="170" t="s">
        <v>322</v>
      </c>
      <c r="H112" s="170">
        <v>2300</v>
      </c>
      <c r="I112" s="170"/>
      <c r="J112" s="218"/>
      <c r="K112" s="222">
        <f>H112/1000*50</f>
        <v>114.99999999999999</v>
      </c>
      <c r="L112" s="223" t="s">
        <v>345</v>
      </c>
      <c r="M112" t="s">
        <v>362</v>
      </c>
    </row>
    <row r="113" spans="7:15" hidden="1" x14ac:dyDescent="0.3">
      <c r="G113" s="170" t="s">
        <v>255</v>
      </c>
      <c r="H113" s="217">
        <f>H21</f>
        <v>732.61420725388371</v>
      </c>
      <c r="I113" s="216">
        <f>H113/32</f>
        <v>22.894193976683866</v>
      </c>
      <c r="J113" s="219">
        <f>I113*22.4</f>
        <v>512.82994507771855</v>
      </c>
      <c r="K113" s="222">
        <f>K112*24</f>
        <v>2759.9999999999995</v>
      </c>
      <c r="L113" s="223" t="s">
        <v>342</v>
      </c>
    </row>
    <row r="114" spans="7:15" ht="15" hidden="1" thickBot="1" x14ac:dyDescent="0.35">
      <c r="G114" s="170" t="s">
        <v>225</v>
      </c>
      <c r="H114" s="217">
        <f>H22</f>
        <v>112.60655440412798</v>
      </c>
      <c r="I114" s="216">
        <f>H114/18</f>
        <v>6.2559196891182207</v>
      </c>
      <c r="J114" s="219">
        <f>I114*22.4</f>
        <v>140.13260103624813</v>
      </c>
      <c r="K114" s="224">
        <f>K113*300</f>
        <v>827999.99999999988</v>
      </c>
      <c r="L114" s="225" t="s">
        <v>346</v>
      </c>
      <c r="M114" s="161">
        <f>K114/60*90</f>
        <v>1241999.9999999998</v>
      </c>
    </row>
    <row r="115" spans="7:15" hidden="1" x14ac:dyDescent="0.3">
      <c r="G115" s="170" t="s">
        <v>45</v>
      </c>
      <c r="H115" s="217">
        <f>H26</f>
        <v>71.226381260794255</v>
      </c>
      <c r="I115" s="216">
        <f>H115/28</f>
        <v>2.5437993307426519</v>
      </c>
      <c r="J115" s="216">
        <f>I115*22.4</f>
        <v>56.981105008635396</v>
      </c>
    </row>
    <row r="116" spans="7:15" hidden="1" x14ac:dyDescent="0.3"/>
    <row r="117" spans="7:15" hidden="1" x14ac:dyDescent="0.3">
      <c r="G117" s="170" t="s">
        <v>384</v>
      </c>
      <c r="H117" s="170" t="s">
        <v>294</v>
      </c>
      <c r="I117" s="170" t="s">
        <v>266</v>
      </c>
      <c r="J117" s="170" t="s">
        <v>309</v>
      </c>
      <c r="K117" s="34"/>
    </row>
    <row r="118" spans="7:15" hidden="1" x14ac:dyDescent="0.3">
      <c r="G118" s="170" t="s">
        <v>0</v>
      </c>
      <c r="H118" s="216">
        <f>H18</f>
        <v>311.81832901553838</v>
      </c>
      <c r="I118" s="170"/>
      <c r="J118" s="218"/>
      <c r="K118" s="226" t="s">
        <v>359</v>
      </c>
      <c r="L118" s="221"/>
      <c r="M118" t="s">
        <v>360</v>
      </c>
      <c r="N118" s="234" t="s">
        <v>396</v>
      </c>
      <c r="O118" s="235"/>
    </row>
    <row r="119" spans="7:15" hidden="1" x14ac:dyDescent="0.3">
      <c r="G119" s="170" t="s">
        <v>259</v>
      </c>
      <c r="H119" s="217">
        <f>H60</f>
        <v>857.75958405389576</v>
      </c>
      <c r="I119" s="216">
        <f>H119/18</f>
        <v>47.65331022521643</v>
      </c>
      <c r="J119" s="219">
        <f>I119*22.4</f>
        <v>1067.434149044848</v>
      </c>
      <c r="K119" s="222">
        <f>J119*0.15</f>
        <v>160.1151223567272</v>
      </c>
      <c r="L119" s="223" t="s">
        <v>343</v>
      </c>
      <c r="M119" t="s">
        <v>361</v>
      </c>
    </row>
    <row r="120" spans="7:15" hidden="1" x14ac:dyDescent="0.3">
      <c r="G120" s="170" t="s">
        <v>225</v>
      </c>
      <c r="H120" s="217">
        <f>H61</f>
        <v>964.97953206063278</v>
      </c>
      <c r="I120" s="216">
        <f>H120/18</f>
        <v>53.609974003368485</v>
      </c>
      <c r="J120" s="219">
        <f>I120*22.4</f>
        <v>1200.863417675454</v>
      </c>
      <c r="K120" s="222">
        <f>K119*24</f>
        <v>3842.762936561453</v>
      </c>
      <c r="L120" s="223" t="s">
        <v>342</v>
      </c>
    </row>
    <row r="121" spans="7:15" ht="15" hidden="1" thickBot="1" x14ac:dyDescent="0.35">
      <c r="G121" s="170" t="s">
        <v>23</v>
      </c>
      <c r="H121" s="217">
        <f>H50</f>
        <v>1119.0918433335894</v>
      </c>
      <c r="I121" s="216">
        <f>H121/44</f>
        <v>25.433905530308849</v>
      </c>
      <c r="J121" s="219">
        <f>I121*22.4</f>
        <v>569.71948387891814</v>
      </c>
      <c r="K121" s="224">
        <f>K120*300</f>
        <v>1152828.8809684359</v>
      </c>
      <c r="L121" s="225" t="s">
        <v>346</v>
      </c>
      <c r="M121" s="161">
        <f>K121/15*23</f>
        <v>1767670.9508182683</v>
      </c>
    </row>
    <row r="122" spans="7:15" hidden="1" x14ac:dyDescent="0.3">
      <c r="G122" s="170" t="str">
        <f t="shared" ref="G122:I122" si="24">G115</f>
        <v>N2</v>
      </c>
      <c r="H122" s="217">
        <f t="shared" si="24"/>
        <v>71.226381260794255</v>
      </c>
      <c r="I122" s="216">
        <f t="shared" si="24"/>
        <v>2.5437993307426519</v>
      </c>
      <c r="J122" s="216">
        <f>I122*22.4</f>
        <v>56.981105008635396</v>
      </c>
    </row>
    <row r="123" spans="7:15" hidden="1" x14ac:dyDescent="0.3"/>
    <row r="124" spans="7:15" hidden="1" x14ac:dyDescent="0.3"/>
    <row r="125" spans="7:15" hidden="1" x14ac:dyDescent="0.3">
      <c r="G125" s="170" t="s">
        <v>385</v>
      </c>
      <c r="H125" s="170" t="s">
        <v>294</v>
      </c>
      <c r="I125" s="170" t="s">
        <v>266</v>
      </c>
      <c r="J125" s="170" t="str">
        <f t="shared" ref="G125:J126" si="25">J106</f>
        <v>litrov</v>
      </c>
      <c r="M125" t="s">
        <v>360</v>
      </c>
    </row>
    <row r="126" spans="7:15" hidden="1" x14ac:dyDescent="0.3">
      <c r="G126" s="170" t="str">
        <f t="shared" si="25"/>
        <v>CH3OH</v>
      </c>
      <c r="H126" s="216">
        <f t="shared" si="25"/>
        <v>1437.0312400690443</v>
      </c>
      <c r="I126" s="216">
        <f t="shared" si="25"/>
        <v>44.907226252157635</v>
      </c>
      <c r="J126" s="219">
        <f t="shared" si="25"/>
        <v>1814.433383925561</v>
      </c>
      <c r="K126" s="227">
        <f>H126/1000*175</f>
        <v>251.48046701208276</v>
      </c>
      <c r="L126" s="221" t="s">
        <v>344</v>
      </c>
      <c r="M126" t="s">
        <v>364</v>
      </c>
    </row>
    <row r="127" spans="7:15" hidden="1" x14ac:dyDescent="0.3">
      <c r="G127" s="170" t="str">
        <f t="shared" ref="G127:J128" si="26">G121</f>
        <v>CO2</v>
      </c>
      <c r="H127" s="217">
        <f t="shared" si="26"/>
        <v>1119.0918433335894</v>
      </c>
      <c r="I127" s="216">
        <f t="shared" si="26"/>
        <v>25.433905530308849</v>
      </c>
      <c r="J127" s="219">
        <f t="shared" si="26"/>
        <v>569.71948387891814</v>
      </c>
      <c r="K127" s="222">
        <f>K126*24</f>
        <v>6035.5312082899864</v>
      </c>
      <c r="L127" s="223" t="s">
        <v>342</v>
      </c>
    </row>
    <row r="128" spans="7:15" ht="15" hidden="1" thickBot="1" x14ac:dyDescent="0.35">
      <c r="G128" s="170" t="str">
        <f t="shared" si="26"/>
        <v>N2</v>
      </c>
      <c r="H128" s="217">
        <f>H51</f>
        <v>180.59438126079425</v>
      </c>
      <c r="I128" s="216">
        <f t="shared" si="26"/>
        <v>2.5437993307426519</v>
      </c>
      <c r="J128" s="219">
        <f t="shared" si="26"/>
        <v>56.981105008635396</v>
      </c>
      <c r="K128" s="224">
        <f>K127*300</f>
        <v>1810659.362486996</v>
      </c>
      <c r="L128" s="225" t="s">
        <v>346</v>
      </c>
      <c r="M128" s="161">
        <f>K128/175*400</f>
        <v>4138649.9713988481</v>
      </c>
    </row>
    <row r="129" spans="7:14" hidden="1" x14ac:dyDescent="0.3">
      <c r="G129" s="170" t="str">
        <f t="shared" ref="G129:J129" si="27">G118</f>
        <v>Ash</v>
      </c>
      <c r="H129" s="217">
        <f t="shared" si="27"/>
        <v>311.81832901553838</v>
      </c>
      <c r="I129" s="216">
        <f t="shared" si="27"/>
        <v>0</v>
      </c>
      <c r="J129" s="216">
        <f t="shared" si="27"/>
        <v>0</v>
      </c>
      <c r="K129" s="161"/>
      <c r="M129" s="161"/>
    </row>
    <row r="130" spans="7:14" hidden="1" x14ac:dyDescent="0.3">
      <c r="H130" s="3"/>
      <c r="I130" s="22"/>
      <c r="J130" s="233"/>
      <c r="K130" s="161"/>
      <c r="M130" s="161"/>
    </row>
    <row r="131" spans="7:14" hidden="1" x14ac:dyDescent="0.3">
      <c r="J131" s="170"/>
      <c r="K131" s="170" t="s">
        <v>354</v>
      </c>
    </row>
    <row r="132" spans="7:14" hidden="1" x14ac:dyDescent="0.3">
      <c r="J132" s="170" t="s">
        <v>347</v>
      </c>
      <c r="K132" s="169">
        <v>200000</v>
      </c>
    </row>
    <row r="133" spans="7:14" hidden="1" x14ac:dyDescent="0.3">
      <c r="J133" s="170" t="s">
        <v>348</v>
      </c>
      <c r="K133" s="169">
        <f>1500*24*300*0.15</f>
        <v>1620000</v>
      </c>
      <c r="L133" t="s">
        <v>391</v>
      </c>
      <c r="M133">
        <f>1500*0.2</f>
        <v>300</v>
      </c>
      <c r="N133">
        <f>1500*0.1</f>
        <v>150</v>
      </c>
    </row>
    <row r="134" spans="7:14" hidden="1" x14ac:dyDescent="0.3">
      <c r="J134" s="170" t="s">
        <v>349</v>
      </c>
      <c r="K134" s="169">
        <v>1000000</v>
      </c>
      <c r="L134" t="s">
        <v>350</v>
      </c>
    </row>
    <row r="135" spans="7:14" hidden="1" x14ac:dyDescent="0.3">
      <c r="J135" s="170" t="s">
        <v>351</v>
      </c>
      <c r="K135" s="169">
        <f>K134*5*0.05*0.6</f>
        <v>150000</v>
      </c>
      <c r="L135" t="s">
        <v>352</v>
      </c>
    </row>
    <row r="136" spans="7:14" hidden="1" x14ac:dyDescent="0.3">
      <c r="J136" s="170" t="s">
        <v>366</v>
      </c>
      <c r="K136" s="169">
        <f>200000</f>
        <v>200000</v>
      </c>
    </row>
    <row r="137" spans="7:14" hidden="1" x14ac:dyDescent="0.3">
      <c r="J137" s="170" t="s">
        <v>280</v>
      </c>
      <c r="K137" s="169">
        <f>SUM(K132:K136)</f>
        <v>3170000</v>
      </c>
    </row>
    <row r="138" spans="7:14" hidden="1" x14ac:dyDescent="0.3">
      <c r="J138" s="170"/>
      <c r="K138" s="170" t="s">
        <v>365</v>
      </c>
      <c r="L138" s="228" t="s">
        <v>363</v>
      </c>
    </row>
    <row r="139" spans="7:14" hidden="1" x14ac:dyDescent="0.3">
      <c r="J139" s="170" t="s">
        <v>353</v>
      </c>
      <c r="K139" s="169">
        <f>K121+K114-K137</f>
        <v>-1189171.1190315643</v>
      </c>
      <c r="L139" s="169">
        <f>M114+M121-K137</f>
        <v>-160329.04918173188</v>
      </c>
      <c r="M139" s="234" t="s">
        <v>396</v>
      </c>
      <c r="N139" s="235"/>
    </row>
    <row r="140" spans="7:14" hidden="1" x14ac:dyDescent="0.3">
      <c r="J140" s="170" t="s">
        <v>373</v>
      </c>
      <c r="K140" s="169">
        <f>K128+K114-K137</f>
        <v>-531340.63751300424</v>
      </c>
      <c r="L140" s="169">
        <f>M114+M128-K137</f>
        <v>2210649.9713988481</v>
      </c>
    </row>
    <row r="141" spans="7:14" hidden="1" x14ac:dyDescent="0.3">
      <c r="K141" t="s">
        <v>374</v>
      </c>
    </row>
    <row r="142" spans="7:14" hidden="1" x14ac:dyDescent="0.3">
      <c r="J142" s="170" t="s">
        <v>371</v>
      </c>
      <c r="K142" s="169">
        <f>K54+K63</f>
        <v>-3677.9420498199861</v>
      </c>
      <c r="L142" s="170" t="s">
        <v>382</v>
      </c>
    </row>
    <row r="143" spans="7:14" hidden="1" x14ac:dyDescent="0.3">
      <c r="J143" s="170" t="s">
        <v>372</v>
      </c>
      <c r="K143" s="169">
        <f>K54+K108</f>
        <v>-1740.3969586297653</v>
      </c>
      <c r="L143" s="170" t="s">
        <v>383</v>
      </c>
    </row>
    <row r="144" spans="7:14" hidden="1" x14ac:dyDescent="0.3"/>
  </sheetData>
  <pageMargins left="0.25" right="0.25" top="0.75" bottom="0.75" header="0.3" footer="0.3"/>
  <pageSetup paperSize="9" scale="41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3:L26"/>
  <sheetViews>
    <sheetView workbookViewId="0">
      <selection activeCell="H9" sqref="H9"/>
    </sheetView>
  </sheetViews>
  <sheetFormatPr defaultRowHeight="14.4" x14ac:dyDescent="0.3"/>
  <cols>
    <col min="1" max="1" width="8.88671875" customWidth="1"/>
    <col min="2" max="2" width="19.21875" bestFit="1" customWidth="1"/>
    <col min="3" max="3" width="13" customWidth="1"/>
    <col min="4" max="4" width="13.33203125" customWidth="1"/>
    <col min="5" max="5" width="8.88671875" customWidth="1"/>
    <col min="6" max="6" width="17" customWidth="1"/>
    <col min="7" max="7" width="8.88671875" customWidth="1"/>
  </cols>
  <sheetData>
    <row r="3" spans="1:12" x14ac:dyDescent="0.3">
      <c r="B3" t="s">
        <v>625</v>
      </c>
      <c r="C3" s="323">
        <v>2</v>
      </c>
      <c r="D3" t="s">
        <v>790</v>
      </c>
    </row>
    <row r="4" spans="1:12" x14ac:dyDescent="0.3">
      <c r="B4" s="27" t="s">
        <v>797</v>
      </c>
      <c r="C4" s="27" t="s">
        <v>798</v>
      </c>
      <c r="D4" t="s">
        <v>799</v>
      </c>
      <c r="G4" t="s">
        <v>791</v>
      </c>
      <c r="L4" t="s">
        <v>794</v>
      </c>
    </row>
    <row r="5" spans="1:12" x14ac:dyDescent="0.3">
      <c r="B5" s="27" t="str">
        <f>'01.Vhodni podatki'!B13</f>
        <v>S</v>
      </c>
      <c r="C5" s="472">
        <f>'01.Vhodni podatki'!$C$13</f>
        <v>1.5119009067357511E-2</v>
      </c>
      <c r="D5">
        <v>32</v>
      </c>
      <c r="G5" t="s">
        <v>792</v>
      </c>
      <c r="L5" t="s">
        <v>795</v>
      </c>
    </row>
    <row r="6" spans="1:12" x14ac:dyDescent="0.3">
      <c r="B6" s="27" t="str">
        <f>'01.Vhodni podatki'!B14</f>
        <v>Cl</v>
      </c>
      <c r="C6" s="472">
        <f>+'01.Vhodni podatki'!$C$14</f>
        <v>2.9145077720207253E-3</v>
      </c>
      <c r="D6">
        <v>35.5</v>
      </c>
      <c r="G6" t="s">
        <v>793</v>
      </c>
      <c r="L6" t="s">
        <v>796</v>
      </c>
    </row>
    <row r="7" spans="1:12" x14ac:dyDescent="0.3">
      <c r="B7" s="27" t="s">
        <v>468</v>
      </c>
      <c r="C7" s="472">
        <f>'01.Vhodni podatki'!C8</f>
        <v>0.13270118199481867</v>
      </c>
      <c r="D7" t="s">
        <v>800</v>
      </c>
    </row>
    <row r="9" spans="1:12" ht="72" x14ac:dyDescent="0.3">
      <c r="A9" s="170" t="s">
        <v>236</v>
      </c>
      <c r="B9" s="170" t="s">
        <v>626</v>
      </c>
      <c r="C9" s="333" t="s">
        <v>802</v>
      </c>
      <c r="D9" s="333" t="s">
        <v>801</v>
      </c>
      <c r="E9" s="333" t="s">
        <v>629</v>
      </c>
      <c r="F9" s="333" t="str">
        <f>"količina glede na količino vhodnega goriva, ki znaša za ta primer "&amp;'02. Pripravljeno gorivo'!E20&amp;" kg"</f>
        <v>količina glede na količino vhodnega goriva, ki znaša za ta primer 100 kg</v>
      </c>
      <c r="G9" s="468" t="s">
        <v>676</v>
      </c>
      <c r="H9" s="469" t="s">
        <v>677</v>
      </c>
      <c r="I9" s="469" t="s">
        <v>678</v>
      </c>
    </row>
    <row r="10" spans="1:12" x14ac:dyDescent="0.3">
      <c r="A10" s="170">
        <v>56</v>
      </c>
      <c r="B10" s="170" t="s">
        <v>627</v>
      </c>
      <c r="C10" s="216">
        <f>$C$5*100*'01.1 Dodajane adsorbenta'!A10*$C$3/$D$5</f>
        <v>5.2916531735751295</v>
      </c>
      <c r="D10" s="216">
        <f>+$C$6*100*'01.1 Dodajane adsorbenta'!A10/$D$6*$C$3</f>
        <v>0.91950667736991887</v>
      </c>
      <c r="E10" s="216">
        <f>C10+D10</f>
        <v>6.2111598509450481</v>
      </c>
      <c r="F10" s="216">
        <f>E10/100*'02. Pripravljeno gorivo'!$E$20</f>
        <v>6.2111598509450481</v>
      </c>
      <c r="G10" s="470">
        <f>F10/A10*(A10)+$C$7*'02. Pripravljeno gorivo'!$E$20</f>
        <v>19.481278050426916</v>
      </c>
      <c r="H10" s="473">
        <f>$C$5*'02. Pripravljeno gorivo'!$E$20/32*18+$C$6*'02. Pripravljeno gorivo'!$E$20/35.5*18*1/2</f>
        <v>0.92433318947037135</v>
      </c>
      <c r="I10" s="471"/>
    </row>
    <row r="11" spans="1:12" x14ac:dyDescent="0.3">
      <c r="A11" s="170">
        <v>74</v>
      </c>
      <c r="B11" s="170" t="s">
        <v>203</v>
      </c>
      <c r="C11" s="216">
        <f>$C$5*100*'01.1 Dodajane adsorbenta'!A11*$C$3/$D$5</f>
        <v>6.9925416936528491</v>
      </c>
      <c r="D11" s="216">
        <f>+$C$6*100*'01.1 Dodajane adsorbenta'!A11/$D$6*$C$3</f>
        <v>1.2150623950959645</v>
      </c>
      <c r="E11" s="216">
        <f>C11+D11</f>
        <v>8.2076040887488126</v>
      </c>
      <c r="F11" s="216">
        <f>E11/100*'02. Pripravljeno gorivo'!$E$20</f>
        <v>8.2076040887488126</v>
      </c>
      <c r="G11" s="470">
        <f>F11/A11*(A11)+$C$7*'02. Pripravljeno gorivo'!$E$20</f>
        <v>21.47772228823068</v>
      </c>
      <c r="H11" s="473">
        <f>$C$5*'02. Pripravljeno gorivo'!$E$20/32*18*2+$C$6*'02. Pripravljeno gorivo'!$E$20/35.5*18*1</f>
        <v>1.8486663789407427</v>
      </c>
      <c r="I11" s="471"/>
    </row>
    <row r="12" spans="1:12" x14ac:dyDescent="0.3">
      <c r="A12" s="170">
        <v>100</v>
      </c>
      <c r="B12" s="170" t="s">
        <v>628</v>
      </c>
      <c r="C12" s="216">
        <f>$C$5*100*'01.1 Dodajane adsorbenta'!A12*$C$3/$D$5</f>
        <v>9.4493806670984455</v>
      </c>
      <c r="D12" s="216">
        <f>+$C$6*100*'01.1 Dodajane adsorbenta'!A12/$D$6*$C$3</f>
        <v>1.6419762095891408</v>
      </c>
      <c r="E12" s="216">
        <f>C12+D12</f>
        <v>11.091356876687586</v>
      </c>
      <c r="F12" s="216">
        <f>E12/100*'02. Pripravljeno gorivo'!$E$20</f>
        <v>11.091356876687586</v>
      </c>
      <c r="G12" s="470">
        <f>F12/A12*(A12)+$C$7*'02. Pripravljeno gorivo'!$E$20</f>
        <v>24.361475076169455</v>
      </c>
      <c r="H12" s="473">
        <f>$C$5*'02. Pripravljeno gorivo'!$E$20/32*18+$C$6*'02. Pripravljeno gorivo'!$E$20/35.5*18*1/2</f>
        <v>0.92433318947037135</v>
      </c>
      <c r="I12" s="470">
        <f>$C$5*'02. Pripravljeno gorivo'!$E$20/32*44+$C$6*'02. Pripravljeno gorivo'!$E$20/35.5*44*1/2</f>
        <v>2.2594811298164634</v>
      </c>
    </row>
    <row r="15" spans="1:12" x14ac:dyDescent="0.3">
      <c r="B15" s="360" t="s">
        <v>672</v>
      </c>
      <c r="C15" s="361">
        <f>F11</f>
        <v>8.2076040887488126</v>
      </c>
      <c r="D15" s="249"/>
    </row>
    <row r="16" spans="1:12" x14ac:dyDescent="0.3">
      <c r="B16" s="418" t="s">
        <v>673</v>
      </c>
      <c r="C16" s="419">
        <f>G11</f>
        <v>21.47772228823068</v>
      </c>
    </row>
    <row r="17" spans="2:4" x14ac:dyDescent="0.3">
      <c r="B17" s="414" t="s">
        <v>679</v>
      </c>
      <c r="C17" s="420">
        <f>H11</f>
        <v>1.8486663789407427</v>
      </c>
      <c r="D17" s="493" t="s">
        <v>674</v>
      </c>
    </row>
    <row r="18" spans="2:4" x14ac:dyDescent="0.3">
      <c r="B18" s="421" t="s">
        <v>675</v>
      </c>
      <c r="C18" s="422">
        <f>C16+C17</f>
        <v>23.326388667171422</v>
      </c>
      <c r="D18" s="493"/>
    </row>
    <row r="19" spans="2:4" x14ac:dyDescent="0.3">
      <c r="D19" s="493"/>
    </row>
    <row r="22" spans="2:4" x14ac:dyDescent="0.3">
      <c r="B22" s="474" t="s">
        <v>662</v>
      </c>
      <c r="C22" s="474"/>
    </row>
    <row r="23" spans="2:4" x14ac:dyDescent="0.3">
      <c r="B23" s="474"/>
      <c r="C23" s="474"/>
    </row>
    <row r="24" spans="2:4" x14ac:dyDescent="0.3">
      <c r="B24" s="474"/>
      <c r="C24" s="474"/>
    </row>
    <row r="25" spans="2:4" x14ac:dyDescent="0.3">
      <c r="B25" s="474"/>
      <c r="C25" s="474"/>
    </row>
    <row r="26" spans="2:4" x14ac:dyDescent="0.3">
      <c r="B26" s="474"/>
      <c r="C26" s="474"/>
    </row>
  </sheetData>
  <mergeCells count="2">
    <mergeCell ref="B22:C26"/>
    <mergeCell ref="D17:D1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3:M39"/>
  <sheetViews>
    <sheetView topLeftCell="A16" workbookViewId="0">
      <selection activeCell="F26" sqref="F26"/>
    </sheetView>
  </sheetViews>
  <sheetFormatPr defaultRowHeight="14.4" x14ac:dyDescent="0.3"/>
  <cols>
    <col min="2" max="2" width="16.77734375" bestFit="1" customWidth="1"/>
    <col min="3" max="3" width="11.5546875" bestFit="1" customWidth="1"/>
    <col min="4" max="4" width="10.88671875" bestFit="1" customWidth="1"/>
    <col min="5" max="5" width="11.77734375" bestFit="1" customWidth="1"/>
    <col min="6" max="6" width="9.33203125" bestFit="1" customWidth="1"/>
    <col min="8" max="8" width="28.77734375" customWidth="1"/>
  </cols>
  <sheetData>
    <row r="3" spans="2:13" ht="43.2" x14ac:dyDescent="0.3">
      <c r="B3" s="311" t="s">
        <v>586</v>
      </c>
      <c r="C3" s="249" t="s">
        <v>575</v>
      </c>
      <c r="D3" s="309" t="s">
        <v>587</v>
      </c>
      <c r="E3" s="309" t="s">
        <v>588</v>
      </c>
      <c r="F3" s="309" t="s">
        <v>589</v>
      </c>
    </row>
    <row r="4" spans="2:13" x14ac:dyDescent="0.3">
      <c r="C4" s="294" t="s">
        <v>573</v>
      </c>
      <c r="D4" s="306">
        <f>E4/(100-$E$17)*100</f>
        <v>14.744575777202076</v>
      </c>
      <c r="E4" s="336">
        <f>'01.Vhodni podatki'!G8*100</f>
        <v>13.270118199481868</v>
      </c>
      <c r="F4" s="170"/>
      <c r="H4" t="s">
        <v>484</v>
      </c>
      <c r="I4">
        <v>39</v>
      </c>
      <c r="K4" t="s">
        <v>689</v>
      </c>
      <c r="L4">
        <f>I4+17</f>
        <v>56</v>
      </c>
      <c r="M4" s="162">
        <f>I4/L4</f>
        <v>0.6964285714285714</v>
      </c>
    </row>
    <row r="5" spans="2:13" x14ac:dyDescent="0.3">
      <c r="C5" s="294" t="s">
        <v>2</v>
      </c>
      <c r="D5" s="306">
        <f t="shared" ref="D5:D16" si="0">E5/(100-$E$17)*100</f>
        <v>49.587111398963728</v>
      </c>
      <c r="E5" s="336">
        <f>'01.Vhodni podatki'!G9*100</f>
        <v>44.628400259067355</v>
      </c>
      <c r="F5" s="313">
        <f>E5/12</f>
        <v>3.7190333549222796</v>
      </c>
      <c r="H5" t="s">
        <v>687</v>
      </c>
      <c r="I5">
        <v>40</v>
      </c>
      <c r="K5" t="s">
        <v>690</v>
      </c>
      <c r="L5">
        <f>I5+17*2</f>
        <v>74</v>
      </c>
      <c r="M5" s="162">
        <f t="shared" ref="M5:M6" si="1">I5/L5</f>
        <v>0.54054054054054057</v>
      </c>
    </row>
    <row r="6" spans="2:13" x14ac:dyDescent="0.3">
      <c r="C6" s="294" t="s">
        <v>3</v>
      </c>
      <c r="D6" s="306">
        <f t="shared" si="0"/>
        <v>8.3184909326424847</v>
      </c>
      <c r="E6" s="336">
        <f>'01.Vhodni podatki'!G10*100</f>
        <v>7.4866418393782368</v>
      </c>
      <c r="F6" s="313">
        <f>E6/1</f>
        <v>7.4866418393782368</v>
      </c>
      <c r="H6" t="s">
        <v>688</v>
      </c>
      <c r="I6">
        <v>24.3</v>
      </c>
      <c r="K6" t="s">
        <v>691</v>
      </c>
      <c r="L6">
        <f>I6+17*2</f>
        <v>58.3</v>
      </c>
      <c r="M6" s="162">
        <f t="shared" si="1"/>
        <v>0.41680960548885082</v>
      </c>
    </row>
    <row r="7" spans="2:13" x14ac:dyDescent="0.3">
      <c r="C7" s="294" t="s">
        <v>4</v>
      </c>
      <c r="D7" s="306">
        <f t="shared" si="0"/>
        <v>25.147749352331605</v>
      </c>
      <c r="E7" s="336">
        <f>'01.Vhodni podatki'!G11*100</f>
        <v>22.632974417098445</v>
      </c>
      <c r="F7" s="313">
        <f>E7/16</f>
        <v>1.4145609010686528</v>
      </c>
    </row>
    <row r="8" spans="2:13" x14ac:dyDescent="0.3">
      <c r="C8" s="294" t="s">
        <v>5</v>
      </c>
      <c r="D8" s="306">
        <f t="shared" si="0"/>
        <v>0.19834844559585493</v>
      </c>
      <c r="E8" s="336">
        <f>'01.Vhodni podatki'!G12*100</f>
        <v>0.17851360103626945</v>
      </c>
      <c r="F8" s="313">
        <f>E8/14</f>
        <v>1.2750971502590676E-2</v>
      </c>
    </row>
    <row r="9" spans="2:13" x14ac:dyDescent="0.3">
      <c r="C9" s="294" t="s">
        <v>6</v>
      </c>
      <c r="D9" s="306">
        <f t="shared" si="0"/>
        <v>1.6798898963730566</v>
      </c>
      <c r="E9" s="336">
        <f>'01.Vhodni podatki'!G13*100</f>
        <v>1.5119009067357512</v>
      </c>
      <c r="F9" s="313">
        <f>E9/32</f>
        <v>4.7246903335492224E-2</v>
      </c>
    </row>
    <row r="10" spans="2:13" x14ac:dyDescent="0.3">
      <c r="C10" s="294" t="s">
        <v>7</v>
      </c>
      <c r="D10" s="306">
        <f t="shared" si="0"/>
        <v>0.32383419689119169</v>
      </c>
      <c r="E10" s="336">
        <f>'01.Vhodni podatki'!G14*100</f>
        <v>0.29145077720207252</v>
      </c>
      <c r="F10" s="313">
        <f>E10/35.5</f>
        <v>8.2098810479457052E-3</v>
      </c>
    </row>
    <row r="11" spans="2:13" x14ac:dyDescent="0.3">
      <c r="C11" s="294" t="s">
        <v>1</v>
      </c>
      <c r="D11" s="306">
        <f t="shared" si="0"/>
        <v>0</v>
      </c>
      <c r="E11" s="336">
        <f>'01.Vhodni podatki'!G15*100</f>
        <v>0</v>
      </c>
      <c r="F11" s="170"/>
    </row>
    <row r="12" spans="2:13" x14ac:dyDescent="0.3">
      <c r="C12" s="218"/>
      <c r="D12" s="306">
        <f t="shared" si="0"/>
        <v>0</v>
      </c>
      <c r="E12" s="336">
        <f>'01.Vhodni podatki'!G16*100</f>
        <v>0</v>
      </c>
      <c r="F12" s="170"/>
    </row>
    <row r="13" spans="2:13" x14ac:dyDescent="0.3">
      <c r="C13" s="218"/>
      <c r="D13" s="306">
        <f t="shared" si="0"/>
        <v>0</v>
      </c>
      <c r="E13" s="336">
        <f>'01.Vhodni podatki'!G17*100</f>
        <v>0</v>
      </c>
      <c r="F13" s="170"/>
    </row>
    <row r="14" spans="2:13" x14ac:dyDescent="0.3">
      <c r="C14" s="218"/>
      <c r="D14" s="306">
        <f t="shared" si="0"/>
        <v>0</v>
      </c>
      <c r="E14" s="336">
        <f>'01.Vhodni podatki'!G18*100</f>
        <v>0</v>
      </c>
      <c r="F14" s="170"/>
    </row>
    <row r="15" spans="2:13" x14ac:dyDescent="0.3">
      <c r="C15" s="218"/>
      <c r="D15" s="306">
        <f t="shared" si="0"/>
        <v>0</v>
      </c>
      <c r="E15" s="336">
        <f>'01.Vhodni podatki'!G19*100</f>
        <v>0</v>
      </c>
      <c r="F15" s="170"/>
      <c r="I15" s="426"/>
    </row>
    <row r="16" spans="2:13" x14ac:dyDescent="0.3">
      <c r="C16" s="218"/>
      <c r="D16" s="306">
        <f t="shared" si="0"/>
        <v>0</v>
      </c>
      <c r="E16" s="336">
        <f>'01.Vhodni podatki'!G20*100</f>
        <v>0</v>
      </c>
      <c r="F16" s="170"/>
      <c r="I16" s="426"/>
    </row>
    <row r="17" spans="1:10" x14ac:dyDescent="0.3">
      <c r="C17" s="294" t="s">
        <v>225</v>
      </c>
      <c r="D17" s="306"/>
      <c r="E17" s="336">
        <f>'01.Vhodni podatki'!G21*100</f>
        <v>10</v>
      </c>
      <c r="F17" s="313">
        <f>E17/18</f>
        <v>0.55555555555555558</v>
      </c>
    </row>
    <row r="18" spans="1:10" x14ac:dyDescent="0.3">
      <c r="C18" s="295" t="s">
        <v>577</v>
      </c>
      <c r="D18" s="308">
        <f>SUM(D4:D17)</f>
        <v>100</v>
      </c>
      <c r="E18" s="308">
        <f>SUM(E4:E17)</f>
        <v>99.999999999999986</v>
      </c>
      <c r="F18" s="308">
        <f>SUM(F4:F17)</f>
        <v>13.243999406810754</v>
      </c>
    </row>
    <row r="19" spans="1:10" x14ac:dyDescent="0.3">
      <c r="H19" t="s">
        <v>730</v>
      </c>
      <c r="I19" s="456">
        <f>E21*'01.Vhodni podatki'!E25</f>
        <v>-2170.3605468750002</v>
      </c>
      <c r="J19" t="s">
        <v>369</v>
      </c>
    </row>
    <row r="20" spans="1:10" ht="15.6" x14ac:dyDescent="0.3">
      <c r="B20" s="249" t="s">
        <v>590</v>
      </c>
      <c r="E20" s="335">
        <v>100</v>
      </c>
      <c r="F20" s="249" t="s">
        <v>294</v>
      </c>
      <c r="I20" s="456">
        <f>I19/3.6</f>
        <v>-602.8779296875</v>
      </c>
      <c r="J20" t="s">
        <v>48</v>
      </c>
    </row>
    <row r="21" spans="1:10" ht="15.6" x14ac:dyDescent="0.3">
      <c r="B21" s="249" t="s">
        <v>591</v>
      </c>
      <c r="E21" s="335">
        <f>E20*(1-E17/100)</f>
        <v>90</v>
      </c>
      <c r="F21" s="249" t="s">
        <v>294</v>
      </c>
    </row>
    <row r="22" spans="1:10" ht="15.6" x14ac:dyDescent="0.3">
      <c r="B22" s="249"/>
      <c r="E22" s="314"/>
      <c r="F22" s="249"/>
    </row>
    <row r="23" spans="1:10" ht="15.6" x14ac:dyDescent="0.3">
      <c r="B23" s="249"/>
      <c r="E23" s="314"/>
      <c r="F23" s="249"/>
    </row>
    <row r="24" spans="1:10" ht="43.2" x14ac:dyDescent="0.3">
      <c r="C24" s="249" t="s">
        <v>575</v>
      </c>
      <c r="D24" s="309" t="str">
        <f>"na "&amp;ROUND($E$21,0)&amp;" kg suhega"</f>
        <v>na 90 kg suhega</v>
      </c>
      <c r="E24" s="309" t="str">
        <f>"na "&amp;$E$20&amp;" kg mokrega"</f>
        <v>na 100 kg mokrega</v>
      </c>
      <c r="F24" s="309" t="s">
        <v>589</v>
      </c>
    </row>
    <row r="25" spans="1:10" x14ac:dyDescent="0.3">
      <c r="C25" s="294" t="s">
        <v>573</v>
      </c>
      <c r="D25" s="306">
        <f>$E$21*D4/100</f>
        <v>13.270118199481869</v>
      </c>
      <c r="E25" s="336">
        <f>$E$20*E4/100</f>
        <v>13.270118199481868</v>
      </c>
      <c r="F25" s="170"/>
    </row>
    <row r="26" spans="1:10" x14ac:dyDescent="0.3">
      <c r="A26" s="366" t="s">
        <v>663</v>
      </c>
      <c r="C26" s="294" t="s">
        <v>2</v>
      </c>
      <c r="D26" s="306">
        <f t="shared" ref="D26:D38" si="2">$E$21*D5/100</f>
        <v>44.628400259067355</v>
      </c>
      <c r="E26" s="336">
        <f t="shared" ref="E26:E38" si="3">$E$20*E5/100</f>
        <v>44.628400259067355</v>
      </c>
      <c r="F26" s="313">
        <f>E26/12</f>
        <v>3.7190333549222796</v>
      </c>
      <c r="I26" s="366"/>
      <c r="J26" s="366"/>
    </row>
    <row r="27" spans="1:10" x14ac:dyDescent="0.3">
      <c r="C27" s="294" t="s">
        <v>3</v>
      </c>
      <c r="D27" s="306">
        <f t="shared" si="2"/>
        <v>7.4866418393782359</v>
      </c>
      <c r="E27" s="336">
        <f t="shared" si="3"/>
        <v>7.4866418393782377</v>
      </c>
      <c r="F27" s="313">
        <f>E27/1</f>
        <v>7.4866418393782377</v>
      </c>
      <c r="H27" s="366"/>
      <c r="I27" s="366"/>
      <c r="J27" s="366"/>
    </row>
    <row r="28" spans="1:10" x14ac:dyDescent="0.3">
      <c r="C28" s="294" t="s">
        <v>4</v>
      </c>
      <c r="D28" s="306">
        <f t="shared" si="2"/>
        <v>22.632974417098445</v>
      </c>
      <c r="E28" s="336">
        <f t="shared" si="3"/>
        <v>22.632974417098445</v>
      </c>
      <c r="F28" s="313">
        <f>E28/16</f>
        <v>1.4145609010686528</v>
      </c>
      <c r="H28" s="366"/>
      <c r="I28" s="366"/>
      <c r="J28" s="366"/>
    </row>
    <row r="29" spans="1:10" x14ac:dyDescent="0.3">
      <c r="C29" s="294" t="s">
        <v>5</v>
      </c>
      <c r="D29" s="306">
        <f t="shared" si="2"/>
        <v>0.17851360103626945</v>
      </c>
      <c r="E29" s="336">
        <f t="shared" si="3"/>
        <v>0.17851360103626945</v>
      </c>
      <c r="F29" s="313">
        <f>E29/14</f>
        <v>1.2750971502590676E-2</v>
      </c>
      <c r="H29" s="366"/>
      <c r="I29" s="366"/>
      <c r="J29" s="366"/>
    </row>
    <row r="30" spans="1:10" x14ac:dyDescent="0.3">
      <c r="C30" s="294" t="s">
        <v>6</v>
      </c>
      <c r="D30" s="306">
        <f t="shared" si="2"/>
        <v>1.5119009067357509</v>
      </c>
      <c r="E30" s="336">
        <f t="shared" si="3"/>
        <v>1.5119009067357512</v>
      </c>
      <c r="F30" s="313">
        <f>E30/32</f>
        <v>4.7246903335492224E-2</v>
      </c>
      <c r="H30" s="366"/>
      <c r="I30" s="366"/>
      <c r="J30" s="366"/>
    </row>
    <row r="31" spans="1:10" x14ac:dyDescent="0.3">
      <c r="C31" s="294" t="s">
        <v>7</v>
      </c>
      <c r="D31" s="306">
        <f t="shared" si="2"/>
        <v>0.29145077720207252</v>
      </c>
      <c r="E31" s="336">
        <f t="shared" si="3"/>
        <v>0.29145077720207252</v>
      </c>
      <c r="F31" s="313">
        <f>E31/35.5</f>
        <v>8.2098810479457052E-3</v>
      </c>
      <c r="H31" s="366"/>
      <c r="I31" s="366"/>
      <c r="J31" s="366"/>
    </row>
    <row r="32" spans="1:10" x14ac:dyDescent="0.3">
      <c r="C32" s="294" t="s">
        <v>1</v>
      </c>
      <c r="D32" s="306">
        <f t="shared" si="2"/>
        <v>0</v>
      </c>
      <c r="E32" s="336">
        <f t="shared" si="3"/>
        <v>0</v>
      </c>
      <c r="F32" s="170"/>
      <c r="H32" s="366"/>
      <c r="I32" s="366"/>
      <c r="J32" s="366"/>
    </row>
    <row r="33" spans="3:10" x14ac:dyDescent="0.3">
      <c r="C33" s="218"/>
      <c r="D33" s="306">
        <f t="shared" si="2"/>
        <v>0</v>
      </c>
      <c r="E33" s="336">
        <f t="shared" si="3"/>
        <v>0</v>
      </c>
      <c r="F33" s="170"/>
      <c r="H33" s="366"/>
      <c r="I33" s="366"/>
      <c r="J33" s="366"/>
    </row>
    <row r="34" spans="3:10" x14ac:dyDescent="0.3">
      <c r="C34" s="218"/>
      <c r="D34" s="306">
        <f t="shared" si="2"/>
        <v>0</v>
      </c>
      <c r="E34" s="336">
        <f t="shared" si="3"/>
        <v>0</v>
      </c>
      <c r="F34" s="170"/>
      <c r="H34" s="366"/>
      <c r="I34" s="366"/>
      <c r="J34" s="366"/>
    </row>
    <row r="35" spans="3:10" x14ac:dyDescent="0.3">
      <c r="C35" s="218"/>
      <c r="D35" s="306">
        <f t="shared" si="2"/>
        <v>0</v>
      </c>
      <c r="E35" s="336">
        <f t="shared" si="3"/>
        <v>0</v>
      </c>
      <c r="F35" s="170"/>
    </row>
    <row r="36" spans="3:10" x14ac:dyDescent="0.3">
      <c r="C36" s="218"/>
      <c r="D36" s="306">
        <f t="shared" si="2"/>
        <v>0</v>
      </c>
      <c r="E36" s="336">
        <f t="shared" si="3"/>
        <v>0</v>
      </c>
      <c r="F36" s="170"/>
    </row>
    <row r="37" spans="3:10" x14ac:dyDescent="0.3">
      <c r="C37" s="218"/>
      <c r="D37" s="306">
        <f t="shared" si="2"/>
        <v>0</v>
      </c>
      <c r="E37" s="336">
        <f t="shared" si="3"/>
        <v>0</v>
      </c>
      <c r="F37" s="170"/>
    </row>
    <row r="38" spans="3:10" x14ac:dyDescent="0.3">
      <c r="C38" s="294" t="s">
        <v>225</v>
      </c>
      <c r="D38" s="306">
        <f t="shared" si="2"/>
        <v>0</v>
      </c>
      <c r="E38" s="336">
        <f t="shared" si="3"/>
        <v>10</v>
      </c>
      <c r="F38" s="313">
        <f>E38/18</f>
        <v>0.55555555555555558</v>
      </c>
    </row>
    <row r="39" spans="3:10" x14ac:dyDescent="0.3">
      <c r="C39" s="295" t="s">
        <v>630</v>
      </c>
      <c r="D39" s="308">
        <f>SUM(D25:D38)</f>
        <v>89.999999999999986</v>
      </c>
      <c r="E39" s="308">
        <f>SUM(E25:E38)</f>
        <v>99.999999999999986</v>
      </c>
      <c r="F39" s="308">
        <f>SUM(F25:F38)</f>
        <v>13.243999406810756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2:U55"/>
  <sheetViews>
    <sheetView workbookViewId="0">
      <selection activeCell="G48" sqref="G48"/>
    </sheetView>
  </sheetViews>
  <sheetFormatPr defaultRowHeight="14.4" x14ac:dyDescent="0.3"/>
  <cols>
    <col min="2" max="2" width="44.6640625" bestFit="1" customWidth="1"/>
    <col min="4" max="5" width="12.109375" bestFit="1" customWidth="1"/>
    <col min="6" max="6" width="11.44140625" bestFit="1" customWidth="1"/>
    <col min="8" max="8" width="7.5546875" customWidth="1"/>
    <col min="9" max="9" width="13.33203125" bestFit="1" customWidth="1"/>
  </cols>
  <sheetData>
    <row r="2" spans="1:21" ht="43.2" x14ac:dyDescent="0.3">
      <c r="B2" t="str">
        <f>'01.Vhodni podatki'!B42</f>
        <v>Vzeta molekula za ta primer</v>
      </c>
      <c r="D2" t="str">
        <f>'01.Vhodni podatki'!D42</f>
        <v>C21H42O8</v>
      </c>
      <c r="K2" s="292" t="s">
        <v>637</v>
      </c>
      <c r="L2" t="s">
        <v>638</v>
      </c>
    </row>
    <row r="3" spans="1:21" x14ac:dyDescent="0.3">
      <c r="D3" t="str">
        <f>'01.Vhodni podatki'!D43</f>
        <v>C20,7H41,6O7,9</v>
      </c>
      <c r="E3" t="str">
        <f>'01.Vhodni podatki'!E43</f>
        <v>C21H42O8</v>
      </c>
      <c r="G3" t="s">
        <v>636</v>
      </c>
      <c r="H3">
        <f>INT(E4/7)</f>
        <v>3</v>
      </c>
      <c r="K3" s="345">
        <f>H4</f>
        <v>0</v>
      </c>
      <c r="L3" s="362">
        <v>0</v>
      </c>
      <c r="M3" s="345">
        <v>1</v>
      </c>
      <c r="N3" s="345">
        <v>2</v>
      </c>
      <c r="O3" s="345">
        <v>3</v>
      </c>
      <c r="P3" s="345">
        <v>4</v>
      </c>
      <c r="Q3" s="345">
        <v>5</v>
      </c>
      <c r="R3" s="345">
        <v>6</v>
      </c>
    </row>
    <row r="4" spans="1:21" x14ac:dyDescent="0.3">
      <c r="B4" t="str">
        <f>'01.Vhodni podatki'!B44</f>
        <v>Razlika</v>
      </c>
      <c r="C4" t="str">
        <f>'01.Vhodni podatki'!C44</f>
        <v>C</v>
      </c>
      <c r="D4">
        <f>'01.Vhodni podatki'!D44</f>
        <v>20.7</v>
      </c>
      <c r="E4" s="341">
        <f>'01.Vhodni podatki'!E44</f>
        <v>21</v>
      </c>
      <c r="G4" t="s">
        <v>635</v>
      </c>
      <c r="H4" s="358">
        <f>MOD(E4,7)</f>
        <v>0</v>
      </c>
      <c r="I4" s="3">
        <f>K4+K5</f>
        <v>3.5762799655003619E-7</v>
      </c>
      <c r="J4" t="s">
        <v>29</v>
      </c>
      <c r="K4" s="215">
        <v>3.5762799655003619E-7</v>
      </c>
      <c r="L4" s="323">
        <v>0</v>
      </c>
      <c r="M4" s="323">
        <v>1</v>
      </c>
      <c r="N4" s="323">
        <v>1</v>
      </c>
      <c r="O4" s="323">
        <v>2</v>
      </c>
      <c r="P4" s="323">
        <v>2</v>
      </c>
      <c r="Q4" s="323">
        <v>3</v>
      </c>
      <c r="R4" s="323">
        <v>4</v>
      </c>
    </row>
    <row r="5" spans="1:21" x14ac:dyDescent="0.3">
      <c r="C5" t="str">
        <f>'01.Vhodni podatki'!C45</f>
        <v>H</v>
      </c>
      <c r="D5">
        <f>'01.Vhodni podatki'!D45</f>
        <v>41.6</v>
      </c>
      <c r="E5" s="341">
        <f>'01.Vhodni podatki'!E45</f>
        <v>42</v>
      </c>
      <c r="G5" t="s">
        <v>4</v>
      </c>
      <c r="H5" s="22">
        <f>E6</f>
        <v>8</v>
      </c>
      <c r="I5" s="22">
        <f>K4+2*K5+K7</f>
        <v>8.0000003576279966</v>
      </c>
      <c r="J5" t="s">
        <v>23</v>
      </c>
      <c r="K5" s="215">
        <v>0</v>
      </c>
      <c r="L5" s="323">
        <v>0</v>
      </c>
      <c r="M5" s="323">
        <v>0</v>
      </c>
      <c r="N5" s="323">
        <v>1</v>
      </c>
      <c r="O5" s="323">
        <v>1</v>
      </c>
      <c r="P5" s="323">
        <v>2</v>
      </c>
      <c r="Q5" s="323">
        <v>2</v>
      </c>
      <c r="R5" s="323">
        <v>2</v>
      </c>
    </row>
    <row r="6" spans="1:21" x14ac:dyDescent="0.3">
      <c r="C6" t="str">
        <f>'01.Vhodni podatki'!C46</f>
        <v>O</v>
      </c>
      <c r="D6">
        <f>'01.Vhodni podatki'!D46</f>
        <v>7.9</v>
      </c>
      <c r="E6" s="341">
        <f>'01.Vhodni podatki'!E46</f>
        <v>8</v>
      </c>
      <c r="G6" t="s">
        <v>3</v>
      </c>
      <c r="H6" s="22">
        <f>E5-8*H3</f>
        <v>18</v>
      </c>
      <c r="I6" s="22">
        <f>K6*2+K7*2</f>
        <v>18</v>
      </c>
      <c r="J6" t="s">
        <v>44</v>
      </c>
      <c r="K6" s="338">
        <f>ROUND($H$6/2-K7,1)</f>
        <v>1</v>
      </c>
      <c r="L6" s="291">
        <f>H6/2-H5</f>
        <v>1</v>
      </c>
      <c r="M6">
        <f>$H$6/2-M7</f>
        <v>2</v>
      </c>
      <c r="N6">
        <f t="shared" ref="N6:R6" si="0">$H$6/2-N7</f>
        <v>4</v>
      </c>
      <c r="O6">
        <f t="shared" si="0"/>
        <v>5</v>
      </c>
      <c r="P6">
        <f t="shared" si="0"/>
        <v>7</v>
      </c>
      <c r="Q6">
        <f t="shared" si="0"/>
        <v>8</v>
      </c>
      <c r="R6">
        <f t="shared" si="0"/>
        <v>9</v>
      </c>
    </row>
    <row r="7" spans="1:21" x14ac:dyDescent="0.3">
      <c r="B7" t="str">
        <f>'01.Vhodni podatki'!B47</f>
        <v>molska masa</v>
      </c>
      <c r="D7">
        <f>'01.Vhodni podatki'!D47</f>
        <v>416.4</v>
      </c>
      <c r="E7" s="376">
        <f>'01.Vhodni podatki'!E47</f>
        <v>422</v>
      </c>
      <c r="J7" t="s">
        <v>225</v>
      </c>
      <c r="K7" s="338">
        <f>ROUND($H$5-1*K4-2*K5,1)</f>
        <v>8</v>
      </c>
      <c r="L7" s="291">
        <f>H5</f>
        <v>8</v>
      </c>
      <c r="M7">
        <f>$H$5-1*M4-2*M5</f>
        <v>7</v>
      </c>
      <c r="N7">
        <f t="shared" ref="N7:R7" si="1">$H$5-1*N4-2*N5</f>
        <v>5</v>
      </c>
      <c r="O7">
        <f t="shared" si="1"/>
        <v>4</v>
      </c>
      <c r="P7">
        <f t="shared" si="1"/>
        <v>2</v>
      </c>
      <c r="Q7">
        <f t="shared" si="1"/>
        <v>1</v>
      </c>
      <c r="R7">
        <f t="shared" si="1"/>
        <v>0</v>
      </c>
    </row>
    <row r="8" spans="1:21" x14ac:dyDescent="0.3">
      <c r="H8" t="s">
        <v>671</v>
      </c>
      <c r="I8" s="359">
        <f>((H4-I4)^2+(H5-I5)^2+(H6-I6)^2)^0.5</f>
        <v>5.0576236300537966E-7</v>
      </c>
      <c r="L8" s="363" t="s">
        <v>294</v>
      </c>
      <c r="M8" s="363" t="s">
        <v>266</v>
      </c>
    </row>
    <row r="9" spans="1:21" x14ac:dyDescent="0.3">
      <c r="D9" t="str">
        <f>"C"&amp;E4&amp;"H"&amp;E5&amp;"O"&amp;E6</f>
        <v>C21H42O8</v>
      </c>
      <c r="E9" t="s">
        <v>225</v>
      </c>
      <c r="J9" s="363"/>
      <c r="K9" s="363"/>
      <c r="L9" s="364">
        <f>R11</f>
        <v>0</v>
      </c>
      <c r="M9" s="365">
        <f>'03. Uplinjanje'!I6</f>
        <v>0.17712800122166833</v>
      </c>
      <c r="N9" s="363"/>
      <c r="O9" s="363"/>
      <c r="P9" s="363"/>
      <c r="Q9" s="363"/>
    </row>
    <row r="10" spans="1:21" ht="43.2" x14ac:dyDescent="0.3">
      <c r="C10" s="292" t="s">
        <v>693</v>
      </c>
      <c r="D10" s="338">
        <f>'03. Uplinjanje'!I6</f>
        <v>0.17712800122166833</v>
      </c>
      <c r="E10" s="338">
        <f>('02. Pripravljeno gorivo'!E20-'02. Pripravljeno gorivo'!E21)/18</f>
        <v>0.55555555555555558</v>
      </c>
      <c r="J10" s="363"/>
      <c r="K10" s="363"/>
      <c r="L10" t="s">
        <v>298</v>
      </c>
      <c r="N10" s="363"/>
      <c r="O10" s="363"/>
      <c r="P10" s="363"/>
      <c r="Q10" s="363"/>
    </row>
    <row r="11" spans="1:21" x14ac:dyDescent="0.3">
      <c r="A11" t="s">
        <v>338</v>
      </c>
      <c r="I11" s="346"/>
      <c r="J11" s="363"/>
      <c r="K11" s="363"/>
      <c r="L11" s="461" t="s">
        <v>19</v>
      </c>
      <c r="M11" s="462"/>
      <c r="N11" s="462">
        <f>1/3.6</f>
        <v>0.27777777777777779</v>
      </c>
      <c r="O11" s="363"/>
      <c r="P11" s="363"/>
      <c r="Q11" s="363"/>
    </row>
    <row r="12" spans="1:21" x14ac:dyDescent="0.3">
      <c r="A12" s="162">
        <f>A14/A13*2</f>
        <v>0.26666666666666644</v>
      </c>
      <c r="B12" s="170"/>
      <c r="C12" s="350" t="s">
        <v>255</v>
      </c>
      <c r="D12" s="350" t="s">
        <v>29</v>
      </c>
      <c r="E12" s="350" t="s">
        <v>44</v>
      </c>
      <c r="F12" s="350" t="s">
        <v>23</v>
      </c>
      <c r="G12" s="350" t="s">
        <v>225</v>
      </c>
      <c r="H12" s="350" t="s">
        <v>639</v>
      </c>
      <c r="I12" s="346"/>
      <c r="J12" s="459"/>
      <c r="K12" s="459"/>
      <c r="L12" s="463" t="s">
        <v>20</v>
      </c>
      <c r="M12" s="462" t="s">
        <v>369</v>
      </c>
      <c r="N12" s="462" t="s">
        <v>368</v>
      </c>
      <c r="O12" s="363"/>
      <c r="P12" s="363"/>
      <c r="Q12" s="363"/>
      <c r="R12" s="170"/>
      <c r="S12" s="170" t="s">
        <v>593</v>
      </c>
      <c r="T12" s="170" t="s">
        <v>594</v>
      </c>
      <c r="U12" s="170" t="s">
        <v>595</v>
      </c>
    </row>
    <row r="13" spans="1:21" x14ac:dyDescent="0.3">
      <c r="A13" s="212">
        <f>D10*0.75</f>
        <v>0.13284600091625126</v>
      </c>
      <c r="B13" s="301" t="str">
        <f>"C"&amp;E4&amp;"H"&amp;E5&amp;"O"&amp;E6&amp;" + "&amp;((E4-E6)/2)&amp;" O2 = "&amp;E4&amp;" CO + "&amp;E5/2&amp;" H2"</f>
        <v>C21H42O8 + 6,5 O2 = 21 CO + 21 H2</v>
      </c>
      <c r="C13" s="350">
        <f>((E4-E6)/2)</f>
        <v>6.5</v>
      </c>
      <c r="D13" s="350">
        <f>E4</f>
        <v>21</v>
      </c>
      <c r="E13" s="350">
        <f>E5/2</f>
        <v>21</v>
      </c>
      <c r="F13" s="350"/>
      <c r="G13" s="350"/>
      <c r="H13" s="350"/>
      <c r="I13" s="334"/>
      <c r="J13" s="460"/>
      <c r="K13" s="460"/>
      <c r="L13" s="369">
        <f>(-'01.Vhodni podatki'!E27*1+D13*Thermodynamics!$B$6+'03.1 Enacbe'!F13*Thermodynamics!$B$3+'03.1 Enacbe'!G13*Thermodynamics!$B$4+'03.1 Enacbe'!H13*Thermodynamics!$B$30)</f>
        <v>-612.35712516191938</v>
      </c>
      <c r="M13" s="370">
        <f>A13*L13</f>
        <v>-81.349195210333335</v>
      </c>
      <c r="N13" s="370">
        <f>M13*$N$11</f>
        <v>-22.59699866953704</v>
      </c>
      <c r="O13" s="363"/>
      <c r="P13" s="363"/>
      <c r="Q13" s="363"/>
      <c r="R13" s="170" t="s">
        <v>2</v>
      </c>
      <c r="S13" s="170">
        <f>8.5*2</f>
        <v>17</v>
      </c>
      <c r="T13" s="170">
        <f>ROUND('01.Vhodni podatki'!D9/12*200,1)*2</f>
        <v>16.600000000000001</v>
      </c>
      <c r="U13" s="188">
        <f>(S13-T13)/T13</f>
        <v>2.4096385542168586E-2</v>
      </c>
    </row>
    <row r="14" spans="1:21" x14ac:dyDescent="0.3">
      <c r="A14" s="338">
        <f>D10-A13-A16</f>
        <v>1.7712800122166819E-2</v>
      </c>
      <c r="B14" s="301" t="str">
        <f>"C"&amp;E4&amp;"H"&amp;E5&amp;"O"&amp;E6&amp;" + "&amp;((E4-E6))&amp;" H2O (l) = "&amp;E4&amp;" CO + "&amp;E5/2+(E4-E6)&amp;" H2"</f>
        <v>C21H42O8 + 13 H2O (l) = 21 CO + 34 H2</v>
      </c>
      <c r="C14" s="350"/>
      <c r="D14" s="350">
        <f>E4</f>
        <v>21</v>
      </c>
      <c r="E14" s="350">
        <f>E5/2+G14</f>
        <v>34</v>
      </c>
      <c r="F14" s="350"/>
      <c r="G14" s="350">
        <f>((E4-E6))</f>
        <v>13</v>
      </c>
      <c r="H14" s="350"/>
      <c r="I14" s="457" t="s">
        <v>640</v>
      </c>
      <c r="J14" s="460"/>
      <c r="K14" s="460"/>
      <c r="L14" s="369">
        <f>(D14*Thermodynamics!$B$6+'03.1 Enacbe'!F14*Thermodynamics!$B$3-'03.1 Enacbe'!G14*Thermodynamics!$B$5+'03.1 Enacbe'!H14*Thermodynamics!$B$30)-'01.Vhodni podatki'!E27</f>
        <v>3103.4328748380804</v>
      </c>
      <c r="M14" s="370">
        <f>L14*A14</f>
        <v>54.970486204568473</v>
      </c>
      <c r="N14" s="370">
        <f t="shared" ref="N14:N16" si="2">M14*$N$11</f>
        <v>15.269579501269021</v>
      </c>
      <c r="O14" s="363"/>
      <c r="P14" s="363"/>
      <c r="Q14" s="363"/>
      <c r="R14" s="170" t="s">
        <v>3</v>
      </c>
      <c r="S14" s="170">
        <f>16.5*2</f>
        <v>33</v>
      </c>
      <c r="T14" s="170">
        <f>ROUND('01.Vhodni podatki'!D10/1*200,1)*2</f>
        <v>33.200000000000003</v>
      </c>
      <c r="U14" s="188">
        <f t="shared" ref="U14:U15" si="3">(S14-T14)/T14</f>
        <v>-6.024096385542254E-3</v>
      </c>
    </row>
    <row r="15" spans="1:21" x14ac:dyDescent="0.3">
      <c r="A15" s="338">
        <f>(A13*D13+A14*D14)*I15</f>
        <v>0.31617348218067798</v>
      </c>
      <c r="B15" s="301" t="s">
        <v>27</v>
      </c>
      <c r="C15" s="350">
        <v>0.5</v>
      </c>
      <c r="D15" s="350">
        <v>1</v>
      </c>
      <c r="E15" s="350"/>
      <c r="F15" s="350">
        <v>1</v>
      </c>
      <c r="G15" s="350"/>
      <c r="H15" s="350"/>
      <c r="I15" s="458">
        <v>0.1</v>
      </c>
      <c r="J15" s="460"/>
      <c r="K15" s="460"/>
      <c r="L15" s="369">
        <f>(Thermodynamics!B3-Thermodynamics!B6)</f>
        <v>-282.98</v>
      </c>
      <c r="M15" s="370">
        <f>A15*L15</f>
        <v>-89.470771987488263</v>
      </c>
      <c r="N15" s="370">
        <f t="shared" si="2"/>
        <v>-24.852992218746742</v>
      </c>
      <c r="O15" s="363"/>
      <c r="P15" s="363" t="s">
        <v>600</v>
      </c>
      <c r="Q15" s="363"/>
      <c r="R15" s="170" t="s">
        <v>4</v>
      </c>
      <c r="S15" s="170">
        <f>3*2</f>
        <v>6</v>
      </c>
      <c r="T15" s="170">
        <f>ROUND('01.Vhodni podatki'!D11/16*200,1)*2</f>
        <v>6.2</v>
      </c>
      <c r="U15" s="188">
        <f t="shared" si="3"/>
        <v>-3.2258064516129059E-2</v>
      </c>
    </row>
    <row r="16" spans="1:21" x14ac:dyDescent="0.3">
      <c r="A16" s="212">
        <f>D10*0.15</f>
        <v>2.6569200183250249E-2</v>
      </c>
      <c r="B16" s="349" t="str">
        <f>"C"&amp;E4&amp;"H"&amp;E5&amp;"O"&amp;E6&amp;" = "&amp;INT(E4/7)&amp;" C7H8 + "&amp;ROUND(K4,2)&amp;" CO + "&amp;ROUND(K5,2)&amp;" CO2 + "&amp;K6&amp;" H2 + "&amp;K7&amp;" H2O(g) "</f>
        <v xml:space="preserve">C21H42O8 = 3 C7H8 + 0 CO + 0 CO2 + 1 H2 + 8 H2O(g) </v>
      </c>
      <c r="C16" s="350"/>
      <c r="D16" s="350">
        <f>K4</f>
        <v>3.5762799655003619E-7</v>
      </c>
      <c r="E16" s="350">
        <f>K6</f>
        <v>1</v>
      </c>
      <c r="F16" s="350">
        <f>K5</f>
        <v>0</v>
      </c>
      <c r="G16" s="350">
        <f>K7</f>
        <v>8</v>
      </c>
      <c r="H16" s="350">
        <f>INT(E4/7)</f>
        <v>3</v>
      </c>
      <c r="I16" s="334"/>
      <c r="J16" s="460"/>
      <c r="K16" s="460"/>
      <c r="L16" s="369">
        <f>(D16*Thermodynamics!$B$6+'03.1 Enacbe'!F16*Thermodynamics!$B$3+'03.1 Enacbe'!G16*Thermodynamics!$B$4+'03.1 Enacbe'!H16*Thermodynamics!$B$30)-'01.Vhodni podatki'!E27</f>
        <v>-188.75516469054173</v>
      </c>
      <c r="M16" s="370">
        <f>A16*L16</f>
        <v>-5.0150737562853722</v>
      </c>
      <c r="N16" s="370">
        <f t="shared" si="2"/>
        <v>-1.3930760434126035</v>
      </c>
      <c r="O16" s="363" t="e">
        <f>A16*#REF!*2</f>
        <v>#REF!</v>
      </c>
      <c r="P16" s="363" t="s">
        <v>601</v>
      </c>
      <c r="Q16" s="363"/>
    </row>
    <row r="17" spans="1:16" hidden="1" x14ac:dyDescent="0.3">
      <c r="B17" s="347" t="s">
        <v>388</v>
      </c>
      <c r="C17" s="348"/>
      <c r="D17" s="348">
        <f>SUM(M13:M16)*0.75</f>
        <v>-90.648416062153871</v>
      </c>
      <c r="E17" s="348">
        <f t="shared" ref="E17:E19" si="4">D17*$E$27</f>
        <v>0</v>
      </c>
      <c r="J17" s="363"/>
      <c r="K17" s="363"/>
      <c r="L17" s="464"/>
      <c r="M17" s="462"/>
      <c r="N17" s="462"/>
      <c r="O17" s="363"/>
      <c r="P17" s="363"/>
    </row>
    <row r="18" spans="1:16" hidden="1" x14ac:dyDescent="0.3">
      <c r="B18" s="229" t="s">
        <v>337</v>
      </c>
      <c r="C18" s="190"/>
      <c r="D18" s="190" t="e">
        <f>SUM(#REF!)</f>
        <v>#REF!</v>
      </c>
      <c r="E18" s="190" t="e">
        <f t="shared" si="4"/>
        <v>#REF!</v>
      </c>
      <c r="J18" s="363"/>
      <c r="K18" s="363"/>
      <c r="L18" s="464"/>
      <c r="M18" s="462"/>
      <c r="N18" s="462"/>
      <c r="O18" s="363"/>
      <c r="P18" s="363"/>
    </row>
    <row r="19" spans="1:16" hidden="1" x14ac:dyDescent="0.3">
      <c r="B19" s="229" t="s">
        <v>367</v>
      </c>
      <c r="C19" s="190"/>
      <c r="D19" s="190" t="e">
        <f>SUM(D17:D18)</f>
        <v>#REF!</v>
      </c>
      <c r="E19" s="190" t="e">
        <f t="shared" si="4"/>
        <v>#REF!</v>
      </c>
      <c r="J19" s="363"/>
      <c r="K19" s="363"/>
      <c r="L19" s="464"/>
      <c r="M19" s="462"/>
      <c r="N19" s="462"/>
      <c r="O19" s="363"/>
      <c r="P19" s="363"/>
    </row>
    <row r="20" spans="1:16" hidden="1" x14ac:dyDescent="0.3">
      <c r="B20" s="193"/>
      <c r="C20" s="204"/>
      <c r="D20" s="204"/>
      <c r="E20" s="204"/>
      <c r="J20" s="363"/>
      <c r="K20" s="363"/>
      <c r="L20" s="464"/>
      <c r="M20" s="462"/>
      <c r="N20" s="462"/>
      <c r="O20" s="363"/>
      <c r="P20" s="363"/>
    </row>
    <row r="21" spans="1:16" hidden="1" x14ac:dyDescent="0.3">
      <c r="A21">
        <f>A16/A13</f>
        <v>0.19999999999999998</v>
      </c>
      <c r="J21" s="363"/>
      <c r="K21" s="363"/>
      <c r="L21" s="464"/>
      <c r="M21" s="462"/>
      <c r="N21" s="462"/>
      <c r="O21" s="363"/>
      <c r="P21" s="363"/>
    </row>
    <row r="22" spans="1:16" hidden="1" x14ac:dyDescent="0.3">
      <c r="B22" s="193"/>
      <c r="C22" s="204"/>
      <c r="D22" s="204"/>
      <c r="E22" s="204"/>
      <c r="J22" s="363"/>
      <c r="K22" s="363"/>
      <c r="L22" s="464"/>
      <c r="M22" s="462"/>
      <c r="N22" s="462"/>
      <c r="O22" s="363"/>
      <c r="P22" s="363"/>
    </row>
    <row r="23" spans="1:16" hidden="1" x14ac:dyDescent="0.3">
      <c r="B23" t="s">
        <v>256</v>
      </c>
      <c r="C23" s="204">
        <v>-41.153999999999996</v>
      </c>
      <c r="D23" s="3"/>
      <c r="E23" s="3"/>
      <c r="J23" s="363"/>
      <c r="K23" s="363"/>
      <c r="L23" s="464"/>
      <c r="M23" s="462"/>
      <c r="N23" s="462"/>
      <c r="O23" s="363"/>
      <c r="P23" s="363"/>
    </row>
    <row r="24" spans="1:16" hidden="1" x14ac:dyDescent="0.3">
      <c r="C24" s="204"/>
      <c r="D24" s="3"/>
      <c r="E24" s="3"/>
      <c r="J24" s="363"/>
      <c r="K24" s="363"/>
      <c r="L24" s="464"/>
      <c r="M24" s="462"/>
      <c r="N24" s="462"/>
      <c r="O24" s="363"/>
      <c r="P24" s="363"/>
    </row>
    <row r="25" spans="1:16" hidden="1" x14ac:dyDescent="0.3">
      <c r="B25" t="s">
        <v>308</v>
      </c>
      <c r="C25" s="204">
        <f>Thermodynamics!$E$18</f>
        <v>-205.82599999999999</v>
      </c>
      <c r="J25" s="363"/>
      <c r="K25" s="363"/>
      <c r="L25" s="464"/>
      <c r="M25" s="462"/>
      <c r="N25" s="462"/>
      <c r="O25" s="363"/>
      <c r="P25" s="363"/>
    </row>
    <row r="26" spans="1:16" hidden="1" x14ac:dyDescent="0.3">
      <c r="C26" s="204"/>
      <c r="J26" s="363"/>
      <c r="K26" s="363"/>
      <c r="L26" s="464"/>
      <c r="M26" s="462"/>
      <c r="N26" s="462"/>
      <c r="O26" s="363"/>
      <c r="P26" s="363"/>
    </row>
    <row r="27" spans="1:16" hidden="1" x14ac:dyDescent="0.3">
      <c r="B27" t="s">
        <v>319</v>
      </c>
      <c r="C27" s="204">
        <f>Thermodynamics!$E$19</f>
        <v>-90.389999999999986</v>
      </c>
      <c r="J27" s="363"/>
      <c r="K27" s="363"/>
      <c r="L27" s="464"/>
      <c r="M27" s="462"/>
      <c r="N27" s="462"/>
      <c r="O27" s="363"/>
      <c r="P27" s="363"/>
    </row>
    <row r="28" spans="1:16" hidden="1" x14ac:dyDescent="0.3">
      <c r="C28" s="204"/>
      <c r="J28" s="363"/>
      <c r="K28" s="363"/>
      <c r="L28" s="464"/>
      <c r="M28" s="462"/>
      <c r="N28" s="462"/>
      <c r="O28" s="363"/>
      <c r="P28" s="363"/>
    </row>
    <row r="29" spans="1:16" hidden="1" x14ac:dyDescent="0.3">
      <c r="C29" s="204" t="s">
        <v>387</v>
      </c>
      <c r="D29" t="s">
        <v>15</v>
      </c>
      <c r="J29" s="363"/>
      <c r="K29" s="363"/>
      <c r="L29" s="464"/>
      <c r="M29" s="462"/>
      <c r="N29" s="462"/>
      <c r="O29" s="363"/>
      <c r="P29" s="363"/>
    </row>
    <row r="30" spans="1:16" hidden="1" x14ac:dyDescent="0.3">
      <c r="B30" s="229" t="s">
        <v>386</v>
      </c>
      <c r="C30" s="259" t="e">
        <f>9*(Thermodynamics!#REF!+Thermodynamics!#REF!)-Thermodynamics!B4</f>
        <v>#REF!</v>
      </c>
      <c r="D30" s="259" t="e">
        <f>C30/Thermodynamics!B5</f>
        <v>#REF!</v>
      </c>
      <c r="J30" s="363"/>
      <c r="K30" s="363"/>
      <c r="L30" s="464"/>
      <c r="M30" s="462"/>
      <c r="N30" s="462"/>
      <c r="O30" s="363"/>
      <c r="P30" s="363"/>
    </row>
    <row r="31" spans="1:16" hidden="1" x14ac:dyDescent="0.3">
      <c r="B31" t="s">
        <v>389</v>
      </c>
      <c r="D31">
        <v>-22.4</v>
      </c>
      <c r="J31" s="363"/>
      <c r="K31" s="363"/>
      <c r="L31" s="464"/>
      <c r="M31" s="462"/>
      <c r="N31" s="462"/>
      <c r="O31" s="363"/>
      <c r="P31" s="363"/>
    </row>
    <row r="32" spans="1:16" hidden="1" x14ac:dyDescent="0.3">
      <c r="B32" t="s">
        <v>390</v>
      </c>
      <c r="D32" s="162" t="e">
        <f>D31/D30</f>
        <v>#REF!</v>
      </c>
      <c r="J32" s="363"/>
      <c r="K32" s="363"/>
      <c r="L32" s="464"/>
      <c r="M32" s="462"/>
      <c r="N32" s="462"/>
      <c r="O32" s="363"/>
      <c r="P32" s="363"/>
    </row>
    <row r="33" spans="1:16" hidden="1" x14ac:dyDescent="0.3">
      <c r="J33" s="363"/>
      <c r="K33" s="363"/>
      <c r="L33" s="464"/>
      <c r="M33" s="462"/>
      <c r="N33" s="462"/>
      <c r="O33" s="363"/>
      <c r="P33" s="363"/>
    </row>
    <row r="34" spans="1:16" hidden="1" x14ac:dyDescent="0.3">
      <c r="A34">
        <f>60%*A16</f>
        <v>1.594152010995015E-2</v>
      </c>
      <c r="B34" t="s">
        <v>420</v>
      </c>
      <c r="C34" t="e">
        <f>7*Thermodynamics!#REF!-Thermodynamics!B8</f>
        <v>#REF!</v>
      </c>
      <c r="D34" s="190" t="e">
        <f>A34*C34</f>
        <v>#REF!</v>
      </c>
      <c r="E34" s="190" t="e">
        <f>D34*$E$27</f>
        <v>#REF!</v>
      </c>
      <c r="J34" s="363"/>
      <c r="K34" s="363"/>
      <c r="L34" s="464"/>
      <c r="M34" s="462"/>
      <c r="N34" s="462"/>
      <c r="O34" s="363"/>
      <c r="P34" s="363"/>
    </row>
    <row r="35" spans="1:16" hidden="1" x14ac:dyDescent="0.3">
      <c r="A35">
        <f>40%*A16</f>
        <v>1.0627680073300101E-2</v>
      </c>
      <c r="B35" t="s">
        <v>419</v>
      </c>
      <c r="C35" t="e">
        <f>7*Thermodynamics!#REF!-Thermodynamics!B8-7*Thermodynamics!#REF!</f>
        <v>#REF!</v>
      </c>
      <c r="D35" s="190" t="e">
        <f>C35*A35</f>
        <v>#REF!</v>
      </c>
      <c r="E35" s="190" t="e">
        <f t="shared" ref="E35" si="5">D35*$E$27</f>
        <v>#REF!</v>
      </c>
      <c r="J35" s="363"/>
      <c r="K35" s="363"/>
      <c r="L35" s="464"/>
      <c r="M35" s="462"/>
      <c r="N35" s="462"/>
      <c r="O35" s="363"/>
      <c r="P35" s="363"/>
    </row>
    <row r="36" spans="1:16" hidden="1" x14ac:dyDescent="0.3">
      <c r="E36" s="204" t="e">
        <f>SUM(E34:E35)</f>
        <v>#REF!</v>
      </c>
      <c r="J36" s="363"/>
      <c r="K36" s="363"/>
      <c r="L36" s="464"/>
      <c r="M36" s="462"/>
      <c r="N36" s="462"/>
      <c r="O36" s="363"/>
      <c r="P36" s="363"/>
    </row>
    <row r="37" spans="1:16" hidden="1" x14ac:dyDescent="0.3">
      <c r="E37" s="3" t="e">
        <f>E36/SUM(#REF!)</f>
        <v>#REF!</v>
      </c>
      <c r="J37" s="363"/>
      <c r="K37" s="363"/>
      <c r="L37" s="464"/>
      <c r="M37" s="462"/>
      <c r="N37" s="462"/>
      <c r="O37" s="363"/>
      <c r="P37" s="363"/>
    </row>
    <row r="38" spans="1:16" hidden="1" x14ac:dyDescent="0.3">
      <c r="J38" s="363"/>
      <c r="K38" s="363"/>
      <c r="L38" s="464"/>
      <c r="M38" s="462"/>
      <c r="N38" s="462"/>
      <c r="O38" s="363"/>
      <c r="P38" s="363"/>
    </row>
    <row r="39" spans="1:16" hidden="1" x14ac:dyDescent="0.3">
      <c r="B39" t="s">
        <v>489</v>
      </c>
      <c r="C39">
        <f>12+3+16+1</f>
        <v>32</v>
      </c>
      <c r="J39" s="363"/>
      <c r="K39" s="363"/>
      <c r="L39" s="464"/>
      <c r="M39" s="462"/>
      <c r="N39" s="462"/>
      <c r="O39" s="363"/>
      <c r="P39" s="363"/>
    </row>
    <row r="40" spans="1:16" hidden="1" x14ac:dyDescent="0.3">
      <c r="J40" s="363"/>
      <c r="K40" s="363"/>
      <c r="L40" s="464"/>
      <c r="M40" s="462"/>
      <c r="N40" s="462"/>
      <c r="O40" s="363"/>
      <c r="P40" s="363"/>
    </row>
    <row r="41" spans="1:16" hidden="1" x14ac:dyDescent="0.3">
      <c r="J41" s="363"/>
      <c r="K41" s="363"/>
      <c r="L41" s="464"/>
      <c r="M41" s="462"/>
      <c r="N41" s="462"/>
      <c r="O41" s="363"/>
      <c r="P41" s="363"/>
    </row>
    <row r="42" spans="1:16" hidden="1" x14ac:dyDescent="0.3">
      <c r="J42" s="363"/>
      <c r="K42" s="363"/>
      <c r="L42" s="464"/>
      <c r="M42" s="462"/>
      <c r="N42" s="462"/>
      <c r="O42" s="363"/>
      <c r="P42" s="363"/>
    </row>
    <row r="43" spans="1:16" hidden="1" x14ac:dyDescent="0.3">
      <c r="J43" s="363"/>
      <c r="K43" s="363"/>
      <c r="L43" s="464"/>
      <c r="M43" s="462"/>
      <c r="N43" s="462"/>
      <c r="O43" s="363"/>
      <c r="P43" s="363"/>
    </row>
    <row r="44" spans="1:16" x14ac:dyDescent="0.3">
      <c r="A44" s="338">
        <f>E10-A14*((E4-E6))</f>
        <v>0.32528915396738695</v>
      </c>
      <c r="B44" t="s">
        <v>774</v>
      </c>
      <c r="J44" s="363"/>
      <c r="K44" s="363"/>
      <c r="L44" s="369">
        <f>Thermodynamics!B4-Thermodynamics!B5</f>
        <v>44.003999999999991</v>
      </c>
      <c r="M44" s="370">
        <f>L44*A44</f>
        <v>14.314023931180893</v>
      </c>
      <c r="N44" s="370">
        <f t="shared" ref="N44" si="6">M44*$N$11</f>
        <v>3.9761177586613594</v>
      </c>
      <c r="O44" s="363"/>
      <c r="P44" s="363"/>
    </row>
    <row r="45" spans="1:16" x14ac:dyDescent="0.3">
      <c r="M45" s="465">
        <f>SUM(M13:M44)</f>
        <v>-106.5505308183576</v>
      </c>
      <c r="N45" s="465">
        <f>SUM(N13:N44)</f>
        <v>-29.597369671766003</v>
      </c>
    </row>
    <row r="46" spans="1:16" ht="14.4" customHeight="1" x14ac:dyDescent="0.3">
      <c r="A46" s="319">
        <f>'03. Uplinjanje'!H29</f>
        <v>28.99502716150446</v>
      </c>
      <c r="B46" t="s">
        <v>623</v>
      </c>
      <c r="E46" s="292"/>
      <c r="F46" s="292"/>
      <c r="G46" s="292"/>
    </row>
    <row r="47" spans="1:16" ht="28.8" x14ac:dyDescent="0.3">
      <c r="C47" t="s">
        <v>255</v>
      </c>
      <c r="D47" s="292" t="s">
        <v>744</v>
      </c>
      <c r="E47" s="292" t="s">
        <v>772</v>
      </c>
      <c r="F47" s="292" t="s">
        <v>23</v>
      </c>
      <c r="G47" s="292" t="s">
        <v>225</v>
      </c>
      <c r="I47" s="363" t="b">
        <f>$I$8=0</f>
        <v>0</v>
      </c>
    </row>
    <row r="48" spans="1:16" x14ac:dyDescent="0.3">
      <c r="A48" s="3">
        <f>D10</f>
        <v>0.17712800122166833</v>
      </c>
      <c r="B48" t="str">
        <f>"C"&amp;E4&amp;"H"&amp;E5&amp;"O"&amp;E6&amp;" + "&amp;((E4+E5/4-E6/2))&amp;" O2 = "&amp;E4&amp;" CO2 + "&amp;E5/2&amp;" H2O"</f>
        <v>C21H42O8 + 27,5 O2 = 21 CO2 + 21 H2O</v>
      </c>
      <c r="C48">
        <f>((E4+E5/4-E6/2))</f>
        <v>27.5</v>
      </c>
      <c r="D48" s="453">
        <f>F48*Thermodynamics!B3+Thermodynamics!B4*G48-'01.Vhodni podatki'!E27</f>
        <v>-11633.283125161917</v>
      </c>
      <c r="E48" s="453">
        <f>D48*A48</f>
        <v>-2060.5801876056935</v>
      </c>
      <c r="F48" s="292">
        <f>E4</f>
        <v>21</v>
      </c>
      <c r="G48" s="292">
        <f>E5/2</f>
        <v>21</v>
      </c>
      <c r="I48" s="363">
        <f>COUNT($K$4:$K$5)</f>
        <v>2</v>
      </c>
      <c r="L48" s="369">
        <f>G48*Thermodynamics!B4+'03.1 Enacbe'!F48*Thermodynamics!B3-'01.Vhodni podatki'!L44</f>
        <v>-11639.662578286918</v>
      </c>
      <c r="M48" s="370">
        <f>L48*A48</f>
        <v>-2061.7101673866123</v>
      </c>
      <c r="N48" s="370">
        <f>M48*N11</f>
        <v>-572.69726871850344</v>
      </c>
    </row>
    <row r="49" spans="2:9" x14ac:dyDescent="0.3">
      <c r="D49" s="429">
        <f>'01.Vhodni podatki'!E27</f>
        <v>-1708.7728748380807</v>
      </c>
      <c r="E49" s="292">
        <f>E48/3.6</f>
        <v>-572.38338544602595</v>
      </c>
      <c r="F49" s="292"/>
      <c r="G49" s="292"/>
      <c r="I49" s="363"/>
    </row>
    <row r="50" spans="2:9" x14ac:dyDescent="0.3">
      <c r="B50" t="str">
        <f>"C"&amp;E4&amp;"H"&amp;E5&amp;"O"&amp;E6&amp;" "</f>
        <v xml:space="preserve">C21H42O8 </v>
      </c>
      <c r="C50" t="s">
        <v>4</v>
      </c>
      <c r="D50" s="292">
        <f>27.5*2+8</f>
        <v>63</v>
      </c>
      <c r="E50" s="292">
        <f>21*2+21</f>
        <v>63</v>
      </c>
      <c r="F50" s="292"/>
      <c r="G50" s="292"/>
      <c r="I50" s="363"/>
    </row>
    <row r="51" spans="2:9" ht="64.8" customHeight="1" x14ac:dyDescent="0.3">
      <c r="D51" s="474" t="s">
        <v>664</v>
      </c>
      <c r="E51" s="474"/>
      <c r="F51" s="474"/>
      <c r="G51" s="474"/>
      <c r="I51" s="363" t="b">
        <f t="array" ref="I51">$K$4:$K$5&lt;=8</f>
        <v>1</v>
      </c>
    </row>
    <row r="52" spans="2:9" x14ac:dyDescent="0.3">
      <c r="D52" s="292"/>
      <c r="E52" s="292"/>
      <c r="F52" s="292"/>
      <c r="G52" s="292"/>
      <c r="I52" s="363" t="b">
        <f>$K$7&gt;=0</f>
        <v>1</v>
      </c>
    </row>
    <row r="53" spans="2:9" x14ac:dyDescent="0.3">
      <c r="D53" s="292"/>
      <c r="E53" s="292" t="s">
        <v>2</v>
      </c>
      <c r="F53" s="292">
        <f>A48*F48</f>
        <v>3.7196880256550351</v>
      </c>
      <c r="G53" s="292"/>
      <c r="I53" s="363" t="b">
        <f t="array" ref="I53">$K$4:$K$5&gt;=0</f>
        <v>1</v>
      </c>
    </row>
    <row r="54" spans="2:9" x14ac:dyDescent="0.3">
      <c r="D54" s="292"/>
      <c r="E54" s="292" t="s">
        <v>3</v>
      </c>
      <c r="F54" s="292">
        <f>A48*G48</f>
        <v>3.7196880256550351</v>
      </c>
      <c r="G54" s="292"/>
      <c r="I54" s="363">
        <f>{32767;32767;0.00001;0.1;FALSE;FALSE;FALSE;1;2;1;0.0001;TRUE}</f>
        <v>32767</v>
      </c>
    </row>
    <row r="55" spans="2:9" x14ac:dyDescent="0.3">
      <c r="I55" s="363">
        <f>{0;0;1;100;0;FALSE;FALSE;0.075;0;0;FALSE;30}</f>
        <v>0</v>
      </c>
    </row>
  </sheetData>
  <mergeCells count="1">
    <mergeCell ref="D51:G5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P78"/>
  <sheetViews>
    <sheetView zoomScaleNormal="100" workbookViewId="0">
      <selection activeCell="D10" sqref="D10"/>
    </sheetView>
  </sheetViews>
  <sheetFormatPr defaultColWidth="11.44140625" defaultRowHeight="14.4" x14ac:dyDescent="0.3"/>
  <cols>
    <col min="1" max="1" width="15.21875" customWidth="1"/>
    <col min="2" max="2" width="9" style="34" customWidth="1"/>
    <col min="3" max="3" width="9" customWidth="1"/>
    <col min="4" max="4" width="32.44140625" customWidth="1"/>
    <col min="5" max="5" width="10.109375" customWidth="1"/>
    <col min="6" max="6" width="8.6640625" customWidth="1"/>
    <col min="7" max="7" width="7.33203125" customWidth="1"/>
    <col min="8" max="8" width="9.6640625" customWidth="1"/>
    <col min="9" max="9" width="6.88671875" customWidth="1"/>
    <col min="10" max="10" width="7.88671875" customWidth="1"/>
    <col min="11" max="12" width="6.6640625" customWidth="1"/>
    <col min="13" max="13" width="9.5546875" customWidth="1"/>
  </cols>
  <sheetData>
    <row r="1" spans="1:13" x14ac:dyDescent="0.3">
      <c r="A1" s="12">
        <v>42939</v>
      </c>
      <c r="B1" s="13" t="s">
        <v>18</v>
      </c>
      <c r="C1" s="14" t="s">
        <v>96</v>
      </c>
      <c r="E1" s="14" t="s">
        <v>19</v>
      </c>
    </row>
    <row r="2" spans="1:13" x14ac:dyDescent="0.3">
      <c r="A2" s="15"/>
      <c r="B2" s="16" t="s">
        <v>20</v>
      </c>
      <c r="C2" s="17" t="s">
        <v>97</v>
      </c>
      <c r="D2" s="17" t="s">
        <v>21</v>
      </c>
      <c r="E2" s="18" t="s">
        <v>20</v>
      </c>
      <c r="F2" s="17" t="s">
        <v>15</v>
      </c>
      <c r="G2" s="17" t="s">
        <v>11</v>
      </c>
      <c r="H2" s="17" t="s">
        <v>22</v>
      </c>
    </row>
    <row r="3" spans="1:13" x14ac:dyDescent="0.3">
      <c r="A3" s="19" t="s">
        <v>23</v>
      </c>
      <c r="B3" s="20">
        <f>-393.51</f>
        <v>-393.51</v>
      </c>
      <c r="C3" s="117">
        <v>38.4</v>
      </c>
      <c r="D3" t="s">
        <v>25</v>
      </c>
      <c r="E3" s="22">
        <f>B4</f>
        <v>-241.82599999999999</v>
      </c>
      <c r="F3" s="22">
        <f>-E3/0.002/1000</f>
        <v>120.913</v>
      </c>
      <c r="G3" s="3">
        <f>F3/3.6</f>
        <v>33.586944444444441</v>
      </c>
      <c r="H3" s="23">
        <f>-E3/22.414/3.6</f>
        <v>2.9969612246314306</v>
      </c>
    </row>
    <row r="4" spans="1:13" x14ac:dyDescent="0.3">
      <c r="A4" s="19" t="s">
        <v>24</v>
      </c>
      <c r="B4" s="21">
        <v>-241.82599999999999</v>
      </c>
      <c r="C4" s="118">
        <v>33.6</v>
      </c>
      <c r="D4" t="s">
        <v>27</v>
      </c>
      <c r="E4" s="22">
        <f>B3-B6</f>
        <v>-282.98</v>
      </c>
      <c r="F4" s="3">
        <f>-E4/0.028/1000</f>
        <v>10.106428571428573</v>
      </c>
      <c r="G4" s="3">
        <f>F4/3.6</f>
        <v>2.8073412698412703</v>
      </c>
      <c r="H4" s="23">
        <f>-E4/22.414/3.6</f>
        <v>3.5069847218504306</v>
      </c>
    </row>
    <row r="5" spans="1:13" x14ac:dyDescent="0.3">
      <c r="A5" s="19" t="s">
        <v>26</v>
      </c>
      <c r="B5" s="21">
        <v>-285.83</v>
      </c>
      <c r="C5" s="118">
        <v>75.3</v>
      </c>
      <c r="D5" t="s">
        <v>28</v>
      </c>
      <c r="E5" s="23">
        <f>B4-B5</f>
        <v>44.003999999999991</v>
      </c>
      <c r="F5" s="208">
        <f>-E5/0.018015/1000</f>
        <v>-2.4426311407160695</v>
      </c>
      <c r="G5" s="23">
        <f>F5/3.6</f>
        <v>-0.67850865019890816</v>
      </c>
      <c r="H5" s="23"/>
    </row>
    <row r="6" spans="1:13" x14ac:dyDescent="0.3">
      <c r="A6" s="19" t="s">
        <v>29</v>
      </c>
      <c r="B6" s="20">
        <v>-110.53</v>
      </c>
      <c r="C6" s="117">
        <v>29.1</v>
      </c>
      <c r="D6" t="s">
        <v>30</v>
      </c>
      <c r="E6" s="23">
        <f>18*80*4.18/1000</f>
        <v>6.0191999999999997</v>
      </c>
      <c r="F6" s="3">
        <f>-E6/1000/0.018</f>
        <v>-0.33440000000000003</v>
      </c>
      <c r="G6" s="23">
        <f>F6/3.6</f>
        <v>-9.2888888888888896E-2</v>
      </c>
      <c r="H6" s="23"/>
    </row>
    <row r="7" spans="1:13" x14ac:dyDescent="0.3">
      <c r="A7" s="24" t="s">
        <v>61</v>
      </c>
      <c r="B7" s="25">
        <v>150.6</v>
      </c>
      <c r="C7" s="118">
        <v>131.9</v>
      </c>
      <c r="D7" s="194" t="s">
        <v>253</v>
      </c>
      <c r="E7" s="202">
        <f>10*B6+4*0-B7</f>
        <v>-1255.8999999999999</v>
      </c>
      <c r="F7">
        <f>-E7/0.128/1000</f>
        <v>9.8117187499999989</v>
      </c>
      <c r="G7" s="22">
        <f>F7/3.6</f>
        <v>2.7254774305555554</v>
      </c>
      <c r="H7" s="23">
        <f t="shared" ref="H7" si="0">-E7/22.414/3.6</f>
        <v>15.564428977920544</v>
      </c>
      <c r="M7" s="194"/>
    </row>
    <row r="8" spans="1:13" x14ac:dyDescent="0.3">
      <c r="A8" s="24" t="s">
        <v>44</v>
      </c>
      <c r="B8" s="25">
        <v>0</v>
      </c>
      <c r="C8" s="118">
        <v>28.8</v>
      </c>
      <c r="D8" s="26" t="s">
        <v>269</v>
      </c>
      <c r="E8" s="22">
        <f>5*B6-B20</f>
        <v>-320.53999999999996</v>
      </c>
      <c r="F8">
        <f t="shared" ref="F8:F9" si="1">-E8/0.128/1000</f>
        <v>2.5042187499999997</v>
      </c>
      <c r="G8" s="22">
        <f t="shared" ref="G8:G9" si="2">F8/3.6</f>
        <v>0.69561631944444435</v>
      </c>
      <c r="H8" s="23">
        <f t="shared" ref="H8:H9" si="3">-E8/22.414/3.6</f>
        <v>3.9724676045725382</v>
      </c>
      <c r="M8" s="194"/>
    </row>
    <row r="9" spans="1:13" x14ac:dyDescent="0.3">
      <c r="A9" s="24" t="s">
        <v>45</v>
      </c>
      <c r="B9" s="25">
        <v>0</v>
      </c>
      <c r="C9" s="118">
        <v>29.1</v>
      </c>
      <c r="D9" s="26" t="s">
        <v>270</v>
      </c>
      <c r="E9" s="22">
        <f>5*B6-B20-4*B4</f>
        <v>646.76400000000001</v>
      </c>
      <c r="F9">
        <f t="shared" si="1"/>
        <v>-5.0528437500000001</v>
      </c>
      <c r="G9" s="22">
        <f t="shared" si="2"/>
        <v>-1.4035677083333333</v>
      </c>
      <c r="H9" s="23">
        <f t="shared" si="3"/>
        <v>-8.0153772939531844</v>
      </c>
      <c r="M9" t="s">
        <v>271</v>
      </c>
    </row>
    <row r="10" spans="1:13" x14ac:dyDescent="0.3">
      <c r="A10" s="371" t="s">
        <v>255</v>
      </c>
      <c r="C10" s="118">
        <v>29.39</v>
      </c>
      <c r="D10" s="194" t="s">
        <v>230</v>
      </c>
      <c r="E10" s="202">
        <f>14*0+10*B6-10*B4-B7</f>
        <v>1162.3599999999999</v>
      </c>
      <c r="F10">
        <f>-E10/0.128/1000</f>
        <v>-9.0809374999999974</v>
      </c>
      <c r="G10" s="22">
        <f>F10/3.6</f>
        <v>-2.5224826388888881</v>
      </c>
      <c r="H10" s="23">
        <f t="shared" ref="H10" si="4">-E10/22.414/3.6</f>
        <v>-14.40518326839376</v>
      </c>
    </row>
    <row r="11" spans="1:13" x14ac:dyDescent="0.3">
      <c r="A11" s="27" t="str">
        <f>'01.Vhodni podatki'!E43</f>
        <v>C21H42O8</v>
      </c>
      <c r="C11" s="118">
        <f>1000/'01.Vhodni podatki'!E47</f>
        <v>2.3696682464454977</v>
      </c>
      <c r="D11" s="194" t="s">
        <v>256</v>
      </c>
      <c r="E11" s="202">
        <f>B3-B4-B6</f>
        <v>-41.153999999999996</v>
      </c>
      <c r="F11">
        <f>-E11/0.128/1000</f>
        <v>0.32151562499999992</v>
      </c>
      <c r="G11" s="22">
        <f>F11/3.6</f>
        <v>8.9309895833333305E-2</v>
      </c>
      <c r="H11" s="23">
        <f t="shared" ref="H11" si="5">-E11/22.414/3.6</f>
        <v>0.51002349721899987</v>
      </c>
    </row>
    <row r="12" spans="1:13" x14ac:dyDescent="0.3">
      <c r="C12" s="118"/>
      <c r="D12" s="194"/>
      <c r="E12" s="202"/>
      <c r="G12" s="22"/>
      <c r="H12" s="23"/>
    </row>
    <row r="13" spans="1:13" x14ac:dyDescent="0.3">
      <c r="C13" s="118" t="s">
        <v>257</v>
      </c>
      <c r="D13" s="194" t="s">
        <v>253</v>
      </c>
      <c r="E13" s="202">
        <f>E7</f>
        <v>-1255.8999999999999</v>
      </c>
      <c r="F13">
        <f>-E13/0.128/1000</f>
        <v>9.8117187499999989</v>
      </c>
      <c r="G13" s="22">
        <f>F13/3.6</f>
        <v>2.7254774305555554</v>
      </c>
      <c r="H13" s="23">
        <f t="shared" ref="H13:H15" si="6">-E13/22.414/3.6</f>
        <v>15.564428977920544</v>
      </c>
    </row>
    <row r="14" spans="1:13" x14ac:dyDescent="0.3">
      <c r="C14" s="118" t="s">
        <v>257</v>
      </c>
      <c r="D14" s="194" t="s">
        <v>230</v>
      </c>
      <c r="E14" s="202">
        <f>E10</f>
        <v>1162.3599999999999</v>
      </c>
      <c r="F14">
        <f>-E14/0.128/1000</f>
        <v>-9.0809374999999974</v>
      </c>
      <c r="G14" s="22">
        <f>F14/3.6</f>
        <v>-2.5224826388888881</v>
      </c>
      <c r="H14" s="23">
        <f t="shared" si="6"/>
        <v>-14.40518326839376</v>
      </c>
    </row>
    <row r="15" spans="1:13" x14ac:dyDescent="0.3">
      <c r="C15" s="118" t="s">
        <v>291</v>
      </c>
      <c r="D15" s="194" t="s">
        <v>256</v>
      </c>
      <c r="E15" s="202">
        <f>E11*20</f>
        <v>-823.07999999999993</v>
      </c>
      <c r="F15">
        <f>-E15/0.128/1000</f>
        <v>6.4303124999999994</v>
      </c>
      <c r="G15" s="22">
        <f>F15/3.6</f>
        <v>1.7861979166666664</v>
      </c>
      <c r="H15" s="23">
        <f t="shared" si="6"/>
        <v>10.200469944379998</v>
      </c>
    </row>
    <row r="16" spans="1:13" x14ac:dyDescent="0.3">
      <c r="A16" s="24" t="s">
        <v>259</v>
      </c>
      <c r="B16" s="25">
        <v>-74.53</v>
      </c>
      <c r="C16" s="118"/>
      <c r="E16" s="22">
        <f>SUM(E13:E15)</f>
        <v>-916.61999999999989</v>
      </c>
      <c r="M16" t="s">
        <v>442</v>
      </c>
    </row>
    <row r="17" spans="1:16" x14ac:dyDescent="0.3">
      <c r="A17" s="24" t="s">
        <v>262</v>
      </c>
      <c r="B17" s="25">
        <v>-238.6</v>
      </c>
      <c r="C17" s="118"/>
      <c r="D17" s="194" t="s">
        <v>261</v>
      </c>
      <c r="E17" s="202"/>
      <c r="G17" s="22"/>
      <c r="H17" s="23"/>
    </row>
    <row r="18" spans="1:16" x14ac:dyDescent="0.3">
      <c r="A18" s="24" t="s">
        <v>263</v>
      </c>
      <c r="B18" s="25">
        <f>-238.6+37.68</f>
        <v>-200.92</v>
      </c>
      <c r="C18" s="118" t="s">
        <v>260</v>
      </c>
      <c r="D18" s="194" t="s">
        <v>258</v>
      </c>
      <c r="E18" s="202">
        <f>B16+B4-B6</f>
        <v>-205.82599999999999</v>
      </c>
      <c r="F18">
        <f>-E18/0.128/1000</f>
        <v>1.6080156249999999</v>
      </c>
      <c r="G18" s="22">
        <f>F18/3.6</f>
        <v>0.44667100694444439</v>
      </c>
      <c r="H18" s="23">
        <f t="shared" ref="H18" si="7">-E18/22.414/3.6</f>
        <v>2.5508114967827646</v>
      </c>
      <c r="M18" t="s">
        <v>443</v>
      </c>
      <c r="N18">
        <f>(273+20)*O18/1</f>
        <v>732.5</v>
      </c>
      <c r="O18" s="3">
        <v>2.5</v>
      </c>
      <c r="P18">
        <f>N18-273</f>
        <v>459.5</v>
      </c>
    </row>
    <row r="19" spans="1:16" x14ac:dyDescent="0.3">
      <c r="A19" s="24"/>
      <c r="B19" s="25"/>
      <c r="C19" s="118" t="s">
        <v>265</v>
      </c>
      <c r="D19" s="194" t="s">
        <v>264</v>
      </c>
      <c r="E19" s="202">
        <f>B18-B6</f>
        <v>-90.389999999999986</v>
      </c>
      <c r="F19">
        <f>-E19/0.128/1000</f>
        <v>0.70617187499999989</v>
      </c>
      <c r="G19" s="22">
        <f>F19/3.6</f>
        <v>0.19615885416666662</v>
      </c>
      <c r="H19" s="23">
        <f t="shared" ref="H19" si="8">-E19/22.414/3.6</f>
        <v>1.1202076083400252</v>
      </c>
      <c r="N19">
        <f>(293)*O19/O18</f>
        <v>732.5</v>
      </c>
      <c r="O19">
        <f>O18*$O$18</f>
        <v>6.25</v>
      </c>
      <c r="P19">
        <f t="shared" ref="P19:P21" si="9">N19-273</f>
        <v>459.5</v>
      </c>
    </row>
    <row r="20" spans="1:16" x14ac:dyDescent="0.3">
      <c r="A20" s="24" t="s">
        <v>267</v>
      </c>
      <c r="B20" s="25">
        <v>-232.11</v>
      </c>
      <c r="C20" s="118">
        <f>1.2*B27</f>
        <v>208.79999999999998</v>
      </c>
      <c r="D20" s="194"/>
      <c r="E20" s="202"/>
      <c r="G20" s="22"/>
      <c r="H20" s="23"/>
      <c r="N20">
        <f>(293)*O20/O19</f>
        <v>732.5</v>
      </c>
      <c r="O20">
        <f>O19*$O$18</f>
        <v>15.625</v>
      </c>
      <c r="P20">
        <f t="shared" si="9"/>
        <v>459.5</v>
      </c>
    </row>
    <row r="21" spans="1:16" x14ac:dyDescent="0.3">
      <c r="A21" s="24" t="s">
        <v>268</v>
      </c>
      <c r="B21" s="25"/>
      <c r="C21" s="118"/>
      <c r="D21" s="194" t="s">
        <v>277</v>
      </c>
      <c r="E21" s="202">
        <f>10*(B4+B3)-B23</f>
        <v>-5729.1600000000008</v>
      </c>
      <c r="F21">
        <f>E21/$B$24</f>
        <v>-33.309069767441862</v>
      </c>
      <c r="G21" s="22"/>
      <c r="H21" s="23"/>
      <c r="N21">
        <f>(293)*O21/O20</f>
        <v>732.5</v>
      </c>
      <c r="O21">
        <f>O20*$O$18</f>
        <v>39.0625</v>
      </c>
      <c r="P21">
        <f t="shared" si="9"/>
        <v>459.5</v>
      </c>
    </row>
    <row r="22" spans="1:16" x14ac:dyDescent="0.3">
      <c r="A22" s="24"/>
      <c r="B22" s="25"/>
      <c r="C22" s="118" t="s">
        <v>333</v>
      </c>
      <c r="D22" s="194" t="s">
        <v>278</v>
      </c>
      <c r="E22" s="202">
        <f>10*(B6+B4)-B23</f>
        <v>-2899.3599999999997</v>
      </c>
      <c r="F22">
        <f>E22/$B$24</f>
        <v>-16.856744186046509</v>
      </c>
      <c r="G22" s="22"/>
      <c r="H22" s="23"/>
    </row>
    <row r="23" spans="1:16" x14ac:dyDescent="0.3">
      <c r="A23" s="24" t="s">
        <v>273</v>
      </c>
      <c r="B23" s="25">
        <v>-624.20000000000005</v>
      </c>
      <c r="C23" s="118"/>
      <c r="D23" s="194" t="s">
        <v>276</v>
      </c>
      <c r="E23" s="202">
        <f>10*B6-8*B5-B23</f>
        <v>1805.54</v>
      </c>
      <c r="F23">
        <f>E23/$B$24</f>
        <v>10.497325581395348</v>
      </c>
      <c r="G23" s="22"/>
      <c r="H23" s="23"/>
    </row>
    <row r="24" spans="1:16" x14ac:dyDescent="0.3">
      <c r="A24" s="24" t="s">
        <v>236</v>
      </c>
      <c r="B24" s="25">
        <f>10*12+20+2*16</f>
        <v>172</v>
      </c>
      <c r="C24" s="118"/>
      <c r="D24" s="194"/>
      <c r="E24" s="202"/>
      <c r="F24" t="s">
        <v>286</v>
      </c>
      <c r="G24" t="s">
        <v>287</v>
      </c>
      <c r="J24" t="s">
        <v>281</v>
      </c>
      <c r="K24" s="22" t="s">
        <v>285</v>
      </c>
      <c r="L24" s="23" t="s">
        <v>284</v>
      </c>
    </row>
    <row r="25" spans="1:16" x14ac:dyDescent="0.3">
      <c r="A25" s="24"/>
      <c r="B25" s="25"/>
      <c r="C25" s="118">
        <v>3</v>
      </c>
      <c r="D25" s="194" t="s">
        <v>274</v>
      </c>
      <c r="E25" s="202">
        <f>(10*B6-B23)*C25</f>
        <v>-1443.2999999999997</v>
      </c>
      <c r="F25">
        <f>E25/$B$24</f>
        <v>-8.3912790697674406</v>
      </c>
      <c r="G25">
        <f>F25*0.667</f>
        <v>-5.596983139534883</v>
      </c>
      <c r="J25">
        <f>C25*4</f>
        <v>12</v>
      </c>
      <c r="K25" s="22"/>
      <c r="L25" s="23"/>
    </row>
    <row r="26" spans="1:16" x14ac:dyDescent="0.3">
      <c r="A26" s="24" t="s">
        <v>295</v>
      </c>
      <c r="B26">
        <v>-530.89</v>
      </c>
      <c r="C26" s="118">
        <v>1</v>
      </c>
      <c r="D26" s="194" t="s">
        <v>275</v>
      </c>
      <c r="E26" s="202">
        <f>(10*B6-8*B4-B23)*C26</f>
        <v>1453.508</v>
      </c>
      <c r="F26">
        <f>E26/$B$24</f>
        <v>8.4506279069767452</v>
      </c>
      <c r="G26">
        <f>F26</f>
        <v>8.4506279069767452</v>
      </c>
      <c r="J26">
        <f>C26*0</f>
        <v>0</v>
      </c>
      <c r="K26" s="22"/>
      <c r="L26" s="23"/>
    </row>
    <row r="27" spans="1:16" x14ac:dyDescent="0.3">
      <c r="A27" s="24" t="s">
        <v>236</v>
      </c>
      <c r="B27" s="25">
        <f>9*12+18+3*16</f>
        <v>174</v>
      </c>
      <c r="C27" s="118">
        <v>1</v>
      </c>
      <c r="D27" s="194" t="s">
        <v>256</v>
      </c>
      <c r="E27" s="202">
        <f>C27*(B3-B4-B6)</f>
        <v>-41.153999999999996</v>
      </c>
      <c r="F27">
        <f>E27/$B$24</f>
        <v>-0.23926744186046509</v>
      </c>
      <c r="G27">
        <f>F27*0.667</f>
        <v>-0.15959138372093021</v>
      </c>
      <c r="J27">
        <f>C27*0</f>
        <v>0</v>
      </c>
      <c r="K27" s="22"/>
      <c r="L27" s="23"/>
    </row>
    <row r="28" spans="1:16" x14ac:dyDescent="0.3">
      <c r="A28" s="24" t="s">
        <v>332</v>
      </c>
      <c r="B28" s="25"/>
      <c r="C28" s="117">
        <v>0.62</v>
      </c>
      <c r="D28" s="194" t="s">
        <v>279</v>
      </c>
      <c r="E28" s="202">
        <f>B4*C28</f>
        <v>-149.93212</v>
      </c>
      <c r="F28">
        <f>E28/$B$24</f>
        <v>-0.87169837209302325</v>
      </c>
      <c r="G28">
        <f>F28*0.667</f>
        <v>-0.58142281418604658</v>
      </c>
      <c r="J28">
        <f>C28*0.5</f>
        <v>0.31</v>
      </c>
      <c r="K28" s="207">
        <f>J28/J29</f>
        <v>2.5182778229082044E-2</v>
      </c>
      <c r="L28" s="207">
        <f>E28/E30</f>
        <v>9.1736045824960893E-2</v>
      </c>
    </row>
    <row r="29" spans="1:16" x14ac:dyDescent="0.3">
      <c r="A29" s="24"/>
      <c r="B29" s="25"/>
      <c r="C29" s="118"/>
      <c r="D29" s="194" t="s">
        <v>280</v>
      </c>
      <c r="E29" s="202">
        <f>SUM(E25:E28)</f>
        <v>-180.87811999999968</v>
      </c>
      <c r="G29">
        <f>SUM(G25:G28)</f>
        <v>2.1126305695348853</v>
      </c>
      <c r="J29">
        <f>SUM(J25:J28)</f>
        <v>12.31</v>
      </c>
      <c r="K29" s="22"/>
      <c r="L29" s="23"/>
    </row>
    <row r="30" spans="1:16" x14ac:dyDescent="0.3">
      <c r="A30" s="24" t="s">
        <v>414</v>
      </c>
      <c r="B30" s="25">
        <v>12.36</v>
      </c>
      <c r="C30" s="118"/>
      <c r="D30" s="194" t="s">
        <v>282</v>
      </c>
      <c r="E30" s="202">
        <f>SUM(E25,E27:E28)</f>
        <v>-1634.3861199999997</v>
      </c>
      <c r="G30" s="22"/>
      <c r="H30" s="23"/>
    </row>
    <row r="31" spans="1:16" x14ac:dyDescent="0.3">
      <c r="A31" s="24"/>
      <c r="B31" s="25"/>
      <c r="C31" s="118"/>
      <c r="D31" s="194" t="s">
        <v>283</v>
      </c>
      <c r="E31" s="202">
        <f>E26</f>
        <v>1453.508</v>
      </c>
      <c r="G31" s="22"/>
      <c r="H31" s="23"/>
    </row>
    <row r="32" spans="1:16" x14ac:dyDescent="0.3">
      <c r="A32" s="24"/>
      <c r="B32" s="25"/>
      <c r="C32" s="118"/>
      <c r="D32" s="194"/>
      <c r="E32" s="202"/>
      <c r="G32" s="22"/>
      <c r="H32" s="23"/>
    </row>
    <row r="33" spans="1:8" x14ac:dyDescent="0.3">
      <c r="A33" s="24"/>
      <c r="B33" s="25"/>
      <c r="C33" s="118"/>
      <c r="D33" s="194"/>
      <c r="E33" s="202"/>
      <c r="G33" s="22"/>
      <c r="H33" s="23"/>
    </row>
    <row r="34" spans="1:8" x14ac:dyDescent="0.3">
      <c r="A34" s="24"/>
      <c r="B34" s="25"/>
      <c r="C34" s="118">
        <v>1</v>
      </c>
      <c r="D34" s="194" t="s">
        <v>296</v>
      </c>
      <c r="E34" s="202">
        <f>(9*B6-B26)*C34</f>
        <v>-463.88</v>
      </c>
      <c r="F34">
        <f>E34/$B$24</f>
        <v>-2.6969767441860464</v>
      </c>
      <c r="G34">
        <f>F34*0.667</f>
        <v>-1.798883488372093</v>
      </c>
      <c r="H34" s="23"/>
    </row>
    <row r="35" spans="1:8" x14ac:dyDescent="0.3">
      <c r="A35" s="24"/>
      <c r="B35" s="25"/>
      <c r="C35" s="118">
        <v>1</v>
      </c>
      <c r="D35" s="194" t="s">
        <v>297</v>
      </c>
      <c r="E35" s="202">
        <f>(9*B6-6*B4-B26)*C35</f>
        <v>987.07599999999991</v>
      </c>
      <c r="F35">
        <f>E35/$B$24</f>
        <v>5.7388139534883713</v>
      </c>
      <c r="G35">
        <f>F35</f>
        <v>5.7388139534883713</v>
      </c>
      <c r="H35" s="23"/>
    </row>
    <row r="36" spans="1:8" x14ac:dyDescent="0.3">
      <c r="A36" s="24"/>
      <c r="B36" s="25"/>
      <c r="C36" s="118">
        <v>1</v>
      </c>
      <c r="D36" s="194" t="s">
        <v>256</v>
      </c>
      <c r="E36" s="202">
        <f>C36*(B3-B4-B6)</f>
        <v>-41.153999999999996</v>
      </c>
      <c r="F36">
        <f>E36/$B$24</f>
        <v>-0.23926744186046509</v>
      </c>
      <c r="G36">
        <f>F36*0.667</f>
        <v>-0.15959138372093021</v>
      </c>
      <c r="H36" s="23"/>
    </row>
    <row r="37" spans="1:8" x14ac:dyDescent="0.3">
      <c r="A37" s="24"/>
      <c r="B37" s="25"/>
      <c r="C37" s="117">
        <v>1</v>
      </c>
      <c r="D37" s="194" t="s">
        <v>279</v>
      </c>
      <c r="E37" s="202">
        <f>B19*C37</f>
        <v>0</v>
      </c>
      <c r="F37">
        <f>E37/$B$24</f>
        <v>0</v>
      </c>
      <c r="G37">
        <f>F37*0.667</f>
        <v>0</v>
      </c>
      <c r="H37" s="23"/>
    </row>
    <row r="38" spans="1:8" x14ac:dyDescent="0.3">
      <c r="A38" s="24"/>
      <c r="B38" s="25"/>
      <c r="C38" s="118"/>
      <c r="D38" s="194" t="s">
        <v>280</v>
      </c>
      <c r="E38" s="202">
        <f>SUM(E34:E37)</f>
        <v>482.04199999999992</v>
      </c>
      <c r="G38">
        <f>SUM(G34:G37)</f>
        <v>3.7803390813953479</v>
      </c>
      <c r="H38" s="23"/>
    </row>
    <row r="39" spans="1:8" x14ac:dyDescent="0.3">
      <c r="A39" s="24"/>
      <c r="B39" s="25"/>
      <c r="C39" s="118"/>
      <c r="D39" s="194"/>
      <c r="E39" s="202"/>
      <c r="G39" s="22"/>
      <c r="H39" s="23"/>
    </row>
    <row r="40" spans="1:8" x14ac:dyDescent="0.3">
      <c r="A40" s="24"/>
      <c r="B40" s="25"/>
      <c r="C40" s="118"/>
      <c r="D40" s="194"/>
      <c r="E40" s="202"/>
      <c r="G40" s="22"/>
      <c r="H40" s="23"/>
    </row>
    <row r="41" spans="1:8" x14ac:dyDescent="0.3">
      <c r="A41" s="24"/>
      <c r="B41" s="25"/>
      <c r="C41" s="118"/>
      <c r="D41" s="194" t="s">
        <v>435</v>
      </c>
      <c r="E41" s="202">
        <v>33.5</v>
      </c>
      <c r="G41" s="22"/>
      <c r="H41" s="23"/>
    </row>
    <row r="42" spans="1:8" x14ac:dyDescent="0.3">
      <c r="A42" s="24"/>
      <c r="B42" s="25"/>
      <c r="C42" s="118"/>
      <c r="D42" s="194"/>
      <c r="E42" s="202"/>
      <c r="G42" s="22"/>
      <c r="H42" s="23"/>
    </row>
    <row r="43" spans="1:8" x14ac:dyDescent="0.3">
      <c r="A43" s="24"/>
      <c r="B43" s="25"/>
      <c r="C43" s="118"/>
      <c r="D43" s="194" t="s">
        <v>540</v>
      </c>
      <c r="E43" s="202">
        <f>2*B4+B16-B3</f>
        <v>-164.67200000000003</v>
      </c>
      <c r="G43" s="22"/>
      <c r="H43" s="23"/>
    </row>
    <row r="44" spans="1:8" x14ac:dyDescent="0.3">
      <c r="A44" s="24"/>
      <c r="B44" s="25"/>
      <c r="C44" s="118"/>
      <c r="D44" s="194"/>
      <c r="E44" s="202"/>
      <c r="G44" s="22"/>
      <c r="H44" s="23"/>
    </row>
    <row r="45" spans="1:8" x14ac:dyDescent="0.3">
      <c r="A45" s="24"/>
      <c r="B45" s="25"/>
      <c r="C45" s="118"/>
      <c r="D45" s="194"/>
      <c r="E45" s="202"/>
      <c r="G45" s="22"/>
      <c r="H45" s="23"/>
    </row>
    <row r="46" spans="1:8" x14ac:dyDescent="0.3">
      <c r="A46" s="24"/>
      <c r="B46" s="25"/>
      <c r="C46" s="118"/>
      <c r="D46" s="194" t="s">
        <v>770</v>
      </c>
      <c r="E46" s="202">
        <f>B4*4+7*B3-B30</f>
        <v>-3734.2339999999999</v>
      </c>
      <c r="F46">
        <f>E46/$B$24</f>
        <v>-21.710662790697675</v>
      </c>
      <c r="G46">
        <f>F46*0.667</f>
        <v>-14.481012081395351</v>
      </c>
      <c r="H46" s="23"/>
    </row>
    <row r="47" spans="1:8" x14ac:dyDescent="0.3">
      <c r="A47" s="24"/>
      <c r="B47" s="25"/>
      <c r="C47" s="118"/>
      <c r="D47" s="194"/>
      <c r="E47" s="202"/>
      <c r="G47" s="22"/>
      <c r="H47" s="23"/>
    </row>
    <row r="48" spans="1:8" x14ac:dyDescent="0.3">
      <c r="A48" s="24"/>
      <c r="B48" s="25"/>
      <c r="C48" s="118"/>
      <c r="D48" s="194"/>
      <c r="E48" s="202"/>
      <c r="G48" s="22"/>
      <c r="H48" s="23"/>
    </row>
    <row r="49" spans="1:8" x14ac:dyDescent="0.3">
      <c r="A49" s="24"/>
      <c r="B49" s="25"/>
      <c r="C49" s="118"/>
      <c r="D49" s="194"/>
      <c r="E49" s="202"/>
      <c r="G49" s="22"/>
      <c r="H49" s="23"/>
    </row>
    <row r="50" spans="1:8" x14ac:dyDescent="0.3">
      <c r="A50" s="24"/>
      <c r="B50" s="25"/>
      <c r="C50" s="118"/>
      <c r="D50" s="194"/>
      <c r="E50" s="202"/>
      <c r="G50" s="22"/>
      <c r="H50" s="23"/>
    </row>
    <row r="51" spans="1:8" x14ac:dyDescent="0.3">
      <c r="A51" s="24"/>
      <c r="B51" s="25"/>
      <c r="C51" s="118"/>
      <c r="D51" s="194"/>
      <c r="E51" s="202"/>
      <c r="G51" s="22"/>
      <c r="H51" s="23"/>
    </row>
    <row r="52" spans="1:8" x14ac:dyDescent="0.3">
      <c r="A52" s="24"/>
      <c r="B52" s="25"/>
      <c r="C52" s="118"/>
      <c r="D52" s="194"/>
      <c r="E52" s="202"/>
      <c r="G52" s="22"/>
      <c r="H52" s="23"/>
    </row>
    <row r="53" spans="1:8" x14ac:dyDescent="0.3">
      <c r="A53" s="24"/>
      <c r="B53" s="25"/>
      <c r="C53" s="118"/>
      <c r="D53" s="194"/>
      <c r="E53" s="202"/>
      <c r="G53" s="22"/>
      <c r="H53" s="23"/>
    </row>
    <row r="54" spans="1:8" x14ac:dyDescent="0.3">
      <c r="A54" s="24"/>
      <c r="B54" s="25"/>
      <c r="C54" s="14"/>
      <c r="D54" s="28" t="s">
        <v>49</v>
      </c>
      <c r="F54" s="29"/>
    </row>
    <row r="55" spans="1:8" x14ac:dyDescent="0.3">
      <c r="A55" s="24"/>
      <c r="B55" s="25"/>
      <c r="C55" s="77"/>
    </row>
    <row r="56" spans="1:8" x14ac:dyDescent="0.3">
      <c r="A56" s="24"/>
      <c r="B56" s="25"/>
    </row>
    <row r="57" spans="1:8" x14ac:dyDescent="0.3">
      <c r="A57" s="24"/>
      <c r="B57" s="25"/>
    </row>
    <row r="58" spans="1:8" x14ac:dyDescent="0.3">
      <c r="A58" s="27" t="s">
        <v>31</v>
      </c>
      <c r="B58" s="13">
        <v>22.414000000000001</v>
      </c>
    </row>
    <row r="59" spans="1:8" x14ac:dyDescent="0.3">
      <c r="A59" s="24" t="s">
        <v>76</v>
      </c>
      <c r="B59" s="77" t="s">
        <v>77</v>
      </c>
    </row>
    <row r="60" spans="1:8" ht="15" x14ac:dyDescent="0.35">
      <c r="A60" s="30" t="s">
        <v>32</v>
      </c>
      <c r="B60"/>
    </row>
    <row r="61" spans="1:8" ht="15" x14ac:dyDescent="0.35">
      <c r="A61" s="30" t="s">
        <v>33</v>
      </c>
      <c r="B61"/>
    </row>
    <row r="62" spans="1:8" ht="15" x14ac:dyDescent="0.35">
      <c r="A62" s="30" t="s">
        <v>34</v>
      </c>
      <c r="B62"/>
      <c r="C62" s="31"/>
      <c r="D62" s="32"/>
      <c r="E62" s="32"/>
      <c r="F62" s="32"/>
      <c r="G62" s="32"/>
      <c r="H62" s="33"/>
    </row>
    <row r="63" spans="1:8" ht="15" x14ac:dyDescent="0.35">
      <c r="A63" s="30" t="s">
        <v>35</v>
      </c>
      <c r="B63"/>
    </row>
    <row r="64" spans="1:8" ht="15" x14ac:dyDescent="0.35">
      <c r="A64" s="30" t="s">
        <v>36</v>
      </c>
      <c r="B64"/>
    </row>
    <row r="65" spans="1:12" ht="15" x14ac:dyDescent="0.35">
      <c r="A65" s="30" t="s">
        <v>37</v>
      </c>
      <c r="B65"/>
    </row>
    <row r="66" spans="1:12" ht="15" x14ac:dyDescent="0.35">
      <c r="B66" s="31" t="s">
        <v>38</v>
      </c>
      <c r="I66" s="33"/>
      <c r="J66" t="s">
        <v>39</v>
      </c>
      <c r="K66" s="33"/>
      <c r="L66" s="33"/>
    </row>
    <row r="67" spans="1:12" ht="15" x14ac:dyDescent="0.35">
      <c r="A67" s="30" t="s">
        <v>40</v>
      </c>
      <c r="B67"/>
    </row>
    <row r="68" spans="1:12" ht="15" x14ac:dyDescent="0.35">
      <c r="A68" s="30" t="s">
        <v>41</v>
      </c>
      <c r="B68"/>
      <c r="C68" s="34" t="s">
        <v>233</v>
      </c>
      <c r="D68" t="s">
        <v>236</v>
      </c>
      <c r="E68" t="s">
        <v>237</v>
      </c>
    </row>
    <row r="69" spans="1:12" ht="15" x14ac:dyDescent="0.35">
      <c r="A69" s="30" t="s">
        <v>42</v>
      </c>
      <c r="B69"/>
      <c r="C69">
        <v>1.02</v>
      </c>
      <c r="D69">
        <f>12+16</f>
        <v>28</v>
      </c>
      <c r="E69" s="23">
        <f>C69/D69</f>
        <v>3.6428571428571428E-2</v>
      </c>
    </row>
    <row r="70" spans="1:12" ht="15" x14ac:dyDescent="0.35">
      <c r="A70" s="30" t="s">
        <v>43</v>
      </c>
      <c r="B70"/>
      <c r="C70">
        <v>0.84399999999999997</v>
      </c>
      <c r="D70">
        <f>12+16*2</f>
        <v>44</v>
      </c>
      <c r="E70" s="23">
        <f t="shared" ref="E70:E74" si="10">C70/D70</f>
        <v>1.9181818181818182E-2</v>
      </c>
    </row>
    <row r="71" spans="1:12" x14ac:dyDescent="0.3">
      <c r="C71">
        <v>14.32</v>
      </c>
      <c r="D71">
        <v>2</v>
      </c>
      <c r="E71" s="23">
        <f t="shared" si="10"/>
        <v>7.16</v>
      </c>
    </row>
    <row r="72" spans="1:12" x14ac:dyDescent="0.3">
      <c r="B72" s="34" t="s">
        <v>96</v>
      </c>
      <c r="C72">
        <v>2</v>
      </c>
      <c r="D72">
        <f>12*10+8</f>
        <v>128</v>
      </c>
      <c r="E72" s="23">
        <f t="shared" si="10"/>
        <v>1.5625E-2</v>
      </c>
    </row>
    <row r="73" spans="1:12" x14ac:dyDescent="0.3">
      <c r="B73" s="78" t="s">
        <v>29</v>
      </c>
      <c r="C73">
        <v>1.93</v>
      </c>
      <c r="D73">
        <v>18</v>
      </c>
      <c r="E73" s="23">
        <f t="shared" si="10"/>
        <v>0.10722222222222222</v>
      </c>
    </row>
    <row r="74" spans="1:12" x14ac:dyDescent="0.3">
      <c r="B74" s="78" t="s">
        <v>116</v>
      </c>
      <c r="C74">
        <v>1.04</v>
      </c>
      <c r="D74">
        <f>14*2</f>
        <v>28</v>
      </c>
      <c r="E74" s="23">
        <f t="shared" si="10"/>
        <v>3.7142857142857144E-2</v>
      </c>
    </row>
    <row r="75" spans="1:12" x14ac:dyDescent="0.3">
      <c r="B75" s="78" t="s">
        <v>117</v>
      </c>
    </row>
    <row r="76" spans="1:12" x14ac:dyDescent="0.3">
      <c r="B76" s="78" t="s">
        <v>235</v>
      </c>
    </row>
    <row r="77" spans="1:12" x14ac:dyDescent="0.3">
      <c r="B77" s="78" t="s">
        <v>131</v>
      </c>
    </row>
    <row r="78" spans="1:12" ht="15" thickBot="1" x14ac:dyDescent="0.35">
      <c r="B78" s="142" t="s">
        <v>118</v>
      </c>
    </row>
  </sheetData>
  <hyperlinks>
    <hyperlink ref="B59" r:id="rId1" location="Composition "/>
  </hyperlinks>
  <pageMargins left="0.7" right="0.7" top="0.75" bottom="0.75" header="0.3" footer="0.3"/>
  <pageSetup paperSize="9" orientation="portrait"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B1:Y40"/>
  <sheetViews>
    <sheetView workbookViewId="0">
      <selection activeCell="I9" sqref="I9"/>
    </sheetView>
  </sheetViews>
  <sheetFormatPr defaultRowHeight="14.4" x14ac:dyDescent="0.3"/>
  <cols>
    <col min="3" max="3" width="10.88671875" bestFit="1" customWidth="1"/>
    <col min="4" max="4" width="9.33203125" bestFit="1" customWidth="1"/>
    <col min="7" max="7" width="22.109375" bestFit="1" customWidth="1"/>
    <col min="8" max="8" width="12.44140625" bestFit="1" customWidth="1"/>
    <col min="9" max="9" width="9" bestFit="1" customWidth="1"/>
    <col min="10" max="10" width="9.44140625" bestFit="1" customWidth="1"/>
    <col min="11" max="11" width="9.44140625" customWidth="1"/>
    <col min="12" max="12" width="12.6640625" bestFit="1" customWidth="1"/>
    <col min="13" max="15" width="12.6640625" customWidth="1"/>
  </cols>
  <sheetData>
    <row r="1" spans="2:25" x14ac:dyDescent="0.3">
      <c r="G1" s="249" t="s">
        <v>603</v>
      </c>
      <c r="H1" s="214">
        <v>0.2</v>
      </c>
    </row>
    <row r="3" spans="2:25" ht="15.6" x14ac:dyDescent="0.3">
      <c r="B3" s="310" t="s">
        <v>592</v>
      </c>
      <c r="G3" s="295" t="s">
        <v>604</v>
      </c>
      <c r="H3" s="214"/>
      <c r="L3" t="str">
        <f>"referenčni temp je "&amp;N3</f>
        <v>referenčni temp je 20</v>
      </c>
      <c r="N3" s="329">
        <v>20</v>
      </c>
      <c r="O3" s="430"/>
      <c r="P3" s="430"/>
      <c r="Q3" s="430"/>
      <c r="V3" s="295" t="s">
        <v>604</v>
      </c>
      <c r="W3" s="214"/>
    </row>
    <row r="4" spans="2:25" ht="43.2" x14ac:dyDescent="0.3">
      <c r="B4" s="249" t="str">
        <f>'02. Pripravljeno gorivo'!C24</f>
        <v>Element</v>
      </c>
      <c r="C4" s="309" t="str">
        <f>'02. Pripravljeno gorivo'!E24</f>
        <v>na 100 kg mokrega</v>
      </c>
      <c r="D4" s="309" t="str">
        <f>'02. Pripravljeno gorivo'!F24</f>
        <v>kmol mokro gorivo</v>
      </c>
      <c r="G4" s="295" t="str">
        <f t="shared" ref="G4" si="0">B4</f>
        <v>Element</v>
      </c>
      <c r="H4" s="170" t="s">
        <v>294</v>
      </c>
      <c r="I4" s="170" t="s">
        <v>266</v>
      </c>
      <c r="J4" s="170" t="s">
        <v>309</v>
      </c>
      <c r="K4" s="170"/>
      <c r="L4" s="427" t="s">
        <v>735</v>
      </c>
      <c r="M4" s="301" t="s">
        <v>697</v>
      </c>
      <c r="N4" s="170" t="s">
        <v>733</v>
      </c>
      <c r="O4" s="346"/>
      <c r="P4" s="346"/>
      <c r="Q4" s="346"/>
      <c r="R4" s="334"/>
      <c r="V4" s="295"/>
      <c r="W4" s="170" t="s">
        <v>336</v>
      </c>
      <c r="X4" s="170" t="s">
        <v>266</v>
      </c>
      <c r="Y4" s="170" t="s">
        <v>309</v>
      </c>
    </row>
    <row r="5" spans="2:25" x14ac:dyDescent="0.3">
      <c r="B5" s="294" t="str">
        <f>'02. Pripravljeno gorivo'!C25</f>
        <v>Pepel</v>
      </c>
      <c r="C5" s="336">
        <f>'02. Pripravljeno gorivo'!E25</f>
        <v>13.270118199481868</v>
      </c>
      <c r="D5" s="170">
        <f>'02. Pripravljeno gorivo'!F25</f>
        <v>0</v>
      </c>
      <c r="G5" s="295" t="str">
        <f>B5&amp;" za odpad"</f>
        <v>Pepel za odpad</v>
      </c>
      <c r="H5" s="216">
        <f>C5+'01.1 Dodajane adsorbenta'!C15+SUM(C10:C11)</f>
        <v>23.281073972168503</v>
      </c>
      <c r="I5" s="216"/>
      <c r="J5" s="216"/>
      <c r="K5" s="216"/>
      <c r="L5" s="170"/>
      <c r="M5" s="169">
        <f>H5*1</f>
        <v>23.281073972168503</v>
      </c>
      <c r="N5" s="190">
        <v>0</v>
      </c>
      <c r="O5" s="372"/>
      <c r="P5" s="372"/>
      <c r="Q5" s="372"/>
      <c r="R5" s="161"/>
      <c r="S5" t="s">
        <v>2</v>
      </c>
      <c r="T5" s="22">
        <f>I6*'03.1 Enacbe'!E4</f>
        <v>3.7196880256550351</v>
      </c>
      <c r="V5" s="295" t="str">
        <f t="shared" ref="V5:V12" si="1">G5</f>
        <v>Pepel za odpad</v>
      </c>
      <c r="W5" s="216">
        <v>0</v>
      </c>
      <c r="X5" s="216"/>
      <c r="Y5" s="216"/>
    </row>
    <row r="6" spans="2:25" x14ac:dyDescent="0.3">
      <c r="B6" s="294" t="str">
        <f>'02. Pripravljeno gorivo'!C26</f>
        <v>C</v>
      </c>
      <c r="C6" s="336">
        <f>'02. Pripravljeno gorivo'!E26</f>
        <v>44.628400259067355</v>
      </c>
      <c r="D6" s="313">
        <f>'02. Pripravljeno gorivo'!F26</f>
        <v>3.7190333549222796</v>
      </c>
      <c r="E6" s="494" t="s">
        <v>665</v>
      </c>
      <c r="F6" s="495"/>
      <c r="G6" s="295" t="str">
        <f>'03.1 Enacbe'!E3</f>
        <v>C21H42O8</v>
      </c>
      <c r="H6" s="216">
        <f>SUM(C6:C8)</f>
        <v>74.748016515544037</v>
      </c>
      <c r="I6" s="217">
        <f>H6/'03.1 Enacbe'!E7</f>
        <v>0.17712800122166833</v>
      </c>
      <c r="J6" s="216">
        <f>I6*22.4</f>
        <v>3.9676672273653701</v>
      </c>
      <c r="K6" s="283">
        <f>J6/$J$12</f>
        <v>3.0293889427211302E-2</v>
      </c>
      <c r="L6" s="169">
        <f>'01.Vhodni podatki'!E27*'03. Uplinjanje'!I6</f>
        <v>-302.67152386187325</v>
      </c>
      <c r="M6" s="169">
        <f>1*H6</f>
        <v>74.748016515544037</v>
      </c>
      <c r="N6" s="190">
        <v>0</v>
      </c>
      <c r="O6" s="372">
        <f>'03.1 Enacbe'!D48*I6</f>
        <v>-2060.5801876056935</v>
      </c>
      <c r="P6" s="372"/>
      <c r="Q6" s="372"/>
      <c r="R6" s="161"/>
      <c r="S6" t="s">
        <v>3</v>
      </c>
      <c r="T6" s="22">
        <f>I6*'03.1 Enacbe'!E5+I9*2</f>
        <v>8.5504871624211809</v>
      </c>
      <c r="V6" s="295" t="str">
        <f t="shared" si="1"/>
        <v>C21H42O8</v>
      </c>
      <c r="W6" s="216">
        <f>'01.Vhodni podatki'!E36</f>
        <v>-22.3</v>
      </c>
      <c r="X6" s="216">
        <f>I6</f>
        <v>0.17712800122166833</v>
      </c>
      <c r="Y6" s="216">
        <f>X6*22.4</f>
        <v>3.9676672273653701</v>
      </c>
    </row>
    <row r="7" spans="2:25" x14ac:dyDescent="0.3">
      <c r="B7" s="294" t="str">
        <f>'02. Pripravljeno gorivo'!C27</f>
        <v>H</v>
      </c>
      <c r="C7" s="336">
        <f>'02. Pripravljeno gorivo'!E27</f>
        <v>7.4866418393782377</v>
      </c>
      <c r="D7" s="313">
        <f>'02. Pripravljeno gorivo'!F27</f>
        <v>7.4866418393782377</v>
      </c>
      <c r="E7" s="494"/>
      <c r="F7" s="495"/>
      <c r="G7" s="295" t="s">
        <v>255</v>
      </c>
      <c r="H7" s="216">
        <f>I7*32</f>
        <v>32.690743905471109</v>
      </c>
      <c r="I7" s="216">
        <f>'03.1 Enacbe'!A13*'03.1 Enacbe'!C13+'03.1 Enacbe'!A15*'03.1 Enacbe'!C15</f>
        <v>1.0215857470459722</v>
      </c>
      <c r="J7" s="216">
        <f>I7*22.4</f>
        <v>22.883520733829776</v>
      </c>
      <c r="K7" s="283">
        <f t="shared" ref="K7:K9" si="2">J7/$J$12</f>
        <v>0.17472000727144121</v>
      </c>
      <c r="L7" s="169">
        <v>0</v>
      </c>
      <c r="M7" s="169">
        <f>I7*Thermodynamics!C10</f>
        <v>30.024405105681122</v>
      </c>
      <c r="N7" s="190">
        <v>0</v>
      </c>
      <c r="O7" s="372"/>
      <c r="P7" s="372"/>
      <c r="Q7" s="372"/>
      <c r="R7" s="161"/>
      <c r="S7" t="s">
        <v>4</v>
      </c>
      <c r="T7" s="22">
        <f>I6*'03.1 Enacbe'!E6+I7*2+I9</f>
        <v>4.0157510594208468</v>
      </c>
      <c r="V7" s="295" t="str">
        <f t="shared" si="1"/>
        <v>O2</v>
      </c>
      <c r="W7" s="216">
        <v>0</v>
      </c>
      <c r="X7" s="216">
        <f>'03.1 Enacbe'!I13*'03.1 Enacbe'!K13+'03.1 Enacbe'!I15*'03.1 Enacbe'!K15</f>
        <v>0</v>
      </c>
      <c r="Y7" s="216">
        <f>X7*22.4</f>
        <v>0</v>
      </c>
    </row>
    <row r="8" spans="2:25" x14ac:dyDescent="0.3">
      <c r="B8" s="294" t="str">
        <f>'02. Pripravljeno gorivo'!C28</f>
        <v>O</v>
      </c>
      <c r="C8" s="336">
        <f>'02. Pripravljeno gorivo'!E28</f>
        <v>22.632974417098445</v>
      </c>
      <c r="D8" s="313">
        <f>'02. Pripravljeno gorivo'!F28</f>
        <v>1.4145609010686528</v>
      </c>
      <c r="E8" s="494"/>
      <c r="F8" s="495"/>
      <c r="G8" s="295" t="s">
        <v>45</v>
      </c>
      <c r="H8" s="216">
        <f>I8*28</f>
        <v>114.59611727018515</v>
      </c>
      <c r="I8" s="216">
        <f>I7*((1-H1)/H1)+C9/28</f>
        <v>4.0927184739351841</v>
      </c>
      <c r="J8" s="216">
        <f>I8*22.4</f>
        <v>91.676893816148123</v>
      </c>
      <c r="K8" s="283">
        <f t="shared" si="2"/>
        <v>0.6999704171614074</v>
      </c>
      <c r="L8" s="169">
        <v>0</v>
      </c>
      <c r="M8" s="169">
        <f>I8*Thermodynamics!C9</f>
        <v>119.09810759151387</v>
      </c>
      <c r="N8" s="190">
        <v>0</v>
      </c>
      <c r="O8" s="372"/>
      <c r="P8" s="372"/>
      <c r="Q8" s="372"/>
      <c r="R8" s="161"/>
      <c r="V8" s="295" t="str">
        <f t="shared" si="1"/>
        <v>N2</v>
      </c>
      <c r="W8" s="216">
        <v>0</v>
      </c>
      <c r="X8" s="216" t="e">
        <f>X7*(1/W1)</f>
        <v>#DIV/0!</v>
      </c>
      <c r="Y8" s="216" t="e">
        <f>X8*22.4</f>
        <v>#DIV/0!</v>
      </c>
    </row>
    <row r="9" spans="2:25" x14ac:dyDescent="0.3">
      <c r="B9" s="294" t="str">
        <f>'02. Pripravljeno gorivo'!C29</f>
        <v>N</v>
      </c>
      <c r="C9" s="336">
        <f>'02. Pripravljeno gorivo'!E29</f>
        <v>0.17851360103626945</v>
      </c>
      <c r="D9" s="313">
        <f>'02. Pripravljeno gorivo'!F29</f>
        <v>1.2750971502590676E-2</v>
      </c>
      <c r="E9" s="494"/>
      <c r="F9" s="495"/>
      <c r="G9" s="295" t="s">
        <v>746</v>
      </c>
      <c r="H9" s="216">
        <f>C18</f>
        <v>10</v>
      </c>
      <c r="I9" s="216">
        <f>H9/18</f>
        <v>0.55555555555555558</v>
      </c>
      <c r="J9" s="216">
        <f>I9*22.4</f>
        <v>12.444444444444445</v>
      </c>
      <c r="K9" s="283">
        <f t="shared" si="2"/>
        <v>9.5015686139940006E-2</v>
      </c>
      <c r="L9" s="169">
        <f>Thermodynamics!B5*'03. Uplinjanje'!I9</f>
        <v>-158.79444444444445</v>
      </c>
      <c r="M9" s="169">
        <f>I9*Thermodynamics!C5</f>
        <v>41.833333333333336</v>
      </c>
      <c r="N9" s="190">
        <v>0</v>
      </c>
      <c r="O9" s="372"/>
      <c r="P9" s="372"/>
      <c r="Q9" s="372"/>
      <c r="R9" s="161"/>
      <c r="V9" s="295" t="str">
        <f t="shared" si="1"/>
        <v>H2O (l)</v>
      </c>
      <c r="W9" s="216">
        <v>0</v>
      </c>
      <c r="X9" s="216">
        <f>W9/18</f>
        <v>0</v>
      </c>
      <c r="Y9" s="216">
        <f>X9*22.4</f>
        <v>0</v>
      </c>
    </row>
    <row r="10" spans="2:25" x14ac:dyDescent="0.3">
      <c r="B10" s="294" t="str">
        <f>'02. Pripravljeno gorivo'!C30</f>
        <v>S</v>
      </c>
      <c r="C10" s="336">
        <f>'02. Pripravljeno gorivo'!E30</f>
        <v>1.5119009067357512</v>
      </c>
      <c r="D10" s="313">
        <f>'02. Pripravljeno gorivo'!F30</f>
        <v>4.7246903335492224E-2</v>
      </c>
      <c r="E10" s="494"/>
      <c r="F10" s="495"/>
      <c r="G10" s="316" t="s">
        <v>606</v>
      </c>
      <c r="H10" s="318">
        <f>I10*18</f>
        <v>0.3188304021989995</v>
      </c>
      <c r="I10" s="318">
        <f>'03.1 Enacbe'!A14*'03.1 Enacbe'!G14-'03.1 Enacbe'!A16*'03.1 Enacbe'!G16</f>
        <v>1.7712800122166639E-2</v>
      </c>
      <c r="J10" s="318">
        <f>I10*22.4</f>
        <v>0.39676672273653268</v>
      </c>
      <c r="K10" s="318"/>
      <c r="L10" s="169"/>
      <c r="M10" s="169"/>
      <c r="N10" s="190">
        <f>M10*$N$3/1000</f>
        <v>0</v>
      </c>
      <c r="O10" s="372"/>
      <c r="P10" s="372"/>
      <c r="Q10" s="372"/>
      <c r="R10" s="161"/>
      <c r="V10" s="316" t="str">
        <f t="shared" si="1"/>
        <v>voda, ki vstopi v rekacijo</v>
      </c>
      <c r="W10" s="318">
        <v>0</v>
      </c>
      <c r="X10" s="318" t="e">
        <f>'03.1 Enacbe'!I14*'03.1 Enacbe'!O14-'03.1 Enacbe'!I16*'03.1 Enacbe'!O16</f>
        <v>#VALUE!</v>
      </c>
      <c r="Y10" s="318" t="e">
        <f>X10*22.4</f>
        <v>#VALUE!</v>
      </c>
    </row>
    <row r="11" spans="2:25" x14ac:dyDescent="0.3">
      <c r="B11" s="294" t="str">
        <f>'02. Pripravljeno gorivo'!C31</f>
        <v>Cl</v>
      </c>
      <c r="C11" s="336">
        <f>'02. Pripravljeno gorivo'!E31</f>
        <v>0.29145077720207252</v>
      </c>
      <c r="D11" s="313">
        <f>'02. Pripravljeno gorivo'!F31</f>
        <v>8.2098810479457052E-3</v>
      </c>
      <c r="E11" s="494"/>
      <c r="F11" s="495"/>
      <c r="G11" s="316" t="s">
        <v>607</v>
      </c>
      <c r="H11" s="216">
        <f>SUM(H5:H9)</f>
        <v>255.31595166336879</v>
      </c>
      <c r="I11" s="170"/>
      <c r="J11" s="170"/>
      <c r="K11" s="170"/>
      <c r="L11" s="169">
        <f>SUM(L5:L10)</f>
        <v>-461.46596830631768</v>
      </c>
      <c r="M11" s="169">
        <f>SUM(M5:M9)</f>
        <v>288.98493651824083</v>
      </c>
      <c r="N11" s="190">
        <f>SUM(N5:N10)</f>
        <v>0</v>
      </c>
      <c r="O11" s="372">
        <f>SUM(O5:O10)</f>
        <v>-2060.5801876056935</v>
      </c>
      <c r="P11" s="372"/>
      <c r="Q11" s="372"/>
      <c r="R11" s="161"/>
      <c r="V11" s="316" t="str">
        <f t="shared" si="1"/>
        <v>Skupaj s pepelom</v>
      </c>
      <c r="W11" s="216">
        <f>SUM(W5:W9)</f>
        <v>-22.3</v>
      </c>
      <c r="X11" s="170"/>
      <c r="Y11" s="170"/>
    </row>
    <row r="12" spans="2:25" x14ac:dyDescent="0.3">
      <c r="B12" s="294" t="str">
        <f>'02. Pripravljeno gorivo'!C32</f>
        <v>Hg</v>
      </c>
      <c r="C12" s="336">
        <f>'02. Pripravljeno gorivo'!E32</f>
        <v>0</v>
      </c>
      <c r="D12" s="170">
        <f>'02. Pripravljeno gorivo'!F32</f>
        <v>0</v>
      </c>
      <c r="G12" s="316" t="s">
        <v>608</v>
      </c>
      <c r="H12" s="339">
        <f>SUM(H6:H9)</f>
        <v>232.03487769120028</v>
      </c>
      <c r="I12" s="339">
        <f>SUM(I6:I9)</f>
        <v>5.8469877777583799</v>
      </c>
      <c r="J12" s="339">
        <f t="shared" ref="J12" si="3">SUM(J6:J9)</f>
        <v>130.97252622178772</v>
      </c>
      <c r="K12" s="381"/>
      <c r="V12" s="316" t="str">
        <f t="shared" si="1"/>
        <v>Skupaj brez pepela</v>
      </c>
      <c r="W12" s="339">
        <f>SUM(W6:W9)</f>
        <v>-22.3</v>
      </c>
      <c r="X12" s="339" t="e">
        <f t="shared" ref="X12:Y12" si="4">SUM(X6:X9)</f>
        <v>#DIV/0!</v>
      </c>
      <c r="Y12" s="339" t="e">
        <f t="shared" si="4"/>
        <v>#DIV/0!</v>
      </c>
    </row>
    <row r="13" spans="2:25" x14ac:dyDescent="0.3">
      <c r="B13" s="218">
        <f>'02. Pripravljeno gorivo'!C33</f>
        <v>0</v>
      </c>
      <c r="C13" s="336">
        <f>'02. Pripravljeno gorivo'!E33</f>
        <v>0</v>
      </c>
      <c r="D13" s="170">
        <f>'02. Pripravljeno gorivo'!F33</f>
        <v>0</v>
      </c>
      <c r="H13" s="22"/>
    </row>
    <row r="14" spans="2:25" x14ac:dyDescent="0.3">
      <c r="B14" s="218">
        <f>'02. Pripravljeno gorivo'!C34</f>
        <v>0</v>
      </c>
      <c r="C14" s="336">
        <f>'02. Pripravljeno gorivo'!E34</f>
        <v>0</v>
      </c>
      <c r="D14" s="170">
        <f>'02. Pripravljeno gorivo'!F34</f>
        <v>0</v>
      </c>
      <c r="H14" s="22"/>
      <c r="N14" s="380">
        <v>150</v>
      </c>
      <c r="O14" s="431"/>
      <c r="P14" s="431"/>
      <c r="Q14" s="431"/>
    </row>
    <row r="15" spans="2:25" ht="43.2" x14ac:dyDescent="0.3">
      <c r="B15" s="218">
        <f>'02. Pripravljeno gorivo'!C35</f>
        <v>0</v>
      </c>
      <c r="C15" s="336">
        <f>'02. Pripravljeno gorivo'!E35</f>
        <v>0</v>
      </c>
      <c r="D15" s="170">
        <f>'02. Pripravljeno gorivo'!F35</f>
        <v>0</v>
      </c>
      <c r="G15" s="316" t="s">
        <v>605</v>
      </c>
      <c r="H15" s="170" t="s">
        <v>294</v>
      </c>
      <c r="I15" s="170" t="s">
        <v>266</v>
      </c>
      <c r="J15" s="170" t="s">
        <v>309</v>
      </c>
      <c r="K15" s="170"/>
      <c r="L15" s="427" t="s">
        <v>735</v>
      </c>
      <c r="M15" s="301" t="s">
        <v>697</v>
      </c>
      <c r="N15" s="170" t="s">
        <v>733</v>
      </c>
      <c r="O15" s="433" t="s">
        <v>747</v>
      </c>
      <c r="P15" s="433" t="s">
        <v>769</v>
      </c>
      <c r="Q15" s="346"/>
      <c r="R15" s="161"/>
    </row>
    <row r="16" spans="2:25" x14ac:dyDescent="0.3">
      <c r="B16" s="218">
        <f>'02. Pripravljeno gorivo'!C36</f>
        <v>0</v>
      </c>
      <c r="C16" s="336">
        <f>'02. Pripravljeno gorivo'!E36</f>
        <v>0</v>
      </c>
      <c r="D16" s="170">
        <f>'02. Pripravljeno gorivo'!F36</f>
        <v>0</v>
      </c>
      <c r="E16" s="474" t="s">
        <v>666</v>
      </c>
      <c r="F16" s="495"/>
      <c r="G16" s="295" t="str">
        <f>G5</f>
        <v>Pepel za odpad</v>
      </c>
      <c r="H16" s="216">
        <f>H5</f>
        <v>23.281073972168503</v>
      </c>
      <c r="I16" s="170"/>
      <c r="J16" s="170"/>
      <c r="K16" s="170"/>
      <c r="L16" s="427"/>
      <c r="M16" s="428"/>
      <c r="N16" s="190">
        <f>H16*1*($N$14-$N$3)/1000</f>
        <v>3.0265396163819056</v>
      </c>
      <c r="O16" s="372">
        <f>-N16</f>
        <v>-3.0265396163819056</v>
      </c>
      <c r="P16" s="346"/>
      <c r="Q16" s="346"/>
      <c r="R16" s="161"/>
    </row>
    <row r="17" spans="2:20" x14ac:dyDescent="0.3">
      <c r="B17" s="218">
        <f>'02. Pripravljeno gorivo'!C37</f>
        <v>0</v>
      </c>
      <c r="C17" s="336">
        <f>'02. Pripravljeno gorivo'!E37</f>
        <v>0</v>
      </c>
      <c r="D17" s="170">
        <f>'02. Pripravljeno gorivo'!F37</f>
        <v>0</v>
      </c>
      <c r="E17" s="474"/>
      <c r="F17" s="495"/>
      <c r="G17" s="295" t="s">
        <v>29</v>
      </c>
      <c r="H17" s="216">
        <f>I17*28</f>
        <v>79.675717775583763</v>
      </c>
      <c r="I17" s="216">
        <f>'03.1 Enacbe'!A13*'03.1 Enacbe'!D13+'03.1 Enacbe'!A14*'03.1 Enacbe'!D14-'03.1 Enacbe'!A15*'03.1 Enacbe'!D15+'03.1 Enacbe'!A16*'03.1 Enacbe'!D16</f>
        <v>2.8455613491279914</v>
      </c>
      <c r="J17" s="216">
        <f t="shared" ref="J17:J22" si="5">I17*22.4</f>
        <v>63.740574220467003</v>
      </c>
      <c r="K17" s="283">
        <f>J17/$J$23</f>
        <v>0.25202981954279335</v>
      </c>
      <c r="L17" s="169">
        <f>Thermodynamics!B6*'03. Uplinjanje'!I17</f>
        <v>-314.51989591911689</v>
      </c>
      <c r="M17" s="169">
        <f>I17*Thermodynamics!C6</f>
        <v>82.805835259624558</v>
      </c>
      <c r="N17" s="190">
        <f>M17*($N$14-$N$3)/1000</f>
        <v>10.764758583751192</v>
      </c>
      <c r="O17" s="372">
        <f>I17*Thermodynamics!E4</f>
        <v>-805.23695057623911</v>
      </c>
      <c r="P17" s="372">
        <f>O17</f>
        <v>-805.23695057623911</v>
      </c>
      <c r="Q17" s="372"/>
      <c r="R17" s="161"/>
      <c r="S17" t="s">
        <v>2</v>
      </c>
      <c r="T17" s="22">
        <f>I17+I19+7*I21</f>
        <v>3.7196880351569246</v>
      </c>
    </row>
    <row r="18" spans="2:20" x14ac:dyDescent="0.3">
      <c r="B18" s="294" t="str">
        <f>'02. Pripravljeno gorivo'!C38</f>
        <v>H2O</v>
      </c>
      <c r="C18" s="336">
        <f>'02. Pripravljeno gorivo'!E38</f>
        <v>10</v>
      </c>
      <c r="D18" s="313">
        <f>'02. Pripravljeno gorivo'!F38</f>
        <v>0.55555555555555558</v>
      </c>
      <c r="E18" s="474"/>
      <c r="F18" s="495"/>
      <c r="G18" s="295" t="s">
        <v>44</v>
      </c>
      <c r="H18" s="216">
        <f>I18*2</f>
        <v>6.8371408471563972</v>
      </c>
      <c r="I18" s="216">
        <f>'03.1 Enacbe'!A13*'03.1 Enacbe'!E13+'03.1 Enacbe'!A14*'03.1 Enacbe'!E14+'03.1 Enacbe'!A16*'03.1 Enacbe'!E16</f>
        <v>3.4185704235781986</v>
      </c>
      <c r="J18" s="216">
        <f t="shared" si="5"/>
        <v>76.575977488151651</v>
      </c>
      <c r="K18" s="283">
        <f t="shared" ref="K18:K22" si="6">J18/$J$23</f>
        <v>0.30278092131549778</v>
      </c>
      <c r="L18" s="169">
        <f>I18*0</f>
        <v>0</v>
      </c>
      <c r="M18" s="169">
        <f>I18*Thermodynamics!C8</f>
        <v>98.454828199052116</v>
      </c>
      <c r="N18" s="190">
        <f t="shared" ref="N18:N21" si="7">M18*($N$14-$N$3)/1000</f>
        <v>12.799127665876775</v>
      </c>
      <c r="O18" s="372">
        <f>I18*Thermodynamics!E3</f>
        <v>-826.6992112522214</v>
      </c>
      <c r="P18" s="372">
        <f>O18</f>
        <v>-826.6992112522214</v>
      </c>
      <c r="Q18" s="372"/>
      <c r="R18" s="161"/>
      <c r="S18" t="s">
        <v>3</v>
      </c>
      <c r="T18" s="22">
        <f>2*I18+I21*8+I22*2</f>
        <v>8.5504871624211809</v>
      </c>
    </row>
    <row r="19" spans="2:20" x14ac:dyDescent="0.3">
      <c r="B19" s="295" t="str">
        <f>'02. Pripravljeno gorivo'!C39</f>
        <v xml:space="preserve">Skupaj </v>
      </c>
      <c r="C19" s="308">
        <f>'02. Pripravljeno gorivo'!E39</f>
        <v>99.999999999999986</v>
      </c>
      <c r="D19" s="308">
        <f>'02. Pripravljeno gorivo'!F39</f>
        <v>13.243999406810756</v>
      </c>
      <c r="E19" s="474"/>
      <c r="F19" s="495"/>
      <c r="G19" s="295" t="s">
        <v>23</v>
      </c>
      <c r="H19" s="216">
        <f>I19*44</f>
        <v>13.911633215949831</v>
      </c>
      <c r="I19" s="216">
        <f>'03.1 Enacbe'!A15*'03.1 Enacbe'!F15+'03.1 Enacbe'!A16*'03.1 Enacbe'!F16</f>
        <v>0.31617348218067798</v>
      </c>
      <c r="J19" s="216">
        <f t="shared" si="5"/>
        <v>7.0822860008471862</v>
      </c>
      <c r="K19" s="283">
        <f t="shared" si="6"/>
        <v>2.8003313189024017E-2</v>
      </c>
      <c r="L19" s="169">
        <f>I19*Thermodynamics!B3</f>
        <v>-124.41742697291859</v>
      </c>
      <c r="M19" s="169">
        <f>I19*Thermodynamics!C3</f>
        <v>12.141061715738035</v>
      </c>
      <c r="N19" s="190">
        <f t="shared" si="7"/>
        <v>1.5783380230459445</v>
      </c>
      <c r="O19" s="372">
        <f>-N19</f>
        <v>-1.5783380230459445</v>
      </c>
      <c r="P19" s="372"/>
      <c r="Q19" s="372"/>
      <c r="R19" s="161"/>
      <c r="S19" t="s">
        <v>4</v>
      </c>
      <c r="T19" s="22">
        <f>I17+2*I19+I22</f>
        <v>4.0157510689227367</v>
      </c>
    </row>
    <row r="20" spans="2:20" x14ac:dyDescent="0.3">
      <c r="E20" s="474"/>
      <c r="F20" s="495"/>
      <c r="G20" s="295" t="str">
        <f>"N2 ("&amp;(1-H1)*100&amp;"%)"</f>
        <v>N2 (80%)</v>
      </c>
      <c r="H20" s="216">
        <f>I20*28</f>
        <v>114.59611727018515</v>
      </c>
      <c r="I20" s="216">
        <f>I8</f>
        <v>4.0927184739351841</v>
      </c>
      <c r="J20" s="216">
        <f t="shared" si="5"/>
        <v>91.676893816148123</v>
      </c>
      <c r="K20" s="283">
        <f t="shared" si="6"/>
        <v>0.36248984712328741</v>
      </c>
      <c r="L20" s="169">
        <v>0</v>
      </c>
      <c r="M20" s="169">
        <f>I20*Thermodynamics!C9</f>
        <v>119.09810759151387</v>
      </c>
      <c r="N20" s="190">
        <f t="shared" si="7"/>
        <v>15.482753986896803</v>
      </c>
      <c r="O20" s="372">
        <f>-N20</f>
        <v>-15.482753986896803</v>
      </c>
      <c r="P20" s="372"/>
      <c r="Q20" s="372"/>
      <c r="R20" s="161"/>
    </row>
    <row r="21" spans="2:20" x14ac:dyDescent="0.3">
      <c r="E21" s="474"/>
      <c r="F21" s="495"/>
      <c r="G21" s="295" t="s">
        <v>415</v>
      </c>
      <c r="H21" s="216">
        <f>I21*92</f>
        <v>7.3330992505770691</v>
      </c>
      <c r="I21" s="216">
        <f>'03.1 Enacbe'!A16*'03.1 Enacbe'!H16</f>
        <v>7.9707600549750748E-2</v>
      </c>
      <c r="J21" s="216">
        <f t="shared" si="5"/>
        <v>1.7854502523144167</v>
      </c>
      <c r="K21" s="283">
        <f t="shared" si="6"/>
        <v>7.0596587871489119E-3</v>
      </c>
      <c r="L21" s="169">
        <f>Thermodynamics!B30*'03. Uplinjanje'!I21</f>
        <v>0.98518594279491922</v>
      </c>
      <c r="M21" s="169">
        <f>H21*1</f>
        <v>7.3330992505770691</v>
      </c>
      <c r="N21" s="190">
        <f t="shared" si="7"/>
        <v>0.95330290257501893</v>
      </c>
      <c r="O21" s="372">
        <f>I21*Thermodynamics!E46</f>
        <v>-297.64683203129795</v>
      </c>
      <c r="P21" s="372">
        <f>O21</f>
        <v>-297.64683203129795</v>
      </c>
      <c r="Q21" s="372"/>
      <c r="R21" s="161"/>
    </row>
    <row r="22" spans="2:20" x14ac:dyDescent="0.3">
      <c r="G22" s="295" t="s">
        <v>745</v>
      </c>
      <c r="H22" s="216">
        <f>I22*18</f>
        <v>9.6811695978010004</v>
      </c>
      <c r="I22" s="216">
        <f>I9-I10</f>
        <v>0.53784275543338889</v>
      </c>
      <c r="J22" s="216">
        <f t="shared" si="5"/>
        <v>12.04767772170791</v>
      </c>
      <c r="K22" s="283">
        <f t="shared" si="6"/>
        <v>4.7636440042248644E-2</v>
      </c>
      <c r="L22" s="169">
        <f>I22*Thermodynamics!B4</f>
        <v>-130.0643621754347</v>
      </c>
      <c r="M22" s="169">
        <f>I22*Thermodynamics!C4</f>
        <v>18.071516582561866</v>
      </c>
      <c r="N22" s="373">
        <f>(M22*($N$14-100)+Thermodynamics!C5*(100-'03. Uplinjanje'!N3))/1000+I22*(Thermodynamics!B4-Thermodynamics!B5)</f>
        <v>30.59480843921893</v>
      </c>
      <c r="O22" s="432">
        <f>-N22</f>
        <v>-30.59480843921893</v>
      </c>
      <c r="P22" s="432"/>
      <c r="Q22" s="432"/>
      <c r="R22" s="161"/>
      <c r="S22" s="341" t="s">
        <v>632</v>
      </c>
      <c r="T22" s="341"/>
    </row>
    <row r="23" spans="2:20" x14ac:dyDescent="0.3">
      <c r="G23" s="295" t="s">
        <v>280</v>
      </c>
      <c r="H23" s="216">
        <f>SUM(H17:H22)</f>
        <v>232.0348779572532</v>
      </c>
      <c r="I23" s="216">
        <f t="shared" ref="I23:J23" si="8">SUM(I17:I22)</f>
        <v>11.290574084805192</v>
      </c>
      <c r="J23" s="216">
        <f t="shared" si="8"/>
        <v>252.90885949963626</v>
      </c>
      <c r="K23" s="283">
        <f>SUM(K17:K22)</f>
        <v>1</v>
      </c>
      <c r="L23" s="169">
        <f>SUM(L17:L22)</f>
        <v>-568.01649912467519</v>
      </c>
      <c r="M23" s="169">
        <f>SUM(M17:M22)</f>
        <v>337.90444859906745</v>
      </c>
      <c r="N23" s="436">
        <f>SUM(N16:N22)</f>
        <v>75.199629217746576</v>
      </c>
      <c r="O23" s="372">
        <f>SUM(O16:O22)</f>
        <v>-1980.265433925302</v>
      </c>
      <c r="P23" s="452">
        <f>SUM(P16:P22)</f>
        <v>-1929.5829938597585</v>
      </c>
      <c r="Q23" s="372"/>
      <c r="R23" s="161"/>
      <c r="S23" s="341" t="s">
        <v>2</v>
      </c>
      <c r="T23" s="342">
        <f>T17-T5</f>
        <v>9.5018894974430168E-9</v>
      </c>
    </row>
    <row r="24" spans="2:20" x14ac:dyDescent="0.3">
      <c r="G24" s="341" t="s">
        <v>631</v>
      </c>
      <c r="H24" s="342">
        <f>H23-H12</f>
        <v>2.6605292191561603E-7</v>
      </c>
      <c r="K24" t="s">
        <v>738</v>
      </c>
      <c r="M24" s="27"/>
      <c r="N24" s="436">
        <f>N23/3.6</f>
        <v>20.888785893818493</v>
      </c>
      <c r="O24" s="434">
        <f>L28</f>
        <v>-106.55053081835752</v>
      </c>
      <c r="P24" t="s">
        <v>752</v>
      </c>
      <c r="S24" s="341" t="s">
        <v>3</v>
      </c>
      <c r="T24" s="342">
        <f>T18-T6</f>
        <v>0</v>
      </c>
    </row>
    <row r="25" spans="2:20" x14ac:dyDescent="0.3">
      <c r="G25" s="341"/>
      <c r="H25" s="342"/>
      <c r="O25" s="435">
        <f>N23</f>
        <v>75.199629217746576</v>
      </c>
      <c r="P25" t="s">
        <v>753</v>
      </c>
      <c r="S25" s="341" t="s">
        <v>4</v>
      </c>
      <c r="T25" s="342">
        <f>T19-T7</f>
        <v>9.5018899415322267E-9</v>
      </c>
    </row>
    <row r="26" spans="2:20" x14ac:dyDescent="0.3">
      <c r="G26" s="341"/>
      <c r="H26" s="342"/>
      <c r="O26" s="435">
        <f>O23+O24+O25</f>
        <v>-2011.616335525913</v>
      </c>
      <c r="P26" t="s">
        <v>280</v>
      </c>
    </row>
    <row r="27" spans="2:20" x14ac:dyDescent="0.3">
      <c r="G27" s="341"/>
      <c r="H27" s="342"/>
      <c r="L27" s="193" t="s">
        <v>734</v>
      </c>
      <c r="N27" s="193" t="str">
        <f>"Za segretje plina na "&amp;N14&amp;" oC"</f>
        <v>Za segretje plina na 150 oC</v>
      </c>
    </row>
    <row r="28" spans="2:20" x14ac:dyDescent="0.3">
      <c r="L28" s="449">
        <f>L23-L11</f>
        <v>-106.55053081835752</v>
      </c>
      <c r="M28" t="s">
        <v>696</v>
      </c>
      <c r="N28" s="451">
        <f>N23-N11</f>
        <v>75.199629217746576</v>
      </c>
      <c r="O28" t="s">
        <v>336</v>
      </c>
    </row>
    <row r="29" spans="2:20" x14ac:dyDescent="0.3">
      <c r="G29" s="317" t="s">
        <v>609</v>
      </c>
      <c r="H29" s="319">
        <f>H21*1000/J23</f>
        <v>28.99502716150446</v>
      </c>
      <c r="I29" s="249" t="s">
        <v>610</v>
      </c>
      <c r="L29" s="450">
        <f>L28/3.6</f>
        <v>-29.597369671765975</v>
      </c>
      <c r="M29" t="s">
        <v>368</v>
      </c>
      <c r="N29" s="450">
        <f>N28/3.6</f>
        <v>20.888785893818493</v>
      </c>
      <c r="O29" t="s">
        <v>368</v>
      </c>
    </row>
    <row r="30" spans="2:20" x14ac:dyDescent="0.3">
      <c r="G30" s="317" t="s">
        <v>652</v>
      </c>
      <c r="H30" s="161">
        <f>L23-L11</f>
        <v>-106.55053081835752</v>
      </c>
      <c r="I30" t="str">
        <f>"MJ/"&amp;'02. Pripravljeno gorivo'!E20&amp;" kg"</f>
        <v>MJ/100 kg</v>
      </c>
      <c r="L30" t="s">
        <v>702</v>
      </c>
    </row>
    <row r="31" spans="2:20" x14ac:dyDescent="0.3">
      <c r="H31" s="161">
        <f>H30/3.6</f>
        <v>-29.597369671765975</v>
      </c>
      <c r="I31" t="str">
        <f>"kWh/"&amp;'02. Pripravljeno gorivo'!E20&amp;" kg"</f>
        <v>kWh/100 kg</v>
      </c>
      <c r="L31" s="377">
        <f>L29+N29</f>
        <v>-8.7085837779474815</v>
      </c>
      <c r="M31" t="s">
        <v>368</v>
      </c>
      <c r="O31" t="s">
        <v>671</v>
      </c>
      <c r="P31" s="259">
        <f>O26-O11</f>
        <v>48.963852079780509</v>
      </c>
    </row>
    <row r="32" spans="2:20" x14ac:dyDescent="0.3">
      <c r="L32" s="377">
        <f>L31*3.6</f>
        <v>-31.350901600610936</v>
      </c>
      <c r="M32" t="s">
        <v>336</v>
      </c>
    </row>
    <row r="33" spans="11:15" x14ac:dyDescent="0.3">
      <c r="K33" t="s">
        <v>739</v>
      </c>
      <c r="L33" t="s">
        <v>369</v>
      </c>
      <c r="M33" t="s">
        <v>48</v>
      </c>
    </row>
    <row r="34" spans="11:15" x14ac:dyDescent="0.3">
      <c r="K34" t="s">
        <v>740</v>
      </c>
      <c r="L34" s="161">
        <f>L23</f>
        <v>-568.01649912467519</v>
      </c>
      <c r="M34" s="204">
        <f>L34/3.6</f>
        <v>-157.78236086796534</v>
      </c>
      <c r="N34" t="s">
        <v>748</v>
      </c>
      <c r="O34" s="204">
        <f>O23</f>
        <v>-1980.265433925302</v>
      </c>
    </row>
    <row r="35" spans="11:15" x14ac:dyDescent="0.3">
      <c r="K35" t="s">
        <v>741</v>
      </c>
      <c r="L35" s="204">
        <f>N23</f>
        <v>75.199629217746576</v>
      </c>
      <c r="M35" s="204">
        <f t="shared" ref="M35:M38" si="9">L35/3.6</f>
        <v>20.888785893818493</v>
      </c>
      <c r="N35" t="s">
        <v>749</v>
      </c>
      <c r="O35" s="161">
        <f>L28</f>
        <v>-106.55053081835752</v>
      </c>
    </row>
    <row r="36" spans="11:15" x14ac:dyDescent="0.3">
      <c r="K36" t="s">
        <v>280</v>
      </c>
      <c r="L36" s="204">
        <f>L34+L35</f>
        <v>-492.81686990692862</v>
      </c>
      <c r="M36" s="204">
        <f t="shared" si="9"/>
        <v>-136.89357497414684</v>
      </c>
      <c r="N36" t="s">
        <v>750</v>
      </c>
      <c r="O36" s="204">
        <f>-N28</f>
        <v>-75.199629217746576</v>
      </c>
    </row>
    <row r="37" spans="11:15" x14ac:dyDescent="0.3">
      <c r="K37" t="s">
        <v>742</v>
      </c>
      <c r="L37" s="22">
        <f>L32</f>
        <v>-31.350901600610936</v>
      </c>
      <c r="M37" s="204">
        <f t="shared" si="9"/>
        <v>-8.7085837779474815</v>
      </c>
      <c r="O37" s="204">
        <f>SUM(O34:O36)</f>
        <v>-2162.015593961406</v>
      </c>
    </row>
    <row r="38" spans="11:15" x14ac:dyDescent="0.3">
      <c r="K38" t="s">
        <v>280</v>
      </c>
      <c r="L38" s="204">
        <f>L36+L37</f>
        <v>-524.16777150753956</v>
      </c>
      <c r="M38" s="204">
        <f t="shared" si="9"/>
        <v>-145.60215875209431</v>
      </c>
    </row>
    <row r="40" spans="11:15" x14ac:dyDescent="0.3">
      <c r="K40" t="s">
        <v>743</v>
      </c>
      <c r="L40" s="204">
        <f>L38-L11</f>
        <v>-62.701803201221878</v>
      </c>
    </row>
  </sheetData>
  <mergeCells count="2">
    <mergeCell ref="E6:F11"/>
    <mergeCell ref="E16:F2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H11"/>
  <sheetViews>
    <sheetView workbookViewId="0">
      <selection activeCell="B10" sqref="B10:B11"/>
    </sheetView>
  </sheetViews>
  <sheetFormatPr defaultRowHeight="14.4" x14ac:dyDescent="0.3"/>
  <cols>
    <col min="1" max="1" width="16.33203125" bestFit="1" customWidth="1"/>
  </cols>
  <sheetData>
    <row r="2" spans="1:8" x14ac:dyDescent="0.3">
      <c r="A2" t="s">
        <v>633</v>
      </c>
      <c r="B2" s="343">
        <v>0.75</v>
      </c>
    </row>
    <row r="4" spans="1:8" ht="14.4" customHeight="1" x14ac:dyDescent="0.3">
      <c r="A4" s="3">
        <f>B2*'03.1 Enacbe'!A16*'03.1 Enacbe'!H16</f>
        <v>5.9780700412313065E-2</v>
      </c>
      <c r="B4" t="s">
        <v>420</v>
      </c>
      <c r="F4" s="474" t="s">
        <v>667</v>
      </c>
      <c r="G4" s="474"/>
      <c r="H4" s="474"/>
    </row>
    <row r="5" spans="1:8" x14ac:dyDescent="0.3">
      <c r="A5" s="3">
        <f>(100%-B2)*'03.1 Enacbe'!A16*'03.1 Enacbe'!H16</f>
        <v>1.9926900137437687E-2</v>
      </c>
      <c r="B5" t="s">
        <v>419</v>
      </c>
      <c r="F5" s="474"/>
      <c r="G5" s="474"/>
      <c r="H5" s="474"/>
    </row>
    <row r="6" spans="1:8" x14ac:dyDescent="0.3">
      <c r="F6" s="474"/>
      <c r="G6" s="474"/>
      <c r="H6" s="474"/>
    </row>
    <row r="7" spans="1:8" x14ac:dyDescent="0.3">
      <c r="F7" s="292"/>
      <c r="G7" s="292"/>
      <c r="H7" s="292"/>
    </row>
    <row r="8" spans="1:8" x14ac:dyDescent="0.3">
      <c r="A8" t="s">
        <v>700</v>
      </c>
      <c r="B8" s="343">
        <v>0.05</v>
      </c>
      <c r="F8" s="292"/>
      <c r="G8" s="292"/>
      <c r="H8" s="292"/>
    </row>
    <row r="9" spans="1:8" ht="18" customHeight="1" x14ac:dyDescent="0.3">
      <c r="A9" t="s">
        <v>701</v>
      </c>
      <c r="B9" s="343">
        <v>0.05</v>
      </c>
      <c r="F9" s="474" t="s">
        <v>728</v>
      </c>
      <c r="G9" s="474"/>
      <c r="H9" s="474"/>
    </row>
    <row r="10" spans="1:8" x14ac:dyDescent="0.3">
      <c r="A10" s="3">
        <f>B8*'03. Uplinjanje'!I17</f>
        <v>0.14227806745639957</v>
      </c>
      <c r="B10" t="s">
        <v>698</v>
      </c>
      <c r="F10" s="474"/>
      <c r="G10" s="474"/>
      <c r="H10" s="474"/>
    </row>
    <row r="11" spans="1:8" x14ac:dyDescent="0.3">
      <c r="A11" s="3">
        <f>B9*'03. Uplinjanje'!I18</f>
        <v>0.17092852117890994</v>
      </c>
      <c r="B11" t="s">
        <v>699</v>
      </c>
      <c r="F11" s="292"/>
      <c r="G11" s="292"/>
      <c r="H11" s="292"/>
    </row>
  </sheetData>
  <mergeCells count="2">
    <mergeCell ref="F4:H6"/>
    <mergeCell ref="F9:H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B2:AE41"/>
  <sheetViews>
    <sheetView tabSelected="1" topLeftCell="I11" workbookViewId="0">
      <selection activeCell="W34" sqref="W34"/>
    </sheetView>
  </sheetViews>
  <sheetFormatPr defaultRowHeight="14.4" x14ac:dyDescent="0.3"/>
  <cols>
    <col min="2" max="2" width="15.6640625" bestFit="1" customWidth="1"/>
    <col min="8" max="8" width="26.6640625" bestFit="1" customWidth="1"/>
    <col min="13" max="13" width="8.88671875" style="346"/>
    <col min="14" max="14" width="8.88671875" style="391"/>
    <col min="15" max="15" width="8.88671875" style="397"/>
    <col min="16" max="16" width="23" style="397" bestFit="1" customWidth="1"/>
    <col min="17" max="17" width="8.88671875" style="397"/>
    <col min="18" max="18" width="8.88671875" style="346"/>
    <col min="19" max="19" width="8.88671875" style="334"/>
    <col min="20" max="20" width="26.6640625" bestFit="1" customWidth="1"/>
    <col min="21" max="21" width="12.77734375" bestFit="1" customWidth="1"/>
    <col min="22" max="22" width="18.109375" customWidth="1"/>
    <col min="23" max="23" width="16.5546875" customWidth="1"/>
    <col min="24" max="24" width="9.44140625" bestFit="1" customWidth="1"/>
    <col min="25" max="25" width="9.109375" bestFit="1" customWidth="1"/>
  </cols>
  <sheetData>
    <row r="2" spans="2:26" x14ac:dyDescent="0.3">
      <c r="H2" s="249" t="s">
        <v>603</v>
      </c>
      <c r="I2" s="214">
        <v>0.2</v>
      </c>
      <c r="P2" s="170" t="s">
        <v>707</v>
      </c>
      <c r="Q2" s="169">
        <f>'03. Uplinjanje'!N14</f>
        <v>150</v>
      </c>
      <c r="R2" s="346" t="s">
        <v>712</v>
      </c>
      <c r="Y2" s="291"/>
    </row>
    <row r="3" spans="2:26" x14ac:dyDescent="0.3">
      <c r="P3" s="329" t="s">
        <v>703</v>
      </c>
      <c r="Q3" s="329">
        <v>100</v>
      </c>
      <c r="R3" s="346" t="s">
        <v>712</v>
      </c>
      <c r="V3" s="291"/>
    </row>
    <row r="4" spans="2:26" x14ac:dyDescent="0.3">
      <c r="B4" s="316" t="s">
        <v>616</v>
      </c>
      <c r="C4" s="170" t="s">
        <v>294</v>
      </c>
      <c r="D4" s="170" t="s">
        <v>266</v>
      </c>
      <c r="E4" s="170" t="s">
        <v>309</v>
      </c>
      <c r="H4" s="316" t="s">
        <v>621</v>
      </c>
      <c r="I4" s="170" t="s">
        <v>294</v>
      </c>
      <c r="J4" s="170" t="s">
        <v>266</v>
      </c>
      <c r="K4" s="170" t="s">
        <v>309</v>
      </c>
      <c r="L4" s="170" t="s">
        <v>680</v>
      </c>
      <c r="P4" s="170" t="s">
        <v>708</v>
      </c>
      <c r="Q4" s="169">
        <f>'03. Uplinjanje'!N14+Q3</f>
        <v>250</v>
      </c>
      <c r="R4" s="346" t="s">
        <v>712</v>
      </c>
      <c r="T4" s="316" t="s">
        <v>621</v>
      </c>
      <c r="U4" s="301" t="s">
        <v>710</v>
      </c>
      <c r="V4" s="301" t="s">
        <v>709</v>
      </c>
      <c r="W4" s="301" t="str">
        <f>"Cp (MJ) pri "&amp;Q4&amp;" "&amp;R4</f>
        <v>Cp (MJ) pri 250 oC</v>
      </c>
      <c r="X4" t="str">
        <f>"Cp za spremembo temp. "&amp;Q3&amp;" "&amp;R3</f>
        <v>Cp za spremembo temp. 100 oC</v>
      </c>
    </row>
    <row r="5" spans="2:26" x14ac:dyDescent="0.3">
      <c r="B5" s="295" t="str">
        <f>'03. Uplinjanje'!G17</f>
        <v>CO</v>
      </c>
      <c r="C5" s="190">
        <f>'03. Uplinjanje'!H17</f>
        <v>79.675717775583763</v>
      </c>
      <c r="D5" s="190">
        <f>'03. Uplinjanje'!I17</f>
        <v>2.8455613491279914</v>
      </c>
      <c r="E5" s="190">
        <f>'03. Uplinjanje'!J17</f>
        <v>63.740574220467003</v>
      </c>
      <c r="H5" s="295" t="s">
        <v>29</v>
      </c>
      <c r="I5" s="190">
        <f>J5*28</f>
        <v>79.675717775583763</v>
      </c>
      <c r="J5" s="190">
        <f t="shared" ref="J5:J10" si="0">D5</f>
        <v>2.8455613491279914</v>
      </c>
      <c r="K5" s="190">
        <f t="shared" ref="K5:K13" si="1">J5*22.4</f>
        <v>63.740574220467003</v>
      </c>
      <c r="L5" s="283">
        <f>K5/$K$14</f>
        <v>0.21100757572430273</v>
      </c>
      <c r="M5" s="387"/>
      <c r="N5" s="392"/>
      <c r="O5" s="398"/>
      <c r="P5" s="398"/>
      <c r="Q5" s="398"/>
      <c r="R5" s="387"/>
      <c r="S5" s="398"/>
      <c r="T5" s="295" t="s">
        <v>29</v>
      </c>
      <c r="U5" s="190">
        <f>J5*Thermodynamics!B6</f>
        <v>-314.51989591911689</v>
      </c>
      <c r="V5" s="169">
        <f>'03. Uplinjanje'!M17</f>
        <v>82.805835259624558</v>
      </c>
      <c r="W5" s="190">
        <f>V5*$Q$4/1000</f>
        <v>20.70145881490614</v>
      </c>
      <c r="X5" s="190">
        <f>V5*$Q$3/1000</f>
        <v>8.2805835259624558</v>
      </c>
    </row>
    <row r="6" spans="2:26" x14ac:dyDescent="0.3">
      <c r="B6" s="295" t="str">
        <f>'03. Uplinjanje'!G18</f>
        <v>H2</v>
      </c>
      <c r="C6" s="190">
        <f>'03. Uplinjanje'!H18</f>
        <v>6.8371408471563972</v>
      </c>
      <c r="D6" s="190">
        <f>'03. Uplinjanje'!I18</f>
        <v>3.4185704235781986</v>
      </c>
      <c r="E6" s="190">
        <f>'03. Uplinjanje'!J18</f>
        <v>76.575977488151651</v>
      </c>
      <c r="F6" s="494" t="s">
        <v>668</v>
      </c>
      <c r="G6" s="495"/>
      <c r="H6" s="295" t="s">
        <v>44</v>
      </c>
      <c r="I6" s="190">
        <f>J6*2</f>
        <v>6.8371408471563972</v>
      </c>
      <c r="J6" s="190">
        <f t="shared" si="0"/>
        <v>3.4185704235781986</v>
      </c>
      <c r="K6" s="190">
        <f t="shared" si="1"/>
        <v>76.575977488151651</v>
      </c>
      <c r="L6" s="283">
        <f t="shared" ref="L6:L12" si="2">K6/$K$14</f>
        <v>0.25349805153316796</v>
      </c>
      <c r="M6" s="387"/>
      <c r="N6" s="392"/>
      <c r="O6" s="398"/>
      <c r="P6" s="398"/>
      <c r="Q6" s="398"/>
      <c r="R6" s="387"/>
      <c r="S6" s="398"/>
      <c r="T6" s="295" t="s">
        <v>44</v>
      </c>
      <c r="U6" s="190">
        <v>0</v>
      </c>
      <c r="V6" s="169">
        <f>'03. Uplinjanje'!M18</f>
        <v>98.454828199052116</v>
      </c>
      <c r="W6" s="190">
        <f>V6*$Q$4/1000</f>
        <v>24.613707049763029</v>
      </c>
      <c r="X6" s="190">
        <f t="shared" ref="X6:X12" si="3">V6*$Q$3/1000</f>
        <v>9.8454828199052109</v>
      </c>
    </row>
    <row r="7" spans="2:26" x14ac:dyDescent="0.3">
      <c r="B7" s="295" t="str">
        <f>'03. Uplinjanje'!G19</f>
        <v>CO2</v>
      </c>
      <c r="C7" s="190">
        <f>'03. Uplinjanje'!H19</f>
        <v>13.911633215949831</v>
      </c>
      <c r="D7" s="190">
        <f>'03. Uplinjanje'!I19</f>
        <v>0.31617348218067798</v>
      </c>
      <c r="E7" s="190">
        <f>'03. Uplinjanje'!J19</f>
        <v>7.0822860008471862</v>
      </c>
      <c r="F7" s="494"/>
      <c r="G7" s="495"/>
      <c r="H7" s="295" t="s">
        <v>23</v>
      </c>
      <c r="I7" s="190">
        <f>J7*44</f>
        <v>13.911633215949831</v>
      </c>
      <c r="J7" s="190">
        <f t="shared" si="0"/>
        <v>0.31617348218067798</v>
      </c>
      <c r="K7" s="190">
        <f t="shared" si="1"/>
        <v>7.0822860008471862</v>
      </c>
      <c r="L7" s="283">
        <f t="shared" si="2"/>
        <v>2.3445286113300764E-2</v>
      </c>
      <c r="M7" s="387"/>
      <c r="N7" s="392"/>
      <c r="O7" s="398"/>
      <c r="P7" s="398"/>
      <c r="Q7" s="398"/>
      <c r="R7" s="387"/>
      <c r="S7" s="398"/>
      <c r="T7" s="295" t="s">
        <v>23</v>
      </c>
      <c r="U7" s="190">
        <f>J7*Thermodynamics!B3</f>
        <v>-124.41742697291859</v>
      </c>
      <c r="V7" s="169">
        <f>'03. Uplinjanje'!M19</f>
        <v>12.141061715738035</v>
      </c>
      <c r="W7" s="190">
        <f>V7*$Q$4/1000</f>
        <v>3.0352654289345087</v>
      </c>
      <c r="X7" s="190">
        <f t="shared" si="3"/>
        <v>1.2141061715738035</v>
      </c>
    </row>
    <row r="8" spans="2:26" x14ac:dyDescent="0.3">
      <c r="B8" s="295" t="str">
        <f>'03. Uplinjanje'!G20</f>
        <v>N2 (80%)</v>
      </c>
      <c r="C8" s="190">
        <f>'03. Uplinjanje'!H20</f>
        <v>114.59611727018515</v>
      </c>
      <c r="D8" s="190">
        <f>'03. Uplinjanje'!I20</f>
        <v>4.0927184739351841</v>
      </c>
      <c r="E8" s="190">
        <f>'03. Uplinjanje'!J20</f>
        <v>91.676893816148123</v>
      </c>
      <c r="F8" s="494"/>
      <c r="G8" s="495"/>
      <c r="H8" s="295" t="s">
        <v>617</v>
      </c>
      <c r="I8" s="190">
        <f>J8*28</f>
        <v>114.59611727018515</v>
      </c>
      <c r="J8" s="190">
        <f t="shared" si="0"/>
        <v>4.0927184739351841</v>
      </c>
      <c r="K8" s="190">
        <f t="shared" si="1"/>
        <v>91.676893816148123</v>
      </c>
      <c r="L8" s="283">
        <f t="shared" si="2"/>
        <v>0.30348830945843974</v>
      </c>
      <c r="M8" s="387"/>
      <c r="N8" s="392"/>
      <c r="O8" s="398"/>
      <c r="P8" s="407" t="s">
        <v>719</v>
      </c>
      <c r="Q8" s="398"/>
      <c r="R8" s="387"/>
      <c r="S8" s="398"/>
      <c r="T8" s="295" t="s">
        <v>617</v>
      </c>
      <c r="U8" s="190"/>
      <c r="V8" s="169">
        <f>'03. Uplinjanje'!M20</f>
        <v>119.09810759151387</v>
      </c>
      <c r="W8" s="190">
        <f>V8*$Q$4/1000</f>
        <v>29.774526897878467</v>
      </c>
      <c r="X8" s="190">
        <f t="shared" si="3"/>
        <v>11.909810759151387</v>
      </c>
    </row>
    <row r="9" spans="2:26" x14ac:dyDescent="0.3">
      <c r="B9" s="295" t="str">
        <f>'03. Uplinjanje'!G21</f>
        <v>C7H8 (tar)</v>
      </c>
      <c r="C9" s="190">
        <f>'03. Uplinjanje'!H21</f>
        <v>7.3330992505770691</v>
      </c>
      <c r="D9" s="190">
        <f>'03. Uplinjanje'!I21</f>
        <v>7.9707600549750748E-2</v>
      </c>
      <c r="E9" s="190">
        <f>'03. Uplinjanje'!J21</f>
        <v>1.7854502523144167</v>
      </c>
      <c r="F9" s="494"/>
      <c r="G9" s="495"/>
      <c r="H9" s="295" t="s">
        <v>415</v>
      </c>
      <c r="I9" s="190">
        <f>J9*92</f>
        <v>7.3330992505770691</v>
      </c>
      <c r="J9" s="190">
        <f t="shared" si="0"/>
        <v>7.9707600549750748E-2</v>
      </c>
      <c r="K9" s="190">
        <f t="shared" si="1"/>
        <v>1.7854502523144167</v>
      </c>
      <c r="L9" s="283">
        <f t="shared" si="2"/>
        <v>5.9105763310842267E-3</v>
      </c>
      <c r="M9" s="387"/>
      <c r="N9" s="392"/>
      <c r="O9" s="398"/>
      <c r="P9" s="398" t="s">
        <v>713</v>
      </c>
      <c r="Q9" s="22" t="str">
        <f>"iz "&amp;Q4-Q3&amp;" na "&amp;Q4&amp;" oC"</f>
        <v>iz 150 na 250 oC</v>
      </c>
      <c r="R9"/>
      <c r="S9" s="291"/>
      <c r="T9" s="295" t="s">
        <v>415</v>
      </c>
      <c r="U9" s="190">
        <f>J9*Thermodynamics!B30</f>
        <v>0.98518594279491922</v>
      </c>
      <c r="V9" s="169">
        <f>'03. Uplinjanje'!M21</f>
        <v>7.3330992505770691</v>
      </c>
      <c r="W9" s="190">
        <f>V9*$Q$4/1000</f>
        <v>1.8332748126442673</v>
      </c>
      <c r="X9" s="190">
        <f t="shared" si="3"/>
        <v>0.73330992505770687</v>
      </c>
    </row>
    <row r="10" spans="2:26" x14ac:dyDescent="0.3">
      <c r="B10" s="295" t="str">
        <f>'03. Uplinjanje'!G22</f>
        <v>H2O ostane (v)</v>
      </c>
      <c r="C10" s="190">
        <f>'03. Uplinjanje'!H22</f>
        <v>9.6811695978010004</v>
      </c>
      <c r="D10" s="190">
        <f>'03. Uplinjanje'!I22</f>
        <v>0.53784275543338889</v>
      </c>
      <c r="E10" s="190">
        <f>'03. Uplinjanje'!J22</f>
        <v>12.04767772170791</v>
      </c>
      <c r="F10" s="494"/>
      <c r="G10" s="495"/>
      <c r="H10" s="295" t="s">
        <v>225</v>
      </c>
      <c r="I10" s="190">
        <f>J10*18</f>
        <v>9.6811695978010004</v>
      </c>
      <c r="J10" s="190">
        <f t="shared" si="0"/>
        <v>0.53784275543338889</v>
      </c>
      <c r="K10" s="190">
        <f t="shared" si="1"/>
        <v>12.04767772170791</v>
      </c>
      <c r="L10" s="283">
        <f t="shared" si="2"/>
        <v>3.9882779536507464E-2</v>
      </c>
      <c r="M10" s="387"/>
      <c r="N10" s="392"/>
      <c r="O10" s="398"/>
      <c r="P10" s="497" t="s">
        <v>727</v>
      </c>
      <c r="Q10" s="216">
        <f>X14</f>
        <v>40.188546217516517</v>
      </c>
      <c r="R10" s="218" t="s">
        <v>336</v>
      </c>
      <c r="T10" s="295" t="s">
        <v>225</v>
      </c>
      <c r="U10" s="190">
        <f>J10*Thermodynamics!B4</f>
        <v>-130.0643621754347</v>
      </c>
      <c r="V10" s="169">
        <f>'03. Uplinjanje'!M22</f>
        <v>18.071516582561866</v>
      </c>
      <c r="W10" s="373">
        <f>'03. Uplinjanje'!N22+V10*Q3/1000</f>
        <v>32.401960097475119</v>
      </c>
      <c r="X10" s="190">
        <f t="shared" si="3"/>
        <v>1.8071516582561866</v>
      </c>
    </row>
    <row r="11" spans="2:26" x14ac:dyDescent="0.3">
      <c r="B11" s="295" t="str">
        <f>'03. Uplinjanje'!G23</f>
        <v>skupaj</v>
      </c>
      <c r="C11" s="190">
        <f>'03. Uplinjanje'!H23</f>
        <v>232.0348779572532</v>
      </c>
      <c r="D11" s="190">
        <f>'03. Uplinjanje'!I23</f>
        <v>11.290574084805192</v>
      </c>
      <c r="E11" s="190">
        <f>'03. Uplinjanje'!J23</f>
        <v>252.90885949963626</v>
      </c>
      <c r="F11" s="494"/>
      <c r="G11" s="495"/>
      <c r="H11" s="295" t="s">
        <v>255</v>
      </c>
      <c r="I11" s="190">
        <f>J11*32</f>
        <v>11.706743864344016</v>
      </c>
      <c r="J11" s="190">
        <f>'04.1 Enacbe'!A4*7/2+'04.1 Enacbe'!A5*0+'04.1 Enacbe'!A10/2+'04.1 Enacbe'!A11/2</f>
        <v>0.36583574576075051</v>
      </c>
      <c r="K11" s="190">
        <f t="shared" si="1"/>
        <v>8.1947207050408117</v>
      </c>
      <c r="L11" s="283">
        <f t="shared" si="2"/>
        <v>2.7127903550532868E-2</v>
      </c>
      <c r="M11" s="387"/>
      <c r="N11" s="392"/>
      <c r="O11" s="398"/>
      <c r="P11" s="497"/>
      <c r="Q11" s="406">
        <f>Q10/3.6</f>
        <v>11.163485060421255</v>
      </c>
      <c r="R11" s="410" t="s">
        <v>368</v>
      </c>
      <c r="T11" s="295" t="s">
        <v>255</v>
      </c>
      <c r="U11" s="190"/>
      <c r="V11" s="190">
        <f>J11*Thermodynamics!C10</f>
        <v>10.751912567908457</v>
      </c>
      <c r="W11" s="190">
        <f>V11*$Q$4/1000</f>
        <v>2.6879781419771143</v>
      </c>
      <c r="X11" s="190">
        <f t="shared" si="3"/>
        <v>1.0751912567908457</v>
      </c>
    </row>
    <row r="12" spans="2:26" x14ac:dyDescent="0.3">
      <c r="C12" s="22"/>
      <c r="H12" s="295" t="s">
        <v>618</v>
      </c>
      <c r="I12" s="190">
        <f>J12*28</f>
        <v>51.217004406505076</v>
      </c>
      <c r="J12" s="190">
        <f>J11*(1/I2)</f>
        <v>1.8291787288037527</v>
      </c>
      <c r="K12" s="190">
        <f t="shared" si="1"/>
        <v>40.973603525204055</v>
      </c>
      <c r="L12" s="283">
        <f t="shared" si="2"/>
        <v>0.13563951775266433</v>
      </c>
      <c r="M12" s="387"/>
      <c r="N12" s="392"/>
      <c r="O12" s="398"/>
      <c r="P12" s="398"/>
      <c r="T12" s="295" t="s">
        <v>618</v>
      </c>
      <c r="U12" s="190"/>
      <c r="V12" s="190">
        <f>J12*Thermodynamics!C9</f>
        <v>53.229101008189204</v>
      </c>
      <c r="W12" s="190">
        <f>V12*$Q$4/1000</f>
        <v>13.307275252047301</v>
      </c>
      <c r="X12" s="190">
        <f t="shared" si="3"/>
        <v>5.3229101008189197</v>
      </c>
    </row>
    <row r="13" spans="2:26" x14ac:dyDescent="0.3">
      <c r="H13" s="295" t="s">
        <v>619</v>
      </c>
      <c r="I13" s="190">
        <f>J13*18</f>
        <v>2.5107894173171483</v>
      </c>
      <c r="J13" s="190">
        <f>'04.1 Enacbe'!A5*7</f>
        <v>0.1394883009620638</v>
      </c>
      <c r="K13" s="190">
        <f t="shared" si="1"/>
        <v>3.124537941550229</v>
      </c>
      <c r="L13" s="190"/>
      <c r="M13" s="372"/>
      <c r="N13" s="393"/>
      <c r="O13" s="399"/>
      <c r="P13" s="317" t="s">
        <v>718</v>
      </c>
      <c r="T13" s="295" t="s">
        <v>619</v>
      </c>
      <c r="U13" s="190"/>
      <c r="V13" s="190"/>
      <c r="W13" s="190"/>
      <c r="X13" s="372"/>
      <c r="Z13" s="414">
        <f>J13*Thermodynamics!B4</f>
        <v>-33.731897868452037</v>
      </c>
    </row>
    <row r="14" spans="2:26" x14ac:dyDescent="0.3">
      <c r="B14" s="344" t="str">
        <f>'03. Uplinjanje'!G29</f>
        <v>Količina katranov</v>
      </c>
      <c r="C14" s="342">
        <f>'03. Uplinjanje'!H29</f>
        <v>28.99502716150446</v>
      </c>
      <c r="D14" s="341" t="str">
        <f>'03. Uplinjanje'!I29</f>
        <v>g/m3</v>
      </c>
      <c r="H14" s="295" t="s">
        <v>280</v>
      </c>
      <c r="I14" s="190">
        <f>SUM(I5:I12)</f>
        <v>294.95862622810228</v>
      </c>
      <c r="J14" s="190">
        <f>SUM(J5:J13)</f>
        <v>13.625076860331758</v>
      </c>
      <c r="K14" s="190">
        <f>SUM(K5:K12)</f>
        <v>302.07718372988114</v>
      </c>
      <c r="L14" s="384">
        <f>SUM(L5:L12)</f>
        <v>1</v>
      </c>
      <c r="M14" s="388"/>
      <c r="N14" s="394"/>
      <c r="O14" s="400"/>
      <c r="P14" s="398" t="s">
        <v>714</v>
      </c>
      <c r="Q14" t="str">
        <f>" iz "&amp;X21&amp;" na "&amp;Y21&amp;" oC"</f>
        <v xml:space="preserve"> iz 500 na 350 oC</v>
      </c>
      <c r="R14"/>
      <c r="S14" s="291"/>
      <c r="T14" s="295" t="s">
        <v>280</v>
      </c>
      <c r="U14" s="190">
        <f>SUM(U5:U13)</f>
        <v>-568.01649912467519</v>
      </c>
      <c r="V14" s="190">
        <f>SUM(V5:V13)</f>
        <v>401.88546217516512</v>
      </c>
      <c r="W14" s="190">
        <f>SUM(W5:W13)</f>
        <v>128.35544649562593</v>
      </c>
      <c r="X14" s="190">
        <f>SUM(X5:X13)</f>
        <v>40.188546217516517</v>
      </c>
    </row>
    <row r="15" spans="2:26" x14ac:dyDescent="0.3">
      <c r="P15" s="398"/>
      <c r="Q15">
        <f>X21</f>
        <v>500</v>
      </c>
      <c r="R15">
        <f>Y21</f>
        <v>350</v>
      </c>
      <c r="S15" s="291"/>
      <c r="W15" t="str">
        <f>"pri " &amp;Q4&amp;" "&amp;R4</f>
        <v>pri 250 oC</v>
      </c>
      <c r="X15" t="str">
        <f>"za spremembno " &amp;Q3&amp;" "&amp;R3</f>
        <v>za spremembno 100 oC</v>
      </c>
    </row>
    <row r="16" spans="2:26" x14ac:dyDescent="0.3">
      <c r="H16" s="344" t="s">
        <v>620</v>
      </c>
      <c r="I16" s="342">
        <f>I10-I13</f>
        <v>7.1703801804838516</v>
      </c>
      <c r="P16" s="497" t="s">
        <v>726</v>
      </c>
      <c r="Q16" s="190">
        <f>-(X27-Y27)</f>
        <v>-61.603995488457088</v>
      </c>
      <c r="R16" s="170" t="s">
        <v>336</v>
      </c>
      <c r="V16" s="22"/>
    </row>
    <row r="17" spans="6:31" x14ac:dyDescent="0.3">
      <c r="P17" s="497"/>
      <c r="Q17" s="406">
        <f>Q16/3.6</f>
        <v>-17.112220969015858</v>
      </c>
      <c r="R17" s="301" t="s">
        <v>368</v>
      </c>
    </row>
    <row r="18" spans="6:31" x14ac:dyDescent="0.3">
      <c r="V18" t="s">
        <v>704</v>
      </c>
    </row>
    <row r="19" spans="6:31" x14ac:dyDescent="0.3">
      <c r="V19" s="22" t="s">
        <v>705</v>
      </c>
    </row>
    <row r="20" spans="6:31" x14ac:dyDescent="0.3">
      <c r="P20" s="317" t="s">
        <v>717</v>
      </c>
      <c r="X20" s="496" t="s">
        <v>706</v>
      </c>
      <c r="Y20" s="496"/>
      <c r="AA20" t="s">
        <v>767</v>
      </c>
    </row>
    <row r="21" spans="6:31" x14ac:dyDescent="0.3">
      <c r="P21" s="404" t="s">
        <v>715</v>
      </c>
      <c r="Q21" s="406">
        <f>Q17+Q11</f>
        <v>-5.9487359085946032</v>
      </c>
      <c r="R21" s="170" t="s">
        <v>368</v>
      </c>
      <c r="T21" s="316" t="s">
        <v>622</v>
      </c>
      <c r="U21" s="301" t="s">
        <v>660</v>
      </c>
      <c r="V21" s="301" t="s">
        <v>660</v>
      </c>
      <c r="W21" s="383" t="str">
        <f>X21&amp;" oC"</f>
        <v>500 oC</v>
      </c>
      <c r="X21" s="378">
        <v>500</v>
      </c>
      <c r="Y21" s="378">
        <v>350</v>
      </c>
      <c r="Z21" s="301" t="s">
        <v>721</v>
      </c>
      <c r="AA21" s="378">
        <v>150</v>
      </c>
      <c r="AB21" s="334"/>
      <c r="AC21" s="334"/>
    </row>
    <row r="22" spans="6:31" x14ac:dyDescent="0.3">
      <c r="P22" s="405" t="s">
        <v>716</v>
      </c>
      <c r="Q22" s="409">
        <f>Y21-Q4</f>
        <v>100</v>
      </c>
      <c r="R22" s="170" t="s">
        <v>712</v>
      </c>
      <c r="T22" s="295" t="s">
        <v>29</v>
      </c>
      <c r="U22" s="357">
        <f>J25*Thermodynamics!B6</f>
        <v>-360.46446874450868</v>
      </c>
      <c r="V22" s="357">
        <f>J25*Thermodynamics!B6</f>
        <v>-360.46446874450868</v>
      </c>
      <c r="W22" s="357">
        <f>J25*Thermodynamics!C6</f>
        <v>94.901981728627547</v>
      </c>
      <c r="X22" s="375">
        <f>W22*$X$21/1000</f>
        <v>47.450990864313773</v>
      </c>
      <c r="Y22" s="374">
        <f>W22*$Y$21/1000</f>
        <v>33.215693605019638</v>
      </c>
      <c r="Z22" s="169">
        <f>J25*Thermodynamics!E4</f>
        <v>-922.86470067240634</v>
      </c>
      <c r="AA22" s="441">
        <f>($Y$21-$AA$21)*Thermodynamics!C6*J25/1000</f>
        <v>18.980396345725509</v>
      </c>
      <c r="AB22" s="441"/>
      <c r="AC22" s="441"/>
      <c r="AD22" s="414" t="s">
        <v>309</v>
      </c>
      <c r="AE22" s="414">
        <f>J25*Thermodynamics!B6</f>
        <v>-360.46446874450868</v>
      </c>
    </row>
    <row r="23" spans="6:31" x14ac:dyDescent="0.3">
      <c r="P23" s="403" t="s">
        <v>723</v>
      </c>
      <c r="Q23" s="417"/>
      <c r="T23" s="295" t="s">
        <v>44</v>
      </c>
      <c r="U23" s="357"/>
      <c r="V23" s="357">
        <f>0</f>
        <v>0</v>
      </c>
      <c r="W23" s="357">
        <f>J26*Thermodynamics!C8</f>
        <v>106.73166544013824</v>
      </c>
      <c r="X23" s="375">
        <f t="shared" ref="X23:X26" si="4">W23*$X$21/1000</f>
        <v>53.365832720069122</v>
      </c>
      <c r="Y23" s="374">
        <f t="shared" ref="Y23:Y26" si="5">W23*$Y$21/1000</f>
        <v>37.356082904048385</v>
      </c>
      <c r="Z23" s="169">
        <f>J26*Thermodynamics!E3</f>
        <v>-896.19762940023861</v>
      </c>
      <c r="AA23" s="441">
        <f>($Y$21-$AA$21)*Thermodynamics!C8*J26/1000</f>
        <v>21.346333088027649</v>
      </c>
      <c r="AB23" s="441"/>
      <c r="AC23" s="441"/>
      <c r="AD23" s="415">
        <f>SUM(K25:K26)</f>
        <v>156.06521484019652</v>
      </c>
      <c r="AE23" s="414"/>
    </row>
    <row r="24" spans="6:31" x14ac:dyDescent="0.3">
      <c r="H24" s="316" t="s">
        <v>622</v>
      </c>
      <c r="I24" s="170" t="s">
        <v>294</v>
      </c>
      <c r="J24" s="170" t="s">
        <v>266</v>
      </c>
      <c r="K24" s="170" t="s">
        <v>309</v>
      </c>
      <c r="L24" s="218" t="s">
        <v>680</v>
      </c>
      <c r="P24" s="403" t="s">
        <v>722</v>
      </c>
      <c r="Q24" s="417"/>
      <c r="T24" s="295" t="s">
        <v>23</v>
      </c>
      <c r="U24" s="190">
        <f>J27*Thermodynamics!B3</f>
        <v>-180.4052692976864</v>
      </c>
      <c r="V24" s="190">
        <f>J27*Thermodynamics!B3</f>
        <v>-180.4052692976864</v>
      </c>
      <c r="W24" s="190">
        <f>J27*Thermodynamics!C3</f>
        <v>17.604539506063777</v>
      </c>
      <c r="X24" s="375">
        <f t="shared" si="4"/>
        <v>8.8022697530318901</v>
      </c>
      <c r="Y24" s="374">
        <f t="shared" si="5"/>
        <v>6.1615888271223218</v>
      </c>
      <c r="Z24" s="170"/>
      <c r="AA24" s="441">
        <f>($Y$21-$AA$21)*Thermodynamics!C3*J27/1000</f>
        <v>3.5209079012127558</v>
      </c>
      <c r="AB24" s="346"/>
      <c r="AC24" s="346"/>
      <c r="AD24" s="414"/>
      <c r="AE24" s="414">
        <f>J27*Thermodynamics!B3</f>
        <v>-180.4052692976864</v>
      </c>
    </row>
    <row r="25" spans="6:31" x14ac:dyDescent="0.3">
      <c r="F25" s="474" t="s">
        <v>669</v>
      </c>
      <c r="G25" s="495"/>
      <c r="H25" s="295" t="s">
        <v>29</v>
      </c>
      <c r="I25" s="190">
        <f>J25*28</f>
        <v>91.314621594555717</v>
      </c>
      <c r="J25" s="190">
        <f>J5+'04.1 Enacbe'!A4*7+'04.1 Enacbe'!A5*7-'04.1 Enacbe'!A10</f>
        <v>3.2612364855198468</v>
      </c>
      <c r="K25" s="357">
        <f t="shared" ref="K25:K29" si="6">J25*22.4</f>
        <v>73.051697275644557</v>
      </c>
      <c r="L25" s="386">
        <f>K25/$K$30</f>
        <v>0.23433761583978718</v>
      </c>
      <c r="M25" s="389"/>
      <c r="N25" s="395"/>
      <c r="O25" s="401"/>
      <c r="T25" s="295" t="s">
        <v>617</v>
      </c>
      <c r="U25" s="190"/>
      <c r="V25" s="190">
        <f>0</f>
        <v>0</v>
      </c>
      <c r="W25" s="190">
        <f>J28*Thermodynamics!C9</f>
        <v>172.32720859970306</v>
      </c>
      <c r="X25" s="375">
        <f t="shared" si="4"/>
        <v>86.163604299851528</v>
      </c>
      <c r="Y25" s="374">
        <f t="shared" si="5"/>
        <v>60.314523009896064</v>
      </c>
      <c r="Z25" s="170"/>
      <c r="AA25" s="441">
        <f>($Y$21-$AA$21)*Thermodynamics!C9*J28/1000</f>
        <v>34.465441719940607</v>
      </c>
      <c r="AB25" s="346"/>
      <c r="AC25" s="346"/>
      <c r="AD25" s="414"/>
      <c r="AE25" s="414"/>
    </row>
    <row r="26" spans="6:31" x14ac:dyDescent="0.3">
      <c r="F26" s="474"/>
      <c r="G26" s="495"/>
      <c r="H26" s="295" t="s">
        <v>44</v>
      </c>
      <c r="I26" s="190">
        <f>J26*2</f>
        <v>7.4119212111207116</v>
      </c>
      <c r="J26" s="190">
        <f>J6+'04.1 Enacbe'!A4*4+'04.1 Enacbe'!A5*11-'04.1 Enacbe'!A11</f>
        <v>3.7059606055603558</v>
      </c>
      <c r="K26" s="357">
        <f t="shared" si="6"/>
        <v>83.013517564551961</v>
      </c>
      <c r="L26" s="386">
        <f t="shared" ref="L26:L29" si="7">K26/$K$30</f>
        <v>0.26629346769520024</v>
      </c>
      <c r="M26" s="389"/>
      <c r="N26" s="395"/>
      <c r="O26" s="401"/>
      <c r="T26" s="295" t="s">
        <v>431</v>
      </c>
      <c r="U26" s="190">
        <f>J29*Thermodynamics!B4</f>
        <v>-137.66742486959376</v>
      </c>
      <c r="V26" s="190">
        <f>J29*Thermodynamics!B4</f>
        <v>-137.66742486959376</v>
      </c>
      <c r="W26" s="190">
        <f>J29*Thermodynamics!C4</f>
        <v>19.127907981847901</v>
      </c>
      <c r="X26" s="375">
        <f t="shared" si="4"/>
        <v>9.5639539909239506</v>
      </c>
      <c r="Y26" s="374">
        <f t="shared" si="5"/>
        <v>6.6947677936467649</v>
      </c>
      <c r="Z26" s="170"/>
      <c r="AA26" s="441">
        <f>($Y$21-100)*Thermodynamics!C4*J29/1000+(100-$AA$21)*Thermodynamics!C5*J29/1000+(Thermodynamics!B4-Thermodynamics!B5)*J29*0</f>
        <v>2.6386265921388401</v>
      </c>
      <c r="AB26" s="346"/>
      <c r="AC26" s="346"/>
      <c r="AD26" s="414"/>
      <c r="AE26" s="414"/>
    </row>
    <row r="27" spans="6:31" x14ac:dyDescent="0.3">
      <c r="F27" s="474"/>
      <c r="G27" s="495"/>
      <c r="H27" s="295" t="s">
        <v>23</v>
      </c>
      <c r="I27" s="190">
        <f>J27*44</f>
        <v>20.171868184031414</v>
      </c>
      <c r="J27" s="190">
        <f>J7+'04.1 Enacbe'!A10</f>
        <v>0.45845154963707757</v>
      </c>
      <c r="K27" s="190">
        <f t="shared" si="6"/>
        <v>10.269314711870537</v>
      </c>
      <c r="L27" s="386">
        <f t="shared" si="7"/>
        <v>3.2942242489012168E-2</v>
      </c>
      <c r="M27" s="389"/>
      <c r="N27" s="395"/>
      <c r="O27" s="401"/>
      <c r="P27" s="299" t="str">
        <f>"Energija, ki se porabi, da se plin ogreje iz "&amp;Q4&amp;" na "&amp;X21&amp;" oC"</f>
        <v>Energija, ki se porabi, da se plin ogreje iz 250 na 500 oC</v>
      </c>
      <c r="T27" s="295" t="s">
        <v>280</v>
      </c>
      <c r="U27" s="190">
        <f t="shared" ref="U27:Z27" si="8">SUM(U22:U26)</f>
        <v>-678.53716291178887</v>
      </c>
      <c r="V27" s="190">
        <f t="shared" si="8"/>
        <v>-678.53716291178887</v>
      </c>
      <c r="W27" s="190">
        <f t="shared" si="8"/>
        <v>410.69330325638055</v>
      </c>
      <c r="X27" s="375">
        <f t="shared" si="8"/>
        <v>205.34665162819027</v>
      </c>
      <c r="Y27" s="190">
        <f t="shared" si="8"/>
        <v>143.74265613973319</v>
      </c>
      <c r="Z27" s="356">
        <f t="shared" si="8"/>
        <v>-1819.062330072645</v>
      </c>
      <c r="AA27" s="443">
        <f>SUM(AA22:AA26)</f>
        <v>80.951705647045358</v>
      </c>
      <c r="AB27" s="442"/>
      <c r="AC27" s="442"/>
      <c r="AD27" s="414"/>
      <c r="AE27" s="416">
        <f>SUM(AA12:AA26)</f>
        <v>230.95170564704537</v>
      </c>
    </row>
    <row r="28" spans="6:31" x14ac:dyDescent="0.3">
      <c r="F28" s="474"/>
      <c r="G28" s="495"/>
      <c r="H28" s="295" t="s">
        <v>617</v>
      </c>
      <c r="I28" s="190">
        <f>J28*28</f>
        <v>165.81312167669023</v>
      </c>
      <c r="J28" s="190">
        <f>J8+J12</f>
        <v>5.9218972027389363</v>
      </c>
      <c r="K28" s="190">
        <f t="shared" si="6"/>
        <v>132.65049734135218</v>
      </c>
      <c r="L28" s="386">
        <f t="shared" si="7"/>
        <v>0.42552058947572513</v>
      </c>
      <c r="M28" s="389"/>
      <c r="N28" s="395"/>
      <c r="O28" s="401"/>
      <c r="Q28" s="411">
        <f>X27-W14</f>
        <v>76.991205132564346</v>
      </c>
      <c r="R28" s="170" t="s">
        <v>336</v>
      </c>
      <c r="U28" s="204"/>
      <c r="X28" s="379"/>
      <c r="Z28" s="22">
        <f>Z27/3.6</f>
        <v>-505.29509168684581</v>
      </c>
      <c r="AA28">
        <f>AA27/3.6</f>
        <v>22.486584901957045</v>
      </c>
    </row>
    <row r="29" spans="6:31" x14ac:dyDescent="0.3">
      <c r="F29" s="474"/>
      <c r="G29" s="495"/>
      <c r="H29" s="295" t="s">
        <v>431</v>
      </c>
      <c r="I29" s="190">
        <f>J29*18</f>
        <v>10.247093561704233</v>
      </c>
      <c r="J29" s="190">
        <f>J10-J13+'04.1 Enacbe'!A11</f>
        <v>0.56928297565023511</v>
      </c>
      <c r="K29" s="190">
        <f t="shared" si="6"/>
        <v>12.751938654565265</v>
      </c>
      <c r="L29" s="386">
        <f t="shared" si="7"/>
        <v>4.0906084500275303E-2</v>
      </c>
      <c r="M29" s="389"/>
      <c r="N29" s="395"/>
      <c r="O29" s="401"/>
      <c r="P29" s="412" t="s">
        <v>724</v>
      </c>
      <c r="Q29" s="406">
        <f>Q28/3.6</f>
        <v>21.386445870156763</v>
      </c>
      <c r="R29" s="170" t="s">
        <v>368</v>
      </c>
      <c r="U29" s="204"/>
      <c r="X29" s="379"/>
      <c r="Z29" t="s">
        <v>48</v>
      </c>
    </row>
    <row r="30" spans="6:31" ht="14.4" customHeight="1" x14ac:dyDescent="0.3">
      <c r="H30" s="295" t="s">
        <v>280</v>
      </c>
      <c r="I30" s="190">
        <f>SUM(I25:I29)</f>
        <v>294.95862622810228</v>
      </c>
      <c r="J30" s="190">
        <f>SUM(J25:J29)</f>
        <v>13.916828819106453</v>
      </c>
      <c r="K30" s="190">
        <f>SUM(K25:K29)</f>
        <v>311.73696554798448</v>
      </c>
      <c r="L30" s="385">
        <f>SUM(L25:L29)</f>
        <v>1</v>
      </c>
      <c r="M30" s="387"/>
      <c r="N30" s="392"/>
      <c r="O30" s="398"/>
      <c r="P30" s="401"/>
      <c r="Q30" s="401"/>
      <c r="R30" s="389"/>
      <c r="S30" s="407"/>
      <c r="U30" s="249" t="s">
        <v>720</v>
      </c>
      <c r="V30" s="204"/>
    </row>
    <row r="31" spans="6:31" x14ac:dyDescent="0.3">
      <c r="K31" s="204">
        <f>K30-K29</f>
        <v>298.98502689341922</v>
      </c>
      <c r="P31" s="412" t="s">
        <v>711</v>
      </c>
      <c r="Q31" s="401"/>
      <c r="R31" s="389"/>
      <c r="S31" s="407"/>
      <c r="U31" s="406">
        <f>Z27/K30</f>
        <v>-5.8352474396965404</v>
      </c>
      <c r="V31" s="170" t="s">
        <v>684</v>
      </c>
    </row>
    <row r="32" spans="6:31" x14ac:dyDescent="0.3">
      <c r="Q32" s="413">
        <f>U27-U14</f>
        <v>-110.52066378711368</v>
      </c>
      <c r="R32" s="170" t="s">
        <v>336</v>
      </c>
      <c r="S32" s="407"/>
      <c r="U32" s="406">
        <f>Z27/(K30-K29)</f>
        <v>-6.0841251783524788</v>
      </c>
      <c r="V32" s="170" t="s">
        <v>685</v>
      </c>
    </row>
    <row r="33" spans="8:22" ht="14.4" customHeight="1" x14ac:dyDescent="0.3">
      <c r="Q33" s="406">
        <f>Q32/3.6</f>
        <v>-30.700184385309353</v>
      </c>
      <c r="R33" s="170" t="s">
        <v>368</v>
      </c>
      <c r="S33" s="407"/>
      <c r="T33" s="292"/>
      <c r="U33" s="406">
        <f>Z27/(K30-K29-K28)</f>
        <v>-10.936167823790496</v>
      </c>
      <c r="V33" s="170" t="s">
        <v>686</v>
      </c>
    </row>
    <row r="34" spans="8:22" x14ac:dyDescent="0.3">
      <c r="H34" s="344" t="s">
        <v>634</v>
      </c>
      <c r="I34" s="342">
        <f>I30-I14</f>
        <v>0</v>
      </c>
      <c r="P34" s="401"/>
      <c r="Q34" s="401"/>
      <c r="R34" s="389"/>
      <c r="S34" s="407"/>
    </row>
    <row r="35" spans="8:22" x14ac:dyDescent="0.3">
      <c r="P35" s="412" t="s">
        <v>729</v>
      </c>
      <c r="Q35" s="398"/>
      <c r="R35" s="387"/>
      <c r="S35" s="398"/>
    </row>
    <row r="36" spans="8:22" x14ac:dyDescent="0.3">
      <c r="J36" s="292"/>
      <c r="K36" s="292"/>
      <c r="L36" s="292"/>
      <c r="M36" s="390"/>
      <c r="N36" s="396"/>
      <c r="O36" s="402"/>
      <c r="P36" s="397" t="s">
        <v>725</v>
      </c>
      <c r="Q36" s="406">
        <f>Q33+Q29</f>
        <v>-9.3137385151525898</v>
      </c>
      <c r="R36" s="301" t="s">
        <v>368</v>
      </c>
    </row>
    <row r="41" spans="8:22" x14ac:dyDescent="0.3">
      <c r="P41" s="402"/>
      <c r="Q41" s="402"/>
      <c r="R41" s="390"/>
      <c r="S41" s="408"/>
    </row>
  </sheetData>
  <mergeCells count="5">
    <mergeCell ref="F6:G11"/>
    <mergeCell ref="F25:G29"/>
    <mergeCell ref="X20:Y20"/>
    <mergeCell ref="P10:P11"/>
    <mergeCell ref="P16:P1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E19"/>
  <sheetViews>
    <sheetView workbookViewId="0">
      <selection activeCell="F15" sqref="F15"/>
    </sheetView>
  </sheetViews>
  <sheetFormatPr defaultRowHeight="14.4" x14ac:dyDescent="0.3"/>
  <cols>
    <col min="2" max="2" width="51.109375" customWidth="1"/>
    <col min="3" max="3" width="10.109375" bestFit="1" customWidth="1"/>
  </cols>
  <sheetData>
    <row r="1" spans="2:5" x14ac:dyDescent="0.3">
      <c r="B1" s="439"/>
    </row>
    <row r="2" spans="2:5" x14ac:dyDescent="0.3">
      <c r="B2" s="439"/>
    </row>
    <row r="3" spans="2:5" x14ac:dyDescent="0.3">
      <c r="B3" s="439"/>
    </row>
    <row r="4" spans="2:5" x14ac:dyDescent="0.3">
      <c r="B4" s="440" t="s">
        <v>755</v>
      </c>
      <c r="C4" t="s">
        <v>368</v>
      </c>
      <c r="D4" t="s">
        <v>712</v>
      </c>
    </row>
    <row r="5" spans="2:5" x14ac:dyDescent="0.3">
      <c r="B5" s="440" t="s">
        <v>756</v>
      </c>
      <c r="C5">
        <f>'01.Vhodni podatki'!E25*'02. Pripravljeno gorivo'!E21/3.6</f>
        <v>-602.8779296875</v>
      </c>
      <c r="D5">
        <f>20</f>
        <v>20</v>
      </c>
    </row>
    <row r="6" spans="2:5" x14ac:dyDescent="0.3">
      <c r="B6" s="440" t="s">
        <v>757</v>
      </c>
    </row>
    <row r="7" spans="2:5" x14ac:dyDescent="0.3">
      <c r="B7" s="440" t="s">
        <v>762</v>
      </c>
      <c r="C7" s="22">
        <f>'03. Uplinjanje'!L29</f>
        <v>-29.597369671765975</v>
      </c>
    </row>
    <row r="8" spans="2:5" x14ac:dyDescent="0.3">
      <c r="B8" s="440" t="s">
        <v>763</v>
      </c>
      <c r="C8" s="22">
        <f>'03. Uplinjanje'!N29</f>
        <v>20.888785893818493</v>
      </c>
      <c r="D8" s="161">
        <f>'03. Uplinjanje'!N14</f>
        <v>150</v>
      </c>
    </row>
    <row r="9" spans="2:5" x14ac:dyDescent="0.3">
      <c r="B9" s="440" t="s">
        <v>771</v>
      </c>
      <c r="C9" s="22">
        <f>'03. Uplinjanje'!P23/3.6</f>
        <v>-535.99527607215509</v>
      </c>
      <c r="D9" s="161"/>
      <c r="E9" s="162">
        <f>C9/C5</f>
        <v>0.88906103487647437</v>
      </c>
    </row>
    <row r="10" spans="2:5" x14ac:dyDescent="0.3">
      <c r="B10" s="440" t="s">
        <v>758</v>
      </c>
      <c r="C10" s="22"/>
    </row>
    <row r="11" spans="2:5" x14ac:dyDescent="0.3">
      <c r="B11" s="440" t="s">
        <v>768</v>
      </c>
      <c r="C11" s="22">
        <f>-'04.Katrani'!Q11</f>
        <v>-11.163485060421255</v>
      </c>
      <c r="D11" s="161">
        <f>'04.Katrani'!Q4</f>
        <v>250</v>
      </c>
    </row>
    <row r="12" spans="2:5" x14ac:dyDescent="0.3">
      <c r="B12" s="440" t="s">
        <v>764</v>
      </c>
      <c r="C12" s="22">
        <f>'04.Katrani'!Q11</f>
        <v>11.163485060421255</v>
      </c>
    </row>
    <row r="13" spans="2:5" x14ac:dyDescent="0.3">
      <c r="B13" s="440" t="s">
        <v>759</v>
      </c>
      <c r="C13" s="22"/>
    </row>
    <row r="14" spans="2:5" x14ac:dyDescent="0.3">
      <c r="B14" s="440" t="s">
        <v>762</v>
      </c>
      <c r="C14" s="22">
        <f>'04.Katrani'!Q33</f>
        <v>-30.700184385309353</v>
      </c>
    </row>
    <row r="15" spans="2:5" x14ac:dyDescent="0.3">
      <c r="B15" s="440" t="s">
        <v>765</v>
      </c>
      <c r="C15" s="22">
        <f>'04.Katrani'!Q29</f>
        <v>21.386445870156763</v>
      </c>
    </row>
    <row r="16" spans="2:5" x14ac:dyDescent="0.3">
      <c r="B16" s="440" t="s">
        <v>766</v>
      </c>
      <c r="C16" s="22">
        <f>'04.Katrani'!Q11</f>
        <v>11.163485060421255</v>
      </c>
    </row>
    <row r="17" spans="2:5" x14ac:dyDescent="0.3">
      <c r="B17" s="440" t="s">
        <v>760</v>
      </c>
      <c r="C17" s="22">
        <f>'04.Katrani'!Z28</f>
        <v>-505.29509168684581</v>
      </c>
      <c r="D17">
        <f>'04.Katrani'!Y21</f>
        <v>350</v>
      </c>
      <c r="E17" s="162">
        <f>C17/C5</f>
        <v>0.83813831425005725</v>
      </c>
    </row>
    <row r="18" spans="2:5" ht="26.4" x14ac:dyDescent="0.3">
      <c r="B18" s="440" t="s">
        <v>761</v>
      </c>
      <c r="C18" s="22">
        <f>-'04.Katrani'!AA28</f>
        <v>-22.486584901957045</v>
      </c>
    </row>
    <row r="19" spans="2:5" x14ac:dyDescent="0.3">
      <c r="C19" s="22">
        <f>C18+C17</f>
        <v>-527.78167658880284</v>
      </c>
      <c r="E19" s="162">
        <f>C19/C5</f>
        <v>0.87543705051929321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R144"/>
  <sheetViews>
    <sheetView topLeftCell="A9" workbookViewId="0">
      <selection activeCell="B22" sqref="B22:B25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37.44140625" customWidth="1"/>
    <col min="8" max="8" width="10.5546875" bestFit="1" customWidth="1"/>
    <col min="9" max="9" width="11.5546875" bestFit="1" customWidth="1"/>
    <col min="10" max="10" width="16" customWidth="1"/>
    <col min="11" max="11" width="10.88671875" customWidth="1"/>
    <col min="12" max="12" width="20.6640625" customWidth="1"/>
    <col min="13" max="13" width="11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287" t="s">
        <v>0</v>
      </c>
      <c r="I2" s="287" t="s">
        <v>2</v>
      </c>
      <c r="J2" s="287" t="s">
        <v>3</v>
      </c>
      <c r="K2" s="287" t="s">
        <v>4</v>
      </c>
      <c r="L2" s="287" t="s">
        <v>5</v>
      </c>
      <c r="M2" s="287" t="s">
        <v>6</v>
      </c>
      <c r="N2" s="287" t="s">
        <v>7</v>
      </c>
      <c r="O2" s="287" t="s">
        <v>1</v>
      </c>
      <c r="P2" s="287" t="s">
        <v>131</v>
      </c>
      <c r="Q2" s="287" t="s">
        <v>17</v>
      </c>
      <c r="R2" s="287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212">
        <f>H3*$R$3/120</f>
        <v>11.795660621761444</v>
      </c>
      <c r="I4" s="212">
        <f t="shared" ref="I4:N4" si="0">I3*$R$3/120</f>
        <v>39.669689119170265</v>
      </c>
      <c r="J4" s="212">
        <f t="shared" si="0"/>
        <v>6.654792746113869</v>
      </c>
      <c r="K4" s="212">
        <f t="shared" si="0"/>
        <v>20.11819948186492</v>
      </c>
      <c r="L4" s="212">
        <f t="shared" si="0"/>
        <v>0.15867875647668106</v>
      </c>
      <c r="M4" s="212">
        <f t="shared" si="0"/>
        <v>1.3439119170984211</v>
      </c>
      <c r="N4" s="212">
        <f t="shared" si="0"/>
        <v>0.25906735751294868</v>
      </c>
      <c r="O4" s="212">
        <f t="shared" ref="O4" si="1">O3*$Q$3/120</f>
        <v>0</v>
      </c>
      <c r="P4" s="211">
        <v>20</v>
      </c>
      <c r="Q4" s="3">
        <f>SUM(H4:P4)</f>
        <v>99.99999999999855</v>
      </c>
    </row>
    <row r="5" spans="2:18" x14ac:dyDescent="0.3">
      <c r="C5" t="s">
        <v>398</v>
      </c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>
        <f>M4/32</f>
        <v>4.1997247409325658E-2</v>
      </c>
      <c r="N5" s="3">
        <f>N4/35.5</f>
        <v>7.2976720426182725E-3</v>
      </c>
      <c r="O5" s="3"/>
      <c r="Q5" s="3"/>
    </row>
    <row r="6" spans="2:18" x14ac:dyDescent="0.3">
      <c r="C6" t="s">
        <v>399</v>
      </c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H21/I8</f>
        <v>0.18941671727147363</v>
      </c>
      <c r="K8" s="3"/>
      <c r="L8" s="3"/>
      <c r="M8" s="3"/>
      <c r="N8" s="3">
        <f>N7/100*2300</f>
        <v>0</v>
      </c>
      <c r="O8" s="3"/>
      <c r="Q8" s="3"/>
    </row>
    <row r="9" spans="2:18" x14ac:dyDescent="0.3">
      <c r="C9" t="s">
        <v>400</v>
      </c>
      <c r="D9">
        <f>17*2+40</f>
        <v>74</v>
      </c>
      <c r="G9" t="s">
        <v>436</v>
      </c>
      <c r="H9" s="3"/>
      <c r="I9" s="3"/>
      <c r="J9" s="3"/>
      <c r="K9" s="3"/>
      <c r="L9" s="3"/>
      <c r="M9" s="3">
        <f>M5/100*2300*$D$9*1</f>
        <v>71.479315090672273</v>
      </c>
      <c r="N9" s="3">
        <f>N5/100*2300*$D$9*1/2</f>
        <v>6.2103189082681496</v>
      </c>
      <c r="O9" s="3"/>
      <c r="Q9" s="3">
        <f>SUM(H9:P9)</f>
        <v>77.689633998940423</v>
      </c>
      <c r="R9" s="243">
        <f>Q9/H13</f>
        <v>3.8844816999470913E-2</v>
      </c>
    </row>
    <row r="10" spans="2:18" x14ac:dyDescent="0.3">
      <c r="G10" s="254" t="s">
        <v>444</v>
      </c>
      <c r="H10" s="3"/>
      <c r="I10" s="3"/>
      <c r="J10" s="3"/>
      <c r="K10" s="3"/>
      <c r="L10" s="3"/>
      <c r="M10" s="3">
        <f>M9*1.5</f>
        <v>107.2189726360084</v>
      </c>
      <c r="N10" s="3">
        <f>N9*1.5</f>
        <v>9.3154783624022244</v>
      </c>
      <c r="O10" s="3"/>
      <c r="Q10" s="3">
        <f>SUM(M10:N10)</f>
        <v>116.53445099841062</v>
      </c>
      <c r="R10" s="243">
        <f>Q10/H13</f>
        <v>5.8267225499206363E-2</v>
      </c>
    </row>
    <row r="11" spans="2:18" x14ac:dyDescent="0.3">
      <c r="C11" t="s">
        <v>404</v>
      </c>
      <c r="H11" s="254" t="s">
        <v>294</v>
      </c>
      <c r="I11" s="254" t="s">
        <v>266</v>
      </c>
      <c r="J11" s="254" t="s">
        <v>309</v>
      </c>
      <c r="K11" t="s">
        <v>336</v>
      </c>
      <c r="L11" t="s">
        <v>330</v>
      </c>
      <c r="M11" t="s">
        <v>329</v>
      </c>
      <c r="N11" t="s">
        <v>331</v>
      </c>
      <c r="O11" t="s">
        <v>335</v>
      </c>
    </row>
    <row r="12" spans="2:18" x14ac:dyDescent="0.3">
      <c r="C12" t="s">
        <v>403</v>
      </c>
      <c r="D12">
        <v>92</v>
      </c>
      <c r="G12" s="254" t="s">
        <v>322</v>
      </c>
      <c r="H12">
        <v>2500</v>
      </c>
      <c r="K12">
        <v>1</v>
      </c>
      <c r="O12" s="3">
        <f>SUM(O13:O14)</f>
        <v>3056.3333333333112</v>
      </c>
    </row>
    <row r="13" spans="2:18" x14ac:dyDescent="0.3">
      <c r="G13" t="s">
        <v>334</v>
      </c>
      <c r="H13">
        <f>SUM(H4:O4)/100*H12</f>
        <v>1999.9999999999638</v>
      </c>
      <c r="L13">
        <f>H13*1.2/1000*500</f>
        <v>1199.9999999999782</v>
      </c>
      <c r="O13" s="3">
        <f>SUM(L13:N13)</f>
        <v>1199.9999999999782</v>
      </c>
    </row>
    <row r="14" spans="2:18" x14ac:dyDescent="0.3">
      <c r="G14" t="s">
        <v>323</v>
      </c>
      <c r="H14" s="211">
        <f>H12*P4/100</f>
        <v>500</v>
      </c>
      <c r="I14" s="3">
        <f>H14/18</f>
        <v>27.777777777777779</v>
      </c>
      <c r="J14" s="3">
        <f t="shared" ref="J14" si="2">I14*22.4</f>
        <v>622.22222222222217</v>
      </c>
      <c r="L14" s="3">
        <f>I14*80*Thermodynamics!C5/1000</f>
        <v>167.33333333333331</v>
      </c>
      <c r="M14">
        <f>I14*Thermodynamics!E5</f>
        <v>1222.333333333333</v>
      </c>
      <c r="N14" s="3">
        <f>I14*500*Thermodynamics!C4/1000</f>
        <v>466.66666666666669</v>
      </c>
      <c r="O14" s="3">
        <f>SUM(L14:N14)</f>
        <v>1856.333333333333</v>
      </c>
    </row>
    <row r="15" spans="2:18" x14ac:dyDescent="0.3">
      <c r="G15" t="s">
        <v>2</v>
      </c>
      <c r="H15" s="22">
        <f>H12*I4/100</f>
        <v>991.74222797925654</v>
      </c>
      <c r="I15" s="3">
        <f>H15/12</f>
        <v>82.64518566493804</v>
      </c>
      <c r="J15" s="3"/>
    </row>
    <row r="16" spans="2:18" x14ac:dyDescent="0.3">
      <c r="G16" t="s">
        <v>44</v>
      </c>
      <c r="H16" s="22">
        <f>H12*J4/100</f>
        <v>166.36981865284673</v>
      </c>
      <c r="I16" s="3">
        <f>H16/2</f>
        <v>83.184909326423366</v>
      </c>
      <c r="J16" s="3"/>
    </row>
    <row r="17" spans="1:14" x14ac:dyDescent="0.3">
      <c r="G17" t="s">
        <v>4</v>
      </c>
      <c r="H17" s="22">
        <f>H12*K4/100</f>
        <v>502.95498704662299</v>
      </c>
      <c r="I17" s="3">
        <f>H17/16</f>
        <v>31.434686690413937</v>
      </c>
      <c r="J17" s="3"/>
    </row>
    <row r="18" spans="1:14" ht="15" thickBot="1" x14ac:dyDescent="0.35">
      <c r="C18" t="s">
        <v>294</v>
      </c>
      <c r="D18" t="s">
        <v>266</v>
      </c>
      <c r="G18" t="s">
        <v>340</v>
      </c>
      <c r="H18" s="22">
        <f>H12*(H4+M4+N4+L4)/100</f>
        <v>338.9329663212373</v>
      </c>
      <c r="I18" s="3"/>
      <c r="J18" s="3">
        <f>H52/2300</f>
        <v>4.9400297223939113E-2</v>
      </c>
    </row>
    <row r="19" spans="1:14" x14ac:dyDescent="0.3">
      <c r="B19" t="str">
        <f>G20</f>
        <v>C9H18O3</v>
      </c>
      <c r="C19" s="213">
        <f>H20</f>
        <v>1661.0670336787264</v>
      </c>
      <c r="D19">
        <f>I20</f>
        <v>9.5463622625214164</v>
      </c>
      <c r="G19" s="254" t="s">
        <v>298</v>
      </c>
      <c r="H19" s="22">
        <f>H21/(H20/0.8)</f>
        <v>0.35668042363836278</v>
      </c>
      <c r="I19" s="3">
        <f>(H22+H52)/(2300)</f>
        <v>0.12435991650755346</v>
      </c>
      <c r="J19" s="3">
        <f>H22/2300</f>
        <v>7.4959619283614345E-2</v>
      </c>
      <c r="K19" s="231">
        <f>D28</f>
        <v>472.85906550614345</v>
      </c>
      <c r="L19" s="221" t="s">
        <v>280</v>
      </c>
    </row>
    <row r="20" spans="1:14" ht="15" thickBot="1" x14ac:dyDescent="0.35">
      <c r="A20" t="s">
        <v>338</v>
      </c>
      <c r="C20" s="288" t="s">
        <v>19</v>
      </c>
      <c r="E20">
        <f>1/3.6</f>
        <v>0.27777777777777779</v>
      </c>
      <c r="G20" s="257" t="s">
        <v>295</v>
      </c>
      <c r="H20" s="22">
        <f>SUM(H15:H17)</f>
        <v>1661.0670336787264</v>
      </c>
      <c r="I20" s="23">
        <f>H20/(9*12+18+16*3)</f>
        <v>9.5463622625214164</v>
      </c>
      <c r="J20" s="23"/>
      <c r="K20" s="232">
        <f>K19*$E$20</f>
        <v>131.34974041837319</v>
      </c>
      <c r="L20" s="225" t="s">
        <v>48</v>
      </c>
    </row>
    <row r="21" spans="1:14" x14ac:dyDescent="0.3">
      <c r="A21" s="162">
        <f>A23/A22*2</f>
        <v>0.49118838846812812</v>
      </c>
      <c r="C21" s="213" t="s">
        <v>20</v>
      </c>
      <c r="D21" t="s">
        <v>369</v>
      </c>
      <c r="E21" t="s">
        <v>368</v>
      </c>
      <c r="G21" s="257" t="s">
        <v>255</v>
      </c>
      <c r="H21" s="3">
        <f>I21*32</f>
        <v>740.58761658030835</v>
      </c>
      <c r="I21" s="3">
        <f>A22*3+A24*0.5</f>
        <v>23.143363018134636</v>
      </c>
      <c r="J21" s="3">
        <f t="shared" ref="J21:J28" si="3">I21*22.4</f>
        <v>518.41133160621587</v>
      </c>
      <c r="K21" t="s">
        <v>300</v>
      </c>
      <c r="L21" s="243">
        <f>H21/H13</f>
        <v>0.37029380829016084</v>
      </c>
    </row>
    <row r="22" spans="1:14" x14ac:dyDescent="0.3">
      <c r="A22" s="212">
        <v>6.5</v>
      </c>
      <c r="B22" s="229" t="s">
        <v>296</v>
      </c>
      <c r="C22" s="230">
        <f>Thermodynamics!E34</f>
        <v>-463.88</v>
      </c>
      <c r="D22" s="190">
        <f>A22*C22</f>
        <v>-3015.22</v>
      </c>
      <c r="E22" s="190">
        <f>D22*$E$20</f>
        <v>-837.56111111111113</v>
      </c>
      <c r="G22" s="257" t="s">
        <v>225</v>
      </c>
      <c r="H22" s="3">
        <f>I22*18</f>
        <v>172.40712435231299</v>
      </c>
      <c r="I22" s="3">
        <f>6*A23</f>
        <v>9.5781735751284991</v>
      </c>
      <c r="J22" s="3">
        <f t="shared" si="3"/>
        <v>214.55108808287838</v>
      </c>
      <c r="K22" t="s">
        <v>300</v>
      </c>
      <c r="L22" s="243">
        <f>H22/H13</f>
        <v>8.6203562176158058E-2</v>
      </c>
    </row>
    <row r="23" spans="1:14" x14ac:dyDescent="0.3">
      <c r="A23" s="215">
        <f>D19-A22-A25</f>
        <v>1.5963622625214164</v>
      </c>
      <c r="B23" s="229" t="s">
        <v>297</v>
      </c>
      <c r="C23" s="230">
        <f>Thermodynamics!E35</f>
        <v>987.07599999999991</v>
      </c>
      <c r="D23" s="190">
        <f>C23*A23</f>
        <v>1575.7308766405895</v>
      </c>
      <c r="E23" s="190">
        <f t="shared" ref="E23:E28" si="4">D23*$E$20</f>
        <v>437.70302128905263</v>
      </c>
      <c r="G23" s="258" t="s">
        <v>29</v>
      </c>
      <c r="H23" s="212">
        <f>I23*28</f>
        <v>1876.8549611398573</v>
      </c>
      <c r="I23" s="3">
        <f>(A22+A23)*9-A24+A25</f>
        <v>67.030534326423478</v>
      </c>
      <c r="J23" s="3">
        <f t="shared" si="3"/>
        <v>1501.4839689118858</v>
      </c>
      <c r="K23" t="s">
        <v>301</v>
      </c>
    </row>
    <row r="24" spans="1:14" x14ac:dyDescent="0.3">
      <c r="A24" s="215">
        <f>(A22+A23)*9*F24</f>
        <v>7.2867260362692754</v>
      </c>
      <c r="B24" s="229" t="str">
        <f>Thermodynamics!D4</f>
        <v>CO + 0,5 O2 = CO2</v>
      </c>
      <c r="C24" s="230">
        <f>Thermodynamics!E4</f>
        <v>-282.98</v>
      </c>
      <c r="D24" s="190">
        <f>A24*C24</f>
        <v>-2061.9977337434798</v>
      </c>
      <c r="E24" s="190">
        <f t="shared" si="4"/>
        <v>-572.77714826207773</v>
      </c>
      <c r="F24" s="214">
        <v>0.1</v>
      </c>
      <c r="G24" s="258" t="s">
        <v>44</v>
      </c>
      <c r="H24" s="212">
        <f>I24*2</f>
        <v>182.58359240068532</v>
      </c>
      <c r="I24" s="3">
        <f>A22*9+A23*16+5*A25</f>
        <v>91.29179620034266</v>
      </c>
      <c r="J24" s="3">
        <f t="shared" si="3"/>
        <v>2044.9362348876755</v>
      </c>
    </row>
    <row r="25" spans="1:14" x14ac:dyDescent="0.3">
      <c r="A25">
        <v>1.45</v>
      </c>
      <c r="B25" s="193" t="s">
        <v>413</v>
      </c>
      <c r="C25" s="204">
        <f>Thermodynamics!B30+Thermodynamics!B6+Thermodynamics!B3-Thermodynamics!B26</f>
        <v>39.20999999999998</v>
      </c>
      <c r="D25" s="190">
        <f>A25*C25</f>
        <v>56.854499999999966</v>
      </c>
      <c r="E25" s="190">
        <f>D25*$E$20</f>
        <v>15.792916666666658</v>
      </c>
      <c r="F25" s="214"/>
      <c r="G25" s="258" t="s">
        <v>23</v>
      </c>
      <c r="H25" s="212">
        <f>I25*44</f>
        <v>384.41594559584809</v>
      </c>
      <c r="I25" s="3">
        <f>A24+A25</f>
        <v>8.7367260362692747</v>
      </c>
      <c r="J25" s="3">
        <f t="shared" si="3"/>
        <v>195.70266321243173</v>
      </c>
      <c r="N25" s="3"/>
    </row>
    <row r="26" spans="1:14" x14ac:dyDescent="0.3">
      <c r="B26" s="229" t="s">
        <v>388</v>
      </c>
      <c r="C26" s="190"/>
      <c r="D26" s="190">
        <f>SUM(D22:D25)*0.75</f>
        <v>-2583.4742678271678</v>
      </c>
      <c r="E26" s="190">
        <f t="shared" si="4"/>
        <v>-717.63174106310214</v>
      </c>
      <c r="G26" s="258" t="s">
        <v>498</v>
      </c>
      <c r="H26" s="212">
        <f>I26*28</f>
        <v>72.001573834196648</v>
      </c>
      <c r="I26" s="3">
        <f>I21/0.9*0.1</f>
        <v>2.5714847797927374</v>
      </c>
      <c r="J26" s="3">
        <f t="shared" si="3"/>
        <v>57.601259067357311</v>
      </c>
      <c r="L26" t="s">
        <v>521</v>
      </c>
      <c r="N26" s="3">
        <f>SUM(H20:H22)</f>
        <v>2574.0617746113476</v>
      </c>
    </row>
    <row r="27" spans="1:14" x14ac:dyDescent="0.3">
      <c r="B27" s="229" t="s">
        <v>337</v>
      </c>
      <c r="C27" s="190"/>
      <c r="D27" s="190">
        <f>SUM(O13:O14)</f>
        <v>3056.3333333333112</v>
      </c>
      <c r="E27" s="190">
        <f t="shared" si="4"/>
        <v>848.98148148147538</v>
      </c>
      <c r="G27" s="258" t="s">
        <v>415</v>
      </c>
      <c r="H27" s="212">
        <f>I27*D12</f>
        <v>133.4</v>
      </c>
      <c r="I27" s="3">
        <f>A25</f>
        <v>1.45</v>
      </c>
      <c r="J27" s="3">
        <f t="shared" si="3"/>
        <v>32.479999999999997</v>
      </c>
      <c r="L27" s="22">
        <f>H27/J29*1000</f>
        <v>29.947739522253876</v>
      </c>
      <c r="N27" s="3">
        <f>SUM(H27,H23:H25)</f>
        <v>2577.2544991363907</v>
      </c>
    </row>
    <row r="28" spans="1:14" x14ac:dyDescent="0.3">
      <c r="B28" s="229" t="s">
        <v>367</v>
      </c>
      <c r="C28" s="190"/>
      <c r="D28" s="190">
        <f>SUM(D26:D27)</f>
        <v>472.85906550614345</v>
      </c>
      <c r="E28" s="190">
        <f t="shared" si="4"/>
        <v>131.34974041837319</v>
      </c>
      <c r="G28" s="258" t="s">
        <v>431</v>
      </c>
      <c r="H28" s="212">
        <f>I28*18</f>
        <v>500</v>
      </c>
      <c r="I28" s="3">
        <f>I14</f>
        <v>27.777777777777779</v>
      </c>
      <c r="J28" s="3">
        <f t="shared" si="3"/>
        <v>622.22222222222217</v>
      </c>
      <c r="L28" s="244"/>
      <c r="N28" s="3">
        <f>N27-N26</f>
        <v>3.1927245250431042</v>
      </c>
    </row>
    <row r="29" spans="1:14" x14ac:dyDescent="0.3">
      <c r="B29" s="193"/>
      <c r="C29" s="204"/>
      <c r="D29" s="204"/>
      <c r="E29" s="204"/>
      <c r="G29" s="258" t="s">
        <v>280</v>
      </c>
      <c r="H29" s="212"/>
      <c r="I29" s="3"/>
      <c r="J29" s="3">
        <f>SUM(J23:J28)</f>
        <v>4454.426348301572</v>
      </c>
      <c r="L29" s="244"/>
      <c r="N29" s="3"/>
    </row>
    <row r="30" spans="1:14" x14ac:dyDescent="0.3">
      <c r="A30">
        <f>A25/A22</f>
        <v>0.22307692307692306</v>
      </c>
      <c r="G30" s="254" t="s">
        <v>416</v>
      </c>
      <c r="H30" s="254" t="s">
        <v>294</v>
      </c>
      <c r="I30" s="254" t="s">
        <v>266</v>
      </c>
      <c r="J30" s="254" t="s">
        <v>309</v>
      </c>
      <c r="N30" s="3"/>
    </row>
    <row r="31" spans="1:14" x14ac:dyDescent="0.3">
      <c r="B31" s="193"/>
      <c r="C31" s="204"/>
      <c r="D31" s="204"/>
      <c r="E31" s="204"/>
      <c r="G31" s="257" t="s">
        <v>415</v>
      </c>
      <c r="H31" s="3">
        <f>H27</f>
        <v>133.4</v>
      </c>
      <c r="I31" s="3">
        <f>I27</f>
        <v>1.45</v>
      </c>
      <c r="J31" s="3"/>
      <c r="N31" s="3"/>
    </row>
    <row r="32" spans="1:14" x14ac:dyDescent="0.3">
      <c r="B32" t="s">
        <v>256</v>
      </c>
      <c r="C32" s="204">
        <v>-41.153999999999996</v>
      </c>
      <c r="D32" s="3"/>
      <c r="E32" s="3"/>
      <c r="G32" s="257" t="s">
        <v>255</v>
      </c>
      <c r="H32" s="3">
        <f>I32*32</f>
        <v>97.44</v>
      </c>
      <c r="I32" s="3">
        <f>A43*7/2</f>
        <v>3.0449999999999999</v>
      </c>
      <c r="J32" s="3">
        <f t="shared" ref="J32:J33" si="5">I32*22.4</f>
        <v>68.207999999999998</v>
      </c>
      <c r="K32" t="s">
        <v>300</v>
      </c>
      <c r="L32" s="245">
        <f>H32/SUM(J23:J26)</f>
        <v>2.5643966974134257E-2</v>
      </c>
      <c r="N32" s="3"/>
    </row>
    <row r="33" spans="1:15" x14ac:dyDescent="0.3">
      <c r="C33" s="204"/>
      <c r="D33" s="3"/>
      <c r="E33" s="3"/>
      <c r="G33" s="257" t="s">
        <v>497</v>
      </c>
      <c r="H33" s="3">
        <f>I33*28</f>
        <v>127.89</v>
      </c>
      <c r="I33" s="3">
        <f>I32/0.4*0.6</f>
        <v>4.5674999999999999</v>
      </c>
      <c r="J33" s="3">
        <f t="shared" si="5"/>
        <v>102.312</v>
      </c>
      <c r="N33" s="3"/>
    </row>
    <row r="34" spans="1:15" x14ac:dyDescent="0.3">
      <c r="B34" t="s">
        <v>308</v>
      </c>
      <c r="C34" s="204">
        <f>Thermodynamics!$E$18</f>
        <v>-205.82599999999999</v>
      </c>
      <c r="G34" s="257" t="s">
        <v>423</v>
      </c>
      <c r="H34" s="3">
        <f>I34*18</f>
        <v>73.08</v>
      </c>
      <c r="I34" s="3">
        <f>A44*7</f>
        <v>4.0599999999999996</v>
      </c>
      <c r="J34" s="3"/>
      <c r="L34" s="245">
        <f>H34/SUM(J23:J26)</f>
        <v>1.9232975230600694E-2</v>
      </c>
      <c r="N34" s="3"/>
    </row>
    <row r="35" spans="1:15" x14ac:dyDescent="0.3">
      <c r="C35" s="204"/>
      <c r="G35" t="s">
        <v>417</v>
      </c>
      <c r="H35" s="3">
        <f>I35*28</f>
        <v>284.2</v>
      </c>
      <c r="I35" s="3">
        <f>(A43+A44)*7</f>
        <v>10.15</v>
      </c>
      <c r="J35" s="3"/>
      <c r="N35" s="3"/>
    </row>
    <row r="36" spans="1:15" x14ac:dyDescent="0.3">
      <c r="B36" t="s">
        <v>319</v>
      </c>
      <c r="C36" s="204">
        <f>Thermodynamics!$E$19</f>
        <v>-90.389999999999986</v>
      </c>
      <c r="F36" s="214"/>
      <c r="G36" t="s">
        <v>421</v>
      </c>
      <c r="H36" s="3">
        <f>I36*2</f>
        <v>19.72</v>
      </c>
      <c r="I36" s="3">
        <f>(A43*4)+A44*11</f>
        <v>9.86</v>
      </c>
      <c r="J36" s="3"/>
      <c r="N36" s="3"/>
    </row>
    <row r="37" spans="1:15" x14ac:dyDescent="0.3">
      <c r="C37" s="204"/>
      <c r="G37" s="258" t="s">
        <v>418</v>
      </c>
      <c r="H37" s="212">
        <f>I37*28</f>
        <v>2161.0549611398574</v>
      </c>
      <c r="I37" s="3">
        <f>I23+I35</f>
        <v>77.180534326423484</v>
      </c>
      <c r="J37" s="3">
        <f t="shared" ref="J37:J41" si="6">I37*22.4</f>
        <v>1728.8439689118859</v>
      </c>
      <c r="N37" s="3"/>
    </row>
    <row r="38" spans="1:15" x14ac:dyDescent="0.3">
      <c r="C38" s="204" t="s">
        <v>387</v>
      </c>
      <c r="D38" t="s">
        <v>15</v>
      </c>
      <c r="G38" s="258" t="s">
        <v>422</v>
      </c>
      <c r="H38" s="212">
        <f>I38*2</f>
        <v>202.30359240068532</v>
      </c>
      <c r="I38" s="3">
        <f>I36+I24</f>
        <v>101.15179620034266</v>
      </c>
      <c r="J38" s="3">
        <f t="shared" si="6"/>
        <v>2265.8002348876753</v>
      </c>
      <c r="N38" s="3"/>
    </row>
    <row r="39" spans="1:15" x14ac:dyDescent="0.3">
      <c r="B39" s="229" t="s">
        <v>386</v>
      </c>
      <c r="C39" s="259">
        <f>9*(Thermodynamics!B3+Thermodynamics!B4)-Thermodynamics!B26</f>
        <v>-5187.134</v>
      </c>
      <c r="D39" s="259">
        <f>C39/Thermodynamics!B27</f>
        <v>-29.811114942528736</v>
      </c>
      <c r="G39" s="258" t="s">
        <v>23</v>
      </c>
      <c r="H39" s="212">
        <f>I39*44</f>
        <v>384.41594559584809</v>
      </c>
      <c r="I39" s="3">
        <f>I25</f>
        <v>8.7367260362692747</v>
      </c>
      <c r="J39" s="3">
        <f t="shared" si="6"/>
        <v>195.70266321243173</v>
      </c>
      <c r="N39" s="3" t="s">
        <v>434</v>
      </c>
    </row>
    <row r="40" spans="1:15" x14ac:dyDescent="0.3">
      <c r="B40" t="s">
        <v>389</v>
      </c>
      <c r="D40">
        <v>-22.4</v>
      </c>
      <c r="G40" s="258" t="s">
        <v>433</v>
      </c>
      <c r="H40" s="212">
        <f>I40*28</f>
        <v>199.89157383419666</v>
      </c>
      <c r="I40" s="3">
        <f>I33+I26</f>
        <v>7.1389847797927377</v>
      </c>
      <c r="J40" s="3">
        <f t="shared" si="6"/>
        <v>159.9132590673573</v>
      </c>
      <c r="N40" s="3"/>
    </row>
    <row r="41" spans="1:15" x14ac:dyDescent="0.3">
      <c r="B41" t="s">
        <v>390</v>
      </c>
      <c r="D41" s="162">
        <f>D40/D39</f>
        <v>0.75139759258195371</v>
      </c>
      <c r="G41" t="s">
        <v>431</v>
      </c>
      <c r="H41" s="212">
        <f>I41*18</f>
        <v>426.92</v>
      </c>
      <c r="I41" s="3">
        <f>I14-I34</f>
        <v>23.71777777777778</v>
      </c>
      <c r="J41" s="3">
        <f t="shared" si="6"/>
        <v>531.27822222222221</v>
      </c>
      <c r="N41" t="s">
        <v>302</v>
      </c>
    </row>
    <row r="42" spans="1:15" x14ac:dyDescent="0.3">
      <c r="G42" s="246" t="s">
        <v>488</v>
      </c>
      <c r="H42" s="3">
        <f>I42*(32)</f>
        <v>1618.4287392054825</v>
      </c>
      <c r="I42" s="3">
        <f>I38/2</f>
        <v>50.575898100171329</v>
      </c>
      <c r="J42" s="3"/>
      <c r="N42" s="215">
        <v>17.405517576941115</v>
      </c>
      <c r="O42" t="s">
        <v>424</v>
      </c>
    </row>
    <row r="43" spans="1:15" x14ac:dyDescent="0.3">
      <c r="A43">
        <f>60%*A25</f>
        <v>0.87</v>
      </c>
      <c r="B43" t="s">
        <v>420</v>
      </c>
      <c r="C43">
        <f>7*Thermodynamics!B6-Thermodynamics!B30</f>
        <v>-786.07</v>
      </c>
      <c r="D43" s="190">
        <f>A43*C43</f>
        <v>-683.8809</v>
      </c>
      <c r="E43" s="190">
        <f>D43*$E$20</f>
        <v>-189.96691666666666</v>
      </c>
      <c r="H43" s="3"/>
      <c r="I43" s="3"/>
      <c r="J43" s="3"/>
      <c r="N43" s="3">
        <f>(I38+N42)/(I37-N42)</f>
        <v>1.9833923974318326</v>
      </c>
      <c r="O43" t="s">
        <v>425</v>
      </c>
    </row>
    <row r="44" spans="1:15" x14ac:dyDescent="0.3">
      <c r="A44">
        <f>40%*A25</f>
        <v>0.57999999999999996</v>
      </c>
      <c r="B44" t="s">
        <v>419</v>
      </c>
      <c r="C44">
        <f>7*Thermodynamics!B6-Thermodynamics!B30-7*Thermodynamics!B4</f>
        <v>906.71199999999988</v>
      </c>
      <c r="D44" s="190">
        <f>C44*A44</f>
        <v>525.8929599999999</v>
      </c>
      <c r="E44" s="190">
        <f t="shared" ref="E44" si="7">D44*$E$20</f>
        <v>146.08137777777776</v>
      </c>
      <c r="G44" s="193" t="s">
        <v>515</v>
      </c>
      <c r="H44" t="s">
        <v>375</v>
      </c>
      <c r="N44" t="s">
        <v>428</v>
      </c>
    </row>
    <row r="45" spans="1:15" x14ac:dyDescent="0.3">
      <c r="E45" s="204">
        <f>SUM(E43:E44)</f>
        <v>-43.885538888888902</v>
      </c>
      <c r="G45" t="s">
        <v>327</v>
      </c>
      <c r="H45">
        <f>I45*18</f>
        <v>426.92</v>
      </c>
      <c r="I45" s="3">
        <f>I14-I34</f>
        <v>23.71777777777778</v>
      </c>
      <c r="J45" s="3"/>
      <c r="K45" t="s">
        <v>306</v>
      </c>
      <c r="N45" s="3">
        <f>N42-I45</f>
        <v>-6.3122602008366648</v>
      </c>
    </row>
    <row r="46" spans="1:15" hidden="1" x14ac:dyDescent="0.3">
      <c r="E46" s="3">
        <f>E45/SUM(J23:J26)</f>
        <v>-1.1549664510557795E-2</v>
      </c>
      <c r="K46" s="231">
        <f>I52*Thermodynamics!E5*1.5</f>
        <v>416.64704681642479</v>
      </c>
      <c r="L46" s="221" t="s">
        <v>381</v>
      </c>
    </row>
    <row r="47" spans="1:15" ht="15" hidden="1" thickBot="1" x14ac:dyDescent="0.35">
      <c r="F47" t="s">
        <v>437</v>
      </c>
      <c r="G47" t="s">
        <v>427</v>
      </c>
      <c r="H47" s="3">
        <f>I47*18</f>
        <v>313.29931638494008</v>
      </c>
      <c r="I47" s="3">
        <f>N42</f>
        <v>17.405517576941115</v>
      </c>
      <c r="J47" s="3"/>
      <c r="K47" s="224">
        <f>K46*$E$20</f>
        <v>115.73529078234023</v>
      </c>
      <c r="L47" s="225" t="s">
        <v>374</v>
      </c>
    </row>
    <row r="48" spans="1:15" hidden="1" x14ac:dyDescent="0.3">
      <c r="B48" t="s">
        <v>489</v>
      </c>
      <c r="C48">
        <f>12+3+16+1</f>
        <v>32</v>
      </c>
      <c r="G48" s="211" t="s">
        <v>29</v>
      </c>
      <c r="H48" s="212">
        <f>I48*28</f>
        <v>1673.7004689855064</v>
      </c>
      <c r="I48" s="212">
        <f>I37-N42</f>
        <v>59.775016749482369</v>
      </c>
      <c r="J48" s="212">
        <f>I48*22.4</f>
        <v>1338.9603751884049</v>
      </c>
    </row>
    <row r="49" spans="7:14" hidden="1" x14ac:dyDescent="0.3">
      <c r="G49" s="211" t="s">
        <v>44</v>
      </c>
      <c r="H49" s="212">
        <f>I49*2</f>
        <v>237.11462755456756</v>
      </c>
      <c r="I49" s="212">
        <f>I38+N42</f>
        <v>118.55731377728378</v>
      </c>
      <c r="J49" s="212">
        <f>I49*22.4</f>
        <v>2655.6838286111565</v>
      </c>
    </row>
    <row r="50" spans="7:14" hidden="1" x14ac:dyDescent="0.3">
      <c r="G50" s="211" t="s">
        <v>23</v>
      </c>
      <c r="H50" s="212">
        <f>I50*44</f>
        <v>1150.2587189812571</v>
      </c>
      <c r="I50" s="212">
        <f>N42+I39</f>
        <v>26.14224361321039</v>
      </c>
      <c r="J50" s="212">
        <f>I50*22.4</f>
        <v>585.58625693591273</v>
      </c>
    </row>
    <row r="51" spans="7:14" hidden="1" x14ac:dyDescent="0.3">
      <c r="G51" s="211" t="s">
        <v>446</v>
      </c>
      <c r="H51" s="212">
        <f>I51*28</f>
        <v>199.89157383419666</v>
      </c>
      <c r="I51" s="212">
        <f>I40</f>
        <v>7.1389847797927377</v>
      </c>
      <c r="J51" s="212">
        <f>I51*22.4</f>
        <v>159.9132590673573</v>
      </c>
    </row>
    <row r="52" spans="7:14" hidden="1" x14ac:dyDescent="0.3">
      <c r="G52" s="211" t="s">
        <v>426</v>
      </c>
      <c r="H52" s="212">
        <f>I52*18</f>
        <v>113.62068361505996</v>
      </c>
      <c r="I52" s="212">
        <f>I41-N42</f>
        <v>6.3122602008366648</v>
      </c>
      <c r="J52" s="212">
        <f>I52*22.4</f>
        <v>141.39462849874127</v>
      </c>
      <c r="N52" s="23">
        <f>J52/SUM(J37:J40)</f>
        <v>3.250256867424902E-2</v>
      </c>
    </row>
    <row r="53" spans="7:14" hidden="1" x14ac:dyDescent="0.3">
      <c r="G53" s="211" t="s">
        <v>311</v>
      </c>
      <c r="H53" s="211"/>
      <c r="I53" s="212"/>
      <c r="J53" s="212">
        <f>SUM(J48:J50)</f>
        <v>4580.2304607354736</v>
      </c>
      <c r="K53" s="227">
        <f>C32*I48*K12</f>
        <v>-2459.9810393081971</v>
      </c>
      <c r="L53" s="221" t="s">
        <v>358</v>
      </c>
    </row>
    <row r="54" spans="7:14" ht="15" hidden="1" thickBot="1" x14ac:dyDescent="0.35">
      <c r="G54" s="193" t="s">
        <v>307</v>
      </c>
      <c r="H54" t="s">
        <v>357</v>
      </c>
      <c r="I54" t="s">
        <v>377</v>
      </c>
      <c r="K54" s="224">
        <f>K53*$E$20</f>
        <v>-683.32806647449922</v>
      </c>
      <c r="L54" s="225" t="s">
        <v>370</v>
      </c>
      <c r="N54" s="23">
        <f>K54/SUM(J37:J40)</f>
        <v>-0.15707751873917139</v>
      </c>
    </row>
    <row r="55" spans="7:14" hidden="1" x14ac:dyDescent="0.3">
      <c r="G55" s="209" t="str">
        <f>G51</f>
        <v xml:space="preserve">N2  </v>
      </c>
      <c r="H55" s="210">
        <f>H51</f>
        <v>199.89157383419666</v>
      </c>
      <c r="I55" s="210">
        <f>I51</f>
        <v>7.1389847797927377</v>
      </c>
      <c r="J55" s="210">
        <f>J51</f>
        <v>159.9132590673573</v>
      </c>
      <c r="K55" s="161"/>
    </row>
    <row r="56" spans="7:14" hidden="1" x14ac:dyDescent="0.3">
      <c r="G56" s="209" t="s">
        <v>29</v>
      </c>
      <c r="H56" s="210">
        <f>I56*18</f>
        <v>1075.9503014906827</v>
      </c>
      <c r="I56" s="210">
        <f>I48</f>
        <v>59.775016749482369</v>
      </c>
      <c r="J56" s="210">
        <f>I56*22.4</f>
        <v>1338.9603751884049</v>
      </c>
      <c r="K56" s="234" t="s">
        <v>396</v>
      </c>
      <c r="L56" s="235"/>
    </row>
    <row r="57" spans="7:14" hidden="1" x14ac:dyDescent="0.3">
      <c r="G57" s="209" t="s">
        <v>44</v>
      </c>
      <c r="H57" s="210">
        <f>I57*2</f>
        <v>237.11462755456756</v>
      </c>
      <c r="I57" s="210">
        <f>I49</f>
        <v>118.55731377728378</v>
      </c>
      <c r="J57" s="210">
        <f>I57*22.4</f>
        <v>2655.6838286111565</v>
      </c>
      <c r="K57" s="161"/>
    </row>
    <row r="58" spans="7:14" hidden="1" x14ac:dyDescent="0.3">
      <c r="G58" s="209" t="s">
        <v>310</v>
      </c>
      <c r="H58" s="210"/>
      <c r="I58" s="210"/>
      <c r="J58" s="210">
        <f>SUM(J56:J57)</f>
        <v>3994.6442037995612</v>
      </c>
      <c r="K58" s="161"/>
    </row>
    <row r="59" spans="7:14" hidden="1" x14ac:dyDescent="0.3">
      <c r="G59" s="211" t="str">
        <f>G51</f>
        <v xml:space="preserve">N2  </v>
      </c>
      <c r="H59" s="212">
        <f>H51</f>
        <v>199.89157383419666</v>
      </c>
      <c r="I59" s="212">
        <f>I51</f>
        <v>7.1389847797927377</v>
      </c>
      <c r="J59" s="212">
        <f>J51</f>
        <v>159.9132590673573</v>
      </c>
      <c r="K59" s="161"/>
    </row>
    <row r="60" spans="7:14" hidden="1" x14ac:dyDescent="0.3">
      <c r="G60" s="211" t="s">
        <v>259</v>
      </c>
      <c r="H60" s="212">
        <f>I60*16</f>
        <v>956.4002679917179</v>
      </c>
      <c r="I60" s="212">
        <f>I56</f>
        <v>59.775016749482369</v>
      </c>
      <c r="J60" s="212">
        <f>I60*22.4</f>
        <v>1338.9603751884049</v>
      </c>
      <c r="K60" s="161"/>
    </row>
    <row r="61" spans="7:14" hidden="1" x14ac:dyDescent="0.3">
      <c r="G61" s="211" t="s">
        <v>225</v>
      </c>
      <c r="H61" s="212">
        <f>I61*18</f>
        <v>1075.9503014906827</v>
      </c>
      <c r="I61" s="212">
        <f>I56</f>
        <v>59.775016749482369</v>
      </c>
      <c r="J61" s="212">
        <f>I61*22.4</f>
        <v>1338.9603751884049</v>
      </c>
      <c r="K61" s="161"/>
    </row>
    <row r="62" spans="7:14" hidden="1" x14ac:dyDescent="0.3">
      <c r="G62" s="211" t="s">
        <v>311</v>
      </c>
      <c r="H62" s="211"/>
      <c r="I62" s="211"/>
      <c r="J62" s="212">
        <f>SUM(J60:J61)</f>
        <v>2677.9207503768098</v>
      </c>
      <c r="K62" s="227">
        <f>C34*I56*K12</f>
        <v>-12303.252597478957</v>
      </c>
      <c r="L62" s="221" t="s">
        <v>355</v>
      </c>
    </row>
    <row r="63" spans="7:14" ht="15" hidden="1" thickBot="1" x14ac:dyDescent="0.35">
      <c r="K63" s="224">
        <f>K62*$E$20</f>
        <v>-3417.5701659663769</v>
      </c>
      <c r="L63" s="225" t="s">
        <v>370</v>
      </c>
    </row>
    <row r="64" spans="7:14" x14ac:dyDescent="0.3">
      <c r="K64" s="161"/>
    </row>
    <row r="65" spans="7:12" x14ac:dyDescent="0.3">
      <c r="G65" s="254" t="s">
        <v>491</v>
      </c>
      <c r="H65" s="254" t="s">
        <v>294</v>
      </c>
      <c r="I65" s="254" t="s">
        <v>266</v>
      </c>
      <c r="J65" s="254" t="s">
        <v>309</v>
      </c>
      <c r="K65" s="161"/>
      <c r="L65" t="s">
        <v>441</v>
      </c>
    </row>
    <row r="66" spans="7:12" x14ac:dyDescent="0.3">
      <c r="G66" s="258" t="s">
        <v>29</v>
      </c>
      <c r="H66" s="3">
        <f>I66*28</f>
        <v>2161.0549611398574</v>
      </c>
      <c r="I66" s="3">
        <f>I37</f>
        <v>77.180534326423484</v>
      </c>
      <c r="J66" s="3">
        <f>I66*22.4</f>
        <v>1728.8439689118859</v>
      </c>
      <c r="K66" s="161"/>
      <c r="L66" s="162">
        <f>I66/$I$73</f>
        <v>0.39741163029485266</v>
      </c>
    </row>
    <row r="67" spans="7:12" x14ac:dyDescent="0.3">
      <c r="G67" s="258" t="s">
        <v>44</v>
      </c>
      <c r="H67" s="3">
        <f>I67*2</f>
        <v>202.30359240068532</v>
      </c>
      <c r="I67" s="3">
        <f>I38</f>
        <v>101.15179620034266</v>
      </c>
      <c r="J67" s="3">
        <f t="shared" ref="J67:J70" si="8">I67*22.4</f>
        <v>2265.8002348876753</v>
      </c>
      <c r="K67" s="161"/>
      <c r="L67" s="162">
        <f t="shared" ref="L67:L69" si="9">I67/$I$73</f>
        <v>0.52084247130520822</v>
      </c>
    </row>
    <row r="68" spans="7:12" x14ac:dyDescent="0.3">
      <c r="G68" s="258" t="s">
        <v>23</v>
      </c>
      <c r="H68" s="3">
        <f>I68*44</f>
        <v>384.41594559584809</v>
      </c>
      <c r="I68" s="3">
        <f>I39</f>
        <v>8.7367260362692747</v>
      </c>
      <c r="J68" s="3">
        <f t="shared" si="8"/>
        <v>195.70266321243173</v>
      </c>
      <c r="K68" s="161"/>
      <c r="L68" s="162">
        <f t="shared" si="9"/>
        <v>4.4986427832031224E-2</v>
      </c>
    </row>
    <row r="69" spans="7:12" x14ac:dyDescent="0.3">
      <c r="G69" s="258" t="s">
        <v>45</v>
      </c>
      <c r="H69" s="3">
        <f>I69*28</f>
        <v>199.89157383419666</v>
      </c>
      <c r="I69" s="3">
        <f>I40</f>
        <v>7.1389847797927377</v>
      </c>
      <c r="J69" s="3">
        <f t="shared" si="8"/>
        <v>159.9132590673573</v>
      </c>
      <c r="K69" s="161">
        <f>SUM(J66:J69)</f>
        <v>4350.2601260793499</v>
      </c>
      <c r="L69" s="162">
        <f t="shared" si="9"/>
        <v>3.6759470567907931E-2</v>
      </c>
    </row>
    <row r="70" spans="7:12" x14ac:dyDescent="0.3">
      <c r="G70" s="211" t="s">
        <v>447</v>
      </c>
      <c r="H70" s="3">
        <f>I70*18</f>
        <v>426.92</v>
      </c>
      <c r="I70" s="3">
        <f>I41</f>
        <v>23.71777777777778</v>
      </c>
      <c r="J70" s="3">
        <f t="shared" si="8"/>
        <v>531.27822222222221</v>
      </c>
      <c r="K70" s="161"/>
    </row>
    <row r="71" spans="7:12" x14ac:dyDescent="0.3">
      <c r="G71" s="211" t="s">
        <v>448</v>
      </c>
      <c r="H71" s="3">
        <f>SUM(H66:H68)</f>
        <v>2747.7744991363907</v>
      </c>
      <c r="I71" s="3">
        <f t="shared" ref="I71:J71" si="10">SUM(I66:I68)</f>
        <v>187.06905656303542</v>
      </c>
      <c r="J71" s="3">
        <f t="shared" si="10"/>
        <v>4190.3468670119928</v>
      </c>
      <c r="K71" s="161"/>
    </row>
    <row r="72" spans="7:12" x14ac:dyDescent="0.3">
      <c r="G72" s="211" t="s">
        <v>45</v>
      </c>
      <c r="H72" s="3">
        <f>H69</f>
        <v>199.89157383419666</v>
      </c>
      <c r="I72" s="3">
        <f t="shared" ref="I72:J72" si="11">I69</f>
        <v>7.1389847797927377</v>
      </c>
      <c r="J72" s="3">
        <f t="shared" si="11"/>
        <v>159.9132590673573</v>
      </c>
      <c r="K72" s="161"/>
    </row>
    <row r="73" spans="7:12" x14ac:dyDescent="0.3">
      <c r="G73" s="211" t="s">
        <v>500</v>
      </c>
      <c r="H73" s="3">
        <f>SUM(H71:H72)</f>
        <v>2947.6660729705873</v>
      </c>
      <c r="I73" s="3">
        <f t="shared" ref="I73:J73" si="12">SUM(I71:I72)</f>
        <v>194.20804134282815</v>
      </c>
      <c r="J73" s="3">
        <f t="shared" si="12"/>
        <v>4350.2601260793499</v>
      </c>
      <c r="K73" s="161"/>
    </row>
    <row r="74" spans="7:12" x14ac:dyDescent="0.3">
      <c r="G74" s="211"/>
      <c r="H74" s="3"/>
      <c r="K74" s="161"/>
    </row>
    <row r="75" spans="7:12" x14ac:dyDescent="0.3">
      <c r="G75" s="254" t="s">
        <v>449</v>
      </c>
      <c r="H75" s="254" t="s">
        <v>294</v>
      </c>
      <c r="I75" s="254" t="s">
        <v>266</v>
      </c>
      <c r="J75" s="254" t="s">
        <v>309</v>
      </c>
      <c r="K75" s="161"/>
    </row>
    <row r="76" spans="7:12" x14ac:dyDescent="0.3">
      <c r="G76" s="211" t="s">
        <v>29</v>
      </c>
      <c r="H76" s="3">
        <f>I76*28</f>
        <v>0</v>
      </c>
      <c r="I76" s="3">
        <v>0</v>
      </c>
      <c r="J76" s="212">
        <f>I76*22.4</f>
        <v>0</v>
      </c>
      <c r="K76" s="161"/>
    </row>
    <row r="77" spans="7:12" x14ac:dyDescent="0.3">
      <c r="G77" s="258" t="s">
        <v>44</v>
      </c>
      <c r="H77" s="3">
        <f>I77*2</f>
        <v>1146.3870236038836</v>
      </c>
      <c r="I77" s="3">
        <f>(1/F89-1)*I67</f>
        <v>573.19351180194178</v>
      </c>
      <c r="J77" s="212">
        <f>I77*22.4</f>
        <v>12839.534664363495</v>
      </c>
      <c r="K77" s="161"/>
    </row>
    <row r="78" spans="7:12" x14ac:dyDescent="0.3">
      <c r="G78" s="211" t="s">
        <v>452</v>
      </c>
      <c r="H78" s="3">
        <f>SUM(H76:H77)</f>
        <v>1146.3870236038836</v>
      </c>
      <c r="J78" s="3">
        <f>SUM(J76:J77)</f>
        <v>12839.534664363495</v>
      </c>
      <c r="K78" s="161"/>
    </row>
    <row r="79" spans="7:12" x14ac:dyDescent="0.3">
      <c r="G79" s="211"/>
      <c r="H79" s="3"/>
      <c r="K79" s="161"/>
    </row>
    <row r="80" spans="7:12" x14ac:dyDescent="0.3">
      <c r="G80" s="254" t="s">
        <v>450</v>
      </c>
      <c r="H80" s="254" t="s">
        <v>294</v>
      </c>
      <c r="I80" s="254" t="s">
        <v>266</v>
      </c>
      <c r="J80" s="254" t="s">
        <v>309</v>
      </c>
      <c r="K80" s="161"/>
    </row>
    <row r="81" spans="5:13" x14ac:dyDescent="0.3">
      <c r="G81" s="258" t="s">
        <v>29</v>
      </c>
      <c r="H81" s="3">
        <f>I81*28</f>
        <v>2161.0549611398574</v>
      </c>
      <c r="I81" s="3">
        <f t="shared" ref="I81" si="13">I76+I66</f>
        <v>77.180534326423484</v>
      </c>
      <c r="J81" s="3">
        <f>I81*22.4</f>
        <v>1728.8439689118859</v>
      </c>
      <c r="K81" s="161"/>
      <c r="L81" s="207">
        <f>I81/$I$87</f>
        <v>0.10057385733732468</v>
      </c>
    </row>
    <row r="82" spans="5:13" x14ac:dyDescent="0.3">
      <c r="G82" s="258" t="s">
        <v>44</v>
      </c>
      <c r="H82" s="3">
        <f>I82*2</f>
        <v>1348.6906160045689</v>
      </c>
      <c r="I82" s="3">
        <f t="shared" ref="I82" si="14">I67+I77</f>
        <v>674.34530800228447</v>
      </c>
      <c r="J82" s="3">
        <f t="shared" ref="J82:J86" si="15">I82*22.4</f>
        <v>15105.334899251171</v>
      </c>
      <c r="K82" s="161"/>
      <c r="L82" s="207">
        <f t="shared" ref="L82:L87" si="16">I82/$I$87</f>
        <v>0.87873852383912165</v>
      </c>
    </row>
    <row r="83" spans="5:13" x14ac:dyDescent="0.3">
      <c r="G83" s="258" t="s">
        <v>23</v>
      </c>
      <c r="H83" s="3">
        <f>I83*44</f>
        <v>384.41594559584809</v>
      </c>
      <c r="I83" s="3">
        <f>I68</f>
        <v>8.7367260362692747</v>
      </c>
      <c r="J83" s="3">
        <f t="shared" si="15"/>
        <v>195.70266321243173</v>
      </c>
      <c r="K83" s="161"/>
      <c r="L83" s="207">
        <f t="shared" si="16"/>
        <v>1.1384816724004069E-2</v>
      </c>
    </row>
    <row r="84" spans="5:13" x14ac:dyDescent="0.3">
      <c r="G84" s="258" t="s">
        <v>45</v>
      </c>
      <c r="H84" s="3">
        <f>I84*28</f>
        <v>199.89157383419666</v>
      </c>
      <c r="I84" s="3">
        <f>I69</f>
        <v>7.1389847797927377</v>
      </c>
      <c r="J84" s="3">
        <f t="shared" si="15"/>
        <v>159.9132590673573</v>
      </c>
      <c r="K84" s="161"/>
      <c r="L84" s="207">
        <f t="shared" si="16"/>
        <v>9.3028020995495307E-3</v>
      </c>
    </row>
    <row r="85" spans="5:13" x14ac:dyDescent="0.3">
      <c r="G85" s="211" t="s">
        <v>451</v>
      </c>
      <c r="H85" s="3">
        <f>SUM(H81:H83)</f>
        <v>3894.1615227402744</v>
      </c>
      <c r="I85" s="3">
        <f>SUM(I81:I83)</f>
        <v>760.26256836497726</v>
      </c>
      <c r="J85" s="3">
        <f>SUM(J81:J83)</f>
        <v>17029.881531375489</v>
      </c>
      <c r="K85" s="161"/>
      <c r="L85" s="162">
        <f t="shared" si="16"/>
        <v>0.99069719790045052</v>
      </c>
    </row>
    <row r="86" spans="5:13" x14ac:dyDescent="0.3">
      <c r="G86" s="211" t="s">
        <v>45</v>
      </c>
      <c r="H86" s="3">
        <f>I86*28</f>
        <v>199.89157383419666</v>
      </c>
      <c r="I86" s="3">
        <f>I84</f>
        <v>7.1389847797927377</v>
      </c>
      <c r="J86" s="3">
        <f t="shared" si="15"/>
        <v>159.9132590673573</v>
      </c>
      <c r="K86" s="161"/>
      <c r="L86" s="162">
        <f>I86/$I$87</f>
        <v>9.3028020995495307E-3</v>
      </c>
    </row>
    <row r="87" spans="5:13" x14ac:dyDescent="0.3">
      <c r="G87" s="211" t="s">
        <v>494</v>
      </c>
      <c r="H87" s="3">
        <f>SUM(H85:H86)</f>
        <v>4094.0530965744711</v>
      </c>
      <c r="I87" s="3">
        <f t="shared" ref="I87:J87" si="17">SUM(I85:I86)</f>
        <v>767.40155314476999</v>
      </c>
      <c r="J87" s="3">
        <f t="shared" si="17"/>
        <v>17189.794790442847</v>
      </c>
      <c r="K87" s="161"/>
      <c r="L87" s="162">
        <f t="shared" si="16"/>
        <v>1</v>
      </c>
    </row>
    <row r="88" spans="5:13" x14ac:dyDescent="0.3">
      <c r="E88" t="s">
        <v>438</v>
      </c>
      <c r="G88" s="254" t="s">
        <v>516</v>
      </c>
      <c r="H88" s="254" t="s">
        <v>294</v>
      </c>
      <c r="I88" s="254" t="s">
        <v>266</v>
      </c>
      <c r="J88" s="254" t="s">
        <v>309</v>
      </c>
      <c r="K88" s="161"/>
      <c r="L88" t="s">
        <v>492</v>
      </c>
      <c r="M88" t="s">
        <v>493</v>
      </c>
    </row>
    <row r="89" spans="5:13" x14ac:dyDescent="0.3">
      <c r="F89" s="214">
        <v>0.15</v>
      </c>
      <c r="G89" s="258" t="s">
        <v>517</v>
      </c>
      <c r="H89" s="3">
        <f>I89*32</f>
        <v>1618.4287392054828</v>
      </c>
      <c r="I89" s="3">
        <f>I82*F89/2</f>
        <v>50.575898100171337</v>
      </c>
      <c r="J89" s="3">
        <f t="shared" ref="J89:J93" si="18">I89*22.4</f>
        <v>1132.9001174438379</v>
      </c>
      <c r="K89" s="161"/>
      <c r="L89" s="207">
        <f>I89/$I$94</f>
        <v>7.5911319400886371E-2</v>
      </c>
      <c r="M89" s="3">
        <f>L89*30</f>
        <v>2.2773395820265909</v>
      </c>
    </row>
    <row r="90" spans="5:13" x14ac:dyDescent="0.3">
      <c r="G90" s="258" t="s">
        <v>29</v>
      </c>
      <c r="H90" s="3">
        <f>I90*28</f>
        <v>744.92981433506009</v>
      </c>
      <c r="I90" s="3">
        <f>I81-I89</f>
        <v>26.604636226252147</v>
      </c>
      <c r="J90" s="3">
        <f t="shared" si="18"/>
        <v>595.94385146804802</v>
      </c>
      <c r="K90" s="161"/>
      <c r="L90" s="207">
        <f t="shared" ref="L90:L93" si="19">I90/$I$94</f>
        <v>3.9931926351863975E-2</v>
      </c>
      <c r="M90" s="3">
        <f t="shared" ref="M90:M93" si="20">L90*30</f>
        <v>1.1979577905559193</v>
      </c>
    </row>
    <row r="91" spans="5:13" x14ac:dyDescent="0.3">
      <c r="G91" s="258" t="s">
        <v>44</v>
      </c>
      <c r="H91" s="3">
        <f>I91*2</f>
        <v>1146.3870236038836</v>
      </c>
      <c r="I91" s="181">
        <f>I82-2*I89</f>
        <v>573.19351180194178</v>
      </c>
      <c r="J91" s="3">
        <f t="shared" si="18"/>
        <v>12839.534664363495</v>
      </c>
      <c r="K91" s="161">
        <f>SUM(J90:J91)</f>
        <v>13435.478515831543</v>
      </c>
      <c r="L91" s="207">
        <f t="shared" si="19"/>
        <v>0.8603282865433789</v>
      </c>
      <c r="M91" s="3">
        <f t="shared" si="20"/>
        <v>25.809848596301368</v>
      </c>
    </row>
    <row r="92" spans="5:13" x14ac:dyDescent="0.3">
      <c r="G92" s="258" t="s">
        <v>23</v>
      </c>
      <c r="H92" s="3">
        <f>I92*44</f>
        <v>384.41594559584809</v>
      </c>
      <c r="I92" s="3">
        <f>I83</f>
        <v>8.7367260362692747</v>
      </c>
      <c r="J92" s="3">
        <f t="shared" si="18"/>
        <v>195.70266321243173</v>
      </c>
      <c r="K92" s="161"/>
      <c r="L92" s="207">
        <f t="shared" si="19"/>
        <v>1.311328964131692E-2</v>
      </c>
      <c r="M92" s="3">
        <f t="shared" si="20"/>
        <v>0.3933986892395076</v>
      </c>
    </row>
    <row r="93" spans="5:13" x14ac:dyDescent="0.3">
      <c r="G93" s="258" t="s">
        <v>45</v>
      </c>
      <c r="H93" s="3">
        <f>I93*28</f>
        <v>199.89157383419666</v>
      </c>
      <c r="I93" s="3">
        <f>I84</f>
        <v>7.1389847797927377</v>
      </c>
      <c r="J93" s="3">
        <f t="shared" si="18"/>
        <v>159.9132590673573</v>
      </c>
      <c r="K93" s="161">
        <f>SUM(J92:J93)</f>
        <v>355.61592227978906</v>
      </c>
      <c r="L93" s="207">
        <f t="shared" si="19"/>
        <v>1.0715178062553813E-2</v>
      </c>
      <c r="M93" s="3">
        <f t="shared" si="20"/>
        <v>0.3214553418766144</v>
      </c>
    </row>
    <row r="94" spans="5:13" x14ac:dyDescent="0.3">
      <c r="G94" s="211" t="s">
        <v>280</v>
      </c>
      <c r="H94" s="3">
        <f>SUM(H89:H93)</f>
        <v>4094.0530965744711</v>
      </c>
      <c r="I94" s="3">
        <f t="shared" ref="I94:J94" si="21">SUM(I89:I93)</f>
        <v>666.2497569444273</v>
      </c>
      <c r="J94" s="3">
        <f t="shared" si="21"/>
        <v>14923.994555555171</v>
      </c>
      <c r="K94" s="161"/>
    </row>
    <row r="95" spans="5:13" x14ac:dyDescent="0.3">
      <c r="G95" s="254" t="s">
        <v>454</v>
      </c>
      <c r="H95" s="254" t="s">
        <v>294</v>
      </c>
      <c r="I95" s="254" t="s">
        <v>266</v>
      </c>
      <c r="J95" s="254" t="s">
        <v>309</v>
      </c>
      <c r="K95" s="161"/>
    </row>
    <row r="96" spans="5:13" x14ac:dyDescent="0.3">
      <c r="G96" s="211" t="s">
        <v>29</v>
      </c>
      <c r="H96" s="3">
        <f>I96*28</f>
        <v>0</v>
      </c>
      <c r="I96">
        <f>0</f>
        <v>0</v>
      </c>
      <c r="J96" s="3">
        <f t="shared" ref="J96:J97" si="22">I96*22.4</f>
        <v>0</v>
      </c>
      <c r="K96" s="161"/>
    </row>
    <row r="97" spans="7:15" x14ac:dyDescent="0.3">
      <c r="G97" s="258" t="s">
        <v>44</v>
      </c>
      <c r="H97" s="3">
        <f>I97*2</f>
        <v>1146.3870236038836</v>
      </c>
      <c r="I97" s="181">
        <f>I91</f>
        <v>573.19351180194178</v>
      </c>
      <c r="J97" s="3">
        <f t="shared" si="22"/>
        <v>12839.534664363495</v>
      </c>
      <c r="K97" s="161"/>
    </row>
    <row r="98" spans="7:15" x14ac:dyDescent="0.3">
      <c r="G98" s="211" t="s">
        <v>280</v>
      </c>
      <c r="H98" s="3">
        <f>SUM(H96:H97)</f>
        <v>1146.3870236038836</v>
      </c>
      <c r="I98" s="3">
        <f>SUM(I96:I97)</f>
        <v>573.19351180194178</v>
      </c>
      <c r="J98" s="3">
        <f>SUM(J96:J97)</f>
        <v>12839.534664363495</v>
      </c>
      <c r="K98" s="161"/>
    </row>
    <row r="99" spans="7:15" x14ac:dyDescent="0.3">
      <c r="G99" s="254" t="s">
        <v>495</v>
      </c>
      <c r="H99" s="254" t="s">
        <v>294</v>
      </c>
      <c r="I99" s="254" t="s">
        <v>266</v>
      </c>
      <c r="J99" s="254" t="s">
        <v>309</v>
      </c>
      <c r="K99" s="161"/>
    </row>
    <row r="100" spans="7:15" x14ac:dyDescent="0.3">
      <c r="G100" s="258" t="s">
        <v>29</v>
      </c>
      <c r="H100" s="3">
        <f>I100*28</f>
        <v>744.92981433506009</v>
      </c>
      <c r="I100" s="3">
        <f>I90</f>
        <v>26.604636226252147</v>
      </c>
      <c r="J100" s="3">
        <f t="shared" ref="J100:J102" si="23">I100*22.4</f>
        <v>595.94385146804802</v>
      </c>
      <c r="K100" s="161"/>
    </row>
    <row r="101" spans="7:15" x14ac:dyDescent="0.3">
      <c r="G101" s="258" t="s">
        <v>23</v>
      </c>
      <c r="H101">
        <f>I101*44</f>
        <v>384.41594559584809</v>
      </c>
      <c r="I101" s="3">
        <f>I92</f>
        <v>8.7367260362692747</v>
      </c>
      <c r="J101" s="3">
        <f t="shared" si="23"/>
        <v>195.70266321243173</v>
      </c>
      <c r="K101" s="161"/>
    </row>
    <row r="102" spans="7:15" x14ac:dyDescent="0.3">
      <c r="G102" s="258" t="s">
        <v>45</v>
      </c>
      <c r="H102">
        <f>I102*28</f>
        <v>199.89157383419666</v>
      </c>
      <c r="I102" s="3">
        <f>I93</f>
        <v>7.1389847797927377</v>
      </c>
      <c r="J102" s="3">
        <f t="shared" si="23"/>
        <v>159.9132590673573</v>
      </c>
      <c r="K102" s="161"/>
    </row>
    <row r="103" spans="7:15" x14ac:dyDescent="0.3">
      <c r="G103" s="211"/>
      <c r="I103" s="3"/>
      <c r="K103" s="161"/>
    </row>
    <row r="104" spans="7:15" x14ac:dyDescent="0.3">
      <c r="G104" s="211"/>
      <c r="I104" s="3"/>
      <c r="K104" s="161"/>
    </row>
    <row r="105" spans="7:15" x14ac:dyDescent="0.3">
      <c r="G105" s="211"/>
      <c r="I105" s="3"/>
      <c r="K105" s="161"/>
    </row>
    <row r="106" spans="7:15" ht="15" thickBot="1" x14ac:dyDescent="0.35">
      <c r="G106" s="254" t="s">
        <v>313</v>
      </c>
      <c r="H106" t="s">
        <v>378</v>
      </c>
      <c r="J106" t="s">
        <v>320</v>
      </c>
      <c r="K106" s="161" t="s">
        <v>514</v>
      </c>
      <c r="N106" t="s">
        <v>438</v>
      </c>
    </row>
    <row r="107" spans="7:15" x14ac:dyDescent="0.3">
      <c r="G107" t="s">
        <v>314</v>
      </c>
      <c r="H107" s="3">
        <f>I107*(12+16+4)</f>
        <v>1618.4287392054828</v>
      </c>
      <c r="I107" s="3">
        <f>I89</f>
        <v>50.575898100171337</v>
      </c>
      <c r="J107" s="3">
        <f>H107/0.792</f>
        <v>2043.4706303099529</v>
      </c>
      <c r="K107" s="227">
        <f>I107*C36*K12</f>
        <v>-4571.5554292744864</v>
      </c>
      <c r="L107" s="221" t="s">
        <v>356</v>
      </c>
      <c r="N107" s="214">
        <v>0.25</v>
      </c>
    </row>
    <row r="108" spans="7:15" ht="15" thickBot="1" x14ac:dyDescent="0.35">
      <c r="G108" s="254" t="s">
        <v>518</v>
      </c>
      <c r="K108" s="255">
        <f>K107*$E$20</f>
        <v>-1269.8765081318018</v>
      </c>
      <c r="L108" s="256" t="s">
        <v>370</v>
      </c>
      <c r="N108">
        <f>K108*N107</f>
        <v>-317.46912703295044</v>
      </c>
      <c r="O108" t="s">
        <v>439</v>
      </c>
    </row>
    <row r="109" spans="7:15" hidden="1" x14ac:dyDescent="0.3">
      <c r="G109" s="193" t="s">
        <v>341</v>
      </c>
      <c r="H109" s="3">
        <f>I109*28</f>
        <v>162.00354112694245</v>
      </c>
      <c r="I109" s="3">
        <f>I21/0.8*0.2</f>
        <v>5.785840754533659</v>
      </c>
      <c r="J109">
        <f>I109*22.4</f>
        <v>129.60283290155397</v>
      </c>
      <c r="N109" s="23">
        <f>N108/SUM(J37:J40)</f>
        <v>-7.2977044551831863E-2</v>
      </c>
      <c r="O109" t="s">
        <v>437</v>
      </c>
    </row>
    <row r="110" spans="7:15" hidden="1" x14ac:dyDescent="0.3">
      <c r="N110" t="s">
        <v>440</v>
      </c>
      <c r="O110">
        <f>(1-N107)*SUM(J48:J49)</f>
        <v>2995.9831528496707</v>
      </c>
    </row>
    <row r="111" spans="7:15" hidden="1" x14ac:dyDescent="0.3">
      <c r="G111" s="170" t="s">
        <v>339</v>
      </c>
      <c r="H111" s="170" t="s">
        <v>294</v>
      </c>
      <c r="I111" s="170" t="s">
        <v>266</v>
      </c>
      <c r="J111" s="218" t="s">
        <v>309</v>
      </c>
      <c r="K111" s="220" t="s">
        <v>359</v>
      </c>
      <c r="L111" s="221"/>
      <c r="M111" t="s">
        <v>360</v>
      </c>
      <c r="N111" t="s">
        <v>441</v>
      </c>
      <c r="O111">
        <f>O110/SUM(J48:J51)</f>
        <v>0.63204479229889055</v>
      </c>
    </row>
    <row r="112" spans="7:15" hidden="1" x14ac:dyDescent="0.3">
      <c r="G112" s="170" t="s">
        <v>322</v>
      </c>
      <c r="H112" s="170">
        <v>2300</v>
      </c>
      <c r="I112" s="170"/>
      <c r="J112" s="218"/>
      <c r="K112" s="222">
        <f>H112/1000*50</f>
        <v>114.99999999999999</v>
      </c>
      <c r="L112" s="223" t="s">
        <v>345</v>
      </c>
      <c r="M112" t="s">
        <v>362</v>
      </c>
    </row>
    <row r="113" spans="7:15" hidden="1" x14ac:dyDescent="0.3">
      <c r="G113" s="170" t="s">
        <v>255</v>
      </c>
      <c r="H113" s="217">
        <f>H21</f>
        <v>740.58761658030835</v>
      </c>
      <c r="I113" s="216">
        <f>H113/32</f>
        <v>23.143363018134636</v>
      </c>
      <c r="J113" s="219">
        <f>I113*22.4</f>
        <v>518.41133160621587</v>
      </c>
      <c r="K113" s="222">
        <f>K112*24</f>
        <v>2759.9999999999995</v>
      </c>
      <c r="L113" s="223" t="s">
        <v>342</v>
      </c>
    </row>
    <row r="114" spans="7:15" ht="15" hidden="1" thickBot="1" x14ac:dyDescent="0.35">
      <c r="G114" s="170" t="s">
        <v>225</v>
      </c>
      <c r="H114" s="217">
        <f>H22</f>
        <v>172.40712435231299</v>
      </c>
      <c r="I114" s="216">
        <f>H114/18</f>
        <v>9.5781735751284991</v>
      </c>
      <c r="J114" s="219">
        <f>I114*22.4</f>
        <v>214.55108808287838</v>
      </c>
      <c r="K114" s="224">
        <f>K113*300</f>
        <v>827999.99999999988</v>
      </c>
      <c r="L114" s="225" t="s">
        <v>346</v>
      </c>
      <c r="M114" s="161">
        <f>K114/60*90</f>
        <v>1241999.9999999998</v>
      </c>
    </row>
    <row r="115" spans="7:15" hidden="1" x14ac:dyDescent="0.3">
      <c r="G115" s="170" t="s">
        <v>45</v>
      </c>
      <c r="H115" s="217">
        <f>H26</f>
        <v>72.001573834196648</v>
      </c>
      <c r="I115" s="216">
        <f>H115/28</f>
        <v>2.5714847797927374</v>
      </c>
      <c r="J115" s="216">
        <f>I115*22.4</f>
        <v>57.601259067357311</v>
      </c>
    </row>
    <row r="116" spans="7:15" hidden="1" x14ac:dyDescent="0.3"/>
    <row r="117" spans="7:15" hidden="1" x14ac:dyDescent="0.3">
      <c r="G117" s="170" t="s">
        <v>384</v>
      </c>
      <c r="H117" s="170" t="s">
        <v>294</v>
      </c>
      <c r="I117" s="170" t="s">
        <v>266</v>
      </c>
      <c r="J117" s="170" t="s">
        <v>309</v>
      </c>
      <c r="K117" s="34"/>
    </row>
    <row r="118" spans="7:15" hidden="1" x14ac:dyDescent="0.3">
      <c r="G118" s="170" t="s">
        <v>0</v>
      </c>
      <c r="H118" s="216">
        <f>H18</f>
        <v>338.9329663212373</v>
      </c>
      <c r="I118" s="170"/>
      <c r="J118" s="218"/>
      <c r="K118" s="226" t="s">
        <v>359</v>
      </c>
      <c r="L118" s="221"/>
      <c r="M118" t="s">
        <v>360</v>
      </c>
      <c r="N118" s="234" t="s">
        <v>396</v>
      </c>
      <c r="O118" s="235"/>
    </row>
    <row r="119" spans="7:15" hidden="1" x14ac:dyDescent="0.3">
      <c r="G119" s="170" t="s">
        <v>259</v>
      </c>
      <c r="H119" s="217">
        <f>H60</f>
        <v>956.4002679917179</v>
      </c>
      <c r="I119" s="216">
        <f>H119/18</f>
        <v>53.133348221762105</v>
      </c>
      <c r="J119" s="219">
        <f>I119*22.4</f>
        <v>1190.1870001674711</v>
      </c>
      <c r="K119" s="222">
        <f>J119*0.15</f>
        <v>178.52805002512065</v>
      </c>
      <c r="L119" s="223" t="s">
        <v>343</v>
      </c>
      <c r="M119" t="s">
        <v>361</v>
      </c>
    </row>
    <row r="120" spans="7:15" hidden="1" x14ac:dyDescent="0.3">
      <c r="G120" s="170" t="s">
        <v>225</v>
      </c>
      <c r="H120" s="217">
        <f>H61</f>
        <v>1075.9503014906827</v>
      </c>
      <c r="I120" s="216">
        <f>H120/18</f>
        <v>59.775016749482376</v>
      </c>
      <c r="J120" s="219">
        <f>I120*22.4</f>
        <v>1338.9603751884051</v>
      </c>
      <c r="K120" s="222">
        <f>K119*24</f>
        <v>4284.673200602896</v>
      </c>
      <c r="L120" s="223" t="s">
        <v>342</v>
      </c>
    </row>
    <row r="121" spans="7:15" ht="15" hidden="1" thickBot="1" x14ac:dyDescent="0.35">
      <c r="G121" s="170" t="s">
        <v>23</v>
      </c>
      <c r="H121" s="217">
        <f>H50</f>
        <v>1150.2587189812571</v>
      </c>
      <c r="I121" s="216">
        <f>H121/44</f>
        <v>26.142243613210386</v>
      </c>
      <c r="J121" s="219">
        <f>I121*22.4</f>
        <v>585.58625693591262</v>
      </c>
      <c r="K121" s="224">
        <f>K120*300</f>
        <v>1285401.9601808689</v>
      </c>
      <c r="L121" s="225" t="s">
        <v>346</v>
      </c>
      <c r="M121" s="161">
        <f>K121/15*23</f>
        <v>1970949.6722773323</v>
      </c>
    </row>
    <row r="122" spans="7:15" hidden="1" x14ac:dyDescent="0.3">
      <c r="G122" s="170" t="str">
        <f t="shared" ref="G122:I122" si="24">G115</f>
        <v>N2</v>
      </c>
      <c r="H122" s="217">
        <f t="shared" si="24"/>
        <v>72.001573834196648</v>
      </c>
      <c r="I122" s="216">
        <f t="shared" si="24"/>
        <v>2.5714847797927374</v>
      </c>
      <c r="J122" s="216">
        <f>I122*22.4</f>
        <v>57.601259067357311</v>
      </c>
    </row>
    <row r="123" spans="7:15" hidden="1" x14ac:dyDescent="0.3"/>
    <row r="124" spans="7:15" hidden="1" x14ac:dyDescent="0.3"/>
    <row r="125" spans="7:15" hidden="1" x14ac:dyDescent="0.3">
      <c r="G125" s="170" t="s">
        <v>385</v>
      </c>
      <c r="H125" s="170" t="s">
        <v>294</v>
      </c>
      <c r="I125" s="170" t="s">
        <v>266</v>
      </c>
      <c r="J125" s="170" t="str">
        <f t="shared" ref="G125:J126" si="25">J106</f>
        <v>litrov</v>
      </c>
      <c r="M125" t="s">
        <v>360</v>
      </c>
    </row>
    <row r="126" spans="7:15" hidden="1" x14ac:dyDescent="0.3">
      <c r="G126" s="170" t="str">
        <f t="shared" si="25"/>
        <v>CH3OH</v>
      </c>
      <c r="H126" s="216">
        <f t="shared" si="25"/>
        <v>1618.4287392054828</v>
      </c>
      <c r="I126" s="216">
        <f t="shared" si="25"/>
        <v>50.575898100171337</v>
      </c>
      <c r="J126" s="219">
        <f t="shared" si="25"/>
        <v>2043.4706303099529</v>
      </c>
      <c r="K126" s="227">
        <f>H126/1000*175</f>
        <v>283.22502936095947</v>
      </c>
      <c r="L126" s="221" t="s">
        <v>344</v>
      </c>
      <c r="M126" t="s">
        <v>364</v>
      </c>
    </row>
    <row r="127" spans="7:15" hidden="1" x14ac:dyDescent="0.3">
      <c r="G127" s="170" t="str">
        <f t="shared" ref="G127:J128" si="26">G121</f>
        <v>CO2</v>
      </c>
      <c r="H127" s="217">
        <f t="shared" si="26"/>
        <v>1150.2587189812571</v>
      </c>
      <c r="I127" s="216">
        <f t="shared" si="26"/>
        <v>26.142243613210386</v>
      </c>
      <c r="J127" s="219">
        <f t="shared" si="26"/>
        <v>585.58625693591262</v>
      </c>
      <c r="K127" s="222">
        <f>K126*24</f>
        <v>6797.4007046630268</v>
      </c>
      <c r="L127" s="223" t="s">
        <v>342</v>
      </c>
    </row>
    <row r="128" spans="7:15" ht="15" hidden="1" thickBot="1" x14ac:dyDescent="0.35">
      <c r="G128" s="170" t="str">
        <f t="shared" si="26"/>
        <v>N2</v>
      </c>
      <c r="H128" s="217">
        <f>H51</f>
        <v>199.89157383419666</v>
      </c>
      <c r="I128" s="216">
        <f t="shared" si="26"/>
        <v>2.5714847797927374</v>
      </c>
      <c r="J128" s="219">
        <f t="shared" si="26"/>
        <v>57.601259067357311</v>
      </c>
      <c r="K128" s="224">
        <f>K127*300</f>
        <v>2039220.2113989079</v>
      </c>
      <c r="L128" s="225" t="s">
        <v>346</v>
      </c>
      <c r="M128" s="161">
        <f>K128/175*400</f>
        <v>4661074.7689117892</v>
      </c>
    </row>
    <row r="129" spans="7:14" hidden="1" x14ac:dyDescent="0.3">
      <c r="G129" s="170" t="str">
        <f t="shared" ref="G129:J129" si="27">G118</f>
        <v>Ash</v>
      </c>
      <c r="H129" s="217">
        <f t="shared" si="27"/>
        <v>338.9329663212373</v>
      </c>
      <c r="I129" s="216">
        <f t="shared" si="27"/>
        <v>0</v>
      </c>
      <c r="J129" s="216">
        <f t="shared" si="27"/>
        <v>0</v>
      </c>
      <c r="K129" s="161"/>
      <c r="M129" s="161"/>
    </row>
    <row r="130" spans="7:14" hidden="1" x14ac:dyDescent="0.3">
      <c r="H130" s="3"/>
      <c r="I130" s="22"/>
      <c r="J130" s="233"/>
      <c r="K130" s="161"/>
      <c r="M130" s="161"/>
    </row>
    <row r="131" spans="7:14" hidden="1" x14ac:dyDescent="0.3">
      <c r="J131" s="170"/>
      <c r="K131" s="170" t="s">
        <v>354</v>
      </c>
    </row>
    <row r="132" spans="7:14" hidden="1" x14ac:dyDescent="0.3">
      <c r="J132" s="170" t="s">
        <v>347</v>
      </c>
      <c r="K132" s="169">
        <v>200000</v>
      </c>
    </row>
    <row r="133" spans="7:14" hidden="1" x14ac:dyDescent="0.3">
      <c r="J133" s="170" t="s">
        <v>348</v>
      </c>
      <c r="K133" s="169">
        <f>1500*24*300*0.15</f>
        <v>1620000</v>
      </c>
      <c r="L133" t="s">
        <v>391</v>
      </c>
      <c r="M133">
        <f>1500*0.2</f>
        <v>300</v>
      </c>
      <c r="N133">
        <f>1500*0.1</f>
        <v>150</v>
      </c>
    </row>
    <row r="134" spans="7:14" hidden="1" x14ac:dyDescent="0.3">
      <c r="J134" s="170" t="s">
        <v>349</v>
      </c>
      <c r="K134" s="169">
        <v>1000000</v>
      </c>
      <c r="L134" t="s">
        <v>350</v>
      </c>
    </row>
    <row r="135" spans="7:14" hidden="1" x14ac:dyDescent="0.3">
      <c r="J135" s="170" t="s">
        <v>351</v>
      </c>
      <c r="K135" s="169">
        <f>K134*5*0.05*0.6</f>
        <v>150000</v>
      </c>
      <c r="L135" t="s">
        <v>352</v>
      </c>
    </row>
    <row r="136" spans="7:14" hidden="1" x14ac:dyDescent="0.3">
      <c r="J136" s="170" t="s">
        <v>366</v>
      </c>
      <c r="K136" s="169">
        <f>200000</f>
        <v>200000</v>
      </c>
    </row>
    <row r="137" spans="7:14" hidden="1" x14ac:dyDescent="0.3">
      <c r="J137" s="170" t="s">
        <v>280</v>
      </c>
      <c r="K137" s="169">
        <f>SUM(K132:K136)</f>
        <v>3170000</v>
      </c>
    </row>
    <row r="138" spans="7:14" hidden="1" x14ac:dyDescent="0.3">
      <c r="J138" s="170"/>
      <c r="K138" s="170" t="s">
        <v>365</v>
      </c>
      <c r="L138" s="228" t="s">
        <v>363</v>
      </c>
    </row>
    <row r="139" spans="7:14" hidden="1" x14ac:dyDescent="0.3">
      <c r="J139" s="170" t="s">
        <v>353</v>
      </c>
      <c r="K139" s="169">
        <f>K121+K114-K137</f>
        <v>-1056598.0398191311</v>
      </c>
      <c r="L139" s="169">
        <f>M114+M121-K137</f>
        <v>42949.672277332284</v>
      </c>
      <c r="M139" s="234" t="s">
        <v>396</v>
      </c>
      <c r="N139" s="235"/>
    </row>
    <row r="140" spans="7:14" hidden="1" x14ac:dyDescent="0.3">
      <c r="J140" s="170" t="s">
        <v>373</v>
      </c>
      <c r="K140" s="169">
        <f>K128+K114-K137</f>
        <v>-302779.78860109206</v>
      </c>
      <c r="L140" s="169">
        <f>M114+M128-K137</f>
        <v>2733074.7689117892</v>
      </c>
    </row>
    <row r="141" spans="7:14" hidden="1" x14ac:dyDescent="0.3">
      <c r="K141" t="s">
        <v>374</v>
      </c>
    </row>
    <row r="142" spans="7:14" hidden="1" x14ac:dyDescent="0.3">
      <c r="J142" s="170" t="s">
        <v>371</v>
      </c>
      <c r="K142" s="169">
        <f>K54+K63</f>
        <v>-4100.8982324408762</v>
      </c>
      <c r="L142" s="170" t="s">
        <v>382</v>
      </c>
    </row>
    <row r="143" spans="7:14" hidden="1" x14ac:dyDescent="0.3">
      <c r="J143" s="170" t="s">
        <v>372</v>
      </c>
      <c r="K143" s="169">
        <f>K54+K108</f>
        <v>-1953.2045746063009</v>
      </c>
      <c r="L143" s="170" t="s">
        <v>383</v>
      </c>
    </row>
    <row r="144" spans="7:14" hidden="1" x14ac:dyDescent="0.3"/>
  </sheetData>
  <pageMargins left="0.25" right="0.25" top="0.75" bottom="0.75" header="0.3" footer="0.3"/>
  <pageSetup paperSize="9" scale="41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2:K32"/>
  <sheetViews>
    <sheetView workbookViewId="0">
      <selection activeCell="B22" sqref="B22:B25"/>
    </sheetView>
  </sheetViews>
  <sheetFormatPr defaultRowHeight="14.4" x14ac:dyDescent="0.3"/>
  <cols>
    <col min="2" max="2" width="39.6640625" bestFit="1" customWidth="1"/>
  </cols>
  <sheetData>
    <row r="2" spans="1:11" x14ac:dyDescent="0.3">
      <c r="C2" t="s">
        <v>294</v>
      </c>
      <c r="D2" t="s">
        <v>266</v>
      </c>
    </row>
    <row r="3" spans="1:11" x14ac:dyDescent="0.3">
      <c r="B3">
        <f>G4</f>
        <v>0</v>
      </c>
      <c r="C3" s="213">
        <f>H4</f>
        <v>0</v>
      </c>
      <c r="D3" s="312">
        <f>'03. Uplinjanje1'!I6</f>
        <v>0.22446851806469681</v>
      </c>
    </row>
    <row r="4" spans="1:11" x14ac:dyDescent="0.3">
      <c r="A4" t="s">
        <v>338</v>
      </c>
      <c r="C4" s="288" t="s">
        <v>19</v>
      </c>
      <c r="E4">
        <f>1/3.6</f>
        <v>0.27777777777777779</v>
      </c>
    </row>
    <row r="5" spans="1:11" x14ac:dyDescent="0.3">
      <c r="A5" s="162">
        <f>A7/A6*2</f>
        <v>-2.4308508232973902</v>
      </c>
      <c r="C5" s="213" t="s">
        <v>20</v>
      </c>
      <c r="D5" t="s">
        <v>369</v>
      </c>
      <c r="E5" t="s">
        <v>368</v>
      </c>
      <c r="H5" s="170"/>
      <c r="I5" s="170" t="s">
        <v>593</v>
      </c>
      <c r="J5" s="170" t="s">
        <v>594</v>
      </c>
      <c r="K5" s="170" t="s">
        <v>595</v>
      </c>
    </row>
    <row r="6" spans="1:11" x14ac:dyDescent="0.3">
      <c r="A6" s="212">
        <v>3.6</v>
      </c>
      <c r="B6" s="229" t="s">
        <v>596</v>
      </c>
      <c r="C6" s="230">
        <f>Thermodynamics!E18</f>
        <v>-205.82599999999999</v>
      </c>
      <c r="D6" s="190">
        <f>A6*C6</f>
        <v>-740.97360000000003</v>
      </c>
      <c r="E6" s="190">
        <f>D6*$E$20</f>
        <v>0</v>
      </c>
      <c r="H6" s="170" t="s">
        <v>2</v>
      </c>
      <c r="I6" s="170">
        <f>8.5*2</f>
        <v>17</v>
      </c>
      <c r="J6" s="170">
        <f>ROUND('01.Vhodni podatki'!D9/12*200,1)*2</f>
        <v>16.600000000000001</v>
      </c>
      <c r="K6" s="188">
        <f>(I6-J6)/J6</f>
        <v>2.4096385542168586E-2</v>
      </c>
    </row>
    <row r="7" spans="1:11" x14ac:dyDescent="0.3">
      <c r="A7" s="215">
        <f>D3-A6-A9</f>
        <v>-4.3755314819353028</v>
      </c>
      <c r="B7" s="229" t="s">
        <v>597</v>
      </c>
      <c r="C7" s="230">
        <f>Thermodynamics!E19</f>
        <v>-90.389999999999986</v>
      </c>
      <c r="D7" s="190">
        <f>C7*A7</f>
        <v>395.50429065213194</v>
      </c>
      <c r="E7" s="190">
        <f t="shared" ref="E7:E12" si="0">D7*$E$20</f>
        <v>0</v>
      </c>
      <c r="H7" s="170" t="s">
        <v>3</v>
      </c>
      <c r="I7" s="170">
        <f>16.5*2</f>
        <v>33</v>
      </c>
      <c r="J7" s="170">
        <f>ROUND('01.Vhodni podatki'!D10/1*200,1)*2</f>
        <v>33.200000000000003</v>
      </c>
      <c r="K7" s="188">
        <f t="shared" ref="K7:K8" si="1">(I7-J7)/J7</f>
        <v>-6.024096385542254E-3</v>
      </c>
    </row>
    <row r="8" spans="1:11" x14ac:dyDescent="0.3">
      <c r="A8" s="215">
        <f>(A6+A7)*17*F8</f>
        <v>-1.3184035192900148</v>
      </c>
      <c r="B8" s="229" t="s">
        <v>598</v>
      </c>
      <c r="C8" s="230" t="e">
        <f>Thermodynamics!#REF!</f>
        <v>#REF!</v>
      </c>
      <c r="D8" s="190" t="e">
        <f>A8*C8</f>
        <v>#REF!</v>
      </c>
      <c r="E8" s="190" t="e">
        <f t="shared" si="0"/>
        <v>#REF!</v>
      </c>
      <c r="F8" s="214">
        <v>0.1</v>
      </c>
      <c r="G8" t="s">
        <v>600</v>
      </c>
      <c r="H8" s="170" t="s">
        <v>4</v>
      </c>
      <c r="I8" s="170">
        <f>3*2</f>
        <v>6</v>
      </c>
      <c r="J8" s="170">
        <f>ROUND('01.Vhodni podatki'!D11/16*200,1)*2</f>
        <v>6.2</v>
      </c>
      <c r="K8" s="188">
        <f t="shared" si="1"/>
        <v>-3.2258064516129059E-2</v>
      </c>
    </row>
    <row r="9" spans="1:11" x14ac:dyDescent="0.3">
      <c r="A9">
        <v>1</v>
      </c>
      <c r="B9" s="193" t="s">
        <v>611</v>
      </c>
      <c r="C9" s="204" t="e">
        <f>Thermodynamics!B8+Thermodynamics!#REF!+Thermodynamics!#REF!-Thermodynamics!B4</f>
        <v>#REF!</v>
      </c>
      <c r="D9" s="190" t="e">
        <f>A9*C9</f>
        <v>#REF!</v>
      </c>
      <c r="E9" s="190" t="e">
        <f>D9*$E$20</f>
        <v>#REF!</v>
      </c>
      <c r="F9">
        <f>A9*H16*2</f>
        <v>184</v>
      </c>
      <c r="G9" t="s">
        <v>601</v>
      </c>
    </row>
    <row r="10" spans="1:11" x14ac:dyDescent="0.3">
      <c r="B10" s="229" t="s">
        <v>388</v>
      </c>
      <c r="C10" s="190"/>
      <c r="D10" s="190" t="e">
        <f>SUM(D6:D9)*0.75</f>
        <v>#REF!</v>
      </c>
      <c r="E10" s="190" t="e">
        <f t="shared" si="0"/>
        <v>#REF!</v>
      </c>
      <c r="G10" t="s">
        <v>602</v>
      </c>
    </row>
    <row r="11" spans="1:11" x14ac:dyDescent="0.3">
      <c r="B11" s="229" t="s">
        <v>337</v>
      </c>
      <c r="C11" s="190"/>
      <c r="D11" s="190" t="e">
        <f>SUM(#REF!)</f>
        <v>#REF!</v>
      </c>
      <c r="E11" s="190" t="e">
        <f t="shared" si="0"/>
        <v>#REF!</v>
      </c>
    </row>
    <row r="12" spans="1:11" x14ac:dyDescent="0.3">
      <c r="B12" s="229" t="s">
        <v>367</v>
      </c>
      <c r="C12" s="190"/>
      <c r="D12" s="190" t="e">
        <f>SUM(D10:D11)</f>
        <v>#REF!</v>
      </c>
      <c r="E12" s="190" t="e">
        <f t="shared" si="0"/>
        <v>#REF!</v>
      </c>
    </row>
    <row r="13" spans="1:11" x14ac:dyDescent="0.3">
      <c r="B13" s="193"/>
      <c r="C13" s="204"/>
      <c r="D13" s="204"/>
      <c r="E13" s="204"/>
    </row>
    <row r="14" spans="1:11" x14ac:dyDescent="0.3">
      <c r="A14">
        <f>A9/A6</f>
        <v>0.27777777777777779</v>
      </c>
    </row>
    <row r="15" spans="1:11" x14ac:dyDescent="0.3">
      <c r="B15" s="193"/>
      <c r="C15" s="204"/>
      <c r="D15" s="204"/>
      <c r="E15" s="204"/>
      <c r="G15" s="249" t="s">
        <v>599</v>
      </c>
      <c r="H15" s="249">
        <f>12*17+33+6*16</f>
        <v>333</v>
      </c>
    </row>
    <row r="16" spans="1:11" x14ac:dyDescent="0.3">
      <c r="B16" t="s">
        <v>256</v>
      </c>
      <c r="C16" s="204">
        <v>-41.153999999999996</v>
      </c>
      <c r="D16" s="3"/>
      <c r="E16" s="3"/>
      <c r="G16" s="249" t="s">
        <v>414</v>
      </c>
      <c r="H16" s="249">
        <f>7*12+8</f>
        <v>92</v>
      </c>
    </row>
    <row r="17" spans="1:5" x14ac:dyDescent="0.3">
      <c r="C17" s="204"/>
      <c r="D17" s="3"/>
      <c r="E17" s="3"/>
    </row>
    <row r="18" spans="1:5" x14ac:dyDescent="0.3">
      <c r="B18" t="s">
        <v>308</v>
      </c>
      <c r="C18" s="204">
        <f>Thermodynamics!$E$18</f>
        <v>-205.82599999999999</v>
      </c>
    </row>
    <row r="19" spans="1:5" x14ac:dyDescent="0.3">
      <c r="C19" s="204"/>
    </row>
    <row r="20" spans="1:5" x14ac:dyDescent="0.3">
      <c r="B20" t="s">
        <v>319</v>
      </c>
      <c r="C20" s="204">
        <f>Thermodynamics!$E$19</f>
        <v>-90.389999999999986</v>
      </c>
    </row>
    <row r="21" spans="1:5" x14ac:dyDescent="0.3">
      <c r="C21" s="204"/>
    </row>
    <row r="22" spans="1:5" x14ac:dyDescent="0.3">
      <c r="C22" s="204" t="s">
        <v>387</v>
      </c>
      <c r="D22" t="s">
        <v>15</v>
      </c>
    </row>
    <row r="23" spans="1:5" x14ac:dyDescent="0.3">
      <c r="B23" s="229" t="s">
        <v>386</v>
      </c>
      <c r="C23" s="259" t="e">
        <f>9*(Thermodynamics!#REF!+Thermodynamics!#REF!)-Thermodynamics!B4</f>
        <v>#REF!</v>
      </c>
      <c r="D23" s="259" t="e">
        <f>C23/Thermodynamics!B5</f>
        <v>#REF!</v>
      </c>
    </row>
    <row r="24" spans="1:5" x14ac:dyDescent="0.3">
      <c r="B24" t="s">
        <v>389</v>
      </c>
      <c r="D24">
        <v>-22.4</v>
      </c>
    </row>
    <row r="25" spans="1:5" x14ac:dyDescent="0.3">
      <c r="B25" t="s">
        <v>390</v>
      </c>
      <c r="D25" s="162" t="e">
        <f>D24/D23</f>
        <v>#REF!</v>
      </c>
    </row>
    <row r="27" spans="1:5" x14ac:dyDescent="0.3">
      <c r="A27">
        <f>60%*A9</f>
        <v>0.6</v>
      </c>
      <c r="B27" t="s">
        <v>420</v>
      </c>
      <c r="C27" t="e">
        <f>7*Thermodynamics!#REF!-Thermodynamics!B8</f>
        <v>#REF!</v>
      </c>
      <c r="D27" s="190" t="e">
        <f>A27*C27</f>
        <v>#REF!</v>
      </c>
      <c r="E27" s="190" t="e">
        <f>D27*$E$20</f>
        <v>#REF!</v>
      </c>
    </row>
    <row r="28" spans="1:5" x14ac:dyDescent="0.3">
      <c r="A28">
        <f>40%*A9</f>
        <v>0.4</v>
      </c>
      <c r="B28" t="s">
        <v>419</v>
      </c>
      <c r="C28" t="e">
        <f>7*Thermodynamics!#REF!-Thermodynamics!B8-7*Thermodynamics!#REF!</f>
        <v>#REF!</v>
      </c>
      <c r="D28" s="190" t="e">
        <f>C28*A28</f>
        <v>#REF!</v>
      </c>
      <c r="E28" s="190" t="e">
        <f t="shared" ref="E28" si="2">D28*$E$20</f>
        <v>#REF!</v>
      </c>
    </row>
    <row r="29" spans="1:5" x14ac:dyDescent="0.3">
      <c r="E29" s="204" t="e">
        <f>SUM(E27:E28)</f>
        <v>#REF!</v>
      </c>
    </row>
    <row r="30" spans="1:5" x14ac:dyDescent="0.3">
      <c r="E30" s="3" t="e">
        <f>E29/SUM(J7:J10)</f>
        <v>#REF!</v>
      </c>
    </row>
    <row r="32" spans="1:5" x14ac:dyDescent="0.3">
      <c r="B32" t="s">
        <v>489</v>
      </c>
      <c r="C32">
        <f>12+3+16+1</f>
        <v>32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B1:J25"/>
  <sheetViews>
    <sheetView workbookViewId="0">
      <selection activeCell="B22" sqref="B22:B25"/>
    </sheetView>
  </sheetViews>
  <sheetFormatPr defaultRowHeight="14.4" x14ac:dyDescent="0.3"/>
  <cols>
    <col min="3" max="3" width="10.88671875" bestFit="1" customWidth="1"/>
    <col min="4" max="4" width="9.33203125" bestFit="1" customWidth="1"/>
    <col min="7" max="7" width="22.109375" bestFit="1" customWidth="1"/>
    <col min="8" max="8" width="12.44140625" bestFit="1" customWidth="1"/>
    <col min="9" max="9" width="9" bestFit="1" customWidth="1"/>
    <col min="10" max="10" width="9.44140625" bestFit="1" customWidth="1"/>
  </cols>
  <sheetData>
    <row r="1" spans="2:10" x14ac:dyDescent="0.3">
      <c r="G1" s="249" t="s">
        <v>603</v>
      </c>
      <c r="H1" s="214">
        <v>0.2</v>
      </c>
    </row>
    <row r="3" spans="2:10" ht="15.6" x14ac:dyDescent="0.3">
      <c r="B3" s="310" t="s">
        <v>592</v>
      </c>
      <c r="G3" s="249" t="s">
        <v>604</v>
      </c>
      <c r="H3" s="214"/>
    </row>
    <row r="4" spans="2:10" ht="43.2" x14ac:dyDescent="0.3">
      <c r="B4" s="249" t="str">
        <f>'02. Pripravljeno gorivo'!C24</f>
        <v>Element</v>
      </c>
      <c r="C4" s="309" t="str">
        <f>'02. Pripravljeno gorivo'!E24</f>
        <v>na 100 kg mokrega</v>
      </c>
      <c r="D4" s="309" t="str">
        <f>'02. Pripravljeno gorivo'!F24</f>
        <v>kmol mokro gorivo</v>
      </c>
      <c r="G4" s="295" t="str">
        <f t="shared" ref="G4:G5" si="0">B4</f>
        <v>Element</v>
      </c>
      <c r="H4" s="170" t="s">
        <v>294</v>
      </c>
      <c r="I4" s="170" t="s">
        <v>266</v>
      </c>
      <c r="J4" s="170" t="s">
        <v>309</v>
      </c>
    </row>
    <row r="5" spans="2:10" x14ac:dyDescent="0.3">
      <c r="B5" s="294" t="str">
        <f>'02. Pripravljeno gorivo'!C25</f>
        <v>Pepel</v>
      </c>
      <c r="C5" s="307">
        <f>'02. Pripravljeno gorivo'!E25</f>
        <v>13.270118199481868</v>
      </c>
      <c r="D5" s="170">
        <f>'02. Pripravljeno gorivo'!F25</f>
        <v>0</v>
      </c>
      <c r="G5" s="295" t="str">
        <f t="shared" si="0"/>
        <v>Pepel</v>
      </c>
      <c r="H5" s="216">
        <f>C5</f>
        <v>13.270118199481868</v>
      </c>
      <c r="I5" s="216"/>
      <c r="J5" s="216"/>
    </row>
    <row r="6" spans="2:10" x14ac:dyDescent="0.3">
      <c r="B6" s="294" t="str">
        <f>'02. Pripravljeno gorivo'!C26</f>
        <v>C</v>
      </c>
      <c r="C6" s="307">
        <f>'02. Pripravljeno gorivo'!E26</f>
        <v>44.628400259067355</v>
      </c>
      <c r="D6" s="313">
        <f>'02. Pripravljeno gorivo'!F26</f>
        <v>3.7190333549222796</v>
      </c>
      <c r="G6" s="295" t="s">
        <v>599</v>
      </c>
      <c r="H6" s="216">
        <f>SUM(C6:C8)</f>
        <v>74.748016515544037</v>
      </c>
      <c r="I6" s="216">
        <f>H6/333</f>
        <v>0.22446851806469681</v>
      </c>
      <c r="J6" s="216">
        <f>I6*22.4</f>
        <v>5.028094804649208</v>
      </c>
    </row>
    <row r="7" spans="2:10" x14ac:dyDescent="0.3">
      <c r="B7" s="294" t="str">
        <f>'02. Pripravljeno gorivo'!C27</f>
        <v>H</v>
      </c>
      <c r="C7" s="307">
        <f>'02. Pripravljeno gorivo'!E27</f>
        <v>7.4866418393782377</v>
      </c>
      <c r="D7" s="313">
        <f>'02. Pripravljeno gorivo'!F27</f>
        <v>7.4866418393782377</v>
      </c>
      <c r="G7" s="295" t="s">
        <v>255</v>
      </c>
      <c r="H7" s="216">
        <f>I7*32</f>
        <v>612.50554369135978</v>
      </c>
      <c r="I7" s="216">
        <f>'03.1 Enacbe1'!A6*5.5+'03.1 Enacbe1'!A8*0.5</f>
        <v>19.140798240354993</v>
      </c>
      <c r="J7" s="216">
        <f>I7*22.4</f>
        <v>428.7538805839518</v>
      </c>
    </row>
    <row r="8" spans="2:10" x14ac:dyDescent="0.3">
      <c r="B8" s="294" t="str">
        <f>'02. Pripravljeno gorivo'!C28</f>
        <v>O</v>
      </c>
      <c r="C8" s="307">
        <f>'02. Pripravljeno gorivo'!E28</f>
        <v>22.632974417098445</v>
      </c>
      <c r="D8" s="313">
        <f>'02. Pripravljeno gorivo'!F28</f>
        <v>1.4145609010686528</v>
      </c>
      <c r="G8" s="295" t="s">
        <v>45</v>
      </c>
      <c r="H8" s="216">
        <f>I8*28</f>
        <v>2679.7117536496989</v>
      </c>
      <c r="I8" s="216">
        <f>I7*(1/H1)</f>
        <v>95.703991201774969</v>
      </c>
      <c r="J8" s="216">
        <f>I8*22.4</f>
        <v>2143.7694029197592</v>
      </c>
    </row>
    <row r="9" spans="2:10" x14ac:dyDescent="0.3">
      <c r="B9" s="294" t="str">
        <f>'02. Pripravljeno gorivo'!C29</f>
        <v>N</v>
      </c>
      <c r="C9" s="307">
        <f>'02. Pripravljeno gorivo'!E29</f>
        <v>0.17851360103626945</v>
      </c>
      <c r="D9" s="313">
        <f>'02. Pripravljeno gorivo'!F29</f>
        <v>1.2750971502590676E-2</v>
      </c>
      <c r="G9" s="295" t="s">
        <v>225</v>
      </c>
      <c r="H9" s="216">
        <f>C18</f>
        <v>10</v>
      </c>
      <c r="I9" s="216">
        <f>H9/18</f>
        <v>0.55555555555555558</v>
      </c>
      <c r="J9" s="216">
        <f>I9*22.4</f>
        <v>12.444444444444445</v>
      </c>
    </row>
    <row r="10" spans="2:10" x14ac:dyDescent="0.3">
      <c r="B10" s="294" t="str">
        <f>'02. Pripravljeno gorivo'!C30</f>
        <v>S</v>
      </c>
      <c r="C10" s="307">
        <f>'02. Pripravljeno gorivo'!E30</f>
        <v>1.5119009067357512</v>
      </c>
      <c r="D10" s="313">
        <f>'02. Pripravljeno gorivo'!F30</f>
        <v>4.7246903335492224E-2</v>
      </c>
      <c r="G10" s="316" t="s">
        <v>606</v>
      </c>
      <c r="H10" s="318">
        <f>I10*18</f>
        <v>-866.35523342318993</v>
      </c>
      <c r="I10" s="318">
        <f>'03.1 Enacbe1'!A7*11</f>
        <v>-48.130846301288329</v>
      </c>
      <c r="J10" s="318">
        <f>I10*22.4</f>
        <v>-1078.1309571488584</v>
      </c>
    </row>
    <row r="11" spans="2:10" x14ac:dyDescent="0.3">
      <c r="B11" s="294" t="str">
        <f>'02. Pripravljeno gorivo'!C31</f>
        <v>Cl</v>
      </c>
      <c r="C11" s="307">
        <f>'02. Pripravljeno gorivo'!E31</f>
        <v>0.29145077720207252</v>
      </c>
      <c r="D11" s="313">
        <f>'02. Pripravljeno gorivo'!F31</f>
        <v>8.2098810479457052E-3</v>
      </c>
      <c r="G11" s="315" t="s">
        <v>607</v>
      </c>
      <c r="H11" s="22">
        <f>SUM(H5:H9)</f>
        <v>3390.2354320560844</v>
      </c>
    </row>
    <row r="12" spans="2:10" x14ac:dyDescent="0.3">
      <c r="B12" s="294" t="str">
        <f>'02. Pripravljeno gorivo'!C32</f>
        <v>Hg</v>
      </c>
      <c r="C12" s="307">
        <f>'02. Pripravljeno gorivo'!E32</f>
        <v>0</v>
      </c>
      <c r="D12" s="170">
        <f>'02. Pripravljeno gorivo'!F32</f>
        <v>0</v>
      </c>
      <c r="G12" s="315" t="s">
        <v>608</v>
      </c>
      <c r="H12" s="319">
        <f>SUM(H6:H9)</f>
        <v>3376.9653138566027</v>
      </c>
      <c r="I12" s="319">
        <f t="shared" ref="I12:J12" si="1">SUM(I6:I9)</f>
        <v>115.62481351575022</v>
      </c>
      <c r="J12" s="319">
        <f t="shared" si="1"/>
        <v>2589.9958227528045</v>
      </c>
    </row>
    <row r="13" spans="2:10" x14ac:dyDescent="0.3">
      <c r="B13" s="218">
        <f>'02. Pripravljeno gorivo'!C33</f>
        <v>0</v>
      </c>
      <c r="C13" s="307">
        <f>'02. Pripravljeno gorivo'!E33</f>
        <v>0</v>
      </c>
      <c r="D13" s="170">
        <f>'02. Pripravljeno gorivo'!F33</f>
        <v>0</v>
      </c>
      <c r="H13" s="22"/>
    </row>
    <row r="14" spans="2:10" x14ac:dyDescent="0.3">
      <c r="B14" s="218">
        <f>'02. Pripravljeno gorivo'!C34</f>
        <v>0</v>
      </c>
      <c r="C14" s="307">
        <f>'02. Pripravljeno gorivo'!E34</f>
        <v>0</v>
      </c>
      <c r="D14" s="170">
        <f>'02. Pripravljeno gorivo'!F34</f>
        <v>0</v>
      </c>
      <c r="H14" s="22"/>
    </row>
    <row r="15" spans="2:10" x14ac:dyDescent="0.3">
      <c r="B15" s="218">
        <f>'02. Pripravljeno gorivo'!C35</f>
        <v>0</v>
      </c>
      <c r="C15" s="307">
        <f>'02. Pripravljeno gorivo'!E35</f>
        <v>0</v>
      </c>
      <c r="D15" s="170">
        <f>'02. Pripravljeno gorivo'!F35</f>
        <v>0</v>
      </c>
      <c r="G15" s="317" t="s">
        <v>605</v>
      </c>
    </row>
    <row r="16" spans="2:10" x14ac:dyDescent="0.3">
      <c r="B16" s="218">
        <f>'02. Pripravljeno gorivo'!C36</f>
        <v>0</v>
      </c>
      <c r="C16" s="307">
        <f>'02. Pripravljeno gorivo'!E36</f>
        <v>0</v>
      </c>
      <c r="D16" s="170">
        <f>'02. Pripravljeno gorivo'!F36</f>
        <v>0</v>
      </c>
      <c r="G16" s="249" t="s">
        <v>29</v>
      </c>
      <c r="H16" s="216">
        <f>I16*28</f>
        <v>-332.23768686108349</v>
      </c>
      <c r="I16" s="216">
        <f>'03.1 Enacbe1'!A6*17+'03.1 Enacbe1'!A7*17-'03.1 Enacbe1'!A8+'03.1 Enacbe1'!A9*0</f>
        <v>-11.865631673610125</v>
      </c>
      <c r="J16" s="216">
        <f t="shared" ref="J16:J21" si="2">I16*22.4</f>
        <v>-265.7901494888668</v>
      </c>
    </row>
    <row r="17" spans="2:10" x14ac:dyDescent="0.3">
      <c r="B17" s="218">
        <f>'02. Pripravljeno gorivo'!C37</f>
        <v>0</v>
      </c>
      <c r="C17" s="307">
        <f>'02. Pripravljeno gorivo'!E37</f>
        <v>0</v>
      </c>
      <c r="D17" s="170">
        <f>'02. Pripravljeno gorivo'!F37</f>
        <v>0</v>
      </c>
      <c r="G17" s="249" t="s">
        <v>44</v>
      </c>
      <c r="H17" s="216">
        <f>I17*2</f>
        <v>-104.85423150644165</v>
      </c>
      <c r="I17" s="216">
        <f>'03.1 Enacbe1'!A6*16.5+'03.1 Enacbe1'!A7*27.5+'03.1 Enacbe1'!A9*8.5</f>
        <v>-52.427115753220825</v>
      </c>
      <c r="J17" s="216">
        <f t="shared" si="2"/>
        <v>-1174.3673928721464</v>
      </c>
    </row>
    <row r="18" spans="2:10" x14ac:dyDescent="0.3">
      <c r="B18" s="294" t="str">
        <f>'02. Pripravljeno gorivo'!C38</f>
        <v>H2O</v>
      </c>
      <c r="C18" s="307">
        <f>'02. Pripravljeno gorivo'!E38</f>
        <v>10</v>
      </c>
      <c r="D18" s="313">
        <f>'02. Pripravljeno gorivo'!F38</f>
        <v>0.55555555555555558</v>
      </c>
      <c r="G18" s="249" t="s">
        <v>23</v>
      </c>
      <c r="H18" s="216">
        <f>I18*44</f>
        <v>73.99024515123935</v>
      </c>
      <c r="I18" s="216">
        <f>'03.1 Enacbe1'!A8*1+'03.1 Enacbe1'!A9*3</f>
        <v>1.6815964807099852</v>
      </c>
      <c r="J18" s="216">
        <f t="shared" si="2"/>
        <v>37.66776116790367</v>
      </c>
    </row>
    <row r="19" spans="2:10" x14ac:dyDescent="0.3">
      <c r="B19" s="295" t="str">
        <f>'02. Pripravljeno gorivo'!C39</f>
        <v xml:space="preserve">Skupaj </v>
      </c>
      <c r="C19" s="308">
        <f>'02. Pripravljeno gorivo'!E39</f>
        <v>99.999999999999986</v>
      </c>
      <c r="D19" s="308">
        <f>'02. Pripravljeno gorivo'!F39</f>
        <v>13.243999406810756</v>
      </c>
      <c r="G19" s="249" t="str">
        <f>"N2 ("&amp;(1-H1)*100&amp;"%)"</f>
        <v>N2 (80%)</v>
      </c>
      <c r="H19" s="216">
        <f>I19*28</f>
        <v>2679.7117536496989</v>
      </c>
      <c r="I19" s="216">
        <f>I8</f>
        <v>95.703991201774969</v>
      </c>
      <c r="J19" s="216">
        <f t="shared" si="2"/>
        <v>2143.7694029197592</v>
      </c>
    </row>
    <row r="20" spans="2:10" x14ac:dyDescent="0.3">
      <c r="G20" s="249" t="s">
        <v>415</v>
      </c>
      <c r="H20" s="216">
        <f>I20*92</f>
        <v>184</v>
      </c>
      <c r="I20" s="216">
        <f>'03.1 Enacbe1'!A9*2</f>
        <v>2</v>
      </c>
      <c r="J20" s="216">
        <f t="shared" si="2"/>
        <v>44.8</v>
      </c>
    </row>
    <row r="21" spans="2:10" x14ac:dyDescent="0.3">
      <c r="G21" s="249" t="s">
        <v>431</v>
      </c>
      <c r="H21" s="216">
        <f>I21*18</f>
        <v>876.35523342318993</v>
      </c>
      <c r="I21" s="216">
        <f>I9-I10</f>
        <v>48.686401856843887</v>
      </c>
      <c r="J21" s="216">
        <f t="shared" si="2"/>
        <v>1090.575401593303</v>
      </c>
    </row>
    <row r="22" spans="2:10" x14ac:dyDescent="0.3">
      <c r="G22" s="249" t="s">
        <v>280</v>
      </c>
      <c r="H22" s="216">
        <f>SUM(H16:H21)</f>
        <v>3376.9653138566032</v>
      </c>
      <c r="I22" s="216">
        <f t="shared" ref="I22:J22" si="3">SUM(I16:I21)</f>
        <v>83.779242112497897</v>
      </c>
      <c r="J22" s="216">
        <f t="shared" si="3"/>
        <v>1876.6550233199525</v>
      </c>
    </row>
    <row r="23" spans="2:10" x14ac:dyDescent="0.3">
      <c r="G23" t="s">
        <v>612</v>
      </c>
      <c r="H23" s="22">
        <f>H22-H12</f>
        <v>0</v>
      </c>
    </row>
    <row r="25" spans="2:10" x14ac:dyDescent="0.3">
      <c r="G25" s="317" t="s">
        <v>609</v>
      </c>
      <c r="H25" s="22">
        <f>H20*1000/J22</f>
        <v>98.046789481046602</v>
      </c>
      <c r="I25" t="s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R144"/>
  <sheetViews>
    <sheetView topLeftCell="C1" workbookViewId="0">
      <selection activeCell="B22" sqref="B22:B25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37.44140625" customWidth="1"/>
    <col min="8" max="8" width="10.5546875" bestFit="1" customWidth="1"/>
    <col min="9" max="9" width="11.5546875" bestFit="1" customWidth="1"/>
    <col min="10" max="10" width="16" customWidth="1"/>
    <col min="11" max="11" width="10.88671875" customWidth="1"/>
    <col min="12" max="12" width="20.6640625" customWidth="1"/>
    <col min="13" max="13" width="11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5" t="s">
        <v>0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</v>
      </c>
      <c r="P2" s="5" t="s">
        <v>131</v>
      </c>
      <c r="Q2" s="5" t="s">
        <v>17</v>
      </c>
      <c r="R2" s="5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212">
        <f>H3*$R$3/120</f>
        <v>11.795660621761444</v>
      </c>
      <c r="I4" s="212">
        <f t="shared" ref="I4:N4" si="0">I3*$R$3/120</f>
        <v>39.669689119170265</v>
      </c>
      <c r="J4" s="212">
        <f t="shared" si="0"/>
        <v>6.654792746113869</v>
      </c>
      <c r="K4" s="212">
        <f t="shared" si="0"/>
        <v>20.11819948186492</v>
      </c>
      <c r="L4" s="212">
        <f t="shared" si="0"/>
        <v>0.15867875647668106</v>
      </c>
      <c r="M4" s="212">
        <f t="shared" si="0"/>
        <v>1.3439119170984211</v>
      </c>
      <c r="N4" s="212">
        <f t="shared" si="0"/>
        <v>0.25906735751294868</v>
      </c>
      <c r="O4" s="212">
        <f t="shared" ref="O4" si="1">O3*$Q$3/120</f>
        <v>0</v>
      </c>
      <c r="P4" s="211">
        <v>20</v>
      </c>
      <c r="Q4" s="3">
        <f>SUM(H4:P4)</f>
        <v>99.99999999999855</v>
      </c>
    </row>
    <row r="5" spans="2:18" x14ac:dyDescent="0.3">
      <c r="C5" t="s">
        <v>398</v>
      </c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>
        <f>M4/32</f>
        <v>4.1997247409325658E-2</v>
      </c>
      <c r="N5" s="3">
        <f>N4/35.5</f>
        <v>7.2976720426182725E-3</v>
      </c>
      <c r="O5" s="3"/>
      <c r="Q5" s="3"/>
    </row>
    <row r="6" spans="2:18" x14ac:dyDescent="0.3">
      <c r="C6" t="s">
        <v>399</v>
      </c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H21/I8</f>
        <v>0.18941671727147363</v>
      </c>
      <c r="K8" s="3"/>
      <c r="L8" s="3"/>
      <c r="M8" s="3"/>
      <c r="N8" s="3">
        <f>N7/100*2300</f>
        <v>0</v>
      </c>
      <c r="O8" s="3"/>
      <c r="Q8" s="3"/>
    </row>
    <row r="9" spans="2:18" x14ac:dyDescent="0.3">
      <c r="C9" t="s">
        <v>400</v>
      </c>
      <c r="D9">
        <f>17*2+40</f>
        <v>74</v>
      </c>
      <c r="G9" t="s">
        <v>436</v>
      </c>
      <c r="H9" s="3"/>
      <c r="I9" s="3"/>
      <c r="J9" s="3"/>
      <c r="K9" s="3"/>
      <c r="L9" s="3"/>
      <c r="M9" s="3">
        <f>M5/100*2300*$D$9*1</f>
        <v>71.479315090672273</v>
      </c>
      <c r="N9" s="3">
        <f>N5/100*2300*$D$9*1/2</f>
        <v>6.2103189082681496</v>
      </c>
      <c r="O9" s="3"/>
      <c r="Q9" s="3">
        <f>SUM(H9:P9)</f>
        <v>77.689633998940423</v>
      </c>
      <c r="R9" s="243">
        <f>Q9/H13</f>
        <v>3.8844816999470913E-2</v>
      </c>
    </row>
    <row r="10" spans="2:18" x14ac:dyDescent="0.3">
      <c r="G10" s="254" t="s">
        <v>444</v>
      </c>
      <c r="H10" s="3"/>
      <c r="I10" s="3"/>
      <c r="J10" s="3"/>
      <c r="K10" s="3"/>
      <c r="L10" s="3"/>
      <c r="M10" s="3">
        <f>M9*1.5</f>
        <v>107.2189726360084</v>
      </c>
      <c r="N10" s="3">
        <f>N9*1.5</f>
        <v>9.3154783624022244</v>
      </c>
      <c r="O10" s="3"/>
      <c r="Q10" s="3">
        <f>SUM(M10:N10)</f>
        <v>116.53445099841062</v>
      </c>
      <c r="R10" s="243">
        <f>Q10/H13</f>
        <v>5.8267225499206363E-2</v>
      </c>
    </row>
    <row r="11" spans="2:18" x14ac:dyDescent="0.3">
      <c r="C11" t="s">
        <v>404</v>
      </c>
      <c r="H11" s="254" t="s">
        <v>294</v>
      </c>
      <c r="I11" s="254" t="s">
        <v>266</v>
      </c>
      <c r="J11" s="254" t="s">
        <v>309</v>
      </c>
      <c r="K11" t="s">
        <v>336</v>
      </c>
      <c r="L11" t="s">
        <v>330</v>
      </c>
      <c r="M11" t="s">
        <v>329</v>
      </c>
      <c r="N11" t="s">
        <v>331</v>
      </c>
      <c r="O11" t="s">
        <v>335</v>
      </c>
    </row>
    <row r="12" spans="2:18" x14ac:dyDescent="0.3">
      <c r="C12" t="s">
        <v>403</v>
      </c>
      <c r="D12">
        <v>92</v>
      </c>
      <c r="G12" s="254" t="s">
        <v>322</v>
      </c>
      <c r="H12">
        <v>2500</v>
      </c>
      <c r="K12">
        <v>1</v>
      </c>
      <c r="O12" s="3">
        <f>SUM(O13:O14)</f>
        <v>3056.3333333333112</v>
      </c>
    </row>
    <row r="13" spans="2:18" x14ac:dyDescent="0.3">
      <c r="G13" t="s">
        <v>334</v>
      </c>
      <c r="H13">
        <f>SUM(H4:O4)/100*H12</f>
        <v>1999.9999999999638</v>
      </c>
      <c r="L13">
        <f>H13*1.2/1000*500</f>
        <v>1199.9999999999782</v>
      </c>
      <c r="O13" s="3">
        <f>SUM(L13:N13)</f>
        <v>1199.9999999999782</v>
      </c>
    </row>
    <row r="14" spans="2:18" x14ac:dyDescent="0.3">
      <c r="G14" t="s">
        <v>323</v>
      </c>
      <c r="H14" s="211">
        <f>H12*P4/100</f>
        <v>500</v>
      </c>
      <c r="I14" s="3">
        <f>H14/18</f>
        <v>27.777777777777779</v>
      </c>
      <c r="J14" s="3">
        <f t="shared" ref="J14" si="2">I14*22.4</f>
        <v>622.22222222222217</v>
      </c>
      <c r="L14" s="3">
        <f>I14*80*Thermodynamics!C5/1000</f>
        <v>167.33333333333331</v>
      </c>
      <c r="M14">
        <f>I14*Thermodynamics!E5</f>
        <v>1222.333333333333</v>
      </c>
      <c r="N14" s="3">
        <f>I14*500*Thermodynamics!C4/1000</f>
        <v>466.66666666666669</v>
      </c>
      <c r="O14" s="3">
        <f>SUM(L14:N14)</f>
        <v>1856.333333333333</v>
      </c>
    </row>
    <row r="15" spans="2:18" x14ac:dyDescent="0.3">
      <c r="G15" t="s">
        <v>2</v>
      </c>
      <c r="H15" s="22">
        <f>H12*I4/100</f>
        <v>991.74222797925654</v>
      </c>
      <c r="I15" s="3">
        <f>H15/12</f>
        <v>82.64518566493804</v>
      </c>
      <c r="J15" s="3"/>
    </row>
    <row r="16" spans="2:18" x14ac:dyDescent="0.3">
      <c r="G16" t="s">
        <v>44</v>
      </c>
      <c r="H16" s="22">
        <f>H12*J4/100</f>
        <v>166.36981865284673</v>
      </c>
      <c r="I16" s="3">
        <f>H16/2</f>
        <v>83.184909326423366</v>
      </c>
      <c r="J16" s="3"/>
    </row>
    <row r="17" spans="1:14" x14ac:dyDescent="0.3">
      <c r="G17" t="s">
        <v>4</v>
      </c>
      <c r="H17" s="22">
        <f>H12*K4/100</f>
        <v>502.95498704662299</v>
      </c>
      <c r="I17" s="3">
        <f>H17/16</f>
        <v>31.434686690413937</v>
      </c>
      <c r="J17" s="3"/>
    </row>
    <row r="18" spans="1:14" ht="15" thickBot="1" x14ac:dyDescent="0.35">
      <c r="C18" t="s">
        <v>294</v>
      </c>
      <c r="D18" t="s">
        <v>266</v>
      </c>
      <c r="G18" t="s">
        <v>340</v>
      </c>
      <c r="H18" s="22">
        <f>H12*(H4+M4+N4+L4)/100</f>
        <v>338.9329663212373</v>
      </c>
      <c r="I18" s="3"/>
      <c r="J18" s="3">
        <f>H52/2300</f>
        <v>4.9400297223939113E-2</v>
      </c>
    </row>
    <row r="19" spans="1:14" x14ac:dyDescent="0.3">
      <c r="B19" t="str">
        <f>G20</f>
        <v>C9H18O3</v>
      </c>
      <c r="C19" s="213">
        <f>H20</f>
        <v>1661.0670336787264</v>
      </c>
      <c r="D19">
        <f>I20</f>
        <v>9.5463622625214164</v>
      </c>
      <c r="G19" s="254" t="s">
        <v>298</v>
      </c>
      <c r="H19" s="22">
        <f>H21/(H20/0.8)</f>
        <v>0.35668042363836278</v>
      </c>
      <c r="I19" s="3">
        <f>(H22+H52)/(2300)</f>
        <v>0.12435991650755346</v>
      </c>
      <c r="J19" s="3">
        <f>H22/2300</f>
        <v>7.4959619283614345E-2</v>
      </c>
      <c r="K19" s="231">
        <f>D28</f>
        <v>472.85906550614345</v>
      </c>
      <c r="L19" s="221" t="s">
        <v>280</v>
      </c>
    </row>
    <row r="20" spans="1:14" ht="15" thickBot="1" x14ac:dyDescent="0.35">
      <c r="A20" t="s">
        <v>338</v>
      </c>
      <c r="C20" s="14" t="s">
        <v>19</v>
      </c>
      <c r="E20">
        <f>1/3.6</f>
        <v>0.27777777777777779</v>
      </c>
      <c r="G20" s="257" t="s">
        <v>295</v>
      </c>
      <c r="H20" s="22">
        <f>SUM(H15:H17)</f>
        <v>1661.0670336787264</v>
      </c>
      <c r="I20" s="23">
        <f>H20/(9*12+18+16*3)</f>
        <v>9.5463622625214164</v>
      </c>
      <c r="J20" s="23"/>
      <c r="K20" s="232">
        <f>K19*$E$20</f>
        <v>131.34974041837319</v>
      </c>
      <c r="L20" s="225" t="s">
        <v>48</v>
      </c>
    </row>
    <row r="21" spans="1:14" x14ac:dyDescent="0.3">
      <c r="A21" s="162">
        <f>A23/A22*2</f>
        <v>0.49118838846812812</v>
      </c>
      <c r="C21" s="213" t="s">
        <v>20</v>
      </c>
      <c r="D21" t="s">
        <v>369</v>
      </c>
      <c r="E21" t="s">
        <v>368</v>
      </c>
      <c r="G21" s="257" t="s">
        <v>255</v>
      </c>
      <c r="H21" s="3">
        <f>I21*32</f>
        <v>740.58761658030835</v>
      </c>
      <c r="I21" s="3">
        <f>A22*3+A24*0.5</f>
        <v>23.143363018134636</v>
      </c>
      <c r="J21" s="3">
        <f t="shared" ref="J21:J28" si="3">I21*22.4</f>
        <v>518.41133160621587</v>
      </c>
      <c r="K21" t="s">
        <v>300</v>
      </c>
      <c r="L21" s="243">
        <f>H21/H13</f>
        <v>0.37029380829016084</v>
      </c>
    </row>
    <row r="22" spans="1:14" x14ac:dyDescent="0.3">
      <c r="A22" s="212">
        <v>6.5</v>
      </c>
      <c r="B22" s="229" t="s">
        <v>296</v>
      </c>
      <c r="C22" s="230">
        <f>Thermodynamics!E34</f>
        <v>-463.88</v>
      </c>
      <c r="D22" s="190">
        <f>A22*C22</f>
        <v>-3015.22</v>
      </c>
      <c r="E22" s="190">
        <f>D22*$E$20</f>
        <v>-837.56111111111113</v>
      </c>
      <c r="G22" s="257" t="s">
        <v>225</v>
      </c>
      <c r="H22" s="3">
        <f>I22*18</f>
        <v>172.40712435231299</v>
      </c>
      <c r="I22" s="3">
        <f>6*A23</f>
        <v>9.5781735751284991</v>
      </c>
      <c r="J22" s="3">
        <f t="shared" si="3"/>
        <v>214.55108808287838</v>
      </c>
      <c r="K22" t="s">
        <v>300</v>
      </c>
      <c r="L22" s="243">
        <f>H22/H13</f>
        <v>8.6203562176158058E-2</v>
      </c>
    </row>
    <row r="23" spans="1:14" x14ac:dyDescent="0.3">
      <c r="A23" s="215">
        <f>D19-A22-A25</f>
        <v>1.5963622625214164</v>
      </c>
      <c r="B23" s="229" t="s">
        <v>297</v>
      </c>
      <c r="C23" s="230">
        <f>Thermodynamics!E35</f>
        <v>987.07599999999991</v>
      </c>
      <c r="D23" s="190">
        <f>C23*A23</f>
        <v>1575.7308766405895</v>
      </c>
      <c r="E23" s="190">
        <f t="shared" ref="E23:E28" si="4">D23*$E$20</f>
        <v>437.70302128905263</v>
      </c>
      <c r="G23" s="258" t="s">
        <v>29</v>
      </c>
      <c r="H23" s="212">
        <f>I23*28</f>
        <v>1876.8549611398573</v>
      </c>
      <c r="I23" s="3">
        <f>(A22+A23)*9-A24+A25</f>
        <v>67.030534326423478</v>
      </c>
      <c r="J23" s="3">
        <f t="shared" si="3"/>
        <v>1501.4839689118858</v>
      </c>
      <c r="K23" t="s">
        <v>301</v>
      </c>
    </row>
    <row r="24" spans="1:14" x14ac:dyDescent="0.3">
      <c r="A24" s="215">
        <f>(A22+A23)*9*F24</f>
        <v>7.2867260362692754</v>
      </c>
      <c r="B24" s="229" t="str">
        <f>Thermodynamics!D4</f>
        <v>CO + 0,5 O2 = CO2</v>
      </c>
      <c r="C24" s="230">
        <f>Thermodynamics!E4</f>
        <v>-282.98</v>
      </c>
      <c r="D24" s="190">
        <f>A24*C24</f>
        <v>-2061.9977337434798</v>
      </c>
      <c r="E24" s="190">
        <f t="shared" si="4"/>
        <v>-572.77714826207773</v>
      </c>
      <c r="F24" s="214">
        <v>0.1</v>
      </c>
      <c r="G24" s="258" t="s">
        <v>44</v>
      </c>
      <c r="H24" s="212">
        <f>I24*2</f>
        <v>182.58359240068532</v>
      </c>
      <c r="I24" s="3">
        <f>A22*9+A23*16+5*A25</f>
        <v>91.29179620034266</v>
      </c>
      <c r="J24" s="3">
        <f t="shared" si="3"/>
        <v>2044.9362348876755</v>
      </c>
    </row>
    <row r="25" spans="1:14" x14ac:dyDescent="0.3">
      <c r="A25">
        <v>1.45</v>
      </c>
      <c r="B25" s="193" t="s">
        <v>413</v>
      </c>
      <c r="C25" s="204">
        <f>Thermodynamics!B30+Thermodynamics!B6+Thermodynamics!B3-Thermodynamics!B26</f>
        <v>39.20999999999998</v>
      </c>
      <c r="D25" s="190">
        <f>A25*C25</f>
        <v>56.854499999999966</v>
      </c>
      <c r="E25" s="190">
        <f>D25*$E$20</f>
        <v>15.792916666666658</v>
      </c>
      <c r="F25" s="214"/>
      <c r="G25" s="258" t="s">
        <v>23</v>
      </c>
      <c r="H25" s="212">
        <f>I25*44</f>
        <v>384.41594559584809</v>
      </c>
      <c r="I25" s="3">
        <f>A24+A25</f>
        <v>8.7367260362692747</v>
      </c>
      <c r="J25" s="3">
        <f t="shared" si="3"/>
        <v>195.70266321243173</v>
      </c>
      <c r="N25" s="3"/>
    </row>
    <row r="26" spans="1:14" x14ac:dyDescent="0.3">
      <c r="B26" s="229" t="s">
        <v>388</v>
      </c>
      <c r="C26" s="190"/>
      <c r="D26" s="190">
        <f>SUM(D22:D25)*0.75</f>
        <v>-2583.4742678271678</v>
      </c>
      <c r="E26" s="190">
        <f t="shared" si="4"/>
        <v>-717.63174106310214</v>
      </c>
      <c r="G26" s="258" t="s">
        <v>498</v>
      </c>
      <c r="H26" s="212">
        <f>I26*28</f>
        <v>72.001573834196648</v>
      </c>
      <c r="I26" s="3">
        <f>I21/0.9*0.1</f>
        <v>2.5714847797927374</v>
      </c>
      <c r="J26" s="3">
        <f t="shared" si="3"/>
        <v>57.601259067357311</v>
      </c>
      <c r="L26" t="s">
        <v>521</v>
      </c>
      <c r="N26" s="3">
        <f>SUM(H20:H22)</f>
        <v>2574.0617746113476</v>
      </c>
    </row>
    <row r="27" spans="1:14" x14ac:dyDescent="0.3">
      <c r="B27" s="229" t="s">
        <v>337</v>
      </c>
      <c r="C27" s="190"/>
      <c r="D27" s="190">
        <f>SUM(O13:O14)</f>
        <v>3056.3333333333112</v>
      </c>
      <c r="E27" s="190">
        <f t="shared" si="4"/>
        <v>848.98148148147538</v>
      </c>
      <c r="G27" s="258" t="s">
        <v>415</v>
      </c>
      <c r="H27" s="212">
        <f>I27*D12</f>
        <v>133.4</v>
      </c>
      <c r="I27" s="3">
        <f>A25</f>
        <v>1.45</v>
      </c>
      <c r="J27" s="3">
        <f t="shared" si="3"/>
        <v>32.479999999999997</v>
      </c>
      <c r="L27" s="22">
        <f>H27/J29*1000</f>
        <v>29.947739522253876</v>
      </c>
      <c r="N27" s="3">
        <f>SUM(H27,H23:H25)</f>
        <v>2577.2544991363907</v>
      </c>
    </row>
    <row r="28" spans="1:14" x14ac:dyDescent="0.3">
      <c r="B28" s="229" t="s">
        <v>367</v>
      </c>
      <c r="C28" s="190"/>
      <c r="D28" s="190">
        <f>SUM(D26:D27)</f>
        <v>472.85906550614345</v>
      </c>
      <c r="E28" s="190">
        <f t="shared" si="4"/>
        <v>131.34974041837319</v>
      </c>
      <c r="G28" s="258" t="s">
        <v>431</v>
      </c>
      <c r="H28" s="212">
        <f>I28*18</f>
        <v>500</v>
      </c>
      <c r="I28" s="3">
        <f>I14</f>
        <v>27.777777777777779</v>
      </c>
      <c r="J28" s="3">
        <f t="shared" si="3"/>
        <v>622.22222222222217</v>
      </c>
      <c r="L28" s="244"/>
      <c r="N28" s="3">
        <f>N27-N26</f>
        <v>3.1927245250431042</v>
      </c>
    </row>
    <row r="29" spans="1:14" x14ac:dyDescent="0.3">
      <c r="B29" s="193"/>
      <c r="C29" s="204"/>
      <c r="D29" s="204"/>
      <c r="E29" s="204"/>
      <c r="G29" s="258" t="s">
        <v>280</v>
      </c>
      <c r="H29" s="212"/>
      <c r="I29" s="3"/>
      <c r="J29" s="3">
        <f>SUM(J23:J28)</f>
        <v>4454.426348301572</v>
      </c>
      <c r="L29" s="244"/>
      <c r="N29" s="3"/>
    </row>
    <row r="30" spans="1:14" x14ac:dyDescent="0.3">
      <c r="A30">
        <f>A25/A22</f>
        <v>0.22307692307692306</v>
      </c>
      <c r="G30" s="254" t="s">
        <v>416</v>
      </c>
      <c r="H30" s="254" t="s">
        <v>294</v>
      </c>
      <c r="I30" s="254" t="s">
        <v>266</v>
      </c>
      <c r="J30" s="254" t="s">
        <v>309</v>
      </c>
      <c r="N30" s="3"/>
    </row>
    <row r="31" spans="1:14" x14ac:dyDescent="0.3">
      <c r="B31" s="193"/>
      <c r="C31" s="204"/>
      <c r="D31" s="204"/>
      <c r="E31" s="204"/>
      <c r="G31" s="257" t="s">
        <v>415</v>
      </c>
      <c r="H31" s="3">
        <f>H27</f>
        <v>133.4</v>
      </c>
      <c r="I31" s="3">
        <f>I27</f>
        <v>1.45</v>
      </c>
      <c r="J31" s="3"/>
      <c r="N31" s="3"/>
    </row>
    <row r="32" spans="1:14" x14ac:dyDescent="0.3">
      <c r="B32" t="s">
        <v>256</v>
      </c>
      <c r="C32" s="204">
        <v>-41.153999999999996</v>
      </c>
      <c r="D32" s="3"/>
      <c r="E32" s="3"/>
      <c r="G32" s="257" t="s">
        <v>255</v>
      </c>
      <c r="H32" s="3">
        <f>I32*32</f>
        <v>97.44</v>
      </c>
      <c r="I32" s="3">
        <f>A43*7/2</f>
        <v>3.0449999999999999</v>
      </c>
      <c r="J32" s="3">
        <f t="shared" ref="J32:J33" si="5">I32*22.4</f>
        <v>68.207999999999998</v>
      </c>
      <c r="K32" t="s">
        <v>300</v>
      </c>
      <c r="L32" s="245">
        <f>H32/SUM(J23:J26)</f>
        <v>2.5643966974134257E-2</v>
      </c>
      <c r="N32" s="3"/>
    </row>
    <row r="33" spans="1:15" x14ac:dyDescent="0.3">
      <c r="C33" s="204"/>
      <c r="D33" s="3"/>
      <c r="E33" s="3"/>
      <c r="G33" s="257" t="s">
        <v>497</v>
      </c>
      <c r="H33" s="3">
        <f>I33*28</f>
        <v>127.89</v>
      </c>
      <c r="I33" s="3">
        <f>I32/0.4*0.6</f>
        <v>4.5674999999999999</v>
      </c>
      <c r="J33" s="3">
        <f t="shared" si="5"/>
        <v>102.312</v>
      </c>
      <c r="N33" s="3"/>
    </row>
    <row r="34" spans="1:15" x14ac:dyDescent="0.3">
      <c r="B34" t="s">
        <v>308</v>
      </c>
      <c r="C34" s="204">
        <f>Thermodynamics!$E$18</f>
        <v>-205.82599999999999</v>
      </c>
      <c r="G34" s="257" t="s">
        <v>423</v>
      </c>
      <c r="H34" s="3">
        <f>I34*18</f>
        <v>73.08</v>
      </c>
      <c r="I34" s="3">
        <f>A44*7</f>
        <v>4.0599999999999996</v>
      </c>
      <c r="J34" s="3"/>
      <c r="L34" s="245">
        <f>H34/SUM(J23:J26)</f>
        <v>1.9232975230600694E-2</v>
      </c>
      <c r="N34" s="3"/>
    </row>
    <row r="35" spans="1:15" x14ac:dyDescent="0.3">
      <c r="C35" s="204"/>
      <c r="G35" t="s">
        <v>417</v>
      </c>
      <c r="H35" s="3">
        <f>I35*28</f>
        <v>284.2</v>
      </c>
      <c r="I35" s="3">
        <f>(A43+A44)*7</f>
        <v>10.15</v>
      </c>
      <c r="J35" s="3"/>
      <c r="N35" s="3"/>
    </row>
    <row r="36" spans="1:15" x14ac:dyDescent="0.3">
      <c r="B36" t="s">
        <v>319</v>
      </c>
      <c r="C36" s="204">
        <f>Thermodynamics!$E$19</f>
        <v>-90.389999999999986</v>
      </c>
      <c r="F36" s="214"/>
      <c r="G36" t="s">
        <v>421</v>
      </c>
      <c r="H36" s="3">
        <f>I36*2</f>
        <v>19.72</v>
      </c>
      <c r="I36" s="3">
        <f>(A43*4)+A44*11</f>
        <v>9.86</v>
      </c>
      <c r="J36" s="3"/>
      <c r="N36" s="3"/>
    </row>
    <row r="37" spans="1:15" x14ac:dyDescent="0.3">
      <c r="C37" s="204"/>
      <c r="G37" s="258" t="s">
        <v>418</v>
      </c>
      <c r="H37" s="212">
        <f>I37*28</f>
        <v>2161.0549611398574</v>
      </c>
      <c r="I37" s="3">
        <f>I23+I35</f>
        <v>77.180534326423484</v>
      </c>
      <c r="J37" s="3">
        <f t="shared" ref="J37:J41" si="6">I37*22.4</f>
        <v>1728.8439689118859</v>
      </c>
      <c r="N37" s="3"/>
    </row>
    <row r="38" spans="1:15" x14ac:dyDescent="0.3">
      <c r="C38" s="204" t="s">
        <v>387</v>
      </c>
      <c r="D38" t="s">
        <v>15</v>
      </c>
      <c r="G38" s="258" t="s">
        <v>422</v>
      </c>
      <c r="H38" s="212">
        <f>I38*2</f>
        <v>202.30359240068532</v>
      </c>
      <c r="I38" s="3">
        <f>I36+I24</f>
        <v>101.15179620034266</v>
      </c>
      <c r="J38" s="3">
        <f t="shared" si="6"/>
        <v>2265.8002348876753</v>
      </c>
      <c r="N38" s="3"/>
    </row>
    <row r="39" spans="1:15" x14ac:dyDescent="0.3">
      <c r="B39" s="229" t="s">
        <v>386</v>
      </c>
      <c r="C39" s="259">
        <f>9*(Thermodynamics!B3+Thermodynamics!B4)-Thermodynamics!B26</f>
        <v>-5187.134</v>
      </c>
      <c r="D39" s="259">
        <f>C39/Thermodynamics!B27</f>
        <v>-29.811114942528736</v>
      </c>
      <c r="G39" s="258" t="s">
        <v>23</v>
      </c>
      <c r="H39" s="212">
        <f>I39*44</f>
        <v>384.41594559584809</v>
      </c>
      <c r="I39" s="3">
        <f>I25</f>
        <v>8.7367260362692747</v>
      </c>
      <c r="J39" s="3">
        <f t="shared" si="6"/>
        <v>195.70266321243173</v>
      </c>
      <c r="N39" s="3" t="s">
        <v>434</v>
      </c>
    </row>
    <row r="40" spans="1:15" x14ac:dyDescent="0.3">
      <c r="B40" t="s">
        <v>389</v>
      </c>
      <c r="D40">
        <v>-22.4</v>
      </c>
      <c r="G40" s="258" t="s">
        <v>433</v>
      </c>
      <c r="H40" s="212">
        <f>I40*28</f>
        <v>199.89157383419666</v>
      </c>
      <c r="I40" s="3">
        <f>I33+I26</f>
        <v>7.1389847797927377</v>
      </c>
      <c r="J40" s="3">
        <f t="shared" si="6"/>
        <v>159.9132590673573</v>
      </c>
      <c r="N40" s="3"/>
    </row>
    <row r="41" spans="1:15" x14ac:dyDescent="0.3">
      <c r="B41" t="s">
        <v>390</v>
      </c>
      <c r="D41" s="162">
        <f>D40/D39</f>
        <v>0.75139759258195371</v>
      </c>
      <c r="G41" t="s">
        <v>431</v>
      </c>
      <c r="H41" s="212">
        <f>I41*18</f>
        <v>426.92</v>
      </c>
      <c r="I41" s="3">
        <f>I14-I34</f>
        <v>23.71777777777778</v>
      </c>
      <c r="J41" s="3">
        <f t="shared" si="6"/>
        <v>531.27822222222221</v>
      </c>
      <c r="N41" t="s">
        <v>302</v>
      </c>
    </row>
    <row r="42" spans="1:15" x14ac:dyDescent="0.3">
      <c r="G42" s="246" t="s">
        <v>488</v>
      </c>
      <c r="H42" s="3">
        <f>I42*(32)</f>
        <v>1618.4287392054825</v>
      </c>
      <c r="I42" s="3">
        <f>I38/2</f>
        <v>50.575898100171329</v>
      </c>
      <c r="J42" s="3"/>
      <c r="N42" s="215">
        <v>17.405517576941115</v>
      </c>
      <c r="O42" t="s">
        <v>424</v>
      </c>
    </row>
    <row r="43" spans="1:15" x14ac:dyDescent="0.3">
      <c r="A43">
        <f>60%*A25</f>
        <v>0.87</v>
      </c>
      <c r="B43" t="s">
        <v>420</v>
      </c>
      <c r="C43">
        <f>7*Thermodynamics!B6-Thermodynamics!B30</f>
        <v>-786.07</v>
      </c>
      <c r="D43" s="190">
        <f>A43*C43</f>
        <v>-683.8809</v>
      </c>
      <c r="E43" s="190">
        <f>D43*$E$20</f>
        <v>-189.96691666666666</v>
      </c>
      <c r="H43" s="3"/>
      <c r="I43" s="3"/>
      <c r="J43" s="3"/>
      <c r="N43" s="3">
        <f>(I38+N42)/(I37-N42)</f>
        <v>1.9833923974318326</v>
      </c>
      <c r="O43" t="s">
        <v>425</v>
      </c>
    </row>
    <row r="44" spans="1:15" x14ac:dyDescent="0.3">
      <c r="A44">
        <f>40%*A25</f>
        <v>0.57999999999999996</v>
      </c>
      <c r="B44" t="s">
        <v>419</v>
      </c>
      <c r="C44">
        <f>7*Thermodynamics!B6-Thermodynamics!B30-7*Thermodynamics!B4</f>
        <v>906.71199999999988</v>
      </c>
      <c r="D44" s="190">
        <f>C44*A44</f>
        <v>525.8929599999999</v>
      </c>
      <c r="E44" s="190">
        <f t="shared" ref="E44" si="7">D44*$E$20</f>
        <v>146.08137777777776</v>
      </c>
      <c r="G44" s="193" t="s">
        <v>515</v>
      </c>
      <c r="H44" t="s">
        <v>375</v>
      </c>
      <c r="N44" t="s">
        <v>428</v>
      </c>
    </row>
    <row r="45" spans="1:15" x14ac:dyDescent="0.3">
      <c r="E45" s="204">
        <f>SUM(E43:E44)</f>
        <v>-43.885538888888902</v>
      </c>
      <c r="G45" t="s">
        <v>327</v>
      </c>
      <c r="H45">
        <f>I45*18</f>
        <v>426.92</v>
      </c>
      <c r="I45" s="3">
        <f>I14-I34</f>
        <v>23.71777777777778</v>
      </c>
      <c r="J45" s="3"/>
      <c r="K45" t="s">
        <v>306</v>
      </c>
      <c r="N45" s="3">
        <f>N42-I45</f>
        <v>-6.3122602008366648</v>
      </c>
    </row>
    <row r="46" spans="1:15" hidden="1" x14ac:dyDescent="0.3">
      <c r="E46" s="3">
        <f>E45/SUM(J23:J26)</f>
        <v>-1.1549664510557795E-2</v>
      </c>
      <c r="K46" s="231">
        <f>I52*Thermodynamics!E5*1.5</f>
        <v>416.64704681642479</v>
      </c>
      <c r="L46" s="221" t="s">
        <v>381</v>
      </c>
    </row>
    <row r="47" spans="1:15" ht="15" hidden="1" thickBot="1" x14ac:dyDescent="0.35">
      <c r="F47" t="s">
        <v>437</v>
      </c>
      <c r="G47" t="s">
        <v>427</v>
      </c>
      <c r="H47" s="3">
        <f>I47*18</f>
        <v>313.29931638494008</v>
      </c>
      <c r="I47" s="3">
        <f>N42</f>
        <v>17.405517576941115</v>
      </c>
      <c r="J47" s="3"/>
      <c r="K47" s="224">
        <f>K46*$E$20</f>
        <v>115.73529078234023</v>
      </c>
      <c r="L47" s="225" t="s">
        <v>374</v>
      </c>
    </row>
    <row r="48" spans="1:15" hidden="1" x14ac:dyDescent="0.3">
      <c r="B48" t="s">
        <v>489</v>
      </c>
      <c r="C48">
        <f>12+3+16+1</f>
        <v>32</v>
      </c>
      <c r="G48" s="211" t="s">
        <v>29</v>
      </c>
      <c r="H48" s="212">
        <f>I48*28</f>
        <v>1673.7004689855064</v>
      </c>
      <c r="I48" s="212">
        <f>I37-N42</f>
        <v>59.775016749482369</v>
      </c>
      <c r="J48" s="212">
        <f>I48*22.4</f>
        <v>1338.9603751884049</v>
      </c>
    </row>
    <row r="49" spans="7:14" hidden="1" x14ac:dyDescent="0.3">
      <c r="G49" s="211" t="s">
        <v>44</v>
      </c>
      <c r="H49" s="212">
        <f>I49*2</f>
        <v>237.11462755456756</v>
      </c>
      <c r="I49" s="212">
        <f>I38+N42</f>
        <v>118.55731377728378</v>
      </c>
      <c r="J49" s="212">
        <f>I49*22.4</f>
        <v>2655.6838286111565</v>
      </c>
    </row>
    <row r="50" spans="7:14" hidden="1" x14ac:dyDescent="0.3">
      <c r="G50" s="211" t="s">
        <v>23</v>
      </c>
      <c r="H50" s="212">
        <f>I50*44</f>
        <v>1150.2587189812571</v>
      </c>
      <c r="I50" s="212">
        <f>N42+I39</f>
        <v>26.14224361321039</v>
      </c>
      <c r="J50" s="212">
        <f>I50*22.4</f>
        <v>585.58625693591273</v>
      </c>
    </row>
    <row r="51" spans="7:14" hidden="1" x14ac:dyDescent="0.3">
      <c r="G51" s="211" t="s">
        <v>446</v>
      </c>
      <c r="H51" s="212">
        <f>I51*28</f>
        <v>199.89157383419666</v>
      </c>
      <c r="I51" s="212">
        <f>I40</f>
        <v>7.1389847797927377</v>
      </c>
      <c r="J51" s="212">
        <f>I51*22.4</f>
        <v>159.9132590673573</v>
      </c>
    </row>
    <row r="52" spans="7:14" ht="15" hidden="1" thickBot="1" x14ac:dyDescent="0.35">
      <c r="G52" s="211" t="s">
        <v>426</v>
      </c>
      <c r="H52" s="212">
        <f>I52*18</f>
        <v>113.62068361505996</v>
      </c>
      <c r="I52" s="212">
        <f>I41-N42</f>
        <v>6.3122602008366648</v>
      </c>
      <c r="J52" s="212">
        <f>I52*22.4</f>
        <v>141.39462849874127</v>
      </c>
      <c r="N52" s="23">
        <f>J52/SUM(J37:J40)</f>
        <v>3.250256867424902E-2</v>
      </c>
    </row>
    <row r="53" spans="7:14" hidden="1" x14ac:dyDescent="0.3">
      <c r="G53" s="211" t="s">
        <v>311</v>
      </c>
      <c r="H53" s="211"/>
      <c r="I53" s="212"/>
      <c r="J53" s="212">
        <f>SUM(J48:J50)</f>
        <v>4580.2304607354736</v>
      </c>
      <c r="K53" s="227">
        <f>C32*I48*K12</f>
        <v>-2459.9810393081971</v>
      </c>
      <c r="L53" s="221" t="s">
        <v>358</v>
      </c>
    </row>
    <row r="54" spans="7:14" ht="15" hidden="1" thickBot="1" x14ac:dyDescent="0.35">
      <c r="G54" s="193" t="s">
        <v>307</v>
      </c>
      <c r="H54" t="s">
        <v>357</v>
      </c>
      <c r="I54" t="s">
        <v>377</v>
      </c>
      <c r="K54" s="224">
        <f>K53*$E$20</f>
        <v>-683.32806647449922</v>
      </c>
      <c r="L54" s="225" t="s">
        <v>370</v>
      </c>
      <c r="N54" s="23">
        <f>K54/SUM(J37:J40)</f>
        <v>-0.15707751873917139</v>
      </c>
    </row>
    <row r="55" spans="7:14" hidden="1" x14ac:dyDescent="0.3">
      <c r="G55" s="209" t="str">
        <f>G51</f>
        <v xml:space="preserve">N2  </v>
      </c>
      <c r="H55" s="210">
        <f>H51</f>
        <v>199.89157383419666</v>
      </c>
      <c r="I55" s="210">
        <f>I51</f>
        <v>7.1389847797927377</v>
      </c>
      <c r="J55" s="210">
        <f>J51</f>
        <v>159.9132590673573</v>
      </c>
      <c r="K55" s="161"/>
    </row>
    <row r="56" spans="7:14" hidden="1" x14ac:dyDescent="0.3">
      <c r="G56" s="209" t="s">
        <v>29</v>
      </c>
      <c r="H56" s="210">
        <f>I56*18</f>
        <v>1075.9503014906827</v>
      </c>
      <c r="I56" s="210">
        <f>I48</f>
        <v>59.775016749482369</v>
      </c>
      <c r="J56" s="210">
        <f>I56*22.4</f>
        <v>1338.9603751884049</v>
      </c>
      <c r="K56" s="234" t="s">
        <v>396</v>
      </c>
      <c r="L56" s="235"/>
    </row>
    <row r="57" spans="7:14" hidden="1" x14ac:dyDescent="0.3">
      <c r="G57" s="209" t="s">
        <v>44</v>
      </c>
      <c r="H57" s="210">
        <f>I57*2</f>
        <v>237.11462755456756</v>
      </c>
      <c r="I57" s="210">
        <f>I49</f>
        <v>118.55731377728378</v>
      </c>
      <c r="J57" s="210">
        <f>I57*22.4</f>
        <v>2655.6838286111565</v>
      </c>
      <c r="K57" s="161"/>
    </row>
    <row r="58" spans="7:14" hidden="1" x14ac:dyDescent="0.3">
      <c r="G58" s="209" t="s">
        <v>310</v>
      </c>
      <c r="H58" s="210"/>
      <c r="I58" s="210"/>
      <c r="J58" s="210">
        <f>SUM(J56:J57)</f>
        <v>3994.6442037995612</v>
      </c>
      <c r="K58" s="161"/>
    </row>
    <row r="59" spans="7:14" hidden="1" x14ac:dyDescent="0.3">
      <c r="G59" s="211" t="str">
        <f>G51</f>
        <v xml:space="preserve">N2  </v>
      </c>
      <c r="H59" s="212">
        <f>H51</f>
        <v>199.89157383419666</v>
      </c>
      <c r="I59" s="212">
        <f>I51</f>
        <v>7.1389847797927377</v>
      </c>
      <c r="J59" s="212">
        <f>J51</f>
        <v>159.9132590673573</v>
      </c>
      <c r="K59" s="161"/>
    </row>
    <row r="60" spans="7:14" hidden="1" x14ac:dyDescent="0.3">
      <c r="G60" s="211" t="s">
        <v>259</v>
      </c>
      <c r="H60" s="212">
        <f>I60*16</f>
        <v>956.4002679917179</v>
      </c>
      <c r="I60" s="212">
        <f>I56</f>
        <v>59.775016749482369</v>
      </c>
      <c r="J60" s="212">
        <f>I60*22.4</f>
        <v>1338.9603751884049</v>
      </c>
      <c r="K60" s="161"/>
    </row>
    <row r="61" spans="7:14" ht="15" hidden="1" thickBot="1" x14ac:dyDescent="0.35">
      <c r="G61" s="211" t="s">
        <v>225</v>
      </c>
      <c r="H61" s="212">
        <f>I61*18</f>
        <v>1075.9503014906827</v>
      </c>
      <c r="I61" s="212">
        <f>I56</f>
        <v>59.775016749482369</v>
      </c>
      <c r="J61" s="212">
        <f>I61*22.4</f>
        <v>1338.9603751884049</v>
      </c>
      <c r="K61" s="161"/>
    </row>
    <row r="62" spans="7:14" hidden="1" x14ac:dyDescent="0.3">
      <c r="G62" s="211" t="s">
        <v>311</v>
      </c>
      <c r="H62" s="211"/>
      <c r="I62" s="211"/>
      <c r="J62" s="212">
        <f>SUM(J60:J61)</f>
        <v>2677.9207503768098</v>
      </c>
      <c r="K62" s="227">
        <f>C34*I56*K12</f>
        <v>-12303.252597478957</v>
      </c>
      <c r="L62" s="221" t="s">
        <v>355</v>
      </c>
    </row>
    <row r="63" spans="7:14" ht="15" hidden="1" thickBot="1" x14ac:dyDescent="0.35">
      <c r="K63" s="224">
        <f>K62*$E$20</f>
        <v>-3417.5701659663769</v>
      </c>
      <c r="L63" s="225" t="s">
        <v>370</v>
      </c>
    </row>
    <row r="64" spans="7:14" x14ac:dyDescent="0.3">
      <c r="K64" s="161"/>
    </row>
    <row r="65" spans="7:12" x14ac:dyDescent="0.3">
      <c r="G65" s="254" t="s">
        <v>491</v>
      </c>
      <c r="H65" s="254" t="s">
        <v>294</v>
      </c>
      <c r="I65" s="254" t="s">
        <v>266</v>
      </c>
      <c r="J65" s="254" t="s">
        <v>309</v>
      </c>
      <c r="K65" s="161"/>
      <c r="L65" t="s">
        <v>441</v>
      </c>
    </row>
    <row r="66" spans="7:12" x14ac:dyDescent="0.3">
      <c r="G66" s="258" t="s">
        <v>29</v>
      </c>
      <c r="H66" s="3">
        <f>I66*28</f>
        <v>2161.0549611398574</v>
      </c>
      <c r="I66" s="3">
        <f>I37</f>
        <v>77.180534326423484</v>
      </c>
      <c r="J66" s="3">
        <f>I66*22.4</f>
        <v>1728.8439689118859</v>
      </c>
      <c r="K66" s="161"/>
      <c r="L66" s="162">
        <f>I66/$I$73</f>
        <v>0.39741163029485266</v>
      </c>
    </row>
    <row r="67" spans="7:12" x14ac:dyDescent="0.3">
      <c r="G67" s="258" t="s">
        <v>44</v>
      </c>
      <c r="H67" s="3">
        <f>I67*2</f>
        <v>202.30359240068532</v>
      </c>
      <c r="I67" s="3">
        <f>I38</f>
        <v>101.15179620034266</v>
      </c>
      <c r="J67" s="3">
        <f t="shared" ref="J67:J70" si="8">I67*22.4</f>
        <v>2265.8002348876753</v>
      </c>
      <c r="K67" s="161"/>
      <c r="L67" s="162">
        <f t="shared" ref="L67:L69" si="9">I67/$I$73</f>
        <v>0.52084247130520822</v>
      </c>
    </row>
    <row r="68" spans="7:12" x14ac:dyDescent="0.3">
      <c r="G68" s="258" t="s">
        <v>23</v>
      </c>
      <c r="H68" s="3">
        <f>I68*44</f>
        <v>384.41594559584809</v>
      </c>
      <c r="I68" s="3">
        <f>I39</f>
        <v>8.7367260362692747</v>
      </c>
      <c r="J68" s="3">
        <f t="shared" si="8"/>
        <v>195.70266321243173</v>
      </c>
      <c r="K68" s="161"/>
      <c r="L68" s="162">
        <f t="shared" si="9"/>
        <v>4.4986427832031224E-2</v>
      </c>
    </row>
    <row r="69" spans="7:12" x14ac:dyDescent="0.3">
      <c r="G69" s="258" t="s">
        <v>45</v>
      </c>
      <c r="H69" s="3">
        <f>I69*28</f>
        <v>199.89157383419666</v>
      </c>
      <c r="I69" s="3">
        <f>I40</f>
        <v>7.1389847797927377</v>
      </c>
      <c r="J69" s="3">
        <f t="shared" si="8"/>
        <v>159.9132590673573</v>
      </c>
      <c r="K69" s="161">
        <f>SUM(J66:J69)</f>
        <v>4350.2601260793499</v>
      </c>
      <c r="L69" s="162">
        <f t="shared" si="9"/>
        <v>3.6759470567907931E-2</v>
      </c>
    </row>
    <row r="70" spans="7:12" x14ac:dyDescent="0.3">
      <c r="G70" s="211" t="s">
        <v>447</v>
      </c>
      <c r="H70" s="3">
        <f>I70*18</f>
        <v>426.92</v>
      </c>
      <c r="I70" s="3">
        <f>I41</f>
        <v>23.71777777777778</v>
      </c>
      <c r="J70" s="3">
        <f t="shared" si="8"/>
        <v>531.27822222222221</v>
      </c>
      <c r="K70" s="161"/>
    </row>
    <row r="71" spans="7:12" x14ac:dyDescent="0.3">
      <c r="G71" s="211" t="s">
        <v>448</v>
      </c>
      <c r="H71" s="3">
        <f>SUM(H66:H68)</f>
        <v>2747.7744991363907</v>
      </c>
      <c r="I71" s="3">
        <f t="shared" ref="I71:J71" si="10">SUM(I66:I68)</f>
        <v>187.06905656303542</v>
      </c>
      <c r="J71" s="3">
        <f t="shared" si="10"/>
        <v>4190.3468670119928</v>
      </c>
      <c r="K71" s="161"/>
    </row>
    <row r="72" spans="7:12" x14ac:dyDescent="0.3">
      <c r="G72" s="211" t="s">
        <v>45</v>
      </c>
      <c r="H72" s="3">
        <f>H69</f>
        <v>199.89157383419666</v>
      </c>
      <c r="I72" s="3">
        <f t="shared" ref="I72:J72" si="11">I69</f>
        <v>7.1389847797927377</v>
      </c>
      <c r="J72" s="3">
        <f t="shared" si="11"/>
        <v>159.9132590673573</v>
      </c>
      <c r="K72" s="161"/>
    </row>
    <row r="73" spans="7:12" x14ac:dyDescent="0.3">
      <c r="G73" s="211" t="s">
        <v>500</v>
      </c>
      <c r="H73" s="3">
        <f>SUM(H71:H72)</f>
        <v>2947.6660729705873</v>
      </c>
      <c r="I73" s="3">
        <f t="shared" ref="I73:J73" si="12">SUM(I71:I72)</f>
        <v>194.20804134282815</v>
      </c>
      <c r="J73" s="3">
        <f t="shared" si="12"/>
        <v>4350.2601260793499</v>
      </c>
      <c r="K73" s="161"/>
    </row>
    <row r="74" spans="7:12" x14ac:dyDescent="0.3">
      <c r="G74" s="211"/>
      <c r="H74" s="3"/>
      <c r="K74" s="161"/>
    </row>
    <row r="75" spans="7:12" x14ac:dyDescent="0.3">
      <c r="G75" s="254" t="s">
        <v>449</v>
      </c>
      <c r="H75" s="254" t="s">
        <v>294</v>
      </c>
      <c r="I75" s="254" t="s">
        <v>266</v>
      </c>
      <c r="J75" s="254" t="s">
        <v>309</v>
      </c>
      <c r="K75" s="161"/>
    </row>
    <row r="76" spans="7:12" x14ac:dyDescent="0.3">
      <c r="G76" s="211" t="s">
        <v>29</v>
      </c>
      <c r="H76" s="3">
        <f>I76*28</f>
        <v>0</v>
      </c>
      <c r="I76" s="3">
        <v>0</v>
      </c>
      <c r="J76" s="212">
        <f>I76*22.4</f>
        <v>0</v>
      </c>
      <c r="K76" s="161"/>
    </row>
    <row r="77" spans="7:12" x14ac:dyDescent="0.3">
      <c r="G77" s="258" t="s">
        <v>44</v>
      </c>
      <c r="H77" s="3">
        <f>I77*2</f>
        <v>1146.3870236038836</v>
      </c>
      <c r="I77" s="3">
        <f>(1/F89-1)*I67</f>
        <v>573.19351180194178</v>
      </c>
      <c r="J77" s="212">
        <f>I77*22.4</f>
        <v>12839.534664363495</v>
      </c>
      <c r="K77" s="161"/>
    </row>
    <row r="78" spans="7:12" x14ac:dyDescent="0.3">
      <c r="G78" s="211" t="s">
        <v>452</v>
      </c>
      <c r="H78" s="3">
        <f>SUM(H76:H77)</f>
        <v>1146.3870236038836</v>
      </c>
      <c r="J78" s="3">
        <f>SUM(J76:J77)</f>
        <v>12839.534664363495</v>
      </c>
      <c r="K78" s="161"/>
    </row>
    <row r="79" spans="7:12" x14ac:dyDescent="0.3">
      <c r="G79" s="211"/>
      <c r="H79" s="3"/>
      <c r="K79" s="161"/>
    </row>
    <row r="80" spans="7:12" x14ac:dyDescent="0.3">
      <c r="G80" s="254" t="s">
        <v>450</v>
      </c>
      <c r="H80" s="254" t="s">
        <v>294</v>
      </c>
      <c r="I80" s="254" t="s">
        <v>266</v>
      </c>
      <c r="J80" s="254" t="s">
        <v>309</v>
      </c>
      <c r="K80" s="161"/>
    </row>
    <row r="81" spans="5:13" x14ac:dyDescent="0.3">
      <c r="G81" s="258" t="s">
        <v>29</v>
      </c>
      <c r="H81" s="3">
        <f>I81*28</f>
        <v>2161.0549611398574</v>
      </c>
      <c r="I81" s="3">
        <f t="shared" ref="I81" si="13">I76+I66</f>
        <v>77.180534326423484</v>
      </c>
      <c r="J81" s="3">
        <f>I81*22.4</f>
        <v>1728.8439689118859</v>
      </c>
      <c r="K81" s="161"/>
      <c r="L81" s="207">
        <f>I81/$I$87</f>
        <v>0.10057385733732468</v>
      </c>
    </row>
    <row r="82" spans="5:13" x14ac:dyDescent="0.3">
      <c r="G82" s="258" t="s">
        <v>44</v>
      </c>
      <c r="H82" s="3">
        <f>I82*2</f>
        <v>1348.6906160045689</v>
      </c>
      <c r="I82" s="3">
        <f t="shared" ref="I82" si="14">I67+I77</f>
        <v>674.34530800228447</v>
      </c>
      <c r="J82" s="3">
        <f t="shared" ref="J82:J86" si="15">I82*22.4</f>
        <v>15105.334899251171</v>
      </c>
      <c r="K82" s="161"/>
      <c r="L82" s="207">
        <f t="shared" ref="L82:L87" si="16">I82/$I$87</f>
        <v>0.87873852383912165</v>
      </c>
    </row>
    <row r="83" spans="5:13" x14ac:dyDescent="0.3">
      <c r="G83" s="258" t="s">
        <v>23</v>
      </c>
      <c r="H83" s="3">
        <f>I83*44</f>
        <v>384.41594559584809</v>
      </c>
      <c r="I83" s="3">
        <f>I68</f>
        <v>8.7367260362692747</v>
      </c>
      <c r="J83" s="3">
        <f t="shared" si="15"/>
        <v>195.70266321243173</v>
      </c>
      <c r="K83" s="161"/>
      <c r="L83" s="207">
        <f t="shared" si="16"/>
        <v>1.1384816724004069E-2</v>
      </c>
    </row>
    <row r="84" spans="5:13" x14ac:dyDescent="0.3">
      <c r="G84" s="258" t="s">
        <v>45</v>
      </c>
      <c r="H84" s="3">
        <f>I84*28</f>
        <v>199.89157383419666</v>
      </c>
      <c r="I84" s="3">
        <f>I69</f>
        <v>7.1389847797927377</v>
      </c>
      <c r="J84" s="3">
        <f t="shared" si="15"/>
        <v>159.9132590673573</v>
      </c>
      <c r="K84" s="161"/>
      <c r="L84" s="207">
        <f t="shared" si="16"/>
        <v>9.3028020995495307E-3</v>
      </c>
    </row>
    <row r="85" spans="5:13" x14ac:dyDescent="0.3">
      <c r="G85" s="211" t="s">
        <v>451</v>
      </c>
      <c r="H85" s="3">
        <f>SUM(H81:H83)</f>
        <v>3894.1615227402744</v>
      </c>
      <c r="I85" s="3">
        <f>SUM(I81:I83)</f>
        <v>760.26256836497726</v>
      </c>
      <c r="J85" s="3">
        <f>SUM(J81:J83)</f>
        <v>17029.881531375489</v>
      </c>
      <c r="K85" s="161"/>
      <c r="L85" s="162">
        <f t="shared" si="16"/>
        <v>0.99069719790045052</v>
      </c>
    </row>
    <row r="86" spans="5:13" x14ac:dyDescent="0.3">
      <c r="G86" s="211" t="s">
        <v>45</v>
      </c>
      <c r="H86" s="3">
        <f>I86*28</f>
        <v>199.89157383419666</v>
      </c>
      <c r="I86" s="3">
        <f>I84</f>
        <v>7.1389847797927377</v>
      </c>
      <c r="J86" s="3">
        <f t="shared" si="15"/>
        <v>159.9132590673573</v>
      </c>
      <c r="K86" s="161"/>
      <c r="L86" s="162">
        <f>I86/$I$87</f>
        <v>9.3028020995495307E-3</v>
      </c>
    </row>
    <row r="87" spans="5:13" x14ac:dyDescent="0.3">
      <c r="G87" s="211" t="s">
        <v>494</v>
      </c>
      <c r="H87" s="3">
        <f>SUM(H85:H86)</f>
        <v>4094.0530965744711</v>
      </c>
      <c r="I87" s="3">
        <f t="shared" ref="I87:J87" si="17">SUM(I85:I86)</f>
        <v>767.40155314476999</v>
      </c>
      <c r="J87" s="3">
        <f t="shared" si="17"/>
        <v>17189.794790442847</v>
      </c>
      <c r="K87" s="161"/>
      <c r="L87" s="162">
        <f t="shared" si="16"/>
        <v>1</v>
      </c>
    </row>
    <row r="88" spans="5:13" x14ac:dyDescent="0.3">
      <c r="E88" t="s">
        <v>438</v>
      </c>
      <c r="G88" s="254" t="s">
        <v>516</v>
      </c>
      <c r="H88" s="254" t="s">
        <v>294</v>
      </c>
      <c r="I88" s="254" t="s">
        <v>266</v>
      </c>
      <c r="J88" s="254" t="s">
        <v>309</v>
      </c>
      <c r="K88" s="161"/>
      <c r="L88" t="s">
        <v>492</v>
      </c>
      <c r="M88" t="s">
        <v>493</v>
      </c>
    </row>
    <row r="89" spans="5:13" x14ac:dyDescent="0.3">
      <c r="F89" s="214">
        <v>0.15</v>
      </c>
      <c r="G89" s="258" t="s">
        <v>517</v>
      </c>
      <c r="H89" s="3">
        <f>I89*32</f>
        <v>1618.4287392054828</v>
      </c>
      <c r="I89" s="3">
        <f>I82*F89/2</f>
        <v>50.575898100171337</v>
      </c>
      <c r="J89" s="3">
        <f t="shared" ref="J89:J93" si="18">I89*22.4</f>
        <v>1132.9001174438379</v>
      </c>
      <c r="K89" s="161"/>
      <c r="L89" s="207">
        <f>I89/$I$94</f>
        <v>7.5911319400886371E-2</v>
      </c>
      <c r="M89" s="3">
        <f>L89*30</f>
        <v>2.2773395820265909</v>
      </c>
    </row>
    <row r="90" spans="5:13" x14ac:dyDescent="0.3">
      <c r="G90" s="258" t="s">
        <v>29</v>
      </c>
      <c r="H90" s="3">
        <f>I90*28</f>
        <v>744.92981433506009</v>
      </c>
      <c r="I90" s="3">
        <f>I81-I89</f>
        <v>26.604636226252147</v>
      </c>
      <c r="J90" s="3">
        <f t="shared" si="18"/>
        <v>595.94385146804802</v>
      </c>
      <c r="K90" s="161"/>
      <c r="L90" s="207">
        <f t="shared" ref="L90:L93" si="19">I90/$I$94</f>
        <v>3.9931926351863975E-2</v>
      </c>
      <c r="M90" s="3">
        <f t="shared" ref="M90:M93" si="20">L90*30</f>
        <v>1.1979577905559193</v>
      </c>
    </row>
    <row r="91" spans="5:13" x14ac:dyDescent="0.3">
      <c r="G91" s="258" t="s">
        <v>44</v>
      </c>
      <c r="H91" s="3">
        <f>I91*2</f>
        <v>1146.3870236038836</v>
      </c>
      <c r="I91" s="181">
        <f>I82-2*I89</f>
        <v>573.19351180194178</v>
      </c>
      <c r="J91" s="3">
        <f t="shared" si="18"/>
        <v>12839.534664363495</v>
      </c>
      <c r="K91" s="161">
        <f>SUM(J90:J91)</f>
        <v>13435.478515831543</v>
      </c>
      <c r="L91" s="207">
        <f t="shared" si="19"/>
        <v>0.8603282865433789</v>
      </c>
      <c r="M91" s="3">
        <f t="shared" si="20"/>
        <v>25.809848596301368</v>
      </c>
    </row>
    <row r="92" spans="5:13" x14ac:dyDescent="0.3">
      <c r="G92" s="258" t="s">
        <v>23</v>
      </c>
      <c r="H92" s="3">
        <f>I92*44</f>
        <v>384.41594559584809</v>
      </c>
      <c r="I92" s="3">
        <f>I83</f>
        <v>8.7367260362692747</v>
      </c>
      <c r="J92" s="3">
        <f t="shared" si="18"/>
        <v>195.70266321243173</v>
      </c>
      <c r="K92" s="161"/>
      <c r="L92" s="207">
        <f t="shared" si="19"/>
        <v>1.311328964131692E-2</v>
      </c>
      <c r="M92" s="3">
        <f t="shared" si="20"/>
        <v>0.3933986892395076</v>
      </c>
    </row>
    <row r="93" spans="5:13" x14ac:dyDescent="0.3">
      <c r="G93" s="258" t="s">
        <v>45</v>
      </c>
      <c r="H93" s="3">
        <f>I93*28</f>
        <v>199.89157383419666</v>
      </c>
      <c r="I93" s="3">
        <f>I84</f>
        <v>7.1389847797927377</v>
      </c>
      <c r="J93" s="3">
        <f t="shared" si="18"/>
        <v>159.9132590673573</v>
      </c>
      <c r="K93" s="161">
        <f>SUM(J92:J93)</f>
        <v>355.61592227978906</v>
      </c>
      <c r="L93" s="207">
        <f t="shared" si="19"/>
        <v>1.0715178062553813E-2</v>
      </c>
      <c r="M93" s="3">
        <f t="shared" si="20"/>
        <v>0.3214553418766144</v>
      </c>
    </row>
    <row r="94" spans="5:13" x14ac:dyDescent="0.3">
      <c r="G94" s="211" t="s">
        <v>280</v>
      </c>
      <c r="H94" s="3">
        <f>SUM(H89:H93)</f>
        <v>4094.0530965744711</v>
      </c>
      <c r="I94" s="3">
        <f t="shared" ref="I94:J94" si="21">SUM(I89:I93)</f>
        <v>666.2497569444273</v>
      </c>
      <c r="J94" s="3">
        <f t="shared" si="21"/>
        <v>14923.994555555171</v>
      </c>
      <c r="K94" s="161"/>
    </row>
    <row r="95" spans="5:13" x14ac:dyDescent="0.3">
      <c r="G95" s="254" t="s">
        <v>454</v>
      </c>
      <c r="H95" s="254" t="s">
        <v>294</v>
      </c>
      <c r="I95" s="254" t="s">
        <v>266</v>
      </c>
      <c r="J95" s="254" t="s">
        <v>309</v>
      </c>
      <c r="K95" s="161"/>
    </row>
    <row r="96" spans="5:13" x14ac:dyDescent="0.3">
      <c r="G96" s="211" t="s">
        <v>29</v>
      </c>
      <c r="H96" s="3">
        <f>I96*28</f>
        <v>0</v>
      </c>
      <c r="I96">
        <f>0</f>
        <v>0</v>
      </c>
      <c r="J96" s="3">
        <f t="shared" ref="J96:J97" si="22">I96*22.4</f>
        <v>0</v>
      </c>
      <c r="K96" s="161"/>
    </row>
    <row r="97" spans="7:15" x14ac:dyDescent="0.3">
      <c r="G97" s="258" t="s">
        <v>44</v>
      </c>
      <c r="H97" s="3">
        <f>I97*2</f>
        <v>1146.3870236038836</v>
      </c>
      <c r="I97" s="181">
        <f>I91</f>
        <v>573.19351180194178</v>
      </c>
      <c r="J97" s="3">
        <f t="shared" si="22"/>
        <v>12839.534664363495</v>
      </c>
      <c r="K97" s="161"/>
    </row>
    <row r="98" spans="7:15" x14ac:dyDescent="0.3">
      <c r="G98" s="211" t="s">
        <v>280</v>
      </c>
      <c r="H98" s="3">
        <f>SUM(H96:H97)</f>
        <v>1146.3870236038836</v>
      </c>
      <c r="I98" s="3">
        <f>SUM(I96:I97)</f>
        <v>573.19351180194178</v>
      </c>
      <c r="J98" s="3">
        <f>SUM(J96:J97)</f>
        <v>12839.534664363495</v>
      </c>
      <c r="K98" s="161"/>
    </row>
    <row r="99" spans="7:15" x14ac:dyDescent="0.3">
      <c r="G99" s="254" t="s">
        <v>495</v>
      </c>
      <c r="H99" s="254" t="s">
        <v>294</v>
      </c>
      <c r="I99" s="254" t="s">
        <v>266</v>
      </c>
      <c r="J99" s="254" t="s">
        <v>309</v>
      </c>
      <c r="K99" s="161"/>
    </row>
    <row r="100" spans="7:15" x14ac:dyDescent="0.3">
      <c r="G100" s="258" t="s">
        <v>29</v>
      </c>
      <c r="H100" s="3">
        <f>I100*28</f>
        <v>744.92981433506009</v>
      </c>
      <c r="I100" s="3">
        <f>I90</f>
        <v>26.604636226252147</v>
      </c>
      <c r="J100" s="3">
        <f t="shared" ref="J100:J102" si="23">I100*22.4</f>
        <v>595.94385146804802</v>
      </c>
      <c r="K100" s="161"/>
    </row>
    <row r="101" spans="7:15" x14ac:dyDescent="0.3">
      <c r="G101" s="258" t="s">
        <v>23</v>
      </c>
      <c r="H101">
        <f>I101*44</f>
        <v>384.41594559584809</v>
      </c>
      <c r="I101" s="3">
        <f>I92</f>
        <v>8.7367260362692747</v>
      </c>
      <c r="J101" s="3">
        <f t="shared" si="23"/>
        <v>195.70266321243173</v>
      </c>
      <c r="K101" s="161"/>
    </row>
    <row r="102" spans="7:15" x14ac:dyDescent="0.3">
      <c r="G102" s="258" t="s">
        <v>45</v>
      </c>
      <c r="H102">
        <f>I102*28</f>
        <v>199.89157383419666</v>
      </c>
      <c r="I102" s="3">
        <f>I93</f>
        <v>7.1389847797927377</v>
      </c>
      <c r="J102" s="3">
        <f t="shared" si="23"/>
        <v>159.9132590673573</v>
      </c>
      <c r="K102" s="161"/>
    </row>
    <row r="103" spans="7:15" x14ac:dyDescent="0.3">
      <c r="G103" s="211"/>
      <c r="I103" s="3"/>
      <c r="K103" s="161"/>
    </row>
    <row r="104" spans="7:15" x14ac:dyDescent="0.3">
      <c r="G104" s="211"/>
      <c r="I104" s="3"/>
      <c r="K104" s="161"/>
    </row>
    <row r="105" spans="7:15" x14ac:dyDescent="0.3">
      <c r="G105" s="211"/>
      <c r="I105" s="3"/>
      <c r="K105" s="161"/>
    </row>
    <row r="106" spans="7:15" ht="15" thickBot="1" x14ac:dyDescent="0.35">
      <c r="G106" s="254" t="s">
        <v>313</v>
      </c>
      <c r="H106" t="s">
        <v>378</v>
      </c>
      <c r="J106" t="s">
        <v>320</v>
      </c>
      <c r="K106" s="161" t="s">
        <v>514</v>
      </c>
      <c r="N106" t="s">
        <v>438</v>
      </c>
    </row>
    <row r="107" spans="7:15" x14ac:dyDescent="0.3">
      <c r="G107" t="s">
        <v>314</v>
      </c>
      <c r="H107" s="3">
        <f>I107*(12+16+4)</f>
        <v>1618.4287392054828</v>
      </c>
      <c r="I107" s="3">
        <f>I89</f>
        <v>50.575898100171337</v>
      </c>
      <c r="J107" s="3">
        <f>H107/0.792</f>
        <v>2043.4706303099529</v>
      </c>
      <c r="K107" s="227">
        <f>I107*C36*K12</f>
        <v>-4571.5554292744864</v>
      </c>
      <c r="L107" s="221" t="s">
        <v>356</v>
      </c>
      <c r="N107" s="214">
        <v>0.25</v>
      </c>
    </row>
    <row r="108" spans="7:15" ht="15" thickBot="1" x14ac:dyDescent="0.35">
      <c r="G108" s="254" t="s">
        <v>518</v>
      </c>
      <c r="K108" s="255">
        <f>K107*$E$20</f>
        <v>-1269.8765081318018</v>
      </c>
      <c r="L108" s="256" t="s">
        <v>370</v>
      </c>
      <c r="N108">
        <f>K108*N107</f>
        <v>-317.46912703295044</v>
      </c>
      <c r="O108" t="s">
        <v>439</v>
      </c>
    </row>
    <row r="109" spans="7:15" hidden="1" x14ac:dyDescent="0.3">
      <c r="G109" s="193" t="s">
        <v>341</v>
      </c>
      <c r="H109" s="3">
        <f>I109*28</f>
        <v>162.00354112694245</v>
      </c>
      <c r="I109" s="3">
        <f>I21/0.8*0.2</f>
        <v>5.785840754533659</v>
      </c>
      <c r="J109">
        <f>I109*22.4</f>
        <v>129.60283290155397</v>
      </c>
      <c r="N109" s="23">
        <f>N108/SUM(J37:J40)</f>
        <v>-7.2977044551831863E-2</v>
      </c>
      <c r="O109" t="s">
        <v>437</v>
      </c>
    </row>
    <row r="110" spans="7:15" hidden="1" x14ac:dyDescent="0.3">
      <c r="N110" t="s">
        <v>440</v>
      </c>
      <c r="O110">
        <f>(1-N107)*SUM(J48:J49)</f>
        <v>2995.9831528496707</v>
      </c>
    </row>
    <row r="111" spans="7:15" hidden="1" x14ac:dyDescent="0.3">
      <c r="G111" s="170" t="s">
        <v>339</v>
      </c>
      <c r="H111" s="170" t="s">
        <v>294</v>
      </c>
      <c r="I111" s="170" t="s">
        <v>266</v>
      </c>
      <c r="J111" s="218" t="s">
        <v>309</v>
      </c>
      <c r="K111" s="220" t="s">
        <v>359</v>
      </c>
      <c r="L111" s="221"/>
      <c r="M111" t="s">
        <v>360</v>
      </c>
      <c r="N111" t="s">
        <v>441</v>
      </c>
      <c r="O111">
        <f>O110/SUM(J48:J51)</f>
        <v>0.63204479229889055</v>
      </c>
    </row>
    <row r="112" spans="7:15" hidden="1" x14ac:dyDescent="0.3">
      <c r="G112" s="170" t="s">
        <v>322</v>
      </c>
      <c r="H112" s="170">
        <v>2300</v>
      </c>
      <c r="I112" s="170"/>
      <c r="J112" s="218"/>
      <c r="K112" s="222">
        <f>H112/1000*50</f>
        <v>114.99999999999999</v>
      </c>
      <c r="L112" s="223" t="s">
        <v>345</v>
      </c>
      <c r="M112" t="s">
        <v>362</v>
      </c>
    </row>
    <row r="113" spans="7:15" hidden="1" x14ac:dyDescent="0.3">
      <c r="G113" s="170" t="s">
        <v>255</v>
      </c>
      <c r="H113" s="217">
        <f>H21</f>
        <v>740.58761658030835</v>
      </c>
      <c r="I113" s="216">
        <f>H113/32</f>
        <v>23.143363018134636</v>
      </c>
      <c r="J113" s="219">
        <f>I113*22.4</f>
        <v>518.41133160621587</v>
      </c>
      <c r="K113" s="222">
        <f>K112*24</f>
        <v>2759.9999999999995</v>
      </c>
      <c r="L113" s="223" t="s">
        <v>342</v>
      </c>
    </row>
    <row r="114" spans="7:15" ht="15" hidden="1" thickBot="1" x14ac:dyDescent="0.35">
      <c r="G114" s="170" t="s">
        <v>225</v>
      </c>
      <c r="H114" s="217">
        <f>H22</f>
        <v>172.40712435231299</v>
      </c>
      <c r="I114" s="216">
        <f>H114/18</f>
        <v>9.5781735751284991</v>
      </c>
      <c r="J114" s="219">
        <f>I114*22.4</f>
        <v>214.55108808287838</v>
      </c>
      <c r="K114" s="224">
        <f>K113*300</f>
        <v>827999.99999999988</v>
      </c>
      <c r="L114" s="225" t="s">
        <v>346</v>
      </c>
      <c r="M114" s="161">
        <f>K114/60*90</f>
        <v>1241999.9999999998</v>
      </c>
    </row>
    <row r="115" spans="7:15" hidden="1" x14ac:dyDescent="0.3">
      <c r="G115" s="170" t="s">
        <v>45</v>
      </c>
      <c r="H115" s="217">
        <f>H26</f>
        <v>72.001573834196648</v>
      </c>
      <c r="I115" s="216">
        <f>H115/28</f>
        <v>2.5714847797927374</v>
      </c>
      <c r="J115" s="216">
        <f>I115*22.4</f>
        <v>57.601259067357311</v>
      </c>
    </row>
    <row r="116" spans="7:15" hidden="1" x14ac:dyDescent="0.3"/>
    <row r="117" spans="7:15" ht="15" hidden="1" thickBot="1" x14ac:dyDescent="0.35">
      <c r="G117" s="170" t="s">
        <v>384</v>
      </c>
      <c r="H117" s="170" t="s">
        <v>294</v>
      </c>
      <c r="I117" s="170" t="s">
        <v>266</v>
      </c>
      <c r="J117" s="170" t="s">
        <v>309</v>
      </c>
      <c r="K117" s="34"/>
    </row>
    <row r="118" spans="7:15" hidden="1" x14ac:dyDescent="0.3">
      <c r="G118" s="170" t="s">
        <v>0</v>
      </c>
      <c r="H118" s="216">
        <f>H18</f>
        <v>338.9329663212373</v>
      </c>
      <c r="I118" s="170"/>
      <c r="J118" s="218"/>
      <c r="K118" s="226" t="s">
        <v>359</v>
      </c>
      <c r="L118" s="221"/>
      <c r="M118" t="s">
        <v>360</v>
      </c>
      <c r="N118" s="234" t="s">
        <v>396</v>
      </c>
      <c r="O118" s="235"/>
    </row>
    <row r="119" spans="7:15" hidden="1" x14ac:dyDescent="0.3">
      <c r="G119" s="170" t="s">
        <v>259</v>
      </c>
      <c r="H119" s="217">
        <f>H60</f>
        <v>956.4002679917179</v>
      </c>
      <c r="I119" s="216">
        <f>H119/18</f>
        <v>53.133348221762105</v>
      </c>
      <c r="J119" s="219">
        <f>I119*22.4</f>
        <v>1190.1870001674711</v>
      </c>
      <c r="K119" s="222">
        <f>J119*0.15</f>
        <v>178.52805002512065</v>
      </c>
      <c r="L119" s="223" t="s">
        <v>343</v>
      </c>
      <c r="M119" t="s">
        <v>361</v>
      </c>
    </row>
    <row r="120" spans="7:15" hidden="1" x14ac:dyDescent="0.3">
      <c r="G120" s="170" t="s">
        <v>225</v>
      </c>
      <c r="H120" s="217">
        <f>H61</f>
        <v>1075.9503014906827</v>
      </c>
      <c r="I120" s="216">
        <f>H120/18</f>
        <v>59.775016749482376</v>
      </c>
      <c r="J120" s="219">
        <f>I120*22.4</f>
        <v>1338.9603751884051</v>
      </c>
      <c r="K120" s="222">
        <f>K119*24</f>
        <v>4284.673200602896</v>
      </c>
      <c r="L120" s="223" t="s">
        <v>342</v>
      </c>
    </row>
    <row r="121" spans="7:15" ht="15" hidden="1" thickBot="1" x14ac:dyDescent="0.35">
      <c r="G121" s="170" t="s">
        <v>23</v>
      </c>
      <c r="H121" s="217">
        <f>H50</f>
        <v>1150.2587189812571</v>
      </c>
      <c r="I121" s="216">
        <f>H121/44</f>
        <v>26.142243613210386</v>
      </c>
      <c r="J121" s="219">
        <f>I121*22.4</f>
        <v>585.58625693591262</v>
      </c>
      <c r="K121" s="224">
        <f>K120*300</f>
        <v>1285401.9601808689</v>
      </c>
      <c r="L121" s="225" t="s">
        <v>346</v>
      </c>
      <c r="M121" s="161">
        <f>K121/15*23</f>
        <v>1970949.6722773323</v>
      </c>
    </row>
    <row r="122" spans="7:15" hidden="1" x14ac:dyDescent="0.3">
      <c r="G122" s="170" t="str">
        <f t="shared" ref="G122:I122" si="24">G115</f>
        <v>N2</v>
      </c>
      <c r="H122" s="217">
        <f t="shared" si="24"/>
        <v>72.001573834196648</v>
      </c>
      <c r="I122" s="216">
        <f t="shared" si="24"/>
        <v>2.5714847797927374</v>
      </c>
      <c r="J122" s="216">
        <f>I122*22.4</f>
        <v>57.601259067357311</v>
      </c>
    </row>
    <row r="123" spans="7:15" hidden="1" x14ac:dyDescent="0.3"/>
    <row r="124" spans="7:15" hidden="1" x14ac:dyDescent="0.3"/>
    <row r="125" spans="7:15" ht="15" hidden="1" thickBot="1" x14ac:dyDescent="0.35">
      <c r="G125" s="170" t="s">
        <v>385</v>
      </c>
      <c r="H125" s="170" t="s">
        <v>294</v>
      </c>
      <c r="I125" s="170" t="s">
        <v>266</v>
      </c>
      <c r="J125" s="170" t="str">
        <f t="shared" ref="G125:J126" si="25">J106</f>
        <v>litrov</v>
      </c>
      <c r="M125" t="s">
        <v>360</v>
      </c>
    </row>
    <row r="126" spans="7:15" hidden="1" x14ac:dyDescent="0.3">
      <c r="G126" s="170" t="str">
        <f t="shared" si="25"/>
        <v>CH3OH</v>
      </c>
      <c r="H126" s="216">
        <f t="shared" si="25"/>
        <v>1618.4287392054828</v>
      </c>
      <c r="I126" s="216">
        <f t="shared" si="25"/>
        <v>50.575898100171337</v>
      </c>
      <c r="J126" s="219">
        <f t="shared" si="25"/>
        <v>2043.4706303099529</v>
      </c>
      <c r="K126" s="227">
        <f>H126/1000*175</f>
        <v>283.22502936095947</v>
      </c>
      <c r="L126" s="221" t="s">
        <v>344</v>
      </c>
      <c r="M126" t="s">
        <v>364</v>
      </c>
    </row>
    <row r="127" spans="7:15" hidden="1" x14ac:dyDescent="0.3">
      <c r="G127" s="170" t="str">
        <f t="shared" ref="G127:J128" si="26">G121</f>
        <v>CO2</v>
      </c>
      <c r="H127" s="217">
        <f t="shared" si="26"/>
        <v>1150.2587189812571</v>
      </c>
      <c r="I127" s="216">
        <f t="shared" si="26"/>
        <v>26.142243613210386</v>
      </c>
      <c r="J127" s="219">
        <f t="shared" si="26"/>
        <v>585.58625693591262</v>
      </c>
      <c r="K127" s="222">
        <f>K126*24</f>
        <v>6797.4007046630268</v>
      </c>
      <c r="L127" s="223" t="s">
        <v>342</v>
      </c>
    </row>
    <row r="128" spans="7:15" ht="15" hidden="1" thickBot="1" x14ac:dyDescent="0.35">
      <c r="G128" s="170" t="str">
        <f t="shared" si="26"/>
        <v>N2</v>
      </c>
      <c r="H128" s="217">
        <f>H51</f>
        <v>199.89157383419666</v>
      </c>
      <c r="I128" s="216">
        <f t="shared" si="26"/>
        <v>2.5714847797927374</v>
      </c>
      <c r="J128" s="219">
        <f t="shared" si="26"/>
        <v>57.601259067357311</v>
      </c>
      <c r="K128" s="224">
        <f>K127*300</f>
        <v>2039220.2113989079</v>
      </c>
      <c r="L128" s="225" t="s">
        <v>346</v>
      </c>
      <c r="M128" s="161">
        <f>K128/175*400</f>
        <v>4661074.7689117892</v>
      </c>
    </row>
    <row r="129" spans="7:14" hidden="1" x14ac:dyDescent="0.3">
      <c r="G129" s="170" t="str">
        <f t="shared" ref="G129:J129" si="27">G118</f>
        <v>Ash</v>
      </c>
      <c r="H129" s="217">
        <f t="shared" si="27"/>
        <v>338.9329663212373</v>
      </c>
      <c r="I129" s="216">
        <f t="shared" si="27"/>
        <v>0</v>
      </c>
      <c r="J129" s="216">
        <f t="shared" si="27"/>
        <v>0</v>
      </c>
      <c r="K129" s="161"/>
      <c r="M129" s="161"/>
    </row>
    <row r="130" spans="7:14" hidden="1" x14ac:dyDescent="0.3">
      <c r="H130" s="3"/>
      <c r="I130" s="22"/>
      <c r="J130" s="233"/>
      <c r="K130" s="161"/>
      <c r="M130" s="161"/>
    </row>
    <row r="131" spans="7:14" hidden="1" x14ac:dyDescent="0.3">
      <c r="J131" s="170"/>
      <c r="K131" s="170" t="s">
        <v>354</v>
      </c>
    </row>
    <row r="132" spans="7:14" hidden="1" x14ac:dyDescent="0.3">
      <c r="J132" s="170" t="s">
        <v>347</v>
      </c>
      <c r="K132" s="169">
        <v>200000</v>
      </c>
    </row>
    <row r="133" spans="7:14" hidden="1" x14ac:dyDescent="0.3">
      <c r="J133" s="170" t="s">
        <v>348</v>
      </c>
      <c r="K133" s="169">
        <f>1500*24*300*0.15</f>
        <v>1620000</v>
      </c>
      <c r="L133" t="s">
        <v>391</v>
      </c>
      <c r="M133">
        <f>1500*0.2</f>
        <v>300</v>
      </c>
      <c r="N133">
        <f>1500*0.1</f>
        <v>150</v>
      </c>
    </row>
    <row r="134" spans="7:14" hidden="1" x14ac:dyDescent="0.3">
      <c r="J134" s="170" t="s">
        <v>349</v>
      </c>
      <c r="K134" s="169">
        <v>1000000</v>
      </c>
      <c r="L134" t="s">
        <v>350</v>
      </c>
    </row>
    <row r="135" spans="7:14" hidden="1" x14ac:dyDescent="0.3">
      <c r="J135" s="170" t="s">
        <v>351</v>
      </c>
      <c r="K135" s="169">
        <f>K134*5*0.05*0.6</f>
        <v>150000</v>
      </c>
      <c r="L135" t="s">
        <v>352</v>
      </c>
    </row>
    <row r="136" spans="7:14" hidden="1" x14ac:dyDescent="0.3">
      <c r="J136" s="170" t="s">
        <v>366</v>
      </c>
      <c r="K136" s="169">
        <f>200000</f>
        <v>200000</v>
      </c>
    </row>
    <row r="137" spans="7:14" hidden="1" x14ac:dyDescent="0.3">
      <c r="J137" s="170" t="s">
        <v>280</v>
      </c>
      <c r="K137" s="169">
        <f>SUM(K132:K136)</f>
        <v>3170000</v>
      </c>
    </row>
    <row r="138" spans="7:14" hidden="1" x14ac:dyDescent="0.3">
      <c r="J138" s="170"/>
      <c r="K138" s="170" t="s">
        <v>365</v>
      </c>
      <c r="L138" s="228" t="s">
        <v>363</v>
      </c>
    </row>
    <row r="139" spans="7:14" hidden="1" x14ac:dyDescent="0.3">
      <c r="J139" s="170" t="s">
        <v>353</v>
      </c>
      <c r="K139" s="169">
        <f>K121+K114-K137</f>
        <v>-1056598.0398191311</v>
      </c>
      <c r="L139" s="169">
        <f>M114+M121-K137</f>
        <v>42949.672277332284</v>
      </c>
      <c r="M139" s="234" t="s">
        <v>396</v>
      </c>
      <c r="N139" s="235"/>
    </row>
    <row r="140" spans="7:14" hidden="1" x14ac:dyDescent="0.3">
      <c r="J140" s="170" t="s">
        <v>373</v>
      </c>
      <c r="K140" s="169">
        <f>K128+K114-K137</f>
        <v>-302779.78860109206</v>
      </c>
      <c r="L140" s="169">
        <f>M114+M128-K137</f>
        <v>2733074.7689117892</v>
      </c>
    </row>
    <row r="141" spans="7:14" hidden="1" x14ac:dyDescent="0.3">
      <c r="K141" t="s">
        <v>374</v>
      </c>
    </row>
    <row r="142" spans="7:14" hidden="1" x14ac:dyDescent="0.3">
      <c r="J142" s="170" t="s">
        <v>371</v>
      </c>
      <c r="K142" s="169">
        <f>K54+K63</f>
        <v>-4100.8982324408762</v>
      </c>
      <c r="L142" s="170" t="s">
        <v>382</v>
      </c>
    </row>
    <row r="143" spans="7:14" hidden="1" x14ac:dyDescent="0.3">
      <c r="J143" s="170" t="s">
        <v>372</v>
      </c>
      <c r="K143" s="169">
        <f>K54+K108</f>
        <v>-1953.2045746063009</v>
      </c>
      <c r="L143" s="170" t="s">
        <v>383</v>
      </c>
    </row>
    <row r="144" spans="7:14" hidden="1" x14ac:dyDescent="0.3"/>
  </sheetData>
  <pageMargins left="0.25" right="0.25" top="0.75" bottom="0.75" header="0.3" footer="0.3"/>
  <pageSetup paperSize="9" scale="41" orientation="landscape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R143"/>
  <sheetViews>
    <sheetView topLeftCell="A85" workbookViewId="0">
      <selection activeCell="D113" sqref="D113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26.44140625" customWidth="1"/>
    <col min="8" max="8" width="10.5546875" bestFit="1" customWidth="1"/>
    <col min="9" max="9" width="11.5546875" bestFit="1" customWidth="1"/>
    <col min="10" max="10" width="16" customWidth="1"/>
    <col min="11" max="11" width="10.88671875" customWidth="1"/>
    <col min="12" max="12" width="20.6640625" customWidth="1"/>
    <col min="13" max="13" width="11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5" t="s">
        <v>0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</v>
      </c>
      <c r="P2" s="5" t="s">
        <v>131</v>
      </c>
      <c r="Q2" s="5" t="s">
        <v>17</v>
      </c>
      <c r="R2" s="5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212">
        <f>H3*$R$3/120</f>
        <v>11.795660621761444</v>
      </c>
      <c r="I4" s="212">
        <f t="shared" ref="I4:N4" si="0">I3*$R$3/120</f>
        <v>39.669689119170265</v>
      </c>
      <c r="J4" s="212">
        <f t="shared" si="0"/>
        <v>6.654792746113869</v>
      </c>
      <c r="K4" s="212">
        <f t="shared" si="0"/>
        <v>20.11819948186492</v>
      </c>
      <c r="L4" s="212">
        <f t="shared" si="0"/>
        <v>0.15867875647668106</v>
      </c>
      <c r="M4" s="212">
        <f t="shared" si="0"/>
        <v>1.3439119170984211</v>
      </c>
      <c r="N4" s="212">
        <f t="shared" si="0"/>
        <v>0.25906735751294868</v>
      </c>
      <c r="O4" s="212">
        <f t="shared" ref="O4" si="1">O3*$Q$3/120</f>
        <v>0</v>
      </c>
      <c r="P4" s="211">
        <v>20</v>
      </c>
      <c r="Q4" s="3">
        <f>SUM(H4:P4)</f>
        <v>99.99999999999855</v>
      </c>
    </row>
    <row r="5" spans="2:18" x14ac:dyDescent="0.3">
      <c r="C5" t="s">
        <v>398</v>
      </c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>
        <f>M4/32</f>
        <v>4.1997247409325658E-2</v>
      </c>
      <c r="N5" s="3">
        <f>N4/35.5</f>
        <v>7.2976720426182725E-3</v>
      </c>
      <c r="O5" s="3"/>
      <c r="Q5" s="3"/>
    </row>
    <row r="6" spans="2:18" x14ac:dyDescent="0.3">
      <c r="C6" t="s">
        <v>399</v>
      </c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H21/I8</f>
        <v>0.18737739473047982</v>
      </c>
      <c r="K8" s="3"/>
      <c r="L8" s="3"/>
      <c r="M8" s="3"/>
      <c r="N8" s="3">
        <f>N7/100*2300</f>
        <v>0</v>
      </c>
      <c r="O8" s="3"/>
      <c r="Q8" s="3"/>
    </row>
    <row r="9" spans="2:18" x14ac:dyDescent="0.3">
      <c r="C9" t="s">
        <v>400</v>
      </c>
      <c r="D9">
        <f>17*2+40</f>
        <v>74</v>
      </c>
      <c r="G9" t="s">
        <v>436</v>
      </c>
      <c r="H9" s="3"/>
      <c r="I9" s="3"/>
      <c r="J9" s="3"/>
      <c r="K9" s="3"/>
      <c r="L9" s="3"/>
      <c r="M9" s="3">
        <f>M5/100*2300*$D$9*1</f>
        <v>71.479315090672273</v>
      </c>
      <c r="N9" s="3">
        <f>N5/100*2300*$D$9*1/2</f>
        <v>6.2103189082681496</v>
      </c>
      <c r="O9" s="3"/>
      <c r="Q9" s="3">
        <f>SUM(H9:P9)</f>
        <v>77.689633998940423</v>
      </c>
      <c r="R9" s="243">
        <f>Q9/H13</f>
        <v>4.2222627173337954E-2</v>
      </c>
    </row>
    <row r="10" spans="2:18" x14ac:dyDescent="0.3">
      <c r="G10" t="s">
        <v>444</v>
      </c>
      <c r="H10" s="3"/>
      <c r="I10" s="3"/>
      <c r="J10" s="3"/>
      <c r="K10" s="3"/>
      <c r="L10" s="3"/>
      <c r="M10" s="3">
        <f>M9*1.5</f>
        <v>107.2189726360084</v>
      </c>
      <c r="N10" s="3">
        <f>N9*1.5</f>
        <v>9.3154783624022244</v>
      </c>
      <c r="O10" s="3"/>
      <c r="Q10" s="3">
        <f>SUM(M10:N10)</f>
        <v>116.53445099841062</v>
      </c>
      <c r="R10" s="243">
        <f>Q10/H13</f>
        <v>6.3333940760006924E-2</v>
      </c>
    </row>
    <row r="11" spans="2:18" x14ac:dyDescent="0.3">
      <c r="C11" t="s">
        <v>404</v>
      </c>
      <c r="H11" t="s">
        <v>294</v>
      </c>
      <c r="I11" t="s">
        <v>266</v>
      </c>
      <c r="J11" t="s">
        <v>309</v>
      </c>
      <c r="K11" t="s">
        <v>336</v>
      </c>
      <c r="L11" t="s">
        <v>330</v>
      </c>
      <c r="M11" t="s">
        <v>329</v>
      </c>
      <c r="N11" t="s">
        <v>331</v>
      </c>
      <c r="O11" t="s">
        <v>335</v>
      </c>
    </row>
    <row r="12" spans="2:18" x14ac:dyDescent="0.3">
      <c r="C12" t="s">
        <v>403</v>
      </c>
      <c r="D12">
        <v>92</v>
      </c>
      <c r="G12" t="s">
        <v>322</v>
      </c>
      <c r="H12">
        <v>2300</v>
      </c>
      <c r="K12">
        <v>1</v>
      </c>
      <c r="O12" s="3">
        <f>SUM(O13:O14)</f>
        <v>2811.8266666666464</v>
      </c>
    </row>
    <row r="13" spans="2:18" x14ac:dyDescent="0.3">
      <c r="G13" t="s">
        <v>334</v>
      </c>
      <c r="H13">
        <f>SUM(H4:O4)/100*H12</f>
        <v>1839.9999999999666</v>
      </c>
      <c r="L13">
        <f>H13*1.2/1000*500</f>
        <v>1103.99999999998</v>
      </c>
      <c r="O13" s="3">
        <f>SUM(L13:N13)</f>
        <v>1103.99999999998</v>
      </c>
    </row>
    <row r="14" spans="2:18" x14ac:dyDescent="0.3">
      <c r="G14" t="s">
        <v>323</v>
      </c>
      <c r="H14" s="211">
        <f>H12*P4/100</f>
        <v>460</v>
      </c>
      <c r="I14" s="3">
        <f>H14/18</f>
        <v>25.555555555555557</v>
      </c>
      <c r="J14" s="3">
        <f t="shared" ref="J14" si="2">I14*22.4</f>
        <v>572.44444444444446</v>
      </c>
      <c r="L14" s="3">
        <f>I14*80*Thermodynamics!C5/1000</f>
        <v>153.94666666666666</v>
      </c>
      <c r="M14">
        <f>I14*Thermodynamics!E5</f>
        <v>1124.5466666666664</v>
      </c>
      <c r="N14" s="3">
        <f>I14*500*Thermodynamics!C4/1000</f>
        <v>429.33333333333337</v>
      </c>
      <c r="O14" s="3">
        <f>SUM(L14:N14)</f>
        <v>1707.8266666666664</v>
      </c>
    </row>
    <row r="15" spans="2:18" x14ac:dyDescent="0.3">
      <c r="G15" t="s">
        <v>2</v>
      </c>
      <c r="H15" s="22">
        <f>H12*I4/100</f>
        <v>912.40284974091617</v>
      </c>
      <c r="I15" s="3">
        <f>H15/12</f>
        <v>76.033570811743019</v>
      </c>
      <c r="J15" s="3"/>
    </row>
    <row r="16" spans="2:18" x14ac:dyDescent="0.3">
      <c r="G16" t="s">
        <v>44</v>
      </c>
      <c r="H16" s="22">
        <f>H12*J4/100</f>
        <v>153.06023316061899</v>
      </c>
      <c r="I16" s="3">
        <f>H16/2</f>
        <v>76.530116580309496</v>
      </c>
      <c r="J16" s="3"/>
    </row>
    <row r="17" spans="1:14" x14ac:dyDescent="0.3">
      <c r="G17" t="s">
        <v>4</v>
      </c>
      <c r="H17" s="22">
        <f>H12*K4/100</f>
        <v>462.71858808289318</v>
      </c>
      <c r="I17" s="3">
        <f>H17/16</f>
        <v>28.919911755180824</v>
      </c>
      <c r="J17" s="3"/>
    </row>
    <row r="18" spans="1:14" ht="15" thickBot="1" x14ac:dyDescent="0.35">
      <c r="C18" t="s">
        <v>294</v>
      </c>
      <c r="D18" t="s">
        <v>266</v>
      </c>
      <c r="G18" t="s">
        <v>340</v>
      </c>
      <c r="H18" s="22">
        <f>H12*(H4+M4+N4+L4)/100</f>
        <v>311.81832901553838</v>
      </c>
      <c r="I18" s="3"/>
      <c r="J18" s="3">
        <f>H51/2300</f>
        <v>3.6610732006547797E-2</v>
      </c>
    </row>
    <row r="19" spans="1:14" x14ac:dyDescent="0.3">
      <c r="B19" t="str">
        <f>G20</f>
        <v>C9H18O3</v>
      </c>
      <c r="C19" s="213">
        <f>H20</f>
        <v>1528.1816709844284</v>
      </c>
      <c r="D19">
        <f>I20</f>
        <v>8.7826532815197034</v>
      </c>
      <c r="G19" s="193" t="s">
        <v>298</v>
      </c>
      <c r="H19" s="22">
        <f>H21/(H20/0.8)</f>
        <v>0.38352204906734488</v>
      </c>
      <c r="I19" s="3">
        <f>(H22+H51)/(2300)</f>
        <v>8.5570103486603433E-2</v>
      </c>
      <c r="J19" s="3">
        <f>H22/2300</f>
        <v>4.8959371480055643E-2</v>
      </c>
      <c r="K19" s="231">
        <f>D28</f>
        <v>-81.973027734347852</v>
      </c>
      <c r="L19" s="221" t="s">
        <v>280</v>
      </c>
    </row>
    <row r="20" spans="1:14" ht="15" thickBot="1" x14ac:dyDescent="0.35">
      <c r="A20" t="s">
        <v>338</v>
      </c>
      <c r="C20" s="14" t="s">
        <v>19</v>
      </c>
      <c r="E20">
        <f>1/3.6</f>
        <v>0.27777777777777779</v>
      </c>
      <c r="G20" t="s">
        <v>295</v>
      </c>
      <c r="H20" s="22">
        <f>SUM(H15:H17)</f>
        <v>1528.1816709844284</v>
      </c>
      <c r="I20" s="23">
        <f>H20/(9*12+18+16*3)</f>
        <v>8.7826532815197034</v>
      </c>
      <c r="J20" s="23"/>
      <c r="K20" s="232">
        <f>K19*$E$20</f>
        <v>-22.770285481763292</v>
      </c>
      <c r="L20" s="225" t="s">
        <v>48</v>
      </c>
    </row>
    <row r="21" spans="1:14" x14ac:dyDescent="0.3">
      <c r="A21" s="162">
        <f>A23/A22*2</f>
        <v>0.32081639431375486</v>
      </c>
      <c r="C21" s="213" t="s">
        <v>20</v>
      </c>
      <c r="D21" t="s">
        <v>369</v>
      </c>
      <c r="E21" t="s">
        <v>368</v>
      </c>
      <c r="G21" t="s">
        <v>255</v>
      </c>
      <c r="H21" s="3">
        <f>I21*32</f>
        <v>732.61420725388371</v>
      </c>
      <c r="I21" s="3">
        <f>A22*3+A24*0.5</f>
        <v>22.894193976683866</v>
      </c>
      <c r="J21" s="3">
        <f t="shared" ref="J21:J28" si="3">I21*22.4</f>
        <v>512.82994507771855</v>
      </c>
      <c r="K21" t="s">
        <v>300</v>
      </c>
      <c r="L21" s="243">
        <f>H21/H13</f>
        <v>0.39815989524668316</v>
      </c>
    </row>
    <row r="22" spans="1:14" x14ac:dyDescent="0.3">
      <c r="A22" s="212">
        <v>6.5</v>
      </c>
      <c r="B22" s="229" t="s">
        <v>296</v>
      </c>
      <c r="C22" s="230">
        <f>Thermodynamics!E34</f>
        <v>-463.88</v>
      </c>
      <c r="D22" s="190">
        <f>A22*C22</f>
        <v>-3015.22</v>
      </c>
      <c r="E22" s="190">
        <f>D22*$E$20</f>
        <v>-837.56111111111113</v>
      </c>
      <c r="G22" t="s">
        <v>225</v>
      </c>
      <c r="H22" s="3">
        <f>I22*18</f>
        <v>112.60655440412798</v>
      </c>
      <c r="I22" s="3">
        <f>6*A23</f>
        <v>6.2559196891182207</v>
      </c>
      <c r="J22" s="3">
        <f t="shared" si="3"/>
        <v>140.13260103624813</v>
      </c>
      <c r="K22" t="s">
        <v>300</v>
      </c>
      <c r="L22" s="243">
        <f>H22/H13</f>
        <v>6.1199214350070662E-2</v>
      </c>
    </row>
    <row r="23" spans="1:14" x14ac:dyDescent="0.3">
      <c r="A23" s="215">
        <f>D19-A22-A25</f>
        <v>1.0426532815197034</v>
      </c>
      <c r="B23" s="229" t="s">
        <v>297</v>
      </c>
      <c r="C23" s="230">
        <f>Thermodynamics!E35</f>
        <v>987.07599999999991</v>
      </c>
      <c r="D23" s="190">
        <f>C23*A23</f>
        <v>1029.1780305093425</v>
      </c>
      <c r="E23" s="190">
        <f t="shared" ref="E23:E28" si="4">D23*$E$20</f>
        <v>285.88278625259517</v>
      </c>
      <c r="G23" t="s">
        <v>29</v>
      </c>
      <c r="H23" s="212">
        <f>I23*28</f>
        <v>1745.3937642486687</v>
      </c>
      <c r="I23" s="3">
        <f>(A22+A23)*9-A24+A25</f>
        <v>62.335491580309601</v>
      </c>
      <c r="J23" s="3">
        <f t="shared" si="3"/>
        <v>1396.315011398935</v>
      </c>
      <c r="K23" t="s">
        <v>301</v>
      </c>
    </row>
    <row r="24" spans="1:14" x14ac:dyDescent="0.3">
      <c r="A24" s="215">
        <f>(A22+A23)*9*F24</f>
        <v>6.7883879533677334</v>
      </c>
      <c r="B24" s="229" t="str">
        <f>Thermodynamics!D4</f>
        <v>CO + 0,5 O2 = CO2</v>
      </c>
      <c r="C24" s="230">
        <f>Thermodynamics!E4</f>
        <v>-282.98</v>
      </c>
      <c r="D24" s="190">
        <f>A24*C24</f>
        <v>-1920.9780230440012</v>
      </c>
      <c r="E24" s="190">
        <f t="shared" si="4"/>
        <v>-533.6050064011115</v>
      </c>
      <c r="F24" s="214">
        <v>0.1</v>
      </c>
      <c r="G24" t="s">
        <v>44</v>
      </c>
      <c r="H24" s="212">
        <f>I24*2</f>
        <v>162.76490500863051</v>
      </c>
      <c r="I24" s="3">
        <f>A22*9+A23*16+5*A25</f>
        <v>81.382452504315253</v>
      </c>
      <c r="J24" s="3">
        <f t="shared" si="3"/>
        <v>1822.9669360966616</v>
      </c>
    </row>
    <row r="25" spans="1:14" x14ac:dyDescent="0.3">
      <c r="A25">
        <v>1.24</v>
      </c>
      <c r="B25" s="193" t="s">
        <v>413</v>
      </c>
      <c r="C25" s="204">
        <f>Thermodynamics!B30+Thermodynamics!B6+Thermodynamics!B3-Thermodynamics!B26</f>
        <v>39.20999999999998</v>
      </c>
      <c r="D25" s="190">
        <f>A25*C25</f>
        <v>48.620399999999975</v>
      </c>
      <c r="E25" s="190">
        <f>D25*$E$20</f>
        <v>13.505666666666661</v>
      </c>
      <c r="F25" s="214"/>
      <c r="G25" t="s">
        <v>23</v>
      </c>
      <c r="H25" s="212">
        <f>I25*44</f>
        <v>353.24906994818025</v>
      </c>
      <c r="I25" s="3">
        <f>A24+A25</f>
        <v>8.0283879533677336</v>
      </c>
      <c r="J25" s="3">
        <f t="shared" si="3"/>
        <v>179.83589015543723</v>
      </c>
      <c r="N25" s="3"/>
    </row>
    <row r="26" spans="1:14" x14ac:dyDescent="0.3">
      <c r="B26" s="229" t="s">
        <v>388</v>
      </c>
      <c r="C26" s="190"/>
      <c r="D26" s="190">
        <f>SUM(D22:D25)*0.75</f>
        <v>-2893.7996944009942</v>
      </c>
      <c r="E26" s="190">
        <f t="shared" si="4"/>
        <v>-803.83324844472065</v>
      </c>
      <c r="G26" t="s">
        <v>498</v>
      </c>
      <c r="H26" s="212">
        <f>I26*28</f>
        <v>71.226381260794255</v>
      </c>
      <c r="I26" s="3">
        <f>I21/0.9*0.1</f>
        <v>2.5437993307426519</v>
      </c>
      <c r="J26" s="3">
        <f t="shared" si="3"/>
        <v>56.981105008635396</v>
      </c>
      <c r="N26" s="3">
        <f>SUM(H20:H22)</f>
        <v>2373.4024326424401</v>
      </c>
    </row>
    <row r="27" spans="1:14" x14ac:dyDescent="0.3">
      <c r="B27" s="229" t="s">
        <v>337</v>
      </c>
      <c r="C27" s="190"/>
      <c r="D27" s="190">
        <f>SUM(O13:O14)</f>
        <v>2811.8266666666464</v>
      </c>
      <c r="E27" s="190">
        <f t="shared" si="4"/>
        <v>781.06296296295739</v>
      </c>
      <c r="G27" t="s">
        <v>415</v>
      </c>
      <c r="H27" s="212">
        <f>I27*D12</f>
        <v>114.08</v>
      </c>
      <c r="I27" s="3">
        <f>A25</f>
        <v>1.24</v>
      </c>
      <c r="J27" s="3">
        <f t="shared" si="3"/>
        <v>27.776</v>
      </c>
      <c r="L27" s="244">
        <f>H27/(SUM(J23:J26))</f>
        <v>3.3008314256248922E-2</v>
      </c>
      <c r="N27" s="3">
        <f>SUM(H27,H23:H25)</f>
        <v>2375.4877392054796</v>
      </c>
    </row>
    <row r="28" spans="1:14" x14ac:dyDescent="0.3">
      <c r="B28" s="229" t="s">
        <v>367</v>
      </c>
      <c r="C28" s="190"/>
      <c r="D28" s="190">
        <f>SUM(D26:D27)</f>
        <v>-81.973027734347852</v>
      </c>
      <c r="E28" s="190">
        <f t="shared" si="4"/>
        <v>-22.770285481763292</v>
      </c>
      <c r="G28" t="s">
        <v>431</v>
      </c>
      <c r="H28" s="212">
        <f>I28*18</f>
        <v>460</v>
      </c>
      <c r="I28" s="3">
        <f>I14</f>
        <v>25.555555555555557</v>
      </c>
      <c r="J28" s="3">
        <f t="shared" si="3"/>
        <v>572.44444444444446</v>
      </c>
      <c r="L28" s="244"/>
      <c r="N28" s="3">
        <f>N27-N26</f>
        <v>2.0853065630394667</v>
      </c>
    </row>
    <row r="29" spans="1:14" x14ac:dyDescent="0.3">
      <c r="G29" s="193" t="s">
        <v>416</v>
      </c>
      <c r="H29" s="3"/>
      <c r="I29" s="3"/>
      <c r="J29" s="3"/>
      <c r="N29" s="3"/>
    </row>
    <row r="30" spans="1:14" x14ac:dyDescent="0.3">
      <c r="B30" s="193"/>
      <c r="C30" s="204"/>
      <c r="D30" s="204"/>
      <c r="E30" s="204"/>
      <c r="G30" t="s">
        <v>415</v>
      </c>
      <c r="H30" s="3">
        <f>H27</f>
        <v>114.08</v>
      </c>
      <c r="I30" s="3">
        <f>I27</f>
        <v>1.24</v>
      </c>
      <c r="J30" s="3"/>
      <c r="N30" s="3"/>
    </row>
    <row r="31" spans="1:14" x14ac:dyDescent="0.3">
      <c r="B31" t="s">
        <v>256</v>
      </c>
      <c r="C31" s="204">
        <v>-41.153999999999996</v>
      </c>
      <c r="D31" s="3"/>
      <c r="E31" s="3"/>
      <c r="G31" t="s">
        <v>255</v>
      </c>
      <c r="H31" s="3">
        <f>I31*32</f>
        <v>83.328000000000003</v>
      </c>
      <c r="I31" s="3">
        <f>A42*7/2</f>
        <v>2.6040000000000001</v>
      </c>
      <c r="J31" s="3">
        <f t="shared" ref="J31:J32" si="5">I31*22.4</f>
        <v>58.329599999999999</v>
      </c>
      <c r="K31" t="s">
        <v>300</v>
      </c>
      <c r="L31" s="245">
        <f>H31/SUM(J23:J26)</f>
        <v>2.4110420848042696E-2</v>
      </c>
      <c r="N31" s="3"/>
    </row>
    <row r="32" spans="1:14" x14ac:dyDescent="0.3">
      <c r="C32" s="204"/>
      <c r="D32" s="3"/>
      <c r="E32" s="3"/>
      <c r="G32" t="s">
        <v>497</v>
      </c>
      <c r="H32" s="3">
        <f>I32*28</f>
        <v>109.36799999999999</v>
      </c>
      <c r="I32" s="3">
        <f>I31/0.4*0.6</f>
        <v>3.9059999999999997</v>
      </c>
      <c r="J32" s="3">
        <f t="shared" si="5"/>
        <v>87.494399999999985</v>
      </c>
      <c r="N32" s="3"/>
    </row>
    <row r="33" spans="1:15" x14ac:dyDescent="0.3">
      <c r="B33" t="s">
        <v>308</v>
      </c>
      <c r="C33" s="204">
        <f>Thermodynamics!$E$18</f>
        <v>-205.82599999999999</v>
      </c>
      <c r="G33" t="s">
        <v>423</v>
      </c>
      <c r="H33" s="3">
        <f>I33*18</f>
        <v>62.496000000000002</v>
      </c>
      <c r="I33" s="3">
        <f>A43*7</f>
        <v>3.472</v>
      </c>
      <c r="J33" s="3"/>
      <c r="L33" s="245">
        <f>H33/SUM(J23:J26)</f>
        <v>1.8082815636032021E-2</v>
      </c>
      <c r="N33" s="3"/>
    </row>
    <row r="34" spans="1:15" x14ac:dyDescent="0.3">
      <c r="C34" s="204"/>
      <c r="G34" t="s">
        <v>417</v>
      </c>
      <c r="H34" s="3">
        <f>I34*28</f>
        <v>243.04</v>
      </c>
      <c r="I34" s="3">
        <f>(A42+A43)*7</f>
        <v>8.68</v>
      </c>
      <c r="J34" s="3"/>
      <c r="N34" s="3"/>
    </row>
    <row r="35" spans="1:15" x14ac:dyDescent="0.3">
      <c r="B35" t="s">
        <v>319</v>
      </c>
      <c r="C35" s="204">
        <f>Thermodynamics!$E$19</f>
        <v>-90.389999999999986</v>
      </c>
      <c r="F35" s="214"/>
      <c r="G35" t="s">
        <v>421</v>
      </c>
      <c r="H35" s="3">
        <f>I35*2</f>
        <v>16.863999999999997</v>
      </c>
      <c r="I35" s="3">
        <f>(A42*4)+A43*11</f>
        <v>8.4319999999999986</v>
      </c>
      <c r="J35" s="3"/>
      <c r="N35" s="3"/>
    </row>
    <row r="36" spans="1:15" x14ac:dyDescent="0.3">
      <c r="C36" s="204"/>
      <c r="G36" s="246" t="s">
        <v>418</v>
      </c>
      <c r="H36" s="212">
        <f>I36*28</f>
        <v>1988.4337642486689</v>
      </c>
      <c r="I36" s="3">
        <f>I23+I34</f>
        <v>71.0154915803096</v>
      </c>
      <c r="J36" s="3">
        <f t="shared" ref="J36:J40" si="6">I36*22.4</f>
        <v>1590.747011398935</v>
      </c>
      <c r="N36" s="3"/>
    </row>
    <row r="37" spans="1:15" x14ac:dyDescent="0.3">
      <c r="C37" s="204" t="s">
        <v>387</v>
      </c>
      <c r="D37" t="s">
        <v>15</v>
      </c>
      <c r="G37" s="246" t="s">
        <v>422</v>
      </c>
      <c r="H37" s="212">
        <f>I37*2</f>
        <v>179.62890500863051</v>
      </c>
      <c r="I37" s="3">
        <f>I35+I24</f>
        <v>89.814452504315256</v>
      </c>
      <c r="J37" s="3">
        <f t="shared" si="6"/>
        <v>2011.8437360966616</v>
      </c>
      <c r="N37" s="3"/>
    </row>
    <row r="38" spans="1:15" x14ac:dyDescent="0.3">
      <c r="B38" s="229" t="s">
        <v>386</v>
      </c>
      <c r="C38" s="204">
        <f>9*(Thermodynamics!B3+Thermodynamics!B4)-Thermodynamics!B26</f>
        <v>-5187.134</v>
      </c>
      <c r="D38" s="204">
        <f>C38/Thermodynamics!B27</f>
        <v>-29.811114942528736</v>
      </c>
      <c r="G38" s="246" t="s">
        <v>23</v>
      </c>
      <c r="H38" s="212">
        <f>I38*44</f>
        <v>353.24906994818025</v>
      </c>
      <c r="I38" s="3">
        <f>I25</f>
        <v>8.0283879533677336</v>
      </c>
      <c r="J38" s="3">
        <f t="shared" si="6"/>
        <v>179.83589015543723</v>
      </c>
      <c r="N38" s="3" t="s">
        <v>434</v>
      </c>
    </row>
    <row r="39" spans="1:15" x14ac:dyDescent="0.3">
      <c r="B39" t="s">
        <v>389</v>
      </c>
      <c r="D39">
        <v>-22.4</v>
      </c>
      <c r="G39" s="246" t="s">
        <v>433</v>
      </c>
      <c r="H39" s="212">
        <f>I39*28</f>
        <v>180.59438126079425</v>
      </c>
      <c r="I39" s="3">
        <f>I32+I26</f>
        <v>6.4497993307426515</v>
      </c>
      <c r="J39" s="3">
        <f t="shared" si="6"/>
        <v>144.47550500863539</v>
      </c>
      <c r="N39" s="3"/>
    </row>
    <row r="40" spans="1:15" x14ac:dyDescent="0.3">
      <c r="B40" t="s">
        <v>390</v>
      </c>
      <c r="D40" s="162">
        <f>D39/D38</f>
        <v>0.75139759258195371</v>
      </c>
      <c r="G40" t="s">
        <v>431</v>
      </c>
      <c r="H40" s="212">
        <f>I40*18</f>
        <v>397.50400000000002</v>
      </c>
      <c r="I40" s="3">
        <f>I14-I33</f>
        <v>22.083555555555556</v>
      </c>
      <c r="J40" s="3">
        <f t="shared" si="6"/>
        <v>494.67164444444444</v>
      </c>
      <c r="N40" t="s">
        <v>302</v>
      </c>
    </row>
    <row r="41" spans="1:15" x14ac:dyDescent="0.3">
      <c r="G41" s="246" t="s">
        <v>488</v>
      </c>
      <c r="H41" s="3">
        <f>I41*(32)</f>
        <v>1437.0312400690441</v>
      </c>
      <c r="I41" s="3">
        <f>I37/2</f>
        <v>44.907226252157628</v>
      </c>
      <c r="J41" s="3"/>
      <c r="N41" s="215">
        <v>17.405517576941115</v>
      </c>
      <c r="O41" t="s">
        <v>424</v>
      </c>
    </row>
    <row r="42" spans="1:15" x14ac:dyDescent="0.3">
      <c r="A42">
        <f>60%*A25</f>
        <v>0.74399999999999999</v>
      </c>
      <c r="B42" t="s">
        <v>420</v>
      </c>
      <c r="C42">
        <f>7*Thermodynamics!B6-Thermodynamics!B30</f>
        <v>-786.07</v>
      </c>
      <c r="D42" s="190">
        <f>A42*C42</f>
        <v>-584.83608000000004</v>
      </c>
      <c r="E42" s="190">
        <f>D42*$E$20</f>
        <v>-162.45446666666669</v>
      </c>
      <c r="H42" s="3"/>
      <c r="I42" s="3"/>
      <c r="J42" s="3"/>
      <c r="N42" s="3">
        <f>(I37+N41)/(I36-N41)</f>
        <v>2.0000004117614272</v>
      </c>
      <c r="O42" t="s">
        <v>425</v>
      </c>
    </row>
    <row r="43" spans="1:15" x14ac:dyDescent="0.3">
      <c r="A43">
        <f>40%*A25</f>
        <v>0.496</v>
      </c>
      <c r="B43" t="s">
        <v>419</v>
      </c>
      <c r="C43">
        <f>7*Thermodynamics!B6-Thermodynamics!B30-7*Thermodynamics!B4</f>
        <v>906.71199999999988</v>
      </c>
      <c r="D43" s="190">
        <f>C43*A43</f>
        <v>449.72915199999994</v>
      </c>
      <c r="E43" s="190">
        <f t="shared" ref="E43" si="7">D43*$E$20</f>
        <v>124.92476444444443</v>
      </c>
      <c r="G43" s="193" t="s">
        <v>490</v>
      </c>
      <c r="H43" t="s">
        <v>375</v>
      </c>
      <c r="N43" t="s">
        <v>428</v>
      </c>
    </row>
    <row r="44" spans="1:15" ht="15" thickBot="1" x14ac:dyDescent="0.35">
      <c r="E44" s="204">
        <f>SUM(E42:E43)</f>
        <v>-37.529702222222255</v>
      </c>
      <c r="G44" t="s">
        <v>327</v>
      </c>
      <c r="H44">
        <f>I44*18</f>
        <v>397.50400000000002</v>
      </c>
      <c r="I44" s="3">
        <f>I14-I33</f>
        <v>22.083555555555556</v>
      </c>
      <c r="J44" s="3"/>
      <c r="K44" t="s">
        <v>306</v>
      </c>
      <c r="N44" s="3">
        <f>N41-I44</f>
        <v>-4.6780379786144408</v>
      </c>
    </row>
    <row r="45" spans="1:15" x14ac:dyDescent="0.3">
      <c r="E45" s="3">
        <f>E44/SUM(J23:J26)</f>
        <v>-1.0858977953143022E-2</v>
      </c>
      <c r="K45" s="231">
        <f>I51*Thermodynamics!E5*1.5</f>
        <v>308.77857481642468</v>
      </c>
      <c r="L45" s="221" t="s">
        <v>381</v>
      </c>
    </row>
    <row r="46" spans="1:15" ht="15" thickBot="1" x14ac:dyDescent="0.35">
      <c r="F46" t="s">
        <v>437</v>
      </c>
      <c r="G46" t="s">
        <v>427</v>
      </c>
      <c r="H46" s="3">
        <f>I46*18</f>
        <v>313.29931638494008</v>
      </c>
      <c r="I46" s="3">
        <f>N41</f>
        <v>17.405517576941115</v>
      </c>
      <c r="J46" s="3"/>
      <c r="K46" s="224">
        <f>K45*$E$20</f>
        <v>85.771826337895746</v>
      </c>
      <c r="L46" s="225" t="s">
        <v>374</v>
      </c>
    </row>
    <row r="47" spans="1:15" x14ac:dyDescent="0.3">
      <c r="B47" t="s">
        <v>489</v>
      </c>
      <c r="C47">
        <f>12+3+16+1</f>
        <v>32</v>
      </c>
      <c r="G47" s="211" t="s">
        <v>29</v>
      </c>
      <c r="H47" s="212">
        <f>I47*28</f>
        <v>1501.0792720943175</v>
      </c>
      <c r="I47" s="212">
        <f>I36-N41</f>
        <v>53.609974003368485</v>
      </c>
      <c r="J47" s="212">
        <f>I47*22.4</f>
        <v>1200.863417675454</v>
      </c>
    </row>
    <row r="48" spans="1:15" x14ac:dyDescent="0.3">
      <c r="G48" s="211" t="s">
        <v>44</v>
      </c>
      <c r="H48" s="212">
        <f>I48*2</f>
        <v>214.43994016251276</v>
      </c>
      <c r="I48" s="212">
        <f>I37+N41</f>
        <v>107.21997008125638</v>
      </c>
      <c r="J48" s="212">
        <f>I48*22.4</f>
        <v>2401.7273298201426</v>
      </c>
    </row>
    <row r="49" spans="7:14" x14ac:dyDescent="0.3">
      <c r="G49" s="211" t="s">
        <v>23</v>
      </c>
      <c r="H49" s="212">
        <f>I49*44</f>
        <v>1119.0918433335894</v>
      </c>
      <c r="I49" s="212">
        <f>N41+I38</f>
        <v>25.433905530308849</v>
      </c>
      <c r="J49" s="212">
        <f>I49*22.4</f>
        <v>569.71948387891814</v>
      </c>
    </row>
    <row r="50" spans="7:14" x14ac:dyDescent="0.3">
      <c r="G50" s="211" t="s">
        <v>446</v>
      </c>
      <c r="H50" s="212">
        <f>I50*28</f>
        <v>180.59438126079425</v>
      </c>
      <c r="I50" s="212">
        <f>I39</f>
        <v>6.4497993307426515</v>
      </c>
      <c r="J50" s="212">
        <f>I50*22.4</f>
        <v>144.47550500863539</v>
      </c>
    </row>
    <row r="51" spans="7:14" ht="15" thickBot="1" x14ac:dyDescent="0.35">
      <c r="G51" s="211" t="s">
        <v>426</v>
      </c>
      <c r="H51" s="212">
        <f>I51*18</f>
        <v>84.204683615059935</v>
      </c>
      <c r="I51" s="212">
        <f>I40-N41</f>
        <v>4.6780379786144408</v>
      </c>
      <c r="J51" s="212">
        <f>I51*22.4</f>
        <v>104.78805072096347</v>
      </c>
      <c r="N51" s="23">
        <f>J51/SUM(J36:J39)</f>
        <v>2.6684660557899999E-2</v>
      </c>
    </row>
    <row r="52" spans="7:14" x14ac:dyDescent="0.3">
      <c r="G52" s="211" t="s">
        <v>311</v>
      </c>
      <c r="H52" s="211"/>
      <c r="I52" s="212"/>
      <c r="J52" s="212">
        <f>SUM(J47:J49)</f>
        <v>4172.3102313745148</v>
      </c>
      <c r="K52" s="227">
        <f>C31*I47*K12</f>
        <v>-2206.2648701346266</v>
      </c>
      <c r="L52" s="221" t="s">
        <v>358</v>
      </c>
    </row>
    <row r="53" spans="7:14" ht="15" thickBot="1" x14ac:dyDescent="0.35">
      <c r="G53" s="193" t="s">
        <v>307</v>
      </c>
      <c r="H53" t="s">
        <v>357</v>
      </c>
      <c r="I53" t="s">
        <v>377</v>
      </c>
      <c r="K53" s="224">
        <f>K52*$E$20</f>
        <v>-612.8513528151741</v>
      </c>
      <c r="L53" s="225" t="s">
        <v>370</v>
      </c>
      <c r="N53" s="23">
        <f>K53/SUM(J36:J39)</f>
        <v>-0.15606483954807523</v>
      </c>
    </row>
    <row r="54" spans="7:14" x14ac:dyDescent="0.3">
      <c r="G54" s="209" t="str">
        <f>G50</f>
        <v xml:space="preserve">N2  </v>
      </c>
      <c r="H54" s="210">
        <f>H50</f>
        <v>180.59438126079425</v>
      </c>
      <c r="I54" s="210">
        <f>I50</f>
        <v>6.4497993307426515</v>
      </c>
      <c r="J54" s="210">
        <f>J50</f>
        <v>144.47550500863539</v>
      </c>
      <c r="K54" s="161"/>
    </row>
    <row r="55" spans="7:14" x14ac:dyDescent="0.3">
      <c r="G55" s="209" t="s">
        <v>29</v>
      </c>
      <c r="H55" s="210">
        <f>I55*18</f>
        <v>964.97953206063278</v>
      </c>
      <c r="I55" s="210">
        <f>I47</f>
        <v>53.609974003368485</v>
      </c>
      <c r="J55" s="210">
        <f>I55*22.4</f>
        <v>1200.863417675454</v>
      </c>
      <c r="K55" s="234" t="s">
        <v>396</v>
      </c>
      <c r="L55" s="235"/>
    </row>
    <row r="56" spans="7:14" x14ac:dyDescent="0.3">
      <c r="G56" s="209" t="s">
        <v>44</v>
      </c>
      <c r="H56" s="210">
        <f>I56*2</f>
        <v>214.43994016251276</v>
      </c>
      <c r="I56" s="210">
        <f>I48</f>
        <v>107.21997008125638</v>
      </c>
      <c r="J56" s="210">
        <f>I56*22.4</f>
        <v>2401.7273298201426</v>
      </c>
      <c r="K56" s="161"/>
    </row>
    <row r="57" spans="7:14" x14ac:dyDescent="0.3">
      <c r="G57" s="209" t="s">
        <v>310</v>
      </c>
      <c r="H57" s="210"/>
      <c r="I57" s="210"/>
      <c r="J57" s="210">
        <f>SUM(J55:J56)</f>
        <v>3602.5907474955966</v>
      </c>
      <c r="K57" s="161"/>
    </row>
    <row r="58" spans="7:14" x14ac:dyDescent="0.3">
      <c r="G58" s="211" t="str">
        <f>G50</f>
        <v xml:space="preserve">N2  </v>
      </c>
      <c r="H58" s="212">
        <f>H50</f>
        <v>180.59438126079425</v>
      </c>
      <c r="I58" s="212">
        <f>I50</f>
        <v>6.4497993307426515</v>
      </c>
      <c r="J58" s="212">
        <f>J50</f>
        <v>144.47550500863539</v>
      </c>
      <c r="K58" s="161"/>
    </row>
    <row r="59" spans="7:14" x14ac:dyDescent="0.3">
      <c r="G59" s="211" t="s">
        <v>259</v>
      </c>
      <c r="H59" s="212">
        <f>I59*16</f>
        <v>857.75958405389576</v>
      </c>
      <c r="I59" s="212">
        <f>I55</f>
        <v>53.609974003368485</v>
      </c>
      <c r="J59" s="212">
        <f>I59*22.4</f>
        <v>1200.863417675454</v>
      </c>
      <c r="K59" s="161"/>
    </row>
    <row r="60" spans="7:14" ht="15" thickBot="1" x14ac:dyDescent="0.35">
      <c r="G60" s="211" t="s">
        <v>225</v>
      </c>
      <c r="H60" s="212">
        <f>I60*18</f>
        <v>964.97953206063278</v>
      </c>
      <c r="I60" s="212">
        <f>I55</f>
        <v>53.609974003368485</v>
      </c>
      <c r="J60" s="212">
        <f>I60*22.4</f>
        <v>1200.863417675454</v>
      </c>
      <c r="K60" s="161"/>
    </row>
    <row r="61" spans="7:14" x14ac:dyDescent="0.3">
      <c r="G61" s="211" t="s">
        <v>311</v>
      </c>
      <c r="H61" s="211"/>
      <c r="I61" s="211"/>
      <c r="J61" s="212">
        <f>SUM(J59:J60)</f>
        <v>2401.726835350908</v>
      </c>
      <c r="K61" s="227">
        <f>C33*I55*K12</f>
        <v>-11034.326509217322</v>
      </c>
      <c r="L61" s="221" t="s">
        <v>355</v>
      </c>
    </row>
    <row r="62" spans="7:14" ht="15" thickBot="1" x14ac:dyDescent="0.35">
      <c r="K62" s="224">
        <f>K61*$E$20</f>
        <v>-3065.0906970048118</v>
      </c>
      <c r="L62" s="225" t="s">
        <v>370</v>
      </c>
    </row>
    <row r="63" spans="7:14" x14ac:dyDescent="0.3">
      <c r="K63" s="161"/>
    </row>
    <row r="64" spans="7:14" x14ac:dyDescent="0.3">
      <c r="G64" s="211" t="s">
        <v>491</v>
      </c>
      <c r="K64" s="161"/>
      <c r="L64" t="s">
        <v>499</v>
      </c>
    </row>
    <row r="65" spans="7:12" x14ac:dyDescent="0.3">
      <c r="G65" s="211" t="s">
        <v>496</v>
      </c>
      <c r="H65" s="211">
        <v>100</v>
      </c>
      <c r="I65" s="211">
        <f>H65/2</f>
        <v>50</v>
      </c>
      <c r="J65" s="212">
        <f>I65*22.4</f>
        <v>1120</v>
      </c>
      <c r="K65" s="161"/>
    </row>
    <row r="66" spans="7:12" x14ac:dyDescent="0.3">
      <c r="G66" s="211" t="s">
        <v>29</v>
      </c>
      <c r="H66" s="3">
        <f>I66*28</f>
        <v>1988.4337642486689</v>
      </c>
      <c r="I66" s="3">
        <f>I36</f>
        <v>71.0154915803096</v>
      </c>
      <c r="J66" s="3">
        <f>I66*22.4</f>
        <v>1590.747011398935</v>
      </c>
      <c r="K66" s="161"/>
      <c r="L66" s="162">
        <f>I66/$I$73</f>
        <v>0.31519275912899442</v>
      </c>
    </row>
    <row r="67" spans="7:12" x14ac:dyDescent="0.3">
      <c r="G67" s="211" t="s">
        <v>422</v>
      </c>
      <c r="H67" s="3">
        <f>I67*2</f>
        <v>279.62890500863051</v>
      </c>
      <c r="I67" s="3">
        <f>I37+I65</f>
        <v>139.81445250431526</v>
      </c>
      <c r="J67" s="3">
        <f t="shared" ref="J67:J70" si="8">I67*22.4</f>
        <v>3131.8437360966614</v>
      </c>
      <c r="K67" s="161"/>
      <c r="L67" s="162">
        <f t="shared" ref="L67:L69" si="9">I67/$I$73</f>
        <v>0.62054774346114228</v>
      </c>
    </row>
    <row r="68" spans="7:12" x14ac:dyDescent="0.3">
      <c r="G68" s="211" t="s">
        <v>23</v>
      </c>
      <c r="H68" s="3">
        <f>I68*44</f>
        <v>353.24906994818025</v>
      </c>
      <c r="I68" s="3">
        <f>I38</f>
        <v>8.0283879533677336</v>
      </c>
      <c r="J68" s="3">
        <f t="shared" si="8"/>
        <v>179.83589015543723</v>
      </c>
      <c r="K68" s="161"/>
      <c r="L68" s="162">
        <f t="shared" si="9"/>
        <v>3.5632925916147334E-2</v>
      </c>
    </row>
    <row r="69" spans="7:12" x14ac:dyDescent="0.3">
      <c r="G69" s="211" t="s">
        <v>45</v>
      </c>
      <c r="H69" s="3">
        <f>I69*28</f>
        <v>180.59438126079425</v>
      </c>
      <c r="I69" s="3">
        <f>I39</f>
        <v>6.4497993307426515</v>
      </c>
      <c r="J69" s="3">
        <f t="shared" si="8"/>
        <v>144.47550500863539</v>
      </c>
      <c r="K69" s="161">
        <f>SUM(J66:J69)</f>
        <v>5046.9021426596692</v>
      </c>
      <c r="L69" s="162">
        <f t="shared" si="9"/>
        <v>2.8626571493715981E-2</v>
      </c>
    </row>
    <row r="70" spans="7:12" x14ac:dyDescent="0.3">
      <c r="G70" s="211" t="s">
        <v>447</v>
      </c>
      <c r="H70" s="212">
        <f>I70*18</f>
        <v>397.50400000000002</v>
      </c>
      <c r="I70" s="212">
        <f>I40</f>
        <v>22.083555555555556</v>
      </c>
      <c r="J70" s="212">
        <f t="shared" si="8"/>
        <v>494.67164444444444</v>
      </c>
      <c r="K70" s="161"/>
    </row>
    <row r="71" spans="7:12" x14ac:dyDescent="0.3">
      <c r="G71" s="211" t="s">
        <v>448</v>
      </c>
      <c r="H71" s="3">
        <f>SUM(H66:H68)</f>
        <v>2621.3117392054801</v>
      </c>
      <c r="I71" s="3">
        <f t="shared" ref="I71:J71" si="10">SUM(I66:I68)</f>
        <v>218.8583320379926</v>
      </c>
      <c r="J71" s="3">
        <f t="shared" si="10"/>
        <v>4902.4266376510341</v>
      </c>
      <c r="K71" s="161"/>
    </row>
    <row r="72" spans="7:12" x14ac:dyDescent="0.3">
      <c r="G72" s="211" t="s">
        <v>45</v>
      </c>
      <c r="H72" s="3">
        <f>H69</f>
        <v>180.59438126079425</v>
      </c>
      <c r="I72" s="3">
        <f t="shared" ref="I72:J72" si="11">I69</f>
        <v>6.4497993307426515</v>
      </c>
      <c r="J72" s="3">
        <f t="shared" si="11"/>
        <v>144.47550500863539</v>
      </c>
      <c r="K72" s="161"/>
    </row>
    <row r="73" spans="7:12" x14ac:dyDescent="0.3">
      <c r="G73" s="211" t="s">
        <v>494</v>
      </c>
      <c r="H73" s="3">
        <f>SUM(H71:H72)</f>
        <v>2801.9061204662744</v>
      </c>
      <c r="I73" s="3">
        <f t="shared" ref="I73:J73" si="12">SUM(I71:I72)</f>
        <v>225.30813136873525</v>
      </c>
      <c r="J73" s="3">
        <f t="shared" si="12"/>
        <v>5046.9021426596692</v>
      </c>
      <c r="K73" s="161"/>
    </row>
    <row r="74" spans="7:12" x14ac:dyDescent="0.3">
      <c r="G74" s="211"/>
      <c r="H74" s="3"/>
      <c r="K74" s="161"/>
    </row>
    <row r="75" spans="7:12" x14ac:dyDescent="0.3">
      <c r="G75" s="211" t="s">
        <v>449</v>
      </c>
      <c r="H75" s="3"/>
      <c r="K75" s="161"/>
    </row>
    <row r="76" spans="7:12" x14ac:dyDescent="0.3">
      <c r="G76" s="211" t="s">
        <v>29</v>
      </c>
      <c r="H76" s="3">
        <f>I76*28</f>
        <v>0</v>
      </c>
      <c r="I76" s="3">
        <v>0</v>
      </c>
      <c r="J76" s="212">
        <f>I76*22.4</f>
        <v>0</v>
      </c>
      <c r="K76" s="161"/>
    </row>
    <row r="77" spans="7:12" x14ac:dyDescent="0.3">
      <c r="G77" s="211" t="s">
        <v>44</v>
      </c>
      <c r="H77" s="3">
        <f>I77*2</f>
        <v>1584.5637950489063</v>
      </c>
      <c r="I77" s="3">
        <f>(1/F89-1)*I67</f>
        <v>792.28189752445314</v>
      </c>
      <c r="J77" s="212">
        <f>I77*22.4</f>
        <v>17747.11450454775</v>
      </c>
      <c r="K77" s="161"/>
    </row>
    <row r="78" spans="7:12" x14ac:dyDescent="0.3">
      <c r="G78" s="211" t="s">
        <v>280</v>
      </c>
      <c r="H78" s="3">
        <f>SUM(H76:H77)</f>
        <v>1584.5637950489063</v>
      </c>
      <c r="J78" s="3">
        <f>SUM(J76:J77)</f>
        <v>17747.11450454775</v>
      </c>
      <c r="K78" s="161"/>
    </row>
    <row r="79" spans="7:12" x14ac:dyDescent="0.3">
      <c r="G79" s="211"/>
      <c r="H79" s="3"/>
      <c r="K79" s="161"/>
    </row>
    <row r="80" spans="7:12" x14ac:dyDescent="0.3">
      <c r="G80" s="211" t="s">
        <v>450</v>
      </c>
      <c r="H80" s="3"/>
      <c r="K80" s="161"/>
    </row>
    <row r="81" spans="5:13" x14ac:dyDescent="0.3">
      <c r="G81" s="211" t="s">
        <v>29</v>
      </c>
      <c r="H81" s="3">
        <f>I81*28</f>
        <v>1988.4337642486689</v>
      </c>
      <c r="I81" s="3">
        <f t="shared" ref="I81" si="13">I76+I66</f>
        <v>71.0154915803096</v>
      </c>
      <c r="J81" s="3">
        <f>I81*22.4</f>
        <v>1590.747011398935</v>
      </c>
      <c r="K81" s="161"/>
      <c r="L81" s="207">
        <f>I81/$I$87</f>
        <v>6.9787920050230531E-2</v>
      </c>
    </row>
    <row r="82" spans="5:13" x14ac:dyDescent="0.3">
      <c r="G82" s="211" t="s">
        <v>44</v>
      </c>
      <c r="H82" s="3">
        <f>I82*2</f>
        <v>1864.1927000575367</v>
      </c>
      <c r="I82" s="3">
        <f t="shared" ref="I82" si="14">I67+I77</f>
        <v>932.09635002876837</v>
      </c>
      <c r="J82" s="3">
        <f t="shared" ref="J82:J86" si="15">I82*22.4</f>
        <v>20878.95824064441</v>
      </c>
      <c r="K82" s="161"/>
      <c r="L82" s="207">
        <f t="shared" ref="L82:L87" si="16">I82/$I$87</f>
        <v>0.91598416215083234</v>
      </c>
    </row>
    <row r="83" spans="5:13" x14ac:dyDescent="0.3">
      <c r="G83" s="211" t="s">
        <v>23</v>
      </c>
      <c r="H83" s="3">
        <f>I83*44</f>
        <v>353.24906994818025</v>
      </c>
      <c r="I83" s="3">
        <f>I68</f>
        <v>8.0283879533677336</v>
      </c>
      <c r="J83" s="3">
        <f t="shared" si="15"/>
        <v>179.83589015543723</v>
      </c>
      <c r="K83" s="161"/>
      <c r="L83" s="207">
        <f t="shared" si="16"/>
        <v>7.8896094944051736E-3</v>
      </c>
    </row>
    <row r="84" spans="5:13" x14ac:dyDescent="0.3">
      <c r="G84" s="211" t="s">
        <v>45</v>
      </c>
      <c r="H84" s="3">
        <f>I84*28</f>
        <v>180.59438126079425</v>
      </c>
      <c r="I84" s="3">
        <f>I69</f>
        <v>6.4497993307426515</v>
      </c>
      <c r="J84" s="3">
        <f t="shared" si="15"/>
        <v>144.47550500863539</v>
      </c>
      <c r="K84" s="161"/>
      <c r="L84" s="207">
        <f t="shared" si="16"/>
        <v>6.3383083045319985E-3</v>
      </c>
    </row>
    <row r="85" spans="5:13" x14ac:dyDescent="0.3">
      <c r="G85" s="211" t="s">
        <v>451</v>
      </c>
      <c r="H85" s="3">
        <f>SUM(H81:H83)</f>
        <v>4205.8755342543864</v>
      </c>
      <c r="I85" s="3">
        <f>SUM(I81:I83)</f>
        <v>1011.1402295624457</v>
      </c>
      <c r="J85" s="3">
        <f>SUM(J81:J83)</f>
        <v>22649.541142198785</v>
      </c>
      <c r="K85" s="161"/>
      <c r="L85" s="162">
        <f t="shared" si="16"/>
        <v>0.99366169169546803</v>
      </c>
    </row>
    <row r="86" spans="5:13" x14ac:dyDescent="0.3">
      <c r="G86" s="211" t="s">
        <v>45</v>
      </c>
      <c r="H86" s="3">
        <f>I86*28</f>
        <v>180.59438126079425</v>
      </c>
      <c r="I86" s="3">
        <f>I84</f>
        <v>6.4497993307426515</v>
      </c>
      <c r="J86" s="3">
        <f t="shared" si="15"/>
        <v>144.47550500863539</v>
      </c>
      <c r="K86" s="161"/>
      <c r="L86" s="162">
        <f>I86/$I$87</f>
        <v>6.3383083045319985E-3</v>
      </c>
    </row>
    <row r="87" spans="5:13" x14ac:dyDescent="0.3">
      <c r="G87" s="211" t="s">
        <v>494</v>
      </c>
      <c r="H87" s="3">
        <f>SUM(H85:H86)</f>
        <v>4386.4699155151802</v>
      </c>
      <c r="I87" s="3">
        <f t="shared" ref="I87:J87" si="17">SUM(I85:I86)</f>
        <v>1017.5900288931883</v>
      </c>
      <c r="J87" s="3">
        <f t="shared" si="17"/>
        <v>22794.01664720742</v>
      </c>
      <c r="K87" s="161"/>
      <c r="L87" s="162">
        <f t="shared" si="16"/>
        <v>1</v>
      </c>
    </row>
    <row r="88" spans="5:13" x14ac:dyDescent="0.3">
      <c r="E88" t="s">
        <v>438</v>
      </c>
      <c r="G88" s="211"/>
      <c r="H88" s="3"/>
      <c r="K88" s="161"/>
      <c r="L88" t="s">
        <v>492</v>
      </c>
      <c r="M88" t="s">
        <v>493</v>
      </c>
    </row>
    <row r="89" spans="5:13" x14ac:dyDescent="0.3">
      <c r="F89" s="214">
        <v>0.15</v>
      </c>
      <c r="G89" s="211" t="s">
        <v>453</v>
      </c>
      <c r="H89" s="3">
        <f>I89*32</f>
        <v>2237.0312400690441</v>
      </c>
      <c r="I89" s="3">
        <f>I82*F89/2</f>
        <v>69.907226252157628</v>
      </c>
      <c r="J89" s="3">
        <f t="shared" ref="J89:J93" si="18">I89*22.4</f>
        <v>1565.9218680483307</v>
      </c>
      <c r="K89" s="161"/>
      <c r="L89" s="207">
        <f>I89/$I$94</f>
        <v>7.964134356500624E-2</v>
      </c>
      <c r="M89" s="3">
        <f>L89*30</f>
        <v>2.3892403069501871</v>
      </c>
    </row>
    <row r="90" spans="5:13" x14ac:dyDescent="0.3">
      <c r="G90" s="211" t="s">
        <v>29</v>
      </c>
      <c r="H90" s="3">
        <f>I90*28</f>
        <v>31.031429188255231</v>
      </c>
      <c r="I90" s="3">
        <f>I81-I89</f>
        <v>1.1082653281519725</v>
      </c>
      <c r="J90" s="3">
        <f t="shared" si="18"/>
        <v>24.825143350604183</v>
      </c>
      <c r="K90" s="161"/>
      <c r="L90" s="207">
        <f t="shared" ref="L90:L93" si="19">I90/$I$94</f>
        <v>1.2625839200394744E-3</v>
      </c>
      <c r="M90" s="3">
        <f t="shared" ref="M90:M93" si="20">L90*30</f>
        <v>3.7877517601184234E-2</v>
      </c>
    </row>
    <row r="91" spans="5:13" x14ac:dyDescent="0.3">
      <c r="G91" s="211" t="s">
        <v>44</v>
      </c>
      <c r="H91" s="3">
        <f>I91*2</f>
        <v>1584.5637950489063</v>
      </c>
      <c r="I91" s="181">
        <f>I82-2*I89</f>
        <v>792.28189752445314</v>
      </c>
      <c r="J91" s="3">
        <f t="shared" si="18"/>
        <v>17747.11450454775</v>
      </c>
      <c r="K91" s="161">
        <f>SUM(J90:J91)</f>
        <v>17771.939647898354</v>
      </c>
      <c r="L91" s="207">
        <f t="shared" si="19"/>
        <v>0.90260189373673749</v>
      </c>
      <c r="M91" s="3">
        <f t="shared" si="20"/>
        <v>27.078056812102126</v>
      </c>
    </row>
    <row r="92" spans="5:13" x14ac:dyDescent="0.3">
      <c r="G92" s="211" t="s">
        <v>23</v>
      </c>
      <c r="H92" s="3">
        <f>I92*44</f>
        <v>353.24906994818025</v>
      </c>
      <c r="I92" s="3">
        <f>I83</f>
        <v>8.0283879533677336</v>
      </c>
      <c r="J92" s="3">
        <f t="shared" si="18"/>
        <v>179.83589015543723</v>
      </c>
      <c r="K92" s="161"/>
      <c r="L92" s="207">
        <f t="shared" si="19"/>
        <v>9.1462876950804892E-3</v>
      </c>
      <c r="M92" s="3">
        <f t="shared" si="20"/>
        <v>0.27438863085241466</v>
      </c>
    </row>
    <row r="93" spans="5:13" x14ac:dyDescent="0.3">
      <c r="G93" s="211" t="s">
        <v>45</v>
      </c>
      <c r="H93" s="3">
        <f>I93*28</f>
        <v>180.59438126079425</v>
      </c>
      <c r="I93" s="3">
        <f>I84</f>
        <v>6.4497993307426515</v>
      </c>
      <c r="J93" s="3">
        <f t="shared" si="18"/>
        <v>144.47550500863539</v>
      </c>
      <c r="K93" s="161">
        <f>SUM(J92:J93)</f>
        <v>324.31139516407262</v>
      </c>
      <c r="L93" s="207">
        <f t="shared" si="19"/>
        <v>7.3478910831363282E-3</v>
      </c>
      <c r="M93" s="3">
        <f t="shared" si="20"/>
        <v>0.22043673249408985</v>
      </c>
    </row>
    <row r="94" spans="5:13" x14ac:dyDescent="0.3">
      <c r="G94" s="211" t="s">
        <v>280</v>
      </c>
      <c r="H94" s="3">
        <f>SUM(H89:H93)</f>
        <v>4386.4699155151793</v>
      </c>
      <c r="I94" s="3">
        <f t="shared" ref="I94:J94" si="21">SUM(I89:I93)</f>
        <v>877.77557638887311</v>
      </c>
      <c r="J94" s="3">
        <f t="shared" si="21"/>
        <v>19662.17291111076</v>
      </c>
      <c r="K94" s="161"/>
    </row>
    <row r="95" spans="5:13" x14ac:dyDescent="0.3">
      <c r="G95" s="211" t="s">
        <v>454</v>
      </c>
      <c r="H95" s="3"/>
      <c r="K95" s="161"/>
    </row>
    <row r="96" spans="5:13" x14ac:dyDescent="0.3">
      <c r="G96" s="211" t="s">
        <v>29</v>
      </c>
      <c r="H96" s="3">
        <f>I96*28</f>
        <v>0</v>
      </c>
      <c r="I96">
        <f>0</f>
        <v>0</v>
      </c>
      <c r="J96" s="3">
        <f t="shared" ref="J96:J97" si="22">I96*22.4</f>
        <v>0</v>
      </c>
      <c r="K96" s="161"/>
    </row>
    <row r="97" spans="7:15" x14ac:dyDescent="0.3">
      <c r="G97" s="211" t="s">
        <v>44</v>
      </c>
      <c r="H97" s="3">
        <f>I97*2</f>
        <v>1584.5637950489063</v>
      </c>
      <c r="I97" s="181">
        <f>I91</f>
        <v>792.28189752445314</v>
      </c>
      <c r="J97" s="3">
        <f t="shared" si="22"/>
        <v>17747.11450454775</v>
      </c>
      <c r="K97" s="206">
        <f>H97/J97</f>
        <v>8.9285714285714288E-2</v>
      </c>
    </row>
    <row r="98" spans="7:15" x14ac:dyDescent="0.3">
      <c r="G98" s="211" t="s">
        <v>280</v>
      </c>
      <c r="H98" s="3">
        <f>SUM(H96:H97)</f>
        <v>1584.5637950489063</v>
      </c>
      <c r="I98" s="3">
        <f>SUM(I96:I97)</f>
        <v>792.28189752445314</v>
      </c>
      <c r="J98" s="3">
        <f>SUM(J96:J97)</f>
        <v>17747.11450454775</v>
      </c>
      <c r="K98" s="161"/>
    </row>
    <row r="99" spans="7:15" x14ac:dyDescent="0.3">
      <c r="G99" s="211" t="s">
        <v>495</v>
      </c>
      <c r="H99" s="3"/>
      <c r="K99" s="161"/>
    </row>
    <row r="100" spans="7:15" x14ac:dyDescent="0.3">
      <c r="G100" s="211" t="s">
        <v>29</v>
      </c>
      <c r="H100" s="3">
        <f>I100*28</f>
        <v>31.031429188255231</v>
      </c>
      <c r="I100" s="3">
        <f>I90</f>
        <v>1.1082653281519725</v>
      </c>
      <c r="J100" s="3">
        <f t="shared" ref="J100:J102" si="23">I100*22.4</f>
        <v>24.825143350604183</v>
      </c>
      <c r="K100" s="161"/>
    </row>
    <row r="101" spans="7:15" x14ac:dyDescent="0.3">
      <c r="G101" s="211" t="s">
        <v>23</v>
      </c>
      <c r="H101">
        <f>I101*44</f>
        <v>353.24906994818025</v>
      </c>
      <c r="I101" s="3">
        <f>I92</f>
        <v>8.0283879533677336</v>
      </c>
      <c r="J101" s="3">
        <f t="shared" si="23"/>
        <v>179.83589015543723</v>
      </c>
      <c r="K101" s="161"/>
    </row>
    <row r="102" spans="7:15" x14ac:dyDescent="0.3">
      <c r="G102" s="211" t="s">
        <v>45</v>
      </c>
      <c r="H102">
        <f>I102*28</f>
        <v>180.59438126079425</v>
      </c>
      <c r="I102" s="3">
        <f>I93</f>
        <v>6.4497993307426515</v>
      </c>
      <c r="J102" s="3">
        <f t="shared" si="23"/>
        <v>144.47550500863539</v>
      </c>
      <c r="K102" s="161"/>
    </row>
    <row r="103" spans="7:15" x14ac:dyDescent="0.3">
      <c r="G103" s="211"/>
      <c r="I103" s="3"/>
      <c r="K103" s="161"/>
    </row>
    <row r="104" spans="7:15" x14ac:dyDescent="0.3">
      <c r="G104" s="211"/>
      <c r="I104" s="3"/>
      <c r="K104" s="161"/>
    </row>
    <row r="105" spans="7:15" x14ac:dyDescent="0.3">
      <c r="G105" s="211"/>
      <c r="I105" s="3"/>
      <c r="K105" s="161"/>
    </row>
    <row r="106" spans="7:15" ht="15" thickBot="1" x14ac:dyDescent="0.35">
      <c r="G106" s="193" t="s">
        <v>313</v>
      </c>
      <c r="H106" t="s">
        <v>378</v>
      </c>
      <c r="J106" t="s">
        <v>320</v>
      </c>
      <c r="K106" s="161"/>
      <c r="N106" t="s">
        <v>438</v>
      </c>
    </row>
    <row r="107" spans="7:15" x14ac:dyDescent="0.3">
      <c r="G107" t="s">
        <v>314</v>
      </c>
      <c r="H107" s="3">
        <f>I107*(12+16+4)</f>
        <v>1715.5191681077915</v>
      </c>
      <c r="I107" s="3">
        <f>I47</f>
        <v>53.609974003368485</v>
      </c>
      <c r="J107" s="3">
        <f>H107/0.792</f>
        <v>2166.059555691656</v>
      </c>
      <c r="K107" s="227">
        <f>I107*C35*K12</f>
        <v>-4845.8055501644767</v>
      </c>
      <c r="L107" s="221" t="s">
        <v>356</v>
      </c>
      <c r="N107" s="214">
        <v>0.25</v>
      </c>
    </row>
    <row r="108" spans="7:15" ht="15" thickBot="1" x14ac:dyDescent="0.35">
      <c r="K108" s="224">
        <f>K107*$E$20</f>
        <v>-1346.0570972679102</v>
      </c>
      <c r="L108" s="225" t="s">
        <v>370</v>
      </c>
      <c r="N108">
        <f>K108*N107</f>
        <v>-336.51427431697755</v>
      </c>
      <c r="O108" t="s">
        <v>439</v>
      </c>
    </row>
    <row r="109" spans="7:15" x14ac:dyDescent="0.3">
      <c r="G109" s="193" t="s">
        <v>341</v>
      </c>
      <c r="H109" s="3">
        <f>I109*28</f>
        <v>160.25935783678705</v>
      </c>
      <c r="I109" s="3">
        <f>I21/0.8*0.2</f>
        <v>5.7235484941709664</v>
      </c>
      <c r="J109">
        <f>I109*22.4</f>
        <v>128.20748626942964</v>
      </c>
      <c r="N109" s="23">
        <f>N108/SUM(J36:J39)</f>
        <v>-8.5694591332255168E-2</v>
      </c>
      <c r="O109" t="s">
        <v>437</v>
      </c>
    </row>
    <row r="110" spans="7:15" ht="15" thickBot="1" x14ac:dyDescent="0.35">
      <c r="N110" t="s">
        <v>440</v>
      </c>
      <c r="O110">
        <f>(1-N107)*SUM(J47:J48)</f>
        <v>2701.9430606216974</v>
      </c>
    </row>
    <row r="111" spans="7:15" x14ac:dyDescent="0.3">
      <c r="G111" s="170" t="s">
        <v>339</v>
      </c>
      <c r="H111" s="170" t="s">
        <v>294</v>
      </c>
      <c r="I111" s="170" t="s">
        <v>266</v>
      </c>
      <c r="J111" s="218" t="s">
        <v>309</v>
      </c>
      <c r="K111" s="220" t="s">
        <v>359</v>
      </c>
      <c r="L111" s="221"/>
      <c r="M111" t="s">
        <v>360</v>
      </c>
      <c r="N111" t="s">
        <v>441</v>
      </c>
      <c r="O111">
        <f>O110/SUM(J47:J50)</f>
        <v>0.62591549027993687</v>
      </c>
    </row>
    <row r="112" spans="7:15" x14ac:dyDescent="0.3">
      <c r="G112" s="170" t="s">
        <v>322</v>
      </c>
      <c r="H112" s="170">
        <v>2300</v>
      </c>
      <c r="I112" s="170"/>
      <c r="J112" s="218"/>
      <c r="K112" s="222">
        <f>H112/1000*50</f>
        <v>114.99999999999999</v>
      </c>
      <c r="L112" s="223" t="s">
        <v>345</v>
      </c>
      <c r="M112" t="s">
        <v>362</v>
      </c>
    </row>
    <row r="113" spans="7:15" x14ac:dyDescent="0.3">
      <c r="G113" s="170" t="s">
        <v>255</v>
      </c>
      <c r="H113" s="217">
        <f>H21</f>
        <v>732.61420725388371</v>
      </c>
      <c r="I113" s="216">
        <f>H113/32</f>
        <v>22.894193976683866</v>
      </c>
      <c r="J113" s="219">
        <f>I113*22.4</f>
        <v>512.82994507771855</v>
      </c>
      <c r="K113" s="222">
        <f>K112*24</f>
        <v>2759.9999999999995</v>
      </c>
      <c r="L113" s="223" t="s">
        <v>342</v>
      </c>
    </row>
    <row r="114" spans="7:15" ht="15" thickBot="1" x14ac:dyDescent="0.35">
      <c r="G114" s="170" t="s">
        <v>225</v>
      </c>
      <c r="H114" s="217">
        <f>H22</f>
        <v>112.60655440412798</v>
      </c>
      <c r="I114" s="216">
        <f>H114/18</f>
        <v>6.2559196891182207</v>
      </c>
      <c r="J114" s="219">
        <f>I114*22.4</f>
        <v>140.13260103624813</v>
      </c>
      <c r="K114" s="224">
        <f>K113*300</f>
        <v>827999.99999999988</v>
      </c>
      <c r="L114" s="225" t="s">
        <v>346</v>
      </c>
      <c r="M114" s="161">
        <f>K114/60*90</f>
        <v>1241999.9999999998</v>
      </c>
    </row>
    <row r="115" spans="7:15" x14ac:dyDescent="0.3">
      <c r="G115" s="170" t="s">
        <v>45</v>
      </c>
      <c r="H115" s="217">
        <f>H26</f>
        <v>71.226381260794255</v>
      </c>
      <c r="I115" s="216">
        <f>H115/28</f>
        <v>2.5437993307426519</v>
      </c>
      <c r="J115" s="216">
        <f>I115*22.4</f>
        <v>56.981105008635396</v>
      </c>
    </row>
    <row r="117" spans="7:15" ht="15" thickBot="1" x14ac:dyDescent="0.35">
      <c r="G117" s="170" t="s">
        <v>384</v>
      </c>
      <c r="H117" s="170" t="s">
        <v>294</v>
      </c>
      <c r="I117" s="170" t="s">
        <v>266</v>
      </c>
      <c r="J117" s="170" t="s">
        <v>309</v>
      </c>
      <c r="K117" s="34"/>
    </row>
    <row r="118" spans="7:15" x14ac:dyDescent="0.3">
      <c r="G118" s="170" t="s">
        <v>0</v>
      </c>
      <c r="H118" s="216">
        <f>H18</f>
        <v>311.81832901553838</v>
      </c>
      <c r="I118" s="170"/>
      <c r="J118" s="218"/>
      <c r="K118" s="226" t="s">
        <v>359</v>
      </c>
      <c r="L118" s="221"/>
      <c r="M118" t="s">
        <v>360</v>
      </c>
      <c r="N118" s="234" t="s">
        <v>396</v>
      </c>
      <c r="O118" s="235"/>
    </row>
    <row r="119" spans="7:15" x14ac:dyDescent="0.3">
      <c r="G119" s="170" t="s">
        <v>259</v>
      </c>
      <c r="H119" s="217">
        <f>H59</f>
        <v>857.75958405389576</v>
      </c>
      <c r="I119" s="216">
        <f>H119/18</f>
        <v>47.65331022521643</v>
      </c>
      <c r="J119" s="219">
        <f>I119*22.4</f>
        <v>1067.434149044848</v>
      </c>
      <c r="K119" s="222">
        <f>J119*0.15</f>
        <v>160.1151223567272</v>
      </c>
      <c r="L119" s="223" t="s">
        <v>343</v>
      </c>
      <c r="M119" t="s">
        <v>361</v>
      </c>
    </row>
    <row r="120" spans="7:15" x14ac:dyDescent="0.3">
      <c r="G120" s="170" t="s">
        <v>225</v>
      </c>
      <c r="H120" s="217">
        <f>H60</f>
        <v>964.97953206063278</v>
      </c>
      <c r="I120" s="216">
        <f>H120/18</f>
        <v>53.609974003368485</v>
      </c>
      <c r="J120" s="219">
        <f>I120*22.4</f>
        <v>1200.863417675454</v>
      </c>
      <c r="K120" s="222">
        <f>K119*24</f>
        <v>3842.762936561453</v>
      </c>
      <c r="L120" s="223" t="s">
        <v>342</v>
      </c>
    </row>
    <row r="121" spans="7:15" ht="15" thickBot="1" x14ac:dyDescent="0.35">
      <c r="G121" s="170" t="s">
        <v>23</v>
      </c>
      <c r="H121" s="217">
        <f>H49</f>
        <v>1119.0918433335894</v>
      </c>
      <c r="I121" s="216">
        <f>H121/44</f>
        <v>25.433905530308849</v>
      </c>
      <c r="J121" s="219">
        <f>I121*22.4</f>
        <v>569.71948387891814</v>
      </c>
      <c r="K121" s="224">
        <f>K120*300</f>
        <v>1152828.8809684359</v>
      </c>
      <c r="L121" s="225" t="s">
        <v>346</v>
      </c>
      <c r="M121" s="161">
        <f>K121/15*23</f>
        <v>1767670.9508182683</v>
      </c>
    </row>
    <row r="122" spans="7:15" x14ac:dyDescent="0.3">
      <c r="G122" s="170" t="str">
        <f t="shared" ref="G122:I122" si="24">G115</f>
        <v>N2</v>
      </c>
      <c r="H122" s="217">
        <f t="shared" si="24"/>
        <v>71.226381260794255</v>
      </c>
      <c r="I122" s="216">
        <f t="shared" si="24"/>
        <v>2.5437993307426519</v>
      </c>
      <c r="J122" s="216">
        <f>I122*22.4</f>
        <v>56.981105008635396</v>
      </c>
    </row>
    <row r="125" spans="7:15" ht="15" thickBot="1" x14ac:dyDescent="0.35">
      <c r="G125" s="170" t="s">
        <v>385</v>
      </c>
      <c r="H125" s="170" t="s">
        <v>294</v>
      </c>
      <c r="I125" s="170" t="s">
        <v>266</v>
      </c>
      <c r="J125" s="170" t="str">
        <f t="shared" ref="G125:J126" si="25">J106</f>
        <v>litrov</v>
      </c>
      <c r="M125" t="s">
        <v>360</v>
      </c>
    </row>
    <row r="126" spans="7:15" x14ac:dyDescent="0.3">
      <c r="G126" s="170" t="str">
        <f t="shared" si="25"/>
        <v>CH3OH</v>
      </c>
      <c r="H126" s="216">
        <f t="shared" si="25"/>
        <v>1715.5191681077915</v>
      </c>
      <c r="I126" s="216">
        <f t="shared" si="25"/>
        <v>53.609974003368485</v>
      </c>
      <c r="J126" s="219">
        <f t="shared" si="25"/>
        <v>2166.059555691656</v>
      </c>
      <c r="K126" s="227">
        <f>H126/1000*175</f>
        <v>300.2158544188635</v>
      </c>
      <c r="L126" s="221" t="s">
        <v>344</v>
      </c>
      <c r="M126" t="s">
        <v>364</v>
      </c>
    </row>
    <row r="127" spans="7:15" x14ac:dyDescent="0.3">
      <c r="G127" s="170" t="str">
        <f t="shared" ref="G127:J128" si="26">G121</f>
        <v>CO2</v>
      </c>
      <c r="H127" s="217">
        <f t="shared" si="26"/>
        <v>1119.0918433335894</v>
      </c>
      <c r="I127" s="216">
        <f t="shared" si="26"/>
        <v>25.433905530308849</v>
      </c>
      <c r="J127" s="219">
        <f t="shared" si="26"/>
        <v>569.71948387891814</v>
      </c>
      <c r="K127" s="222">
        <f>K126*24</f>
        <v>7205.180506052724</v>
      </c>
      <c r="L127" s="223" t="s">
        <v>342</v>
      </c>
    </row>
    <row r="128" spans="7:15" ht="15" thickBot="1" x14ac:dyDescent="0.35">
      <c r="G128" s="170" t="str">
        <f t="shared" si="26"/>
        <v>N2</v>
      </c>
      <c r="H128" s="217">
        <f>H50</f>
        <v>180.59438126079425</v>
      </c>
      <c r="I128" s="216">
        <f t="shared" si="26"/>
        <v>2.5437993307426519</v>
      </c>
      <c r="J128" s="219">
        <f t="shared" si="26"/>
        <v>56.981105008635396</v>
      </c>
      <c r="K128" s="224">
        <f>K127*300</f>
        <v>2161554.1518158172</v>
      </c>
      <c r="L128" s="225" t="s">
        <v>346</v>
      </c>
      <c r="M128" s="161">
        <f>K128/175*400</f>
        <v>4940695.2041504392</v>
      </c>
    </row>
    <row r="129" spans="7:14" x14ac:dyDescent="0.3">
      <c r="G129" s="170" t="str">
        <f t="shared" ref="G129:J129" si="27">G118</f>
        <v>Ash</v>
      </c>
      <c r="H129" s="217">
        <f t="shared" si="27"/>
        <v>311.81832901553838</v>
      </c>
      <c r="I129" s="216">
        <f t="shared" si="27"/>
        <v>0</v>
      </c>
      <c r="J129" s="216">
        <f t="shared" si="27"/>
        <v>0</v>
      </c>
      <c r="K129" s="161"/>
      <c r="M129" s="161"/>
    </row>
    <row r="130" spans="7:14" x14ac:dyDescent="0.3">
      <c r="H130" s="3"/>
      <c r="I130" s="22"/>
      <c r="J130" s="233"/>
      <c r="K130" s="161"/>
      <c r="M130" s="161"/>
    </row>
    <row r="131" spans="7:14" x14ac:dyDescent="0.3">
      <c r="J131" s="170"/>
      <c r="K131" s="170" t="s">
        <v>354</v>
      </c>
    </row>
    <row r="132" spans="7:14" x14ac:dyDescent="0.3">
      <c r="J132" s="170" t="s">
        <v>347</v>
      </c>
      <c r="K132" s="169">
        <v>200000</v>
      </c>
    </row>
    <row r="133" spans="7:14" x14ac:dyDescent="0.3">
      <c r="J133" s="170" t="s">
        <v>348</v>
      </c>
      <c r="K133" s="169">
        <f>1500*24*300*0.15</f>
        <v>1620000</v>
      </c>
      <c r="L133" t="s">
        <v>391</v>
      </c>
      <c r="M133">
        <f>1500*0.2</f>
        <v>300</v>
      </c>
      <c r="N133">
        <f>1500*0.1</f>
        <v>150</v>
      </c>
    </row>
    <row r="134" spans="7:14" x14ac:dyDescent="0.3">
      <c r="J134" s="170" t="s">
        <v>349</v>
      </c>
      <c r="K134" s="169">
        <v>1000000</v>
      </c>
      <c r="L134" t="s">
        <v>350</v>
      </c>
    </row>
    <row r="135" spans="7:14" x14ac:dyDescent="0.3">
      <c r="J135" s="170" t="s">
        <v>351</v>
      </c>
      <c r="K135" s="169">
        <f>K134*5*0.05*0.6</f>
        <v>150000</v>
      </c>
      <c r="L135" t="s">
        <v>352</v>
      </c>
    </row>
    <row r="136" spans="7:14" x14ac:dyDescent="0.3">
      <c r="J136" s="170" t="s">
        <v>366</v>
      </c>
      <c r="K136" s="169">
        <f>200000</f>
        <v>200000</v>
      </c>
    </row>
    <row r="137" spans="7:14" x14ac:dyDescent="0.3">
      <c r="J137" s="170" t="s">
        <v>280</v>
      </c>
      <c r="K137" s="169">
        <f>SUM(K132:K136)</f>
        <v>3170000</v>
      </c>
    </row>
    <row r="138" spans="7:14" x14ac:dyDescent="0.3">
      <c r="J138" s="170"/>
      <c r="K138" s="170" t="s">
        <v>365</v>
      </c>
      <c r="L138" s="228" t="s">
        <v>363</v>
      </c>
    </row>
    <row r="139" spans="7:14" x14ac:dyDescent="0.3">
      <c r="J139" s="170" t="s">
        <v>353</v>
      </c>
      <c r="K139" s="169">
        <f>K121+K114-K137</f>
        <v>-1189171.1190315643</v>
      </c>
      <c r="L139" s="169">
        <f>M114+M121-K137</f>
        <v>-160329.04918173188</v>
      </c>
      <c r="M139" s="234" t="s">
        <v>396</v>
      </c>
      <c r="N139" s="235"/>
    </row>
    <row r="140" spans="7:14" x14ac:dyDescent="0.3">
      <c r="J140" s="170" t="s">
        <v>373</v>
      </c>
      <c r="K140" s="169">
        <f>K128+K114-K137</f>
        <v>-180445.84818418277</v>
      </c>
      <c r="L140" s="169">
        <f>M114+M128-K137</f>
        <v>3012695.2041504392</v>
      </c>
    </row>
    <row r="141" spans="7:14" x14ac:dyDescent="0.3">
      <c r="K141" t="s">
        <v>374</v>
      </c>
    </row>
    <row r="142" spans="7:14" x14ac:dyDescent="0.3">
      <c r="J142" s="170" t="s">
        <v>371</v>
      </c>
      <c r="K142" s="169">
        <f>K53+K62</f>
        <v>-3677.9420498199861</v>
      </c>
      <c r="L142" s="170" t="s">
        <v>382</v>
      </c>
    </row>
    <row r="143" spans="7:14" x14ac:dyDescent="0.3">
      <c r="J143" s="170" t="s">
        <v>372</v>
      </c>
      <c r="K143" s="169">
        <f>K53+K108</f>
        <v>-1958.9084500830843</v>
      </c>
      <c r="L143" s="170" t="s">
        <v>383</v>
      </c>
    </row>
  </sheetData>
  <pageMargins left="0.25" right="0.25" top="0.75" bottom="0.75" header="0.3" footer="0.3"/>
  <pageSetup paperSize="9" scale="41" orientation="landscape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10"/>
  <sheetViews>
    <sheetView workbookViewId="0">
      <selection activeCell="B22" sqref="B22:B25"/>
    </sheetView>
  </sheetViews>
  <sheetFormatPr defaultRowHeight="14.4" x14ac:dyDescent="0.3"/>
  <cols>
    <col min="1" max="1" width="72" customWidth="1"/>
    <col min="2" max="2" width="10.88671875" customWidth="1"/>
    <col min="3" max="3" width="11" bestFit="1" customWidth="1"/>
    <col min="5" max="6" width="9.44140625" bestFit="1" customWidth="1"/>
    <col min="7" max="7" width="9.44140625" customWidth="1"/>
    <col min="8" max="8" width="24.33203125" bestFit="1" customWidth="1"/>
    <col min="10" max="10" width="11.44140625" bestFit="1" customWidth="1"/>
    <col min="11" max="11" width="9.33203125" bestFit="1" customWidth="1"/>
  </cols>
  <sheetData>
    <row r="1" spans="1:11" ht="15" x14ac:dyDescent="0.3">
      <c r="A1" s="278" t="s">
        <v>547</v>
      </c>
      <c r="B1" s="278"/>
    </row>
    <row r="2" spans="1:11" ht="30" x14ac:dyDescent="0.3">
      <c r="A2" s="278" t="s">
        <v>548</v>
      </c>
      <c r="B2" s="279"/>
      <c r="C2" s="170"/>
      <c r="D2" s="170"/>
      <c r="E2" s="228" t="s">
        <v>551</v>
      </c>
      <c r="F2" s="228" t="s">
        <v>9</v>
      </c>
      <c r="G2" s="228" t="s">
        <v>560</v>
      </c>
      <c r="H2" s="228" t="s">
        <v>557</v>
      </c>
      <c r="I2" s="170" t="s">
        <v>255</v>
      </c>
      <c r="J2" s="229" t="s">
        <v>558</v>
      </c>
      <c r="K2" s="229" t="s">
        <v>559</v>
      </c>
    </row>
    <row r="3" spans="1:11" x14ac:dyDescent="0.3">
      <c r="B3" s="228" t="s">
        <v>236</v>
      </c>
      <c r="C3" s="170"/>
      <c r="D3" s="228" t="s">
        <v>552</v>
      </c>
      <c r="E3" s="170">
        <v>3140</v>
      </c>
      <c r="F3" s="191">
        <f>SUM(F4:F9)</f>
        <v>3417.4658385093167</v>
      </c>
      <c r="G3" s="191"/>
      <c r="H3" s="285">
        <f>3489-F3</f>
        <v>71.534161490683346</v>
      </c>
      <c r="I3" s="191">
        <f>SUM(I4:I9)</f>
        <v>849.68260869565222</v>
      </c>
      <c r="J3" s="280">
        <f>I3*5</f>
        <v>4248.413043478261</v>
      </c>
      <c r="K3" s="280">
        <f>J3/22.4*29</f>
        <v>5500.1776009316773</v>
      </c>
    </row>
    <row r="4" spans="1:11" x14ac:dyDescent="0.3">
      <c r="A4" t="s">
        <v>553</v>
      </c>
      <c r="B4" s="170">
        <v>16</v>
      </c>
      <c r="C4" s="170" t="s">
        <v>259</v>
      </c>
      <c r="D4" s="281">
        <v>0.01</v>
      </c>
      <c r="E4" s="191">
        <f>D4*$E$3</f>
        <v>31.400000000000002</v>
      </c>
      <c r="F4" s="191">
        <f t="shared" ref="F4:F8" si="0">E4/22.4*B4</f>
        <v>22.428571428571431</v>
      </c>
      <c r="G4" s="283">
        <f>F4/$F$3</f>
        <v>6.5629248362449391E-3</v>
      </c>
      <c r="H4" s="170" t="s">
        <v>562</v>
      </c>
      <c r="I4" s="191">
        <f>E4*2</f>
        <v>62.800000000000004</v>
      </c>
      <c r="J4" s="170"/>
      <c r="K4" s="170"/>
    </row>
    <row r="5" spans="1:11" x14ac:dyDescent="0.3">
      <c r="A5" t="s">
        <v>554</v>
      </c>
      <c r="B5" s="170">
        <v>28</v>
      </c>
      <c r="C5" s="170" t="s">
        <v>29</v>
      </c>
      <c r="D5" s="281">
        <v>0.23</v>
      </c>
      <c r="E5" s="191">
        <f t="shared" ref="E5:E7" si="1">D5*$E$3</f>
        <v>722.2</v>
      </c>
      <c r="F5" s="191">
        <f t="shared" si="0"/>
        <v>902.75</v>
      </c>
      <c r="G5" s="283">
        <f t="shared" ref="G5:G8" si="2">F5/$F$3</f>
        <v>0.26415772465885878</v>
      </c>
      <c r="H5" s="170" t="s">
        <v>563</v>
      </c>
      <c r="I5" s="191">
        <f>E5*0.5</f>
        <v>361.1</v>
      </c>
      <c r="J5" s="170"/>
      <c r="K5" s="170"/>
    </row>
    <row r="6" spans="1:11" x14ac:dyDescent="0.3">
      <c r="A6" t="s">
        <v>555</v>
      </c>
      <c r="B6" s="170">
        <v>2</v>
      </c>
      <c r="C6" s="170" t="s">
        <v>44</v>
      </c>
      <c r="D6" s="281">
        <v>0.14000000000000001</v>
      </c>
      <c r="E6" s="191">
        <f t="shared" si="1"/>
        <v>439.6</v>
      </c>
      <c r="F6" s="191">
        <f t="shared" si="0"/>
        <v>39.250000000000007</v>
      </c>
      <c r="G6" s="283">
        <f t="shared" si="2"/>
        <v>1.1485118463428645E-2</v>
      </c>
      <c r="H6" s="286">
        <f>H3/F3</f>
        <v>2.0931931691784294E-2</v>
      </c>
      <c r="I6" s="191">
        <f>E6*0.5</f>
        <v>219.8</v>
      </c>
      <c r="J6" s="170"/>
      <c r="K6" s="170"/>
    </row>
    <row r="7" spans="1:11" x14ac:dyDescent="0.3">
      <c r="B7" s="170">
        <v>28</v>
      </c>
      <c r="C7" s="170" t="s">
        <v>45</v>
      </c>
      <c r="D7" s="281">
        <v>0.57999999999999996</v>
      </c>
      <c r="E7" s="191">
        <f t="shared" si="1"/>
        <v>1821.1999999999998</v>
      </c>
      <c r="F7" s="191">
        <f t="shared" si="0"/>
        <v>2276.5</v>
      </c>
      <c r="G7" s="283">
        <f t="shared" si="2"/>
        <v>0.66613687087886131</v>
      </c>
      <c r="H7" s="170" t="s">
        <v>564</v>
      </c>
      <c r="I7" s="191"/>
      <c r="J7" s="170"/>
      <c r="K7" s="170"/>
    </row>
    <row r="8" spans="1:11" x14ac:dyDescent="0.3">
      <c r="A8" t="s">
        <v>556</v>
      </c>
      <c r="B8" s="170">
        <v>92</v>
      </c>
      <c r="C8" s="170" t="s">
        <v>550</v>
      </c>
      <c r="D8" s="282">
        <f>E8/E3</f>
        <v>7.2888396566048183E-3</v>
      </c>
      <c r="E8" s="191">
        <f>94/B8*22.4</f>
        <v>22.88695652173913</v>
      </c>
      <c r="F8" s="191">
        <f t="shared" si="0"/>
        <v>94.000000000000014</v>
      </c>
      <c r="G8" s="283">
        <f t="shared" si="2"/>
        <v>2.7505761415599812E-2</v>
      </c>
      <c r="H8" s="170"/>
      <c r="I8" s="191">
        <f>E8*9</f>
        <v>205.98260869565217</v>
      </c>
      <c r="J8" s="170"/>
      <c r="K8" s="170"/>
    </row>
    <row r="9" spans="1:11" x14ac:dyDescent="0.3">
      <c r="B9" s="170">
        <v>18</v>
      </c>
      <c r="C9" s="170" t="s">
        <v>549</v>
      </c>
      <c r="D9" s="282">
        <f>100%-SUM(D4:D8)</f>
        <v>3.2711160343395163E-2</v>
      </c>
      <c r="E9" s="191">
        <f>E3*D9</f>
        <v>102.71304347826081</v>
      </c>
      <c r="F9" s="191">
        <f>E9/22.4*B9</f>
        <v>82.537267080745309</v>
      </c>
      <c r="G9" s="284">
        <f>F9/$F$3</f>
        <v>2.4151599747006598E-2</v>
      </c>
      <c r="H9" s="170"/>
      <c r="I9" s="170"/>
      <c r="J9" s="170"/>
      <c r="K9" s="170"/>
    </row>
    <row r="10" spans="1:11" x14ac:dyDescent="0.3">
      <c r="G10" t="s">
        <v>561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R275"/>
  <sheetViews>
    <sheetView topLeftCell="A30" workbookViewId="0">
      <selection activeCell="B22" sqref="B22:B25"/>
    </sheetView>
  </sheetViews>
  <sheetFormatPr defaultRowHeight="14.4" x14ac:dyDescent="0.3"/>
  <cols>
    <col min="1" max="1" width="9" customWidth="1"/>
    <col min="2" max="2" width="37" customWidth="1"/>
    <col min="3" max="3" width="9.5546875" customWidth="1"/>
    <col min="7" max="7" width="39.6640625" customWidth="1"/>
    <col min="8" max="8" width="10.5546875" bestFit="1" customWidth="1"/>
    <col min="9" max="9" width="11.5546875" bestFit="1" customWidth="1"/>
    <col min="10" max="10" width="16" customWidth="1"/>
    <col min="11" max="11" width="10.88671875" customWidth="1"/>
    <col min="12" max="12" width="20.6640625" customWidth="1"/>
    <col min="13" max="13" width="11.5546875" bestFit="1" customWidth="1"/>
    <col min="14" max="14" width="14.88671875" customWidth="1"/>
  </cols>
  <sheetData>
    <row r="1" spans="2:18" x14ac:dyDescent="0.3">
      <c r="B1" t="s">
        <v>379</v>
      </c>
    </row>
    <row r="2" spans="2:18" x14ac:dyDescent="0.3">
      <c r="B2" t="s">
        <v>380</v>
      </c>
      <c r="G2" s="112" t="s">
        <v>70</v>
      </c>
      <c r="H2" s="5" t="s">
        <v>0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1</v>
      </c>
      <c r="P2" s="5" t="s">
        <v>131</v>
      </c>
      <c r="Q2" s="5" t="s">
        <v>17</v>
      </c>
      <c r="R2" s="5" t="s">
        <v>293</v>
      </c>
    </row>
    <row r="3" spans="2:18" x14ac:dyDescent="0.3">
      <c r="G3" s="2" t="s">
        <v>83</v>
      </c>
      <c r="H3" s="36">
        <v>14.57</v>
      </c>
      <c r="I3" s="37">
        <v>49</v>
      </c>
      <c r="J3" s="37">
        <v>8.2200000000000006</v>
      </c>
      <c r="K3" s="38">
        <v>24.85</v>
      </c>
      <c r="L3" s="37">
        <v>0.19600000000000001</v>
      </c>
      <c r="M3" s="37">
        <v>1.66</v>
      </c>
      <c r="N3" s="39">
        <v>0.32</v>
      </c>
      <c r="O3" s="10">
        <v>0</v>
      </c>
      <c r="P3" s="10"/>
      <c r="Q3" s="6">
        <f>SUM(H3:O3)</f>
        <v>98.816000000000003</v>
      </c>
      <c r="R3" s="22">
        <v>97.150259067355748</v>
      </c>
    </row>
    <row r="4" spans="2:18" x14ac:dyDescent="0.3">
      <c r="G4" t="s">
        <v>292</v>
      </c>
      <c r="H4" s="212">
        <f>H3*$R$3/120</f>
        <v>11.795660621761444</v>
      </c>
      <c r="I4" s="212">
        <f t="shared" ref="I4:N4" si="0">I3*$R$3/120</f>
        <v>39.669689119170265</v>
      </c>
      <c r="J4" s="212">
        <f t="shared" si="0"/>
        <v>6.654792746113869</v>
      </c>
      <c r="K4" s="212">
        <f t="shared" si="0"/>
        <v>20.11819948186492</v>
      </c>
      <c r="L4" s="212">
        <f t="shared" si="0"/>
        <v>0.15867875647668106</v>
      </c>
      <c r="M4" s="212">
        <f t="shared" si="0"/>
        <v>1.3439119170984211</v>
      </c>
      <c r="N4" s="212">
        <f t="shared" si="0"/>
        <v>0.25906735751294868</v>
      </c>
      <c r="O4" s="212">
        <f t="shared" ref="O4" si="1">O3*$Q$3/120</f>
        <v>0</v>
      </c>
      <c r="P4" s="211">
        <v>20</v>
      </c>
      <c r="Q4" s="3">
        <f>SUM(H4:P4)</f>
        <v>99.99999999999855</v>
      </c>
    </row>
    <row r="5" spans="2:18" x14ac:dyDescent="0.3">
      <c r="C5" t="s">
        <v>398</v>
      </c>
      <c r="G5" t="s">
        <v>266</v>
      </c>
      <c r="H5" s="3"/>
      <c r="I5" s="3">
        <f>I4/12</f>
        <v>3.3058074265975219</v>
      </c>
      <c r="J5" s="3">
        <f>J3/1</f>
        <v>8.2200000000000006</v>
      </c>
      <c r="K5" s="3">
        <f>K3/16</f>
        <v>1.5531250000000001</v>
      </c>
      <c r="L5" s="3"/>
      <c r="M5" s="3">
        <f>M4/32</f>
        <v>4.1997247409325658E-2</v>
      </c>
      <c r="N5" s="3">
        <f>N4/35.5</f>
        <v>7.2976720426182725E-3</v>
      </c>
      <c r="O5" s="3"/>
      <c r="Q5" s="3"/>
    </row>
    <row r="6" spans="2:18" x14ac:dyDescent="0.3">
      <c r="C6" t="s">
        <v>399</v>
      </c>
      <c r="G6" t="s">
        <v>392</v>
      </c>
      <c r="H6" s="3"/>
      <c r="I6" s="3">
        <f>I5*32</f>
        <v>105.7858376511207</v>
      </c>
      <c r="J6" s="3">
        <f>J5/2*16</f>
        <v>65.760000000000005</v>
      </c>
      <c r="K6" s="3">
        <f>K5</f>
        <v>1.5531250000000001</v>
      </c>
      <c r="L6" s="3"/>
      <c r="M6" s="3"/>
      <c r="N6" s="3"/>
      <c r="O6" s="3"/>
      <c r="Q6" s="3"/>
    </row>
    <row r="7" spans="2:18" x14ac:dyDescent="0.3">
      <c r="G7" t="s">
        <v>393</v>
      </c>
      <c r="H7" s="3"/>
      <c r="I7" s="22">
        <f>I6+J6-K6</f>
        <v>169.99271265112071</v>
      </c>
      <c r="J7" s="3"/>
      <c r="K7" s="3"/>
      <c r="L7" s="3"/>
      <c r="M7" s="3"/>
      <c r="N7" s="3"/>
      <c r="O7" s="3"/>
      <c r="Q7" s="3"/>
    </row>
    <row r="8" spans="2:18" x14ac:dyDescent="0.3">
      <c r="G8" t="s">
        <v>394</v>
      </c>
      <c r="H8" s="3"/>
      <c r="I8" s="3">
        <f>I7/100*2300</f>
        <v>3909.832390975776</v>
      </c>
      <c r="J8" s="3">
        <f>H21/I8</f>
        <v>3.6906989368675557E-2</v>
      </c>
      <c r="K8" s="3"/>
      <c r="L8" s="3"/>
      <c r="M8" s="3"/>
      <c r="N8" s="3">
        <f>N7/100*2300</f>
        <v>0</v>
      </c>
      <c r="O8" s="3"/>
      <c r="Q8" s="3"/>
    </row>
    <row r="9" spans="2:18" x14ac:dyDescent="0.3">
      <c r="C9" t="s">
        <v>400</v>
      </c>
      <c r="D9">
        <f>17*2+40</f>
        <v>74</v>
      </c>
      <c r="G9" t="s">
        <v>436</v>
      </c>
      <c r="H9" s="3"/>
      <c r="I9" s="3"/>
      <c r="J9" s="3"/>
      <c r="K9" s="3"/>
      <c r="L9" s="3"/>
      <c r="M9" s="3">
        <f>M5/100*375*$D$9*1</f>
        <v>11.654236156087871</v>
      </c>
      <c r="N9" s="3">
        <f>N5/100*375*$D$9*1/2</f>
        <v>1.0125519959132854</v>
      </c>
      <c r="O9" s="3"/>
      <c r="Q9" s="3">
        <f>SUM(H9:P9)</f>
        <v>12.666788152001157</v>
      </c>
      <c r="R9" s="243">
        <f>Q9/H13</f>
        <v>4.2222627173337961E-2</v>
      </c>
    </row>
    <row r="10" spans="2:18" x14ac:dyDescent="0.3">
      <c r="G10" s="254" t="s">
        <v>444</v>
      </c>
      <c r="H10" s="3"/>
      <c r="I10" s="3"/>
      <c r="J10" s="3"/>
      <c r="K10" s="3"/>
      <c r="L10" s="3"/>
      <c r="M10" s="3">
        <f>M9*1.5</f>
        <v>17.481354234131807</v>
      </c>
      <c r="N10" s="3">
        <f>N9*1.5</f>
        <v>1.5188279938699281</v>
      </c>
      <c r="O10" s="3"/>
      <c r="Q10" s="3">
        <f>SUM(M10:N10)</f>
        <v>19.000182228001734</v>
      </c>
      <c r="R10" s="243">
        <f>Q10/H13</f>
        <v>6.3333940760006938E-2</v>
      </c>
    </row>
    <row r="11" spans="2:18" x14ac:dyDescent="0.3">
      <c r="C11" t="s">
        <v>404</v>
      </c>
      <c r="H11" s="254" t="s">
        <v>294</v>
      </c>
      <c r="I11" s="254" t="s">
        <v>266</v>
      </c>
      <c r="J11" s="254" t="s">
        <v>309</v>
      </c>
      <c r="K11" t="s">
        <v>336</v>
      </c>
      <c r="L11" t="s">
        <v>330</v>
      </c>
      <c r="M11" t="s">
        <v>329</v>
      </c>
      <c r="N11" t="s">
        <v>331</v>
      </c>
      <c r="O11" t="s">
        <v>335</v>
      </c>
    </row>
    <row r="12" spans="2:18" x14ac:dyDescent="0.3">
      <c r="C12" t="s">
        <v>403</v>
      </c>
      <c r="D12">
        <v>92</v>
      </c>
      <c r="G12" s="254" t="s">
        <v>322</v>
      </c>
      <c r="H12">
        <v>375</v>
      </c>
      <c r="K12">
        <v>1</v>
      </c>
      <c r="O12" s="3">
        <f>SUM(O13:O14)</f>
        <v>458.44999999999675</v>
      </c>
    </row>
    <row r="13" spans="2:18" x14ac:dyDescent="0.3">
      <c r="G13" t="s">
        <v>334</v>
      </c>
      <c r="H13">
        <f>SUM(H4:O4)/100*H12</f>
        <v>299.99999999999454</v>
      </c>
      <c r="L13">
        <f>H13*1.2/1000*500</f>
        <v>179.99999999999673</v>
      </c>
      <c r="O13" s="3">
        <f>SUM(L13:N13)</f>
        <v>179.99999999999673</v>
      </c>
    </row>
    <row r="14" spans="2:18" x14ac:dyDescent="0.3">
      <c r="G14" t="s">
        <v>323</v>
      </c>
      <c r="H14" s="211">
        <f>H12*P4/100</f>
        <v>75</v>
      </c>
      <c r="I14" s="3">
        <f>H14/18</f>
        <v>4.166666666666667</v>
      </c>
      <c r="J14" s="3">
        <f t="shared" ref="J14" si="2">I14*22.4</f>
        <v>93.333333333333329</v>
      </c>
      <c r="L14" s="3">
        <f>I14*80*Thermodynamics!C5/1000</f>
        <v>25.100000000000005</v>
      </c>
      <c r="M14">
        <f>I14*Thermodynamics!E5</f>
        <v>183.34999999999997</v>
      </c>
      <c r="N14" s="3">
        <f>I14*500*Thermodynamics!C4/1000</f>
        <v>70.000000000000014</v>
      </c>
      <c r="O14" s="3">
        <f>SUM(L14:N14)</f>
        <v>278.45</v>
      </c>
    </row>
    <row r="15" spans="2:18" x14ac:dyDescent="0.3">
      <c r="D15" s="3"/>
      <c r="G15" t="s">
        <v>2</v>
      </c>
      <c r="H15" s="22">
        <f>H12*I4/100</f>
        <v>148.7613341968885</v>
      </c>
      <c r="I15" s="3">
        <f>H15/12</f>
        <v>12.396777849740708</v>
      </c>
      <c r="J15" s="3"/>
    </row>
    <row r="16" spans="2:18" x14ac:dyDescent="0.3">
      <c r="E16" s="3"/>
      <c r="G16" t="s">
        <v>44</v>
      </c>
      <c r="H16" s="22">
        <f>H12*J4/100</f>
        <v>24.955472797927008</v>
      </c>
      <c r="I16" s="3">
        <f>H16/2</f>
        <v>12.477736398963504</v>
      </c>
      <c r="J16" s="3"/>
    </row>
    <row r="17" spans="1:14" x14ac:dyDescent="0.3">
      <c r="G17" t="s">
        <v>4</v>
      </c>
      <c r="H17" s="22">
        <f>H12*K4/100</f>
        <v>75.443248056993454</v>
      </c>
      <c r="I17" s="3">
        <f>H17/16</f>
        <v>4.7152030035620909</v>
      </c>
      <c r="J17" s="3"/>
    </row>
    <row r="18" spans="1:14" ht="15" thickBot="1" x14ac:dyDescent="0.35">
      <c r="C18" t="s">
        <v>294</v>
      </c>
      <c r="D18" t="s">
        <v>266</v>
      </c>
      <c r="G18" t="s">
        <v>340</v>
      </c>
      <c r="H18" s="22">
        <f>H12*(H4+M4+N4+L4)/100</f>
        <v>50.839944948185604</v>
      </c>
      <c r="I18" s="3"/>
      <c r="J18" s="3">
        <f>H55/2300</f>
        <v>1.5834782608695641E-2</v>
      </c>
    </row>
    <row r="19" spans="1:14" x14ac:dyDescent="0.3">
      <c r="B19" t="str">
        <f>G20</f>
        <v>C9H18O3</v>
      </c>
      <c r="C19" s="213">
        <f>H20</f>
        <v>249.16005505180897</v>
      </c>
      <c r="D19">
        <f>I20</f>
        <v>1.4319543393782124</v>
      </c>
      <c r="G19" s="254" t="s">
        <v>298</v>
      </c>
      <c r="H19" s="22">
        <f>H21/(H20/0.8)</f>
        <v>0.46331709938670967</v>
      </c>
      <c r="I19" s="3">
        <f>(H22+H55)/(H12)</f>
        <v>0.19272284974092507</v>
      </c>
      <c r="J19" s="3">
        <f>H22/2300</f>
        <v>1.5587421153411711E-2</v>
      </c>
      <c r="K19" s="231">
        <f>D33</f>
        <v>-235.5050173891143</v>
      </c>
      <c r="L19" s="221" t="s">
        <v>535</v>
      </c>
    </row>
    <row r="20" spans="1:14" ht="15" thickBot="1" x14ac:dyDescent="0.35">
      <c r="A20" t="s">
        <v>338</v>
      </c>
      <c r="C20" s="14" t="s">
        <v>19</v>
      </c>
      <c r="E20">
        <f>1/3.6</f>
        <v>0.27777777777777779</v>
      </c>
      <c r="G20" s="257" t="s">
        <v>295</v>
      </c>
      <c r="H20" s="22">
        <f>SUM(H15:H17)</f>
        <v>249.16005505180897</v>
      </c>
      <c r="I20" s="23">
        <f>H20/(9*12+18+16*3)</f>
        <v>1.4319543393782124</v>
      </c>
      <c r="J20" s="23"/>
      <c r="K20" s="232">
        <f>K19*$E$20</f>
        <v>-65.41806038586509</v>
      </c>
      <c r="L20" s="225" t="s">
        <v>48</v>
      </c>
    </row>
    <row r="21" spans="1:14" x14ac:dyDescent="0.3">
      <c r="A21" s="162">
        <f>A23/A22*2</f>
        <v>0.82988584844553082</v>
      </c>
      <c r="C21" s="213" t="s">
        <v>20</v>
      </c>
      <c r="D21" t="s">
        <v>369</v>
      </c>
      <c r="E21" t="s">
        <v>368</v>
      </c>
      <c r="G21" s="257" t="s">
        <v>255</v>
      </c>
      <c r="H21" s="3">
        <f>I21*32</f>
        <v>144.30014248704629</v>
      </c>
      <c r="I21" s="3">
        <f>A22*3+A24*0.5+0.5*A26</f>
        <v>4.5093794527201965</v>
      </c>
      <c r="J21" s="3">
        <f t="shared" ref="J21:J29" si="3">I21*22.4</f>
        <v>101.01009974093239</v>
      </c>
      <c r="K21" t="s">
        <v>300</v>
      </c>
      <c r="L21" s="243">
        <f>H21/H13</f>
        <v>0.48100047495682968</v>
      </c>
    </row>
    <row r="22" spans="1:14" x14ac:dyDescent="0.3">
      <c r="A22" s="212">
        <v>0.8</v>
      </c>
      <c r="B22" s="229" t="s">
        <v>296</v>
      </c>
      <c r="C22" s="230">
        <f>Thermodynamics!E34</f>
        <v>-463.88</v>
      </c>
      <c r="D22" s="190">
        <f>A22*C22</f>
        <v>-371.10400000000004</v>
      </c>
      <c r="E22" s="190">
        <f>D22*$E$20</f>
        <v>-103.08444444444446</v>
      </c>
      <c r="G22" s="257" t="s">
        <v>225</v>
      </c>
      <c r="H22" s="3">
        <f>I22*18</f>
        <v>35.851068652846934</v>
      </c>
      <c r="I22" s="3">
        <f>6*A23</f>
        <v>1.9917260362692741</v>
      </c>
      <c r="J22" s="3">
        <f t="shared" si="3"/>
        <v>44.614663212431736</v>
      </c>
      <c r="K22" t="s">
        <v>300</v>
      </c>
      <c r="L22" s="243">
        <f>H22/H13</f>
        <v>0.11950356217615862</v>
      </c>
    </row>
    <row r="23" spans="1:14" x14ac:dyDescent="0.3">
      <c r="A23" s="215">
        <f>D19-A22-A25</f>
        <v>0.33195433937821234</v>
      </c>
      <c r="B23" s="229" t="s">
        <v>297</v>
      </c>
      <c r="C23" s="230">
        <f>Thermodynamics!E35</f>
        <v>987.07599999999991</v>
      </c>
      <c r="D23" s="190">
        <f>C23*A23</f>
        <v>327.6641614960883</v>
      </c>
      <c r="E23" s="190">
        <f t="shared" ref="E23:E33" si="4">D23*$E$20</f>
        <v>91.017822637802311</v>
      </c>
      <c r="F23">
        <f>I21/F25</f>
        <v>0.92999999999999994</v>
      </c>
      <c r="G23" s="258" t="s">
        <v>29</v>
      </c>
      <c r="H23" s="212">
        <f>I23*28</f>
        <v>256.72724417097857</v>
      </c>
      <c r="I23" s="3">
        <f>(A22+A23)*9-A24+A25*0</f>
        <v>9.1688301489635204</v>
      </c>
      <c r="J23" s="3">
        <f t="shared" si="3"/>
        <v>205.38179533678286</v>
      </c>
      <c r="K23" s="207">
        <f t="shared" ref="K23:K29" si="5">I23/SUM($I$23:$I$29)</f>
        <v>0.31941644506493921</v>
      </c>
      <c r="L23" t="s">
        <v>301</v>
      </c>
    </row>
    <row r="24" spans="1:14" x14ac:dyDescent="0.3">
      <c r="A24" s="215">
        <f>(A22+A23)*9*F24</f>
        <v>1.0187589054403912</v>
      </c>
      <c r="B24" s="229" t="str">
        <f>Thermodynamics!D4</f>
        <v>CO + 0,5 O2 = CO2</v>
      </c>
      <c r="C24" s="230">
        <f>Thermodynamics!E4</f>
        <v>-282.98</v>
      </c>
      <c r="D24" s="190">
        <f>A24*C24</f>
        <v>-288.2883950615219</v>
      </c>
      <c r="E24" s="190">
        <f t="shared" si="4"/>
        <v>-80.080109739311638</v>
      </c>
      <c r="F24" s="214">
        <v>0.1</v>
      </c>
      <c r="G24" s="258" t="s">
        <v>44</v>
      </c>
      <c r="H24" s="212">
        <f>I24*2</f>
        <v>18.622538860102793</v>
      </c>
      <c r="I24" s="3">
        <f>A22*9+A23*16+0*A25-A26</f>
        <v>9.3112694300513965</v>
      </c>
      <c r="J24" s="3">
        <f t="shared" si="3"/>
        <v>208.57243523315128</v>
      </c>
      <c r="K24" s="207">
        <f t="shared" si="5"/>
        <v>0.32437863195939687</v>
      </c>
    </row>
    <row r="25" spans="1:14" x14ac:dyDescent="0.3">
      <c r="A25">
        <v>0.3</v>
      </c>
      <c r="B25" s="229" t="s">
        <v>545</v>
      </c>
      <c r="C25" s="277">
        <f>Thermodynamics!B30+Thermodynamics!B6+Thermodynamics!B3-Thermodynamics!B26</f>
        <v>39.20999999999998</v>
      </c>
      <c r="D25" s="277">
        <f>A25*C25</f>
        <v>11.762999999999993</v>
      </c>
      <c r="E25" s="277">
        <f>D25*$E$20</f>
        <v>3.2674999999999983</v>
      </c>
      <c r="F25">
        <f>I27+I21</f>
        <v>4.8487951104518245</v>
      </c>
      <c r="G25" s="258" t="s">
        <v>23</v>
      </c>
      <c r="H25" s="212">
        <f>I25*44</f>
        <v>44.825391839377211</v>
      </c>
      <c r="I25" s="3">
        <f>A24+A25*0</f>
        <v>1.0187589054403912</v>
      </c>
      <c r="J25" s="3">
        <f t="shared" si="3"/>
        <v>22.820199481864762</v>
      </c>
      <c r="K25" s="207">
        <f t="shared" si="5"/>
        <v>3.5490716118326583E-2</v>
      </c>
      <c r="N25" s="3"/>
    </row>
    <row r="26" spans="1:14" x14ac:dyDescent="0.3">
      <c r="A26">
        <f>A22*4</f>
        <v>3.2</v>
      </c>
      <c r="B26" s="229" t="s">
        <v>532</v>
      </c>
      <c r="C26" s="190">
        <f>Thermodynamics!E3</f>
        <v>-241.82599999999999</v>
      </c>
      <c r="D26" s="190">
        <f>A26*C26</f>
        <v>-773.84320000000002</v>
      </c>
      <c r="E26" s="190">
        <f>D26*$E$20</f>
        <v>-214.95644444444446</v>
      </c>
      <c r="G26" s="258" t="s">
        <v>259</v>
      </c>
      <c r="H26" s="212">
        <f>I26*16</f>
        <v>4.8</v>
      </c>
      <c r="I26" s="3">
        <f>A25</f>
        <v>0.3</v>
      </c>
      <c r="J26" s="3">
        <f t="shared" si="3"/>
        <v>6.72</v>
      </c>
      <c r="K26" s="207">
        <f t="shared" si="5"/>
        <v>1.0451162467036668E-2</v>
      </c>
      <c r="N26" s="3">
        <f>SUM(H20:H22)</f>
        <v>429.3112661917022</v>
      </c>
    </row>
    <row r="27" spans="1:14" x14ac:dyDescent="0.3">
      <c r="A27" s="269">
        <f>I22</f>
        <v>1.9917260362692741</v>
      </c>
      <c r="B27" s="271" t="s">
        <v>529</v>
      </c>
      <c r="C27" s="270">
        <f>Thermodynamics!E6</f>
        <v>6.0191999999999997</v>
      </c>
      <c r="D27" s="270">
        <f>C27*A27</f>
        <v>11.988597357512015</v>
      </c>
      <c r="E27" s="270">
        <f t="shared" ref="E27:E29" si="6">D27*$E$20</f>
        <v>3.3301659326422266</v>
      </c>
      <c r="F27" s="181">
        <f>H21+H27</f>
        <v>153.80378090353187</v>
      </c>
      <c r="G27" s="258" t="s">
        <v>544</v>
      </c>
      <c r="H27" s="212">
        <f>I27*28</f>
        <v>9.5036384164855754</v>
      </c>
      <c r="I27" s="3">
        <f>I21/0.93*0.07</f>
        <v>0.33941565773162768</v>
      </c>
      <c r="J27" s="3">
        <f t="shared" si="3"/>
        <v>7.6029107331884598</v>
      </c>
      <c r="K27" s="207">
        <f t="shared" si="5"/>
        <v>1.1824293942697838E-2</v>
      </c>
      <c r="L27" t="s">
        <v>521</v>
      </c>
      <c r="N27" s="3">
        <f>SUM(H28,H23:H25)</f>
        <v>347.77517487045861</v>
      </c>
    </row>
    <row r="28" spans="1:14" x14ac:dyDescent="0.3">
      <c r="A28" s="269">
        <f>A27</f>
        <v>1.9917260362692741</v>
      </c>
      <c r="B28" s="271" t="s">
        <v>530</v>
      </c>
      <c r="C28" s="270">
        <f>Thermodynamics!E5</f>
        <v>44.003999999999991</v>
      </c>
      <c r="D28" s="270">
        <f t="shared" ref="D28:D29" si="7">C28*A28</f>
        <v>87.643912499993121</v>
      </c>
      <c r="E28" s="270">
        <f t="shared" si="6"/>
        <v>24.345531249998089</v>
      </c>
      <c r="F28" s="181">
        <f>F27*0.2</f>
        <v>30.760756180706377</v>
      </c>
      <c r="G28" s="258" t="s">
        <v>415</v>
      </c>
      <c r="H28" s="212">
        <f>I28*D12</f>
        <v>27.599999999999998</v>
      </c>
      <c r="I28" s="3">
        <f>A25</f>
        <v>0.3</v>
      </c>
      <c r="J28" s="3">
        <f t="shared" si="3"/>
        <v>6.72</v>
      </c>
      <c r="K28" s="207">
        <f t="shared" si="5"/>
        <v>1.0451162467036668E-2</v>
      </c>
      <c r="L28" s="22">
        <f>H28/J30*1000</f>
        <v>42.924417275329176</v>
      </c>
      <c r="N28" s="3">
        <f>N27-N26</f>
        <v>-81.536091321243589</v>
      </c>
    </row>
    <row r="29" spans="1:14" x14ac:dyDescent="0.3">
      <c r="A29" s="269">
        <f>A28</f>
        <v>1.9917260362692741</v>
      </c>
      <c r="B29" s="271" t="s">
        <v>531</v>
      </c>
      <c r="C29" s="270">
        <f>Thermodynamics!C4*400/1000</f>
        <v>13.44</v>
      </c>
      <c r="D29" s="270">
        <f t="shared" si="7"/>
        <v>26.768797927459044</v>
      </c>
      <c r="E29" s="270">
        <f t="shared" si="6"/>
        <v>7.4357772020719572</v>
      </c>
      <c r="F29" s="214"/>
      <c r="G29" s="258" t="s">
        <v>533</v>
      </c>
      <c r="H29" s="212">
        <f>I29*18</f>
        <v>148.80000000000001</v>
      </c>
      <c r="I29" s="3">
        <f>I14+A26+3*A25</f>
        <v>8.2666666666666675</v>
      </c>
      <c r="J29" s="3">
        <f t="shared" si="3"/>
        <v>185.17333333333335</v>
      </c>
      <c r="K29" s="207">
        <f t="shared" si="5"/>
        <v>0.28798758798056601</v>
      </c>
      <c r="L29" s="244"/>
      <c r="N29" s="3"/>
    </row>
    <row r="30" spans="1:14" ht="15" thickBot="1" x14ac:dyDescent="0.35">
      <c r="A30" s="269"/>
      <c r="B30" s="271"/>
      <c r="C30" s="270"/>
      <c r="D30" s="270"/>
      <c r="E30" s="270"/>
      <c r="F30" s="181">
        <f>H20+H21+H22+H27+H18+H14</f>
        <v>564.65484955637339</v>
      </c>
      <c r="G30" s="258" t="s">
        <v>280</v>
      </c>
      <c r="H30" s="212">
        <f>SUM(H23:H29)</f>
        <v>510.87881328694419</v>
      </c>
      <c r="I30" s="3"/>
      <c r="J30" s="3">
        <f>SUM(J23:J29)</f>
        <v>642.99067411832073</v>
      </c>
      <c r="K30" s="276">
        <f>J30/H30</f>
        <v>1.2585972590669434</v>
      </c>
      <c r="L30" s="244"/>
      <c r="N30" s="3"/>
    </row>
    <row r="31" spans="1:14" x14ac:dyDescent="0.3">
      <c r="B31" s="229" t="s">
        <v>388</v>
      </c>
      <c r="C31" s="190"/>
      <c r="D31" s="190">
        <f>SUM(D22:D26)*0.75</f>
        <v>-820.35632517407521</v>
      </c>
      <c r="E31" s="190">
        <f t="shared" si="4"/>
        <v>-227.87675699279868</v>
      </c>
      <c r="F31" s="181">
        <f>F30+19</f>
        <v>583.65484955637339</v>
      </c>
      <c r="G31" s="254" t="s">
        <v>416</v>
      </c>
      <c r="H31" s="254" t="s">
        <v>294</v>
      </c>
      <c r="I31" s="254" t="s">
        <v>266</v>
      </c>
      <c r="J31" s="254" t="s">
        <v>309</v>
      </c>
      <c r="K31" s="272">
        <f>D50</f>
        <v>-32.687160000000034</v>
      </c>
      <c r="L31" s="221" t="s">
        <v>535</v>
      </c>
      <c r="N31" s="3"/>
    </row>
    <row r="32" spans="1:14" ht="15" thickBot="1" x14ac:dyDescent="0.35">
      <c r="B32" s="229" t="s">
        <v>337</v>
      </c>
      <c r="C32" s="190"/>
      <c r="D32" s="190">
        <f>SUM(O13:O14)+SUM(D27:D29)</f>
        <v>584.85130778496091</v>
      </c>
      <c r="E32" s="190">
        <f t="shared" si="4"/>
        <v>162.45869660693359</v>
      </c>
      <c r="F32" s="181">
        <f>F31-50.8-19</f>
        <v>513.85484955637344</v>
      </c>
      <c r="G32" s="257" t="s">
        <v>415</v>
      </c>
      <c r="H32" s="3">
        <f>H28</f>
        <v>27.599999999999998</v>
      </c>
      <c r="I32" s="3">
        <f>I28</f>
        <v>0.3</v>
      </c>
      <c r="J32" s="3"/>
      <c r="K32" s="232">
        <f>E50</f>
        <v>-9.0797666666666785</v>
      </c>
      <c r="L32" s="225" t="s">
        <v>368</v>
      </c>
      <c r="N32" s="3"/>
    </row>
    <row r="33" spans="1:15" x14ac:dyDescent="0.3">
      <c r="A33">
        <f>1.45/6.5</f>
        <v>0.22307692307692306</v>
      </c>
      <c r="B33" s="229" t="s">
        <v>367</v>
      </c>
      <c r="C33" s="190"/>
      <c r="D33" s="190">
        <f>SUM(D31:D32)</f>
        <v>-235.5050173891143</v>
      </c>
      <c r="E33" s="190">
        <f t="shared" si="4"/>
        <v>-65.41806038586509</v>
      </c>
      <c r="G33" s="257" t="s">
        <v>255</v>
      </c>
      <c r="H33" s="3">
        <f>I33*32</f>
        <v>20.16</v>
      </c>
      <c r="I33" s="3">
        <f>A48*7/2</f>
        <v>0.63</v>
      </c>
      <c r="J33" s="3">
        <f t="shared" ref="J33:J34" si="8">I33*22.4</f>
        <v>14.111999999999998</v>
      </c>
      <c r="K33" t="s">
        <v>300</v>
      </c>
      <c r="L33" s="245">
        <f>H33/SUM(J23:J27)</f>
        <v>4.4691019381577636E-2</v>
      </c>
      <c r="N33" s="3"/>
    </row>
    <row r="34" spans="1:15" x14ac:dyDescent="0.3">
      <c r="B34" s="193"/>
      <c r="C34" s="204"/>
      <c r="D34" s="204"/>
      <c r="E34" s="204"/>
      <c r="G34" s="257" t="s">
        <v>546</v>
      </c>
      <c r="H34" s="3">
        <f>I34*28</f>
        <v>1.3277419354838711</v>
      </c>
      <c r="I34" s="3">
        <f>I33/0.93*0.07</f>
        <v>4.7419354838709682E-2</v>
      </c>
      <c r="J34" s="3">
        <f t="shared" si="8"/>
        <v>1.0621935483870968</v>
      </c>
      <c r="N34" s="3"/>
    </row>
    <row r="35" spans="1:15" x14ac:dyDescent="0.3">
      <c r="F35" s="3">
        <f>H34+H33</f>
        <v>21.487741935483871</v>
      </c>
      <c r="G35" s="257" t="s">
        <v>423</v>
      </c>
      <c r="H35" s="3">
        <f>I35*18</f>
        <v>15.12</v>
      </c>
      <c r="I35" s="3">
        <f>A49*7</f>
        <v>0.84</v>
      </c>
      <c r="J35" s="3"/>
      <c r="L35" s="245">
        <f>H35/SUM(J23:J27)</f>
        <v>3.3518264536183222E-2</v>
      </c>
      <c r="N35" s="3"/>
    </row>
    <row r="36" spans="1:15" x14ac:dyDescent="0.3">
      <c r="B36" s="193"/>
      <c r="C36" s="204"/>
      <c r="D36" s="204"/>
      <c r="E36" s="204"/>
      <c r="G36" t="s">
        <v>417</v>
      </c>
      <c r="H36" s="3">
        <f>I36*28</f>
        <v>58.800000000000004</v>
      </c>
      <c r="I36" s="3">
        <f>(A48+A49)*7</f>
        <v>2.1</v>
      </c>
      <c r="J36" s="3"/>
      <c r="N36" s="3"/>
    </row>
    <row r="37" spans="1:15" x14ac:dyDescent="0.3">
      <c r="B37" t="s">
        <v>256</v>
      </c>
      <c r="C37" s="204">
        <v>-41.153999999999996</v>
      </c>
      <c r="D37" s="3"/>
      <c r="E37" s="3"/>
      <c r="G37" t="s">
        <v>421</v>
      </c>
      <c r="H37" s="3">
        <f>I37*2</f>
        <v>4.08</v>
      </c>
      <c r="I37" s="3">
        <f>(A48*4)+A49*11</f>
        <v>2.04</v>
      </c>
      <c r="J37" s="3"/>
      <c r="N37" s="3"/>
    </row>
    <row r="38" spans="1:15" x14ac:dyDescent="0.3">
      <c r="C38" s="204"/>
      <c r="D38" s="3"/>
      <c r="E38" s="3"/>
      <c r="G38" s="258" t="s">
        <v>418</v>
      </c>
      <c r="H38" s="212">
        <f>I38*28</f>
        <v>315.52724417097858</v>
      </c>
      <c r="I38" s="3">
        <f>I23+I36</f>
        <v>11.26883014896352</v>
      </c>
      <c r="J38" s="3">
        <f t="shared" ref="J38:J43" si="9">I38*22.4</f>
        <v>252.42179533678282</v>
      </c>
      <c r="K38" s="275">
        <f t="shared" ref="K38:K43" si="10">J38/J$45</f>
        <v>0.35489740261415348</v>
      </c>
      <c r="N38" s="3"/>
    </row>
    <row r="39" spans="1:15" x14ac:dyDescent="0.3">
      <c r="B39" t="s">
        <v>308</v>
      </c>
      <c r="C39" s="204">
        <f>Thermodynamics!$E$18</f>
        <v>-205.82599999999999</v>
      </c>
      <c r="G39" s="258" t="s">
        <v>422</v>
      </c>
      <c r="H39" s="212">
        <f>I39*2</f>
        <v>22.702538860102791</v>
      </c>
      <c r="I39" s="3">
        <f>I37+I24</f>
        <v>11.351269430051396</v>
      </c>
      <c r="J39" s="3">
        <f t="shared" si="9"/>
        <v>254.26843523315125</v>
      </c>
      <c r="K39" s="275">
        <f t="shared" si="10"/>
        <v>0.35749372240464716</v>
      </c>
      <c r="N39" s="3" t="s">
        <v>434</v>
      </c>
    </row>
    <row r="40" spans="1:15" x14ac:dyDescent="0.3">
      <c r="B40" t="s">
        <v>540</v>
      </c>
      <c r="C40" s="204">
        <f>Thermodynamics!E43</f>
        <v>-164.67200000000003</v>
      </c>
      <c r="G40" s="258" t="s">
        <v>23</v>
      </c>
      <c r="H40" s="212">
        <f>I40*44</f>
        <v>44.825391839377211</v>
      </c>
      <c r="I40" s="3">
        <f>I25</f>
        <v>1.0187589054403912</v>
      </c>
      <c r="J40" s="3">
        <f t="shared" si="9"/>
        <v>22.820199481864762</v>
      </c>
      <c r="K40" s="275">
        <f t="shared" si="10"/>
        <v>3.2084509629785117E-2</v>
      </c>
      <c r="N40" s="3"/>
    </row>
    <row r="41" spans="1:15" x14ac:dyDescent="0.3">
      <c r="B41" t="s">
        <v>319</v>
      </c>
      <c r="C41" s="204">
        <f>Thermodynamics!$E$19</f>
        <v>-90.389999999999986</v>
      </c>
      <c r="F41" s="214"/>
      <c r="G41" s="258" t="s">
        <v>433</v>
      </c>
      <c r="H41" s="212">
        <f>I41*28</f>
        <v>10.831380351969447</v>
      </c>
      <c r="I41" s="3">
        <f>I34+I27</f>
        <v>0.38683501257033737</v>
      </c>
      <c r="J41" s="3">
        <f t="shared" si="9"/>
        <v>8.665104281575557</v>
      </c>
      <c r="K41" s="275">
        <f t="shared" si="10"/>
        <v>1.2182874298984217E-2</v>
      </c>
      <c r="N41" t="s">
        <v>302</v>
      </c>
    </row>
    <row r="42" spans="1:15" x14ac:dyDescent="0.3">
      <c r="C42" s="204"/>
      <c r="G42" s="258" t="s">
        <v>259</v>
      </c>
      <c r="H42" s="212">
        <f>I42*16</f>
        <v>4.8</v>
      </c>
      <c r="I42" s="3">
        <f>I26</f>
        <v>0.3</v>
      </c>
      <c r="J42" s="3">
        <f t="shared" si="9"/>
        <v>6.72</v>
      </c>
      <c r="K42" s="275">
        <f t="shared" si="10"/>
        <v>9.4481165637267904E-3</v>
      </c>
      <c r="N42" s="215">
        <v>9.4499999999999993</v>
      </c>
      <c r="O42" t="s">
        <v>424</v>
      </c>
    </row>
    <row r="43" spans="1:15" x14ac:dyDescent="0.3">
      <c r="C43" s="204" t="s">
        <v>387</v>
      </c>
      <c r="D43" t="s">
        <v>15</v>
      </c>
      <c r="G43" t="s">
        <v>431</v>
      </c>
      <c r="H43" s="212">
        <f>I43*18</f>
        <v>133.68</v>
      </c>
      <c r="I43" s="3">
        <f>I29-I35</f>
        <v>7.4266666666666676</v>
      </c>
      <c r="J43" s="3">
        <f t="shared" si="9"/>
        <v>166.35733333333334</v>
      </c>
      <c r="K43" s="275">
        <f t="shared" si="10"/>
        <v>0.2338933744887032</v>
      </c>
      <c r="N43" s="3">
        <f>(I39+N42)/(I38-N42)</f>
        <v>11.436620094463034</v>
      </c>
      <c r="O43" t="s">
        <v>425</v>
      </c>
    </row>
    <row r="44" spans="1:15" x14ac:dyDescent="0.3">
      <c r="B44" s="229" t="s">
        <v>386</v>
      </c>
      <c r="C44" s="259">
        <f>9*(Thermodynamics!B3+Thermodynamics!B4)-Thermodynamics!B26</f>
        <v>-5187.134</v>
      </c>
      <c r="D44" s="259">
        <f>C44/Thermodynamics!B27</f>
        <v>-29.811114942528736</v>
      </c>
      <c r="G44" s="246" t="s">
        <v>488</v>
      </c>
      <c r="H44" s="3">
        <f>I44*(32)</f>
        <v>181.62031088082233</v>
      </c>
      <c r="I44" s="3">
        <f>I39/2</f>
        <v>5.6756347150256978</v>
      </c>
      <c r="J44" s="3"/>
      <c r="N44" t="s">
        <v>428</v>
      </c>
    </row>
    <row r="45" spans="1:15" x14ac:dyDescent="0.3">
      <c r="B45" t="s">
        <v>389</v>
      </c>
      <c r="D45">
        <v>-22.4</v>
      </c>
      <c r="H45" s="3">
        <f>SUM(H38:H43)</f>
        <v>532.36655522242813</v>
      </c>
      <c r="I45" s="3"/>
      <c r="J45" s="3">
        <f>SUM(J38:J44)</f>
        <v>711.25286766670774</v>
      </c>
      <c r="K45" s="276">
        <f>J45/H45</f>
        <v>1.336020944008286</v>
      </c>
      <c r="N45" s="3">
        <f>N42-I47</f>
        <v>6.1233333333333322</v>
      </c>
    </row>
    <row r="46" spans="1:15" x14ac:dyDescent="0.3">
      <c r="B46" t="s">
        <v>390</v>
      </c>
      <c r="D46" s="162">
        <f>D45/D44</f>
        <v>0.75139759258195371</v>
      </c>
      <c r="G46" s="193" t="s">
        <v>522</v>
      </c>
      <c r="H46" t="s">
        <v>375</v>
      </c>
    </row>
    <row r="47" spans="1:15" ht="15" thickBot="1" x14ac:dyDescent="0.35">
      <c r="C47" s="213" t="s">
        <v>20</v>
      </c>
      <c r="D47" t="s">
        <v>369</v>
      </c>
      <c r="E47" t="s">
        <v>368</v>
      </c>
      <c r="G47" s="273" t="s">
        <v>327</v>
      </c>
      <c r="H47" s="273">
        <f>I47*18</f>
        <v>59.88000000000001</v>
      </c>
      <c r="I47" s="274">
        <f>I14-I35</f>
        <v>3.3266666666666671</v>
      </c>
      <c r="J47" s="3"/>
      <c r="K47" t="s">
        <v>306</v>
      </c>
    </row>
    <row r="48" spans="1:15" x14ac:dyDescent="0.3">
      <c r="A48">
        <f>60%*A25</f>
        <v>0.18</v>
      </c>
      <c r="B48" t="s">
        <v>420</v>
      </c>
      <c r="C48">
        <f>7*Thermodynamics!B6-Thermodynamics!B30</f>
        <v>-786.07</v>
      </c>
      <c r="D48" s="190">
        <f>A48*C48</f>
        <v>-141.49260000000001</v>
      </c>
      <c r="E48" s="190">
        <f>D48*$E$20</f>
        <v>-39.303500000000007</v>
      </c>
      <c r="K48" s="231">
        <f>I55*Thermodynamics!E5*1.5</f>
        <v>133.55213999999987</v>
      </c>
      <c r="L48" s="221" t="s">
        <v>381</v>
      </c>
    </row>
    <row r="49" spans="1:14" ht="15" thickBot="1" x14ac:dyDescent="0.35">
      <c r="A49">
        <f>40%*A25</f>
        <v>0.12</v>
      </c>
      <c r="B49" t="s">
        <v>419</v>
      </c>
      <c r="C49">
        <f>7*Thermodynamics!B6-Thermodynamics!B30-7*Thermodynamics!B4</f>
        <v>906.71199999999988</v>
      </c>
      <c r="D49" s="190">
        <f>C49*A49</f>
        <v>108.80543999999998</v>
      </c>
      <c r="E49" s="190">
        <f t="shared" ref="E49" si="11">D49*$E$20</f>
        <v>30.223733333333328</v>
      </c>
      <c r="G49" t="s">
        <v>524</v>
      </c>
      <c r="H49" s="3">
        <f>I49*18</f>
        <v>170.1</v>
      </c>
      <c r="I49" s="3">
        <f>N42</f>
        <v>9.4499999999999993</v>
      </c>
      <c r="J49" s="3"/>
      <c r="K49" s="224">
        <f>K48*$E$20</f>
        <v>37.097816666666631</v>
      </c>
      <c r="L49" s="225" t="s">
        <v>374</v>
      </c>
    </row>
    <row r="50" spans="1:14" x14ac:dyDescent="0.3">
      <c r="D50" s="204">
        <f>SUM(D48:D49)</f>
        <v>-32.687160000000034</v>
      </c>
      <c r="E50" s="204">
        <f>SUM(E48:E49)</f>
        <v>-9.0797666666666785</v>
      </c>
      <c r="G50" s="260" t="s">
        <v>29</v>
      </c>
      <c r="H50" s="261">
        <f>I50*28</f>
        <v>50.927244170978582</v>
      </c>
      <c r="I50" s="261">
        <f>I38-N42</f>
        <v>1.8188301489635208</v>
      </c>
      <c r="J50" s="262">
        <f>I50*22.4</f>
        <v>40.741795336782864</v>
      </c>
      <c r="K50" t="s">
        <v>523</v>
      </c>
      <c r="L50" s="207">
        <f>I50/SUM(I50:I54)</f>
        <v>5.3850268066995895E-2</v>
      </c>
    </row>
    <row r="51" spans="1:14" x14ac:dyDescent="0.3">
      <c r="E51" s="3">
        <f>E50/SUM(J23:J27)</f>
        <v>-2.012817599604182E-2</v>
      </c>
      <c r="G51" s="263" t="s">
        <v>44</v>
      </c>
      <c r="H51" s="212">
        <f>I51*2</f>
        <v>41.60253886010279</v>
      </c>
      <c r="I51" s="212">
        <f>I39+N42</f>
        <v>20.801269430051395</v>
      </c>
      <c r="J51" s="264">
        <f>I51*22.4</f>
        <v>465.9484352331512</v>
      </c>
    </row>
    <row r="52" spans="1:14" x14ac:dyDescent="0.3">
      <c r="F52" t="s">
        <v>437</v>
      </c>
      <c r="G52" s="263" t="s">
        <v>23</v>
      </c>
      <c r="H52" s="212">
        <f>I52*44</f>
        <v>460.62539183937719</v>
      </c>
      <c r="I52" s="212">
        <f>N42+I40</f>
        <v>10.46875890544039</v>
      </c>
      <c r="J52" s="264">
        <f>I52*22.4</f>
        <v>234.50019948186474</v>
      </c>
      <c r="N52" s="23">
        <f>J55/SUM(J38:J41)</f>
        <v>8.4215397719271598E-2</v>
      </c>
    </row>
    <row r="53" spans="1:14" ht="15" thickBot="1" x14ac:dyDescent="0.35">
      <c r="B53" t="s">
        <v>489</v>
      </c>
      <c r="C53">
        <f>12+3+16+1</f>
        <v>32</v>
      </c>
      <c r="G53" s="263" t="s">
        <v>259</v>
      </c>
      <c r="H53" s="212">
        <f>I53*16</f>
        <v>4.8</v>
      </c>
      <c r="I53" s="212">
        <f>I42</f>
        <v>0.3</v>
      </c>
      <c r="J53" s="3">
        <f t="shared" ref="J53" si="12">I53*22.4</f>
        <v>6.72</v>
      </c>
      <c r="N53" s="23">
        <f>K55/SUM(J38:J41)</f>
        <v>-0.20073236910297926</v>
      </c>
    </row>
    <row r="54" spans="1:14" x14ac:dyDescent="0.3">
      <c r="G54" s="263" t="s">
        <v>446</v>
      </c>
      <c r="H54" s="212">
        <f>I54*28</f>
        <v>10.831380351969447</v>
      </c>
      <c r="I54" s="212">
        <f>I41</f>
        <v>0.38683501257033737</v>
      </c>
      <c r="J54" s="264">
        <f>I54*22.4</f>
        <v>8.665104281575557</v>
      </c>
      <c r="K54" s="227">
        <f>C37*(I38-I50)*K12</f>
        <v>-388.90529999999995</v>
      </c>
      <c r="L54" s="221" t="s">
        <v>538</v>
      </c>
      <c r="N54" s="23"/>
    </row>
    <row r="55" spans="1:14" ht="29.4" thickBot="1" x14ac:dyDescent="0.35">
      <c r="G55" s="268" t="s">
        <v>536</v>
      </c>
      <c r="H55" s="266">
        <f>I55*18</f>
        <v>36.419999999999973</v>
      </c>
      <c r="I55" s="266">
        <f>-(I43-N42)</f>
        <v>2.0233333333333317</v>
      </c>
      <c r="J55" s="267">
        <f>I55*22.4</f>
        <v>45.322666666666628</v>
      </c>
      <c r="K55" s="224">
        <f>K54*$E$20</f>
        <v>-108.02924999999999</v>
      </c>
      <c r="L55" s="225" t="s">
        <v>370</v>
      </c>
      <c r="N55" s="23" t="s">
        <v>525</v>
      </c>
    </row>
    <row r="56" spans="1:14" x14ac:dyDescent="0.3">
      <c r="G56" s="211" t="s">
        <v>311</v>
      </c>
      <c r="H56" s="212"/>
      <c r="I56" s="212"/>
      <c r="J56" s="212">
        <f>SUM(J50:J52)</f>
        <v>741.19043005179878</v>
      </c>
      <c r="N56" s="23">
        <v>1.6</v>
      </c>
    </row>
    <row r="57" spans="1:14" ht="15" thickBot="1" x14ac:dyDescent="0.35">
      <c r="E57" t="s">
        <v>542</v>
      </c>
      <c r="F57" t="s">
        <v>543</v>
      </c>
      <c r="G57" s="211" t="s">
        <v>528</v>
      </c>
      <c r="H57" s="211"/>
      <c r="I57" s="212"/>
      <c r="J57" s="212"/>
      <c r="K57" s="161"/>
      <c r="N57" s="23"/>
    </row>
    <row r="58" spans="1:14" x14ac:dyDescent="0.3">
      <c r="E58" s="162">
        <f>H58/H$64</f>
        <v>1.0253316640796841E-2</v>
      </c>
      <c r="F58" s="207">
        <f>J58/J$64</f>
        <v>6.1858900089667435E-3</v>
      </c>
      <c r="G58" s="260" t="s">
        <v>29</v>
      </c>
      <c r="H58" s="261">
        <f>I58*28</f>
        <v>6.1272441709785799</v>
      </c>
      <c r="I58" s="261">
        <f>I50-N56</f>
        <v>0.21883014896352071</v>
      </c>
      <c r="J58" s="262">
        <f>I58*22.4</f>
        <v>4.9017953367828637</v>
      </c>
      <c r="K58" t="s">
        <v>523</v>
      </c>
      <c r="L58" s="207">
        <f>I58/SUM(I58:I62)</f>
        <v>6.1858900089667426E-3</v>
      </c>
      <c r="N58" s="23"/>
    </row>
    <row r="59" spans="1:14" ht="15" thickBot="1" x14ac:dyDescent="0.35">
      <c r="E59" s="162">
        <f>H59/H$64</f>
        <v>7.4972467952239705E-2</v>
      </c>
      <c r="F59" s="162">
        <f>J59/J$64</f>
        <v>0.63323901853499709</v>
      </c>
      <c r="G59" s="263" t="s">
        <v>44</v>
      </c>
      <c r="H59" s="212">
        <f>I59*2</f>
        <v>44.802538860102793</v>
      </c>
      <c r="I59" s="212">
        <f>I51+N56</f>
        <v>22.401269430051396</v>
      </c>
      <c r="J59" s="264">
        <f>I59*22.4</f>
        <v>501.78843523315123</v>
      </c>
      <c r="K59" s="161"/>
      <c r="N59" s="23"/>
    </row>
    <row r="60" spans="1:14" x14ac:dyDescent="0.3">
      <c r="E60" s="162">
        <f>H60/H$64</f>
        <v>0.8886166986165277</v>
      </c>
      <c r="F60" s="162">
        <f>J60/J$64</f>
        <v>0.3411596413355153</v>
      </c>
      <c r="G60" s="263" t="s">
        <v>23</v>
      </c>
      <c r="H60" s="212">
        <f>I60*44</f>
        <v>531.02539183937711</v>
      </c>
      <c r="I60" s="212">
        <f>I52+N56</f>
        <v>12.06875890544039</v>
      </c>
      <c r="J60" s="264">
        <f>I60*22.4</f>
        <v>270.34019948186472</v>
      </c>
      <c r="K60" s="231">
        <f>I63*Thermodynamics!E5*1.5</f>
        <v>105.60959999999999</v>
      </c>
      <c r="L60" s="221" t="s">
        <v>381</v>
      </c>
      <c r="N60" s="23"/>
    </row>
    <row r="61" spans="1:14" ht="15" thickBot="1" x14ac:dyDescent="0.35">
      <c r="E61" s="162">
        <f>H61/H$64</f>
        <v>8.032309224583192E-3</v>
      </c>
      <c r="F61" s="207">
        <f>J61/J$64</f>
        <v>8.4803991199557324E-3</v>
      </c>
      <c r="G61" s="263" t="s">
        <v>259</v>
      </c>
      <c r="H61" s="212">
        <f>I61*16</f>
        <v>4.8</v>
      </c>
      <c r="I61" s="212">
        <f>I53</f>
        <v>0.3</v>
      </c>
      <c r="J61" s="3">
        <f t="shared" ref="J61" si="13">I61*22.4</f>
        <v>6.72</v>
      </c>
      <c r="K61" s="224">
        <f>K60*$E$20</f>
        <v>29.335999999999999</v>
      </c>
      <c r="L61" s="225" t="s">
        <v>374</v>
      </c>
      <c r="N61" s="23"/>
    </row>
    <row r="62" spans="1:14" ht="15" thickBot="1" x14ac:dyDescent="0.35">
      <c r="E62" s="162">
        <f>H62/H$64</f>
        <v>1.8125207565852775E-2</v>
      </c>
      <c r="F62" s="207">
        <f>J62/J$64</f>
        <v>1.0935051000565179E-2</v>
      </c>
      <c r="G62" s="263" t="s">
        <v>446</v>
      </c>
      <c r="H62" s="212">
        <f>I62*28</f>
        <v>10.831380351969447</v>
      </c>
      <c r="I62" s="212">
        <f>I54</f>
        <v>0.38683501257033737</v>
      </c>
      <c r="J62" s="264">
        <f>I62*22.4</f>
        <v>8.665104281575557</v>
      </c>
      <c r="K62" s="161"/>
      <c r="N62" s="23" t="s">
        <v>526</v>
      </c>
    </row>
    <row r="63" spans="1:14" ht="29.4" thickBot="1" x14ac:dyDescent="0.35">
      <c r="F63" s="162"/>
      <c r="G63" s="268" t="s">
        <v>534</v>
      </c>
      <c r="H63" s="266">
        <f>I63*18</f>
        <v>28.8</v>
      </c>
      <c r="I63" s="266">
        <f>-(-N56)</f>
        <v>1.6</v>
      </c>
      <c r="J63" s="267">
        <f>I63*22.4</f>
        <v>35.839999999999996</v>
      </c>
      <c r="K63" s="227">
        <f>C37*(I50-I58)*K12</f>
        <v>-65.846400000000003</v>
      </c>
      <c r="L63" s="221" t="s">
        <v>538</v>
      </c>
      <c r="N63" s="23">
        <f>I58</f>
        <v>0.21883014896352071</v>
      </c>
    </row>
    <row r="64" spans="1:14" ht="15" thickBot="1" x14ac:dyDescent="0.35">
      <c r="G64" s="211"/>
      <c r="H64" s="212">
        <f>SUM(H58:H62)</f>
        <v>597.58655522242782</v>
      </c>
      <c r="I64" s="212"/>
      <c r="J64" s="212">
        <f>SUM(J58:J62)</f>
        <v>792.41553433337435</v>
      </c>
      <c r="K64" s="224">
        <f>K63*$E$20</f>
        <v>-18.290666666666667</v>
      </c>
      <c r="L64" s="225" t="s">
        <v>370</v>
      </c>
      <c r="N64" s="23" t="s">
        <v>527</v>
      </c>
    </row>
    <row r="65" spans="6:14" ht="15" thickBot="1" x14ac:dyDescent="0.35">
      <c r="G65" s="211" t="s">
        <v>537</v>
      </c>
      <c r="H65" s="211"/>
      <c r="I65" s="212"/>
      <c r="J65" s="212"/>
      <c r="K65" s="161"/>
      <c r="N65" s="23">
        <v>0.219</v>
      </c>
    </row>
    <row r="66" spans="6:14" x14ac:dyDescent="0.3">
      <c r="F66" s="207">
        <f>J66/$J$72</f>
        <v>0</v>
      </c>
      <c r="G66" s="260" t="s">
        <v>29</v>
      </c>
      <c r="H66" s="261">
        <f>I66*28</f>
        <v>0</v>
      </c>
      <c r="I66" s="261">
        <f>I58-N63</f>
        <v>0</v>
      </c>
      <c r="J66" s="262">
        <f t="shared" ref="J66:J71" si="14">I66*22.4</f>
        <v>0</v>
      </c>
      <c r="K66" s="161"/>
      <c r="N66" s="23"/>
    </row>
    <row r="67" spans="6:14" x14ac:dyDescent="0.3">
      <c r="F67" s="207">
        <f t="shared" ref="F67:F71" si="15">J67/$J$72</f>
        <v>0.61019762354239082</v>
      </c>
      <c r="G67" s="263" t="s">
        <v>44</v>
      </c>
      <c r="H67" s="212">
        <f>I67*2</f>
        <v>41.737557966321667</v>
      </c>
      <c r="I67" s="212">
        <f>I59-N63*3-N65*4</f>
        <v>20.868778983160833</v>
      </c>
      <c r="J67" s="264">
        <f t="shared" si="14"/>
        <v>467.46064922280266</v>
      </c>
      <c r="K67" s="161"/>
      <c r="N67" s="23"/>
    </row>
    <row r="68" spans="6:14" ht="15" thickBot="1" x14ac:dyDescent="0.35">
      <c r="F68" s="207">
        <f t="shared" si="15"/>
        <v>0.34648384217804534</v>
      </c>
      <c r="G68" s="263" t="s">
        <v>23</v>
      </c>
      <c r="H68" s="212">
        <f>I68*44</f>
        <v>521.38939183937714</v>
      </c>
      <c r="I68" s="212">
        <f>I60-N65</f>
        <v>11.849758905440391</v>
      </c>
      <c r="J68" s="264">
        <f t="shared" si="14"/>
        <v>265.43459948186472</v>
      </c>
      <c r="K68" s="161"/>
      <c r="N68" s="23"/>
    </row>
    <row r="69" spans="6:14" x14ac:dyDescent="0.3">
      <c r="F69" s="207">
        <f t="shared" si="15"/>
        <v>1.1310954299907904E-2</v>
      </c>
      <c r="G69" s="263" t="s">
        <v>446</v>
      </c>
      <c r="H69" s="212">
        <f>I69*28</f>
        <v>10.831380351969447</v>
      </c>
      <c r="I69" s="212">
        <f>I62</f>
        <v>0.38683501257033737</v>
      </c>
      <c r="J69" s="264">
        <f t="shared" si="14"/>
        <v>8.665104281575557</v>
      </c>
      <c r="K69" s="227">
        <f>(I58-I66)*C39+(I60-I68)*C40</f>
        <v>-81.104102240565524</v>
      </c>
      <c r="L69" s="221" t="s">
        <v>538</v>
      </c>
      <c r="N69" s="23"/>
    </row>
    <row r="70" spans="6:14" ht="15" thickBot="1" x14ac:dyDescent="0.35">
      <c r="F70" s="207">
        <f t="shared" si="15"/>
        <v>1.2802038711911556E-2</v>
      </c>
      <c r="G70" s="263" t="s">
        <v>259</v>
      </c>
      <c r="H70" s="212">
        <f>I70*16</f>
        <v>7.0052823834163309</v>
      </c>
      <c r="I70" s="212">
        <f>N63+N65</f>
        <v>0.43783014896352068</v>
      </c>
      <c r="J70" s="264">
        <f t="shared" si="14"/>
        <v>9.8073953367828626</v>
      </c>
      <c r="K70" s="224">
        <f>K69*$E$20</f>
        <v>-22.528917289045982</v>
      </c>
      <c r="L70" s="225" t="s">
        <v>370</v>
      </c>
      <c r="N70" s="23"/>
    </row>
    <row r="71" spans="6:14" ht="15" thickBot="1" x14ac:dyDescent="0.35">
      <c r="F71" s="207">
        <f t="shared" si="15"/>
        <v>1.9205541267744482E-2</v>
      </c>
      <c r="G71" s="265" t="s">
        <v>541</v>
      </c>
      <c r="H71" s="266">
        <f>I71*18</f>
        <v>11.822942681343353</v>
      </c>
      <c r="I71" s="266">
        <f>(I58-I66)+(I60-I68)*2</f>
        <v>0.65683014896351954</v>
      </c>
      <c r="J71" s="267">
        <f t="shared" si="14"/>
        <v>14.712995336782837</v>
      </c>
      <c r="K71" s="161"/>
    </row>
    <row r="72" spans="6:14" x14ac:dyDescent="0.3">
      <c r="G72" s="211" t="s">
        <v>539</v>
      </c>
      <c r="H72" s="211"/>
      <c r="I72" s="212"/>
      <c r="J72" s="212">
        <f>SUM(J66:J71)</f>
        <v>766.0807436598086</v>
      </c>
      <c r="K72" s="161"/>
    </row>
    <row r="73" spans="6:14" x14ac:dyDescent="0.3">
      <c r="G73" s="211"/>
      <c r="H73" s="211"/>
      <c r="I73" s="212"/>
      <c r="J73" s="212"/>
      <c r="K73" s="161"/>
    </row>
    <row r="74" spans="6:14" hidden="1" x14ac:dyDescent="0.3">
      <c r="G74" s="211"/>
      <c r="H74" s="211"/>
      <c r="I74" s="212"/>
      <c r="J74" s="212"/>
    </row>
    <row r="75" spans="6:14" hidden="1" x14ac:dyDescent="0.3">
      <c r="G75" s="193" t="s">
        <v>307</v>
      </c>
      <c r="H75" t="s">
        <v>357</v>
      </c>
      <c r="I75" t="s">
        <v>377</v>
      </c>
      <c r="K75" s="161"/>
    </row>
    <row r="76" spans="6:14" hidden="1" x14ac:dyDescent="0.3">
      <c r="G76" s="209" t="str">
        <f>G54</f>
        <v xml:space="preserve">N2  </v>
      </c>
      <c r="H76" s="210">
        <f>H54</f>
        <v>10.831380351969447</v>
      </c>
      <c r="I76" s="210">
        <f>I54</f>
        <v>0.38683501257033737</v>
      </c>
      <c r="J76" s="210">
        <f>J54</f>
        <v>8.665104281575557</v>
      </c>
      <c r="K76" s="234" t="s">
        <v>396</v>
      </c>
      <c r="L76" s="235"/>
    </row>
    <row r="77" spans="6:14" hidden="1" x14ac:dyDescent="0.3">
      <c r="G77" s="209" t="s">
        <v>29</v>
      </c>
      <c r="H77" s="210">
        <f>I77*28</f>
        <v>50.927244170978582</v>
      </c>
      <c r="I77" s="210">
        <f>I50</f>
        <v>1.8188301489635208</v>
      </c>
      <c r="J77" s="210">
        <f>I77*22.4</f>
        <v>40.741795336782864</v>
      </c>
      <c r="K77" s="161"/>
    </row>
    <row r="78" spans="6:14" hidden="1" x14ac:dyDescent="0.3">
      <c r="G78" s="209" t="s">
        <v>44</v>
      </c>
      <c r="H78" s="210">
        <f>I78*2</f>
        <v>41.60253886010279</v>
      </c>
      <c r="I78" s="210">
        <f>I51</f>
        <v>20.801269430051395</v>
      </c>
      <c r="J78" s="210">
        <f>I78*22.4</f>
        <v>465.9484352331512</v>
      </c>
      <c r="K78" s="161"/>
    </row>
    <row r="79" spans="6:14" hidden="1" x14ac:dyDescent="0.3">
      <c r="G79" s="209" t="s">
        <v>310</v>
      </c>
      <c r="H79" s="210"/>
      <c r="I79" s="210"/>
      <c r="J79" s="210">
        <f>SUM(J77:J78)</f>
        <v>506.69023056993404</v>
      </c>
      <c r="K79" s="161"/>
    </row>
    <row r="80" spans="6:14" hidden="1" x14ac:dyDescent="0.3">
      <c r="G80" s="211" t="str">
        <f>G54</f>
        <v xml:space="preserve">N2  </v>
      </c>
      <c r="H80" s="212">
        <f>H54</f>
        <v>10.831380351969447</v>
      </c>
      <c r="I80" s="212">
        <f>I54</f>
        <v>0.38683501257033737</v>
      </c>
      <c r="J80" s="212">
        <f>J54</f>
        <v>8.665104281575557</v>
      </c>
      <c r="K80" s="161"/>
    </row>
    <row r="81" spans="7:12" ht="15" hidden="1" thickBot="1" x14ac:dyDescent="0.35">
      <c r="G81" s="211" t="s">
        <v>259</v>
      </c>
      <c r="H81" s="212">
        <f>I81*16</f>
        <v>29.101282383416333</v>
      </c>
      <c r="I81" s="212">
        <f>I77</f>
        <v>1.8188301489635208</v>
      </c>
      <c r="J81" s="212">
        <f>I81*22.4</f>
        <v>40.741795336782864</v>
      </c>
      <c r="K81" s="161"/>
    </row>
    <row r="82" spans="7:12" hidden="1" x14ac:dyDescent="0.3">
      <c r="G82" s="211" t="s">
        <v>225</v>
      </c>
      <c r="H82" s="212">
        <f>I82*18</f>
        <v>32.738942681343374</v>
      </c>
      <c r="I82" s="212">
        <f>I77</f>
        <v>1.8188301489635208</v>
      </c>
      <c r="J82" s="212">
        <f>I82*22.4</f>
        <v>40.741795336782864</v>
      </c>
      <c r="K82" s="227">
        <f>C39*I77*K12</f>
        <v>-374.36253424056559</v>
      </c>
      <c r="L82" s="221" t="s">
        <v>355</v>
      </c>
    </row>
    <row r="83" spans="7:12" ht="15" hidden="1" thickBot="1" x14ac:dyDescent="0.35">
      <c r="G83" s="211" t="s">
        <v>311</v>
      </c>
      <c r="H83" s="211"/>
      <c r="I83" s="211"/>
      <c r="J83" s="212">
        <f>SUM(J81:J82)</f>
        <v>81.483590673565729</v>
      </c>
      <c r="K83" s="224">
        <f>K82*$E$20</f>
        <v>-103.98959284460156</v>
      </c>
      <c r="L83" s="225" t="s">
        <v>370</v>
      </c>
    </row>
    <row r="84" spans="7:12" hidden="1" x14ac:dyDescent="0.3">
      <c r="K84" s="161"/>
    </row>
    <row r="85" spans="7:12" hidden="1" x14ac:dyDescent="0.3">
      <c r="K85" s="161"/>
      <c r="L85" t="s">
        <v>441</v>
      </c>
    </row>
    <row r="86" spans="7:12" hidden="1" x14ac:dyDescent="0.3">
      <c r="G86" s="254" t="s">
        <v>491</v>
      </c>
      <c r="H86" s="254" t="s">
        <v>294</v>
      </c>
      <c r="I86" s="254" t="s">
        <v>266</v>
      </c>
      <c r="J86" s="254" t="s">
        <v>309</v>
      </c>
      <c r="K86" s="161"/>
      <c r="L86" s="162">
        <f>I87/$I$94</f>
        <v>0.46903246103420865</v>
      </c>
    </row>
    <row r="87" spans="7:12" hidden="1" x14ac:dyDescent="0.3">
      <c r="G87" s="258" t="s">
        <v>29</v>
      </c>
      <c r="H87" s="3">
        <f>I87*28</f>
        <v>315.52724417097858</v>
      </c>
      <c r="I87" s="3">
        <f>I38</f>
        <v>11.26883014896352</v>
      </c>
      <c r="J87" s="3">
        <f>I87*22.4</f>
        <v>252.42179533678282</v>
      </c>
      <c r="K87" s="161"/>
      <c r="L87" s="162">
        <f>I88/$I$94</f>
        <v>0.47246375766246546</v>
      </c>
    </row>
    <row r="88" spans="7:12" hidden="1" x14ac:dyDescent="0.3">
      <c r="G88" s="258" t="s">
        <v>44</v>
      </c>
      <c r="H88" s="3">
        <f>I88*2</f>
        <v>22.702538860102791</v>
      </c>
      <c r="I88" s="3">
        <f>I39</f>
        <v>11.351269430051396</v>
      </c>
      <c r="J88" s="3">
        <f t="shared" ref="J88:J91" si="16">I88*22.4</f>
        <v>254.26843523315125</v>
      </c>
      <c r="K88" s="161"/>
      <c r="L88" s="162">
        <f>I89/$I$94</f>
        <v>4.240289278503085E-2</v>
      </c>
    </row>
    <row r="89" spans="7:12" hidden="1" x14ac:dyDescent="0.3">
      <c r="G89" s="258" t="s">
        <v>23</v>
      </c>
      <c r="H89" s="3">
        <f>I89*44</f>
        <v>44.825391839377211</v>
      </c>
      <c r="I89" s="3">
        <f>I40</f>
        <v>1.0187589054403912</v>
      </c>
      <c r="J89" s="3">
        <f t="shared" si="16"/>
        <v>22.820199481864762</v>
      </c>
      <c r="K89" s="161">
        <f>SUM(J87:J90)</f>
        <v>538.17553433337434</v>
      </c>
      <c r="L89" s="162">
        <f>I90/$I$94</f>
        <v>1.6100888518295099E-2</v>
      </c>
    </row>
    <row r="90" spans="7:12" hidden="1" x14ac:dyDescent="0.3">
      <c r="G90" s="258" t="s">
        <v>45</v>
      </c>
      <c r="H90" s="3">
        <f>I90*28</f>
        <v>10.831380351969447</v>
      </c>
      <c r="I90" s="3">
        <f>I41</f>
        <v>0.38683501257033737</v>
      </c>
      <c r="J90" s="3">
        <f t="shared" si="16"/>
        <v>8.665104281575557</v>
      </c>
      <c r="K90" s="161"/>
    </row>
    <row r="91" spans="7:12" hidden="1" x14ac:dyDescent="0.3">
      <c r="G91" s="211" t="s">
        <v>447</v>
      </c>
      <c r="H91" s="3">
        <f>I91*18</f>
        <v>133.68</v>
      </c>
      <c r="I91" s="3">
        <f>I43</f>
        <v>7.4266666666666676</v>
      </c>
      <c r="J91" s="3">
        <f t="shared" si="16"/>
        <v>166.35733333333334</v>
      </c>
      <c r="K91" s="161"/>
    </row>
    <row r="92" spans="7:12" hidden="1" x14ac:dyDescent="0.3">
      <c r="G92" s="211" t="s">
        <v>448</v>
      </c>
      <c r="H92" s="3">
        <f>SUM(H87:H89)</f>
        <v>383.05517487045859</v>
      </c>
      <c r="I92" s="3">
        <f t="shared" ref="I92:J92" si="17">SUM(I87:I89)</f>
        <v>23.638858484455305</v>
      </c>
      <c r="J92" s="3">
        <f t="shared" si="17"/>
        <v>529.51043005179883</v>
      </c>
      <c r="K92" s="161"/>
    </row>
    <row r="93" spans="7:12" hidden="1" x14ac:dyDescent="0.3">
      <c r="G93" s="211" t="s">
        <v>45</v>
      </c>
      <c r="H93" s="3">
        <f>H90</f>
        <v>10.831380351969447</v>
      </c>
      <c r="I93" s="3">
        <f t="shared" ref="I93:J93" si="18">I90</f>
        <v>0.38683501257033737</v>
      </c>
      <c r="J93" s="3">
        <f t="shared" si="18"/>
        <v>8.665104281575557</v>
      </c>
      <c r="K93" s="161"/>
    </row>
    <row r="94" spans="7:12" hidden="1" x14ac:dyDescent="0.3">
      <c r="G94" s="211" t="s">
        <v>500</v>
      </c>
      <c r="H94" s="3">
        <f>SUM(H92:H93)</f>
        <v>393.88655522242806</v>
      </c>
      <c r="I94" s="3">
        <f t="shared" ref="I94:J94" si="19">SUM(I92:I93)</f>
        <v>24.025693497025642</v>
      </c>
      <c r="J94" s="3">
        <f t="shared" si="19"/>
        <v>538.17553433337434</v>
      </c>
      <c r="K94" s="161"/>
    </row>
    <row r="95" spans="7:12" hidden="1" x14ac:dyDescent="0.3">
      <c r="G95" s="211"/>
      <c r="H95" s="3"/>
      <c r="K95" s="161"/>
    </row>
    <row r="96" spans="7:12" hidden="1" x14ac:dyDescent="0.3">
      <c r="G96" s="254" t="s">
        <v>449</v>
      </c>
      <c r="H96" s="254" t="s">
        <v>294</v>
      </c>
      <c r="I96" s="254" t="s">
        <v>266</v>
      </c>
      <c r="J96" s="254" t="s">
        <v>309</v>
      </c>
      <c r="K96" s="161"/>
    </row>
    <row r="97" spans="7:13" hidden="1" x14ac:dyDescent="0.3">
      <c r="G97" s="211" t="s">
        <v>29</v>
      </c>
      <c r="H97" s="3">
        <f>I97*28</f>
        <v>0</v>
      </c>
      <c r="I97" s="3">
        <v>0</v>
      </c>
      <c r="J97" s="212">
        <f>I97*22.4</f>
        <v>0</v>
      </c>
      <c r="K97" s="161"/>
    </row>
    <row r="98" spans="7:13" hidden="1" x14ac:dyDescent="0.3">
      <c r="G98" s="258" t="s">
        <v>44</v>
      </c>
      <c r="H98" s="3">
        <f>I98*2</f>
        <v>128.64772020724917</v>
      </c>
      <c r="I98" s="3">
        <f>(1/F115-1)*I88</f>
        <v>64.323860103624583</v>
      </c>
      <c r="J98" s="212">
        <f>I98*22.4</f>
        <v>1440.8544663211906</v>
      </c>
      <c r="K98" s="161"/>
    </row>
    <row r="99" spans="7:13" hidden="1" x14ac:dyDescent="0.3">
      <c r="G99" s="211" t="s">
        <v>452</v>
      </c>
      <c r="H99" s="3">
        <f>SUM(H97:H98)</f>
        <v>128.64772020724917</v>
      </c>
      <c r="J99" s="3">
        <f>SUM(J97:J98)</f>
        <v>1440.8544663211906</v>
      </c>
      <c r="K99" s="161"/>
    </row>
    <row r="100" spans="7:13" hidden="1" x14ac:dyDescent="0.3">
      <c r="G100" s="211"/>
      <c r="H100" s="3"/>
      <c r="K100" s="161"/>
    </row>
    <row r="101" spans="7:13" hidden="1" x14ac:dyDescent="0.3">
      <c r="G101" s="254" t="s">
        <v>450</v>
      </c>
      <c r="H101" s="254" t="s">
        <v>294</v>
      </c>
      <c r="I101" s="254" t="s">
        <v>266</v>
      </c>
      <c r="J101" s="254" t="s">
        <v>309</v>
      </c>
      <c r="K101" s="161"/>
      <c r="L101" s="207">
        <f t="shared" ref="L101:L107" si="20">I102/$I$108</f>
        <v>0.12754824093282782</v>
      </c>
    </row>
    <row r="102" spans="7:13" hidden="1" x14ac:dyDescent="0.3">
      <c r="G102" s="258" t="s">
        <v>29</v>
      </c>
      <c r="H102" s="3">
        <f>I102*28</f>
        <v>315.52724417097858</v>
      </c>
      <c r="I102" s="3">
        <f t="shared" ref="I102" si="21">I97+I87</f>
        <v>11.26883014896352</v>
      </c>
      <c r="J102" s="3">
        <f>I102*22.4</f>
        <v>252.42179533678282</v>
      </c>
      <c r="K102" s="161"/>
      <c r="L102" s="207">
        <f t="shared" si="20"/>
        <v>0.85654229647538394</v>
      </c>
    </row>
    <row r="103" spans="7:13" hidden="1" x14ac:dyDescent="0.3">
      <c r="G103" s="258" t="s">
        <v>44</v>
      </c>
      <c r="H103" s="3">
        <f>I103*2</f>
        <v>151.35025906735194</v>
      </c>
      <c r="I103" s="3">
        <f t="shared" ref="I103" si="22">I88+I98</f>
        <v>75.675129533675971</v>
      </c>
      <c r="J103" s="3">
        <f t="shared" ref="J103:J107" si="23">I103*22.4</f>
        <v>1695.1229015543418</v>
      </c>
      <c r="K103" s="161"/>
      <c r="L103" s="207">
        <f t="shared" si="20"/>
        <v>1.1531002296234504E-2</v>
      </c>
    </row>
    <row r="104" spans="7:13" hidden="1" x14ac:dyDescent="0.3">
      <c r="G104" s="258" t="s">
        <v>23</v>
      </c>
      <c r="H104" s="3">
        <f>I104*44</f>
        <v>44.825391839377211</v>
      </c>
      <c r="I104" s="3">
        <f>I89</f>
        <v>1.0187589054403912</v>
      </c>
      <c r="J104" s="3">
        <f t="shared" si="23"/>
        <v>22.820199481864762</v>
      </c>
      <c r="K104" s="161"/>
      <c r="L104" s="207">
        <f t="shared" si="20"/>
        <v>4.3784602955536656E-3</v>
      </c>
    </row>
    <row r="105" spans="7:13" hidden="1" x14ac:dyDescent="0.3">
      <c r="G105" s="258" t="s">
        <v>45</v>
      </c>
      <c r="H105" s="3">
        <f>I105*28</f>
        <v>10.831380351969447</v>
      </c>
      <c r="I105" s="3">
        <f>I90</f>
        <v>0.38683501257033737</v>
      </c>
      <c r="J105" s="3">
        <f t="shared" si="23"/>
        <v>8.665104281575557</v>
      </c>
      <c r="K105" s="161"/>
      <c r="L105" s="162">
        <f t="shared" si="20"/>
        <v>0.99562153970444622</v>
      </c>
      <c r="M105" t="s">
        <v>493</v>
      </c>
    </row>
    <row r="106" spans="7:13" hidden="1" x14ac:dyDescent="0.3">
      <c r="G106" s="211" t="s">
        <v>451</v>
      </c>
      <c r="H106" s="3">
        <f>SUM(H102:H104)</f>
        <v>511.70289507770775</v>
      </c>
      <c r="I106" s="3">
        <f>SUM(I102:I104)</f>
        <v>87.962718588079881</v>
      </c>
      <c r="J106" s="3">
        <f>SUM(J102:J104)</f>
        <v>1970.3648963729895</v>
      </c>
      <c r="K106" s="161"/>
      <c r="L106" s="162">
        <f t="shared" si="20"/>
        <v>4.3784602955536656E-3</v>
      </c>
      <c r="M106" s="3">
        <f>L109*30</f>
        <v>2.2113355288998346</v>
      </c>
    </row>
    <row r="107" spans="7:13" hidden="1" x14ac:dyDescent="0.3">
      <c r="G107" s="211" t="s">
        <v>45</v>
      </c>
      <c r="H107" s="3">
        <f>I107*28</f>
        <v>10.831380351969447</v>
      </c>
      <c r="I107" s="3">
        <f>I105</f>
        <v>0.38683501257033737</v>
      </c>
      <c r="J107" s="3">
        <f t="shared" si="23"/>
        <v>8.665104281575557</v>
      </c>
      <c r="K107" s="161"/>
      <c r="L107" s="162">
        <f t="shared" si="20"/>
        <v>1</v>
      </c>
      <c r="M107" s="3">
        <f>L110*30</f>
        <v>2.1792156127318765</v>
      </c>
    </row>
    <row r="108" spans="7:13" hidden="1" x14ac:dyDescent="0.3">
      <c r="G108" s="211" t="s">
        <v>494</v>
      </c>
      <c r="H108" s="3">
        <f>SUM(H106:H107)</f>
        <v>522.53427542967722</v>
      </c>
      <c r="I108" s="3">
        <f t="shared" ref="I108:J108" si="24">SUM(I106:I107)</f>
        <v>88.349553600650225</v>
      </c>
      <c r="J108" s="3">
        <f t="shared" si="24"/>
        <v>1979.0300006545651</v>
      </c>
      <c r="K108" s="161"/>
      <c r="L108" t="s">
        <v>492</v>
      </c>
      <c r="M108" s="3">
        <f>L111*30</f>
        <v>25.061802660864796</v>
      </c>
    </row>
    <row r="109" spans="7:13" hidden="1" x14ac:dyDescent="0.3">
      <c r="G109" s="254" t="s">
        <v>516</v>
      </c>
      <c r="H109" s="254" t="s">
        <v>294</v>
      </c>
      <c r="I109" s="254" t="s">
        <v>266</v>
      </c>
      <c r="J109" s="254" t="s">
        <v>309</v>
      </c>
      <c r="K109" s="161"/>
      <c r="L109" s="207">
        <f>I110/$I$115</f>
        <v>7.3711184296661153E-2</v>
      </c>
      <c r="M109" s="3">
        <f>L112*30</f>
        <v>0.39692789901001296</v>
      </c>
    </row>
    <row r="110" spans="7:13" hidden="1" x14ac:dyDescent="0.3">
      <c r="G110" s="258" t="s">
        <v>517</v>
      </c>
      <c r="H110" s="3">
        <f>I110*32</f>
        <v>181.62031088082233</v>
      </c>
      <c r="I110" s="3">
        <f>I103*F115/2</f>
        <v>5.6756347150256978</v>
      </c>
      <c r="J110" s="3">
        <f t="shared" ref="J110:J114" si="25">I110*22.4</f>
        <v>127.13421761657563</v>
      </c>
      <c r="K110" s="161"/>
      <c r="L110" s="207">
        <f>I111/$I$115</f>
        <v>7.264052042439588E-2</v>
      </c>
      <c r="M110" s="3">
        <f>L113*30</f>
        <v>0.15071829849348012</v>
      </c>
    </row>
    <row r="111" spans="7:13" hidden="1" x14ac:dyDescent="0.3">
      <c r="G111" s="258" t="s">
        <v>29</v>
      </c>
      <c r="H111" s="3">
        <f>I111*28</f>
        <v>156.60947215025902</v>
      </c>
      <c r="I111" s="3">
        <f>I102-I110</f>
        <v>5.5931954339378223</v>
      </c>
      <c r="J111" s="3">
        <f t="shared" si="25"/>
        <v>125.28757772020721</v>
      </c>
      <c r="K111" s="161">
        <f>SUM(J111:J112)</f>
        <v>1566.1420440413979</v>
      </c>
      <c r="L111" s="207">
        <f>I112/$I$115</f>
        <v>0.83539342202882649</v>
      </c>
    </row>
    <row r="112" spans="7:13" hidden="1" x14ac:dyDescent="0.3">
      <c r="G112" s="258" t="s">
        <v>44</v>
      </c>
      <c r="H112" s="3">
        <f>I112*2</f>
        <v>128.64772020724917</v>
      </c>
      <c r="I112" s="181">
        <f>I103-2*I110</f>
        <v>64.323860103624583</v>
      </c>
      <c r="J112" s="3">
        <f t="shared" si="25"/>
        <v>1440.8544663211906</v>
      </c>
      <c r="K112" s="161"/>
      <c r="L112" s="207">
        <f>I113/$I$115</f>
        <v>1.3230929967000432E-2</v>
      </c>
    </row>
    <row r="113" spans="5:15" hidden="1" x14ac:dyDescent="0.3">
      <c r="E113" t="s">
        <v>438</v>
      </c>
      <c r="G113" s="258" t="s">
        <v>23</v>
      </c>
      <c r="H113" s="3">
        <f>I113*44</f>
        <v>44.825391839377211</v>
      </c>
      <c r="I113" s="3">
        <f>I104</f>
        <v>1.0187589054403912</v>
      </c>
      <c r="J113" s="3">
        <f t="shared" si="25"/>
        <v>22.820199481864762</v>
      </c>
      <c r="K113" s="161">
        <f>SUM(J113:J114)</f>
        <v>31.485303763440321</v>
      </c>
      <c r="L113" s="207">
        <f>I114/$I$115</f>
        <v>5.0239432831160041E-3</v>
      </c>
    </row>
    <row r="114" spans="5:15" hidden="1" x14ac:dyDescent="0.3">
      <c r="G114" s="258" t="s">
        <v>45</v>
      </c>
      <c r="H114" s="3">
        <f>I114*28</f>
        <v>10.831380351969447</v>
      </c>
      <c r="I114" s="3">
        <f>I105</f>
        <v>0.38683501257033737</v>
      </c>
      <c r="J114" s="3">
        <f t="shared" si="25"/>
        <v>8.665104281575557</v>
      </c>
      <c r="K114" s="161"/>
    </row>
    <row r="115" spans="5:15" hidden="1" x14ac:dyDescent="0.3">
      <c r="F115" s="214">
        <v>0.15</v>
      </c>
      <c r="G115" s="211" t="s">
        <v>280</v>
      </c>
      <c r="H115" s="3">
        <f>SUM(H110:H114)</f>
        <v>522.53427542967722</v>
      </c>
      <c r="I115" s="3">
        <f t="shared" ref="I115:J115" si="26">SUM(I110:I114)</f>
        <v>76.998284170598836</v>
      </c>
      <c r="J115" s="3">
        <f t="shared" si="26"/>
        <v>1724.7615654214139</v>
      </c>
      <c r="K115" s="161"/>
    </row>
    <row r="116" spans="5:15" hidden="1" x14ac:dyDescent="0.3">
      <c r="G116" s="254" t="s">
        <v>454</v>
      </c>
      <c r="H116" s="254" t="s">
        <v>294</v>
      </c>
      <c r="I116" s="254" t="s">
        <v>266</v>
      </c>
      <c r="J116" s="254" t="s">
        <v>309</v>
      </c>
      <c r="K116" s="161"/>
    </row>
    <row r="117" spans="5:15" hidden="1" x14ac:dyDescent="0.3">
      <c r="G117" s="211" t="s">
        <v>29</v>
      </c>
      <c r="H117" s="3">
        <f>I117*28</f>
        <v>0</v>
      </c>
      <c r="I117">
        <f>0</f>
        <v>0</v>
      </c>
      <c r="J117" s="3">
        <f t="shared" ref="J117:J118" si="27">I117*22.4</f>
        <v>0</v>
      </c>
      <c r="K117" s="161"/>
    </row>
    <row r="118" spans="5:15" hidden="1" x14ac:dyDescent="0.3">
      <c r="G118" s="258" t="s">
        <v>44</v>
      </c>
      <c r="H118" s="3">
        <f>I118*2</f>
        <v>128.64772020724917</v>
      </c>
      <c r="I118" s="181">
        <f>I112</f>
        <v>64.323860103624583</v>
      </c>
      <c r="J118" s="3">
        <f t="shared" si="27"/>
        <v>1440.8544663211906</v>
      </c>
      <c r="K118" s="161"/>
    </row>
    <row r="119" spans="5:15" hidden="1" x14ac:dyDescent="0.3">
      <c r="G119" s="211" t="s">
        <v>280</v>
      </c>
      <c r="H119" s="3">
        <f>SUM(H117:H118)</f>
        <v>128.64772020724917</v>
      </c>
      <c r="I119" s="3">
        <f>SUM(I117:I118)</f>
        <v>64.323860103624583</v>
      </c>
      <c r="J119" s="3">
        <f>SUM(J117:J118)</f>
        <v>1440.8544663211906</v>
      </c>
      <c r="K119" s="161"/>
    </row>
    <row r="120" spans="5:15" hidden="1" x14ac:dyDescent="0.3">
      <c r="G120" s="254" t="s">
        <v>495</v>
      </c>
      <c r="H120" s="254" t="s">
        <v>294</v>
      </c>
      <c r="I120" s="254" t="s">
        <v>266</v>
      </c>
      <c r="J120" s="254" t="s">
        <v>309</v>
      </c>
      <c r="K120" s="161"/>
    </row>
    <row r="121" spans="5:15" hidden="1" x14ac:dyDescent="0.3">
      <c r="G121" s="258" t="s">
        <v>29</v>
      </c>
      <c r="H121" s="3">
        <f>I121*28</f>
        <v>156.60947215025902</v>
      </c>
      <c r="I121" s="3">
        <f>I111</f>
        <v>5.5931954339378223</v>
      </c>
      <c r="J121" s="3">
        <f t="shared" ref="J121:J123" si="28">I121*22.4</f>
        <v>125.28757772020721</v>
      </c>
      <c r="K121" s="161"/>
    </row>
    <row r="122" spans="5:15" hidden="1" x14ac:dyDescent="0.3">
      <c r="G122" s="258" t="s">
        <v>23</v>
      </c>
      <c r="H122">
        <f>I122*44</f>
        <v>44.825391839377211</v>
      </c>
      <c r="I122" s="3">
        <f>I113</f>
        <v>1.0187589054403912</v>
      </c>
      <c r="J122" s="3">
        <f t="shared" si="28"/>
        <v>22.820199481864762</v>
      </c>
      <c r="K122" s="161"/>
    </row>
    <row r="123" spans="5:15" hidden="1" x14ac:dyDescent="0.3">
      <c r="G123" s="258" t="s">
        <v>45</v>
      </c>
      <c r="H123">
        <f>I123*28</f>
        <v>10.831380351969447</v>
      </c>
      <c r="I123" s="3">
        <f>I114</f>
        <v>0.38683501257033737</v>
      </c>
      <c r="J123" s="3">
        <f t="shared" si="28"/>
        <v>8.665104281575557</v>
      </c>
      <c r="K123" s="161"/>
      <c r="N123" t="s">
        <v>438</v>
      </c>
    </row>
    <row r="124" spans="5:15" hidden="1" x14ac:dyDescent="0.3">
      <c r="G124" s="211"/>
      <c r="I124" s="3"/>
      <c r="K124" s="161"/>
      <c r="N124" s="214">
        <v>0.25</v>
      </c>
    </row>
    <row r="125" spans="5:15" hidden="1" x14ac:dyDescent="0.3">
      <c r="G125" s="211"/>
      <c r="I125" s="3"/>
      <c r="K125" s="161"/>
      <c r="N125">
        <f>K128*N124</f>
        <v>-35.626432075775881</v>
      </c>
      <c r="O125" t="s">
        <v>439</v>
      </c>
    </row>
    <row r="126" spans="5:15" ht="15" hidden="1" thickBot="1" x14ac:dyDescent="0.35">
      <c r="G126" s="211"/>
      <c r="I126" s="3"/>
      <c r="K126" s="161" t="s">
        <v>514</v>
      </c>
      <c r="N126" s="23">
        <f>N125/SUM(J38:J41)</f>
        <v>-6.6198535241676348E-2</v>
      </c>
      <c r="O126" t="s">
        <v>437</v>
      </c>
    </row>
    <row r="127" spans="5:15" hidden="1" x14ac:dyDescent="0.3">
      <c r="G127" s="254" t="s">
        <v>313</v>
      </c>
      <c r="H127" t="s">
        <v>378</v>
      </c>
      <c r="J127" t="s">
        <v>320</v>
      </c>
      <c r="K127" s="227">
        <f>I128*C41*K12</f>
        <v>-513.02062189117271</v>
      </c>
      <c r="L127" s="221" t="s">
        <v>356</v>
      </c>
      <c r="N127" t="s">
        <v>440</v>
      </c>
      <c r="O127">
        <f>(1-N124)*SUM(J50:J51)</f>
        <v>380.01767292745052</v>
      </c>
    </row>
    <row r="128" spans="5:15" ht="15" hidden="1" thickBot="1" x14ac:dyDescent="0.35">
      <c r="G128" t="s">
        <v>314</v>
      </c>
      <c r="H128" s="3">
        <f>I128*(12+16+4)</f>
        <v>181.62031088082233</v>
      </c>
      <c r="I128" s="3">
        <f>I110</f>
        <v>5.6756347150256978</v>
      </c>
      <c r="J128" s="3">
        <f>H128/0.792</f>
        <v>229.31857434447264</v>
      </c>
      <c r="K128" s="255">
        <f>K127*$E$20</f>
        <v>-142.50572830310352</v>
      </c>
      <c r="L128" s="256" t="s">
        <v>370</v>
      </c>
      <c r="M128" t="s">
        <v>360</v>
      </c>
      <c r="N128" t="s">
        <v>441</v>
      </c>
      <c r="O128">
        <f>O127/SUM(J50:J54)</f>
        <v>0.50228649445066653</v>
      </c>
    </row>
    <row r="129" spans="7:15" hidden="1" x14ac:dyDescent="0.3">
      <c r="G129" s="254" t="s">
        <v>518</v>
      </c>
      <c r="M129" t="s">
        <v>362</v>
      </c>
    </row>
    <row r="130" spans="7:15" ht="15" hidden="1" thickBot="1" x14ac:dyDescent="0.35">
      <c r="G130" s="193" t="s">
        <v>341</v>
      </c>
      <c r="H130" s="3">
        <f>I130*28</f>
        <v>31.565656169041375</v>
      </c>
      <c r="I130" s="3">
        <f>I21/0.8*0.2</f>
        <v>1.1273448631800491</v>
      </c>
      <c r="J130">
        <f>I130*22.4</f>
        <v>25.252524935233097</v>
      </c>
    </row>
    <row r="131" spans="7:15" hidden="1" x14ac:dyDescent="0.3">
      <c r="K131" s="220" t="s">
        <v>359</v>
      </c>
      <c r="L131" s="221"/>
      <c r="M131" s="161">
        <f>K134/60*90</f>
        <v>1241999.9999999998</v>
      </c>
    </row>
    <row r="132" spans="7:15" hidden="1" x14ac:dyDescent="0.3">
      <c r="G132" s="170" t="s">
        <v>339</v>
      </c>
      <c r="H132" s="170" t="s">
        <v>294</v>
      </c>
      <c r="I132" s="170" t="s">
        <v>266</v>
      </c>
      <c r="J132" s="218" t="s">
        <v>309</v>
      </c>
      <c r="K132" s="222">
        <f>H133/1000*50</f>
        <v>114.99999999999999</v>
      </c>
      <c r="L132" s="223" t="s">
        <v>345</v>
      </c>
    </row>
    <row r="133" spans="7:15" hidden="1" x14ac:dyDescent="0.3">
      <c r="G133" s="170" t="s">
        <v>322</v>
      </c>
      <c r="H133" s="170">
        <v>2300</v>
      </c>
      <c r="I133" s="170"/>
      <c r="J133" s="218"/>
      <c r="K133" s="222">
        <f>K132*24</f>
        <v>2759.9999999999995</v>
      </c>
      <c r="L133" s="223" t="s">
        <v>342</v>
      </c>
    </row>
    <row r="134" spans="7:15" ht="15" hidden="1" thickBot="1" x14ac:dyDescent="0.35">
      <c r="G134" s="170" t="s">
        <v>255</v>
      </c>
      <c r="H134" s="217">
        <f>H21</f>
        <v>144.30014248704629</v>
      </c>
      <c r="I134" s="216">
        <f>H134/32</f>
        <v>4.5093794527201965</v>
      </c>
      <c r="J134" s="219">
        <f>I134*22.4</f>
        <v>101.01009974093239</v>
      </c>
      <c r="K134" s="224">
        <f>K133*300</f>
        <v>827999.99999999988</v>
      </c>
      <c r="L134" s="225" t="s">
        <v>346</v>
      </c>
    </row>
    <row r="135" spans="7:15" hidden="1" x14ac:dyDescent="0.3">
      <c r="G135" s="170" t="s">
        <v>225</v>
      </c>
      <c r="H135" s="217">
        <f>H22</f>
        <v>35.851068652846934</v>
      </c>
      <c r="I135" s="216">
        <f>H135/18</f>
        <v>1.9917260362692741</v>
      </c>
      <c r="J135" s="219">
        <f>I135*22.4</f>
        <v>44.614663212431736</v>
      </c>
      <c r="M135" t="s">
        <v>360</v>
      </c>
      <c r="N135" s="234" t="s">
        <v>396</v>
      </c>
      <c r="O135" s="235"/>
    </row>
    <row r="136" spans="7:15" hidden="1" x14ac:dyDescent="0.3">
      <c r="G136" s="170" t="s">
        <v>45</v>
      </c>
      <c r="H136" s="217">
        <f>H27</f>
        <v>9.5036384164855754</v>
      </c>
      <c r="I136" s="216">
        <f>H136/28</f>
        <v>0.33941565773162768</v>
      </c>
      <c r="J136" s="216">
        <f>I136*22.4</f>
        <v>7.6029107331884598</v>
      </c>
      <c r="M136" t="s">
        <v>361</v>
      </c>
    </row>
    <row r="137" spans="7:15" ht="15" hidden="1" thickBot="1" x14ac:dyDescent="0.35">
      <c r="K137" s="34"/>
    </row>
    <row r="138" spans="7:15" hidden="1" x14ac:dyDescent="0.3">
      <c r="G138" s="170" t="s">
        <v>384</v>
      </c>
      <c r="H138" s="170" t="s">
        <v>294</v>
      </c>
      <c r="I138" s="170" t="s">
        <v>266</v>
      </c>
      <c r="J138" s="170" t="s">
        <v>309</v>
      </c>
      <c r="K138" s="226" t="s">
        <v>359</v>
      </c>
      <c r="L138" s="221"/>
      <c r="M138" s="161">
        <f>K141/15*23</f>
        <v>59971.922735744374</v>
      </c>
    </row>
    <row r="139" spans="7:15" hidden="1" x14ac:dyDescent="0.3">
      <c r="G139" s="170" t="s">
        <v>0</v>
      </c>
      <c r="H139" s="216">
        <f>H18</f>
        <v>50.839944948185604</v>
      </c>
      <c r="I139" s="170"/>
      <c r="J139" s="218"/>
      <c r="K139" s="222">
        <f>J140*0.15</f>
        <v>5.432239378237715</v>
      </c>
      <c r="L139" s="223" t="s">
        <v>343</v>
      </c>
    </row>
    <row r="140" spans="7:15" hidden="1" x14ac:dyDescent="0.3">
      <c r="G140" s="170" t="s">
        <v>259</v>
      </c>
      <c r="H140" s="217">
        <f>H81</f>
        <v>29.101282383416333</v>
      </c>
      <c r="I140" s="216">
        <f>H140/18</f>
        <v>1.6167379101897963</v>
      </c>
      <c r="J140" s="219">
        <f>I140*22.4</f>
        <v>36.214929188251432</v>
      </c>
      <c r="K140" s="222">
        <f>K139*24</f>
        <v>130.37374507770517</v>
      </c>
      <c r="L140" s="223" t="s">
        <v>342</v>
      </c>
    </row>
    <row r="141" spans="7:15" ht="15" hidden="1" thickBot="1" x14ac:dyDescent="0.35">
      <c r="G141" s="170" t="s">
        <v>225</v>
      </c>
      <c r="H141" s="217">
        <f>H82</f>
        <v>32.738942681343374</v>
      </c>
      <c r="I141" s="216">
        <f>H141/18</f>
        <v>1.8188301489635208</v>
      </c>
      <c r="J141" s="219">
        <f>I141*22.4</f>
        <v>40.741795336782864</v>
      </c>
      <c r="K141" s="224">
        <f>K140*300</f>
        <v>39112.123523311551</v>
      </c>
      <c r="L141" s="225" t="s">
        <v>346</v>
      </c>
    </row>
    <row r="142" spans="7:15" hidden="1" x14ac:dyDescent="0.3">
      <c r="G142" s="170" t="s">
        <v>23</v>
      </c>
      <c r="H142" s="217">
        <f>H52</f>
        <v>460.62539183937719</v>
      </c>
      <c r="I142" s="216">
        <f>H142/44</f>
        <v>10.46875890544039</v>
      </c>
      <c r="J142" s="219">
        <f>I142*22.4</f>
        <v>234.50019948186474</v>
      </c>
      <c r="M142" t="s">
        <v>360</v>
      </c>
    </row>
    <row r="143" spans="7:15" hidden="1" x14ac:dyDescent="0.3">
      <c r="G143" s="170" t="str">
        <f t="shared" ref="G143:I143" si="29">G136</f>
        <v>N2</v>
      </c>
      <c r="H143" s="217">
        <f t="shared" si="29"/>
        <v>9.5036384164855754</v>
      </c>
      <c r="I143" s="216">
        <f t="shared" si="29"/>
        <v>0.33941565773162768</v>
      </c>
      <c r="J143" s="216">
        <f>I143*22.4</f>
        <v>7.6029107331884598</v>
      </c>
      <c r="M143" t="s">
        <v>364</v>
      </c>
    </row>
    <row r="144" spans="7:15" hidden="1" x14ac:dyDescent="0.3"/>
    <row r="145" spans="7:14" ht="15" hidden="1" thickBot="1" x14ac:dyDescent="0.35">
      <c r="M145" s="161">
        <f>K148/175*400</f>
        <v>523066.49533676839</v>
      </c>
    </row>
    <row r="146" spans="7:14" hidden="1" x14ac:dyDescent="0.3">
      <c r="G146" s="170" t="s">
        <v>385</v>
      </c>
      <c r="H146" s="170" t="s">
        <v>294</v>
      </c>
      <c r="I146" s="170" t="s">
        <v>266</v>
      </c>
      <c r="J146" s="170" t="str">
        <f t="shared" ref="G146:J147" si="30">J127</f>
        <v>litrov</v>
      </c>
      <c r="K146" s="227">
        <f>H147/1000*175</f>
        <v>31.78355440414391</v>
      </c>
      <c r="L146" s="221" t="s">
        <v>344</v>
      </c>
      <c r="M146" s="161"/>
    </row>
    <row r="147" spans="7:14" hidden="1" x14ac:dyDescent="0.3">
      <c r="G147" s="170" t="str">
        <f t="shared" si="30"/>
        <v>CH3OH</v>
      </c>
      <c r="H147" s="216">
        <f t="shared" si="30"/>
        <v>181.62031088082233</v>
      </c>
      <c r="I147" s="216">
        <f t="shared" si="30"/>
        <v>5.6756347150256978</v>
      </c>
      <c r="J147" s="219">
        <f t="shared" si="30"/>
        <v>229.31857434447264</v>
      </c>
      <c r="K147" s="222">
        <f>K146*24</f>
        <v>762.80530569945381</v>
      </c>
      <c r="L147" s="223" t="s">
        <v>342</v>
      </c>
      <c r="M147" s="161"/>
    </row>
    <row r="148" spans="7:14" ht="15" hidden="1" thickBot="1" x14ac:dyDescent="0.35">
      <c r="G148" s="170" t="str">
        <f t="shared" ref="G148:J149" si="31">G142</f>
        <v>CO2</v>
      </c>
      <c r="H148" s="217">
        <f t="shared" si="31"/>
        <v>460.62539183937719</v>
      </c>
      <c r="I148" s="216">
        <f t="shared" si="31"/>
        <v>10.46875890544039</v>
      </c>
      <c r="J148" s="219">
        <f t="shared" si="31"/>
        <v>234.50019948186474</v>
      </c>
      <c r="K148" s="224">
        <f>K147*300</f>
        <v>228841.59170983615</v>
      </c>
      <c r="L148" s="225" t="s">
        <v>346</v>
      </c>
    </row>
    <row r="149" spans="7:14" hidden="1" x14ac:dyDescent="0.3">
      <c r="G149" s="170" t="str">
        <f t="shared" si="31"/>
        <v>N2</v>
      </c>
      <c r="H149" s="217">
        <f>H54</f>
        <v>10.831380351969447</v>
      </c>
      <c r="I149" s="216">
        <f t="shared" si="31"/>
        <v>0.33941565773162768</v>
      </c>
      <c r="J149" s="219">
        <f t="shared" si="31"/>
        <v>7.6029107331884598</v>
      </c>
      <c r="K149" s="161"/>
    </row>
    <row r="150" spans="7:14" hidden="1" x14ac:dyDescent="0.3">
      <c r="G150" s="170" t="str">
        <f t="shared" ref="G150:J150" si="32">G139</f>
        <v>Ash</v>
      </c>
      <c r="H150" s="217">
        <f t="shared" si="32"/>
        <v>50.839944948185604</v>
      </c>
      <c r="I150" s="216">
        <f t="shared" si="32"/>
        <v>0</v>
      </c>
      <c r="J150" s="216">
        <f t="shared" si="32"/>
        <v>0</v>
      </c>
      <c r="K150" s="161"/>
      <c r="M150">
        <f>1500*0.2</f>
        <v>300</v>
      </c>
      <c r="N150">
        <f>1500*0.1</f>
        <v>150</v>
      </c>
    </row>
    <row r="151" spans="7:14" hidden="1" x14ac:dyDescent="0.3">
      <c r="H151" s="3"/>
      <c r="I151" s="22"/>
      <c r="J151" s="233"/>
      <c r="K151" s="170" t="s">
        <v>354</v>
      </c>
    </row>
    <row r="152" spans="7:14" hidden="1" x14ac:dyDescent="0.3">
      <c r="J152" s="170"/>
      <c r="K152" s="169">
        <v>200000</v>
      </c>
    </row>
    <row r="153" spans="7:14" hidden="1" x14ac:dyDescent="0.3">
      <c r="J153" s="170" t="s">
        <v>347</v>
      </c>
      <c r="K153" s="169">
        <f>1500*24*300*0.15</f>
        <v>1620000</v>
      </c>
      <c r="L153" t="s">
        <v>391</v>
      </c>
    </row>
    <row r="154" spans="7:14" hidden="1" x14ac:dyDescent="0.3">
      <c r="J154" s="170" t="s">
        <v>348</v>
      </c>
      <c r="K154" s="169">
        <v>1000000</v>
      </c>
      <c r="L154" t="s">
        <v>350</v>
      </c>
    </row>
    <row r="155" spans="7:14" hidden="1" x14ac:dyDescent="0.3">
      <c r="J155" s="170" t="s">
        <v>349</v>
      </c>
      <c r="K155" s="169">
        <f>K154*5*0.05*0.6</f>
        <v>150000</v>
      </c>
      <c r="L155" t="s">
        <v>352</v>
      </c>
    </row>
    <row r="156" spans="7:14" hidden="1" x14ac:dyDescent="0.3">
      <c r="J156" s="170" t="s">
        <v>351</v>
      </c>
      <c r="K156" s="169">
        <f>200000</f>
        <v>200000</v>
      </c>
      <c r="M156" s="234" t="s">
        <v>396</v>
      </c>
      <c r="N156" s="235"/>
    </row>
    <row r="157" spans="7:14" hidden="1" x14ac:dyDescent="0.3">
      <c r="J157" s="170" t="s">
        <v>366</v>
      </c>
      <c r="K157" s="169">
        <f>SUM(K152:K156)</f>
        <v>3170000</v>
      </c>
    </row>
    <row r="158" spans="7:14" hidden="1" x14ac:dyDescent="0.3">
      <c r="J158" s="170" t="s">
        <v>280</v>
      </c>
      <c r="K158" s="170" t="s">
        <v>365</v>
      </c>
      <c r="L158" s="228" t="s">
        <v>363</v>
      </c>
    </row>
    <row r="159" spans="7:14" hidden="1" x14ac:dyDescent="0.3">
      <c r="J159" s="170"/>
      <c r="K159" s="169">
        <f>K141+K134-K157</f>
        <v>-2302887.8764766883</v>
      </c>
      <c r="L159" s="169">
        <f>M131+M138-K157</f>
        <v>-1868028.0772642558</v>
      </c>
    </row>
    <row r="160" spans="7:14" hidden="1" x14ac:dyDescent="0.3">
      <c r="J160" s="170" t="s">
        <v>353</v>
      </c>
      <c r="K160" s="169">
        <f>K148+K134-K157</f>
        <v>-2113158.4082901641</v>
      </c>
      <c r="L160" s="169">
        <f>M131+M145-K157</f>
        <v>-1404933.5046632318</v>
      </c>
    </row>
    <row r="161" spans="10:12" hidden="1" x14ac:dyDescent="0.3">
      <c r="J161" s="170" t="s">
        <v>373</v>
      </c>
      <c r="K161" t="s">
        <v>374</v>
      </c>
    </row>
    <row r="162" spans="10:12" hidden="1" x14ac:dyDescent="0.3">
      <c r="K162" s="169">
        <f>K55+K83</f>
        <v>-212.01884284460155</v>
      </c>
      <c r="L162" s="170" t="s">
        <v>382</v>
      </c>
    </row>
    <row r="163" spans="10:12" hidden="1" x14ac:dyDescent="0.3">
      <c r="J163" s="170" t="s">
        <v>371</v>
      </c>
      <c r="K163" s="169">
        <f>K55+K128</f>
        <v>-250.53497830310351</v>
      </c>
      <c r="L163" s="170" t="s">
        <v>383</v>
      </c>
    </row>
    <row r="164" spans="10:12" hidden="1" x14ac:dyDescent="0.3">
      <c r="J164" s="170" t="s">
        <v>372</v>
      </c>
    </row>
    <row r="165" spans="10:12" hidden="1" x14ac:dyDescent="0.3"/>
    <row r="166" spans="10:12" hidden="1" x14ac:dyDescent="0.3"/>
    <row r="167" spans="10:12" hidden="1" x14ac:dyDescent="0.3"/>
    <row r="275" spans="8:10" x14ac:dyDescent="0.3">
      <c r="H275" s="212"/>
      <c r="I275" s="3"/>
      <c r="J275" s="3"/>
    </row>
  </sheetData>
  <pageMargins left="0.25" right="0.25" top="0.75" bottom="0.75" header="0.3" footer="0.3"/>
  <pageSetup paperSize="9" scale="41" orientation="landscape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65"/>
  <sheetViews>
    <sheetView workbookViewId="0">
      <selection activeCell="A12" sqref="A12"/>
    </sheetView>
  </sheetViews>
  <sheetFormatPr defaultRowHeight="14.4" x14ac:dyDescent="0.3"/>
  <cols>
    <col min="1" max="1" width="32.44140625" bestFit="1" customWidth="1"/>
    <col min="2" max="2" width="7.33203125" hidden="1" customWidth="1"/>
    <col min="3" max="3" width="9.44140625" style="211" bestFit="1" customWidth="1"/>
    <col min="4" max="4" width="11.109375" hidden="1" customWidth="1"/>
    <col min="5" max="5" width="0" hidden="1" customWidth="1"/>
    <col min="6" max="6" width="9.109375" style="211"/>
    <col min="7" max="8" width="0" hidden="1" customWidth="1"/>
    <col min="9" max="9" width="13.6640625" bestFit="1" customWidth="1"/>
  </cols>
  <sheetData>
    <row r="1" spans="1:9" x14ac:dyDescent="0.3">
      <c r="B1" t="s">
        <v>504</v>
      </c>
      <c r="C1" s="211" t="s">
        <v>505</v>
      </c>
      <c r="D1" t="s">
        <v>506</v>
      </c>
      <c r="E1" t="s">
        <v>504</v>
      </c>
      <c r="F1" s="211" t="s">
        <v>505</v>
      </c>
      <c r="G1" t="s">
        <v>506</v>
      </c>
    </row>
    <row r="2" spans="1:9" x14ac:dyDescent="0.3">
      <c r="A2" t="s">
        <v>455</v>
      </c>
      <c r="B2" t="s">
        <v>294</v>
      </c>
      <c r="C2" s="211" t="s">
        <v>294</v>
      </c>
      <c r="D2" t="s">
        <v>294</v>
      </c>
      <c r="E2" t="s">
        <v>513</v>
      </c>
      <c r="F2" s="211" t="s">
        <v>513</v>
      </c>
      <c r="G2" t="s">
        <v>513</v>
      </c>
    </row>
    <row r="3" spans="1:9" x14ac:dyDescent="0.3">
      <c r="A3" t="s">
        <v>456</v>
      </c>
      <c r="B3" s="161">
        <f>'2300 kg smeti v metanol'!H13</f>
        <v>1839.9999999999666</v>
      </c>
      <c r="C3" s="252">
        <f>'2500 kg smeti v metanol brezWGS'!H13</f>
        <v>1999.9999999999638</v>
      </c>
      <c r="D3" s="161">
        <f>'2300kg smeti v met.brezW z H2'!H13</f>
        <v>1839.9999999999666</v>
      </c>
      <c r="E3" s="161"/>
      <c r="F3" s="252"/>
      <c r="G3" s="161"/>
      <c r="H3" s="161"/>
      <c r="I3" s="161"/>
    </row>
    <row r="4" spans="1:9" x14ac:dyDescent="0.3">
      <c r="A4" t="s">
        <v>457</v>
      </c>
      <c r="B4" s="161">
        <f>'2300 kg smeti v metanol'!H14</f>
        <v>460</v>
      </c>
      <c r="C4" s="252">
        <f>'2500 kg smeti v metanol brezWGS'!H14</f>
        <v>500</v>
      </c>
      <c r="D4" s="161">
        <f>'2300kg smeti v met.brezW z H2'!H14</f>
        <v>460</v>
      </c>
      <c r="E4" s="161"/>
      <c r="F4" s="252"/>
      <c r="G4" s="161"/>
      <c r="H4" s="161"/>
      <c r="I4" s="161"/>
    </row>
    <row r="5" spans="1:9" x14ac:dyDescent="0.3">
      <c r="A5" t="s">
        <v>458</v>
      </c>
      <c r="B5" s="161">
        <f>'2300 kg smeti v metanol'!H21</f>
        <v>732.61420725388371</v>
      </c>
      <c r="C5" s="252">
        <f>'2500 kg smeti v metanol brezWGS'!H21</f>
        <v>740.58761658030835</v>
      </c>
      <c r="D5" s="161">
        <f>'2300kg smeti v met.brezW z H2'!H21</f>
        <v>732.61420725388371</v>
      </c>
      <c r="E5" s="161"/>
      <c r="F5" s="252"/>
      <c r="G5" s="161"/>
      <c r="H5" s="161"/>
      <c r="I5" s="161"/>
    </row>
    <row r="6" spans="1:9" x14ac:dyDescent="0.3">
      <c r="A6" t="s">
        <v>502</v>
      </c>
      <c r="B6" s="161">
        <f>'2300 kg smeti v metanol'!H26</f>
        <v>71.226381260794255</v>
      </c>
      <c r="C6" s="252">
        <f>'2500 kg smeti v metanol brezWGS'!H26</f>
        <v>72.001573834196648</v>
      </c>
      <c r="D6" s="161">
        <f>'2300kg smeti v met.brezW z H2'!H26</f>
        <v>71.226381260794255</v>
      </c>
      <c r="E6" s="161"/>
      <c r="F6" s="252"/>
      <c r="G6" s="161"/>
      <c r="H6" s="161"/>
      <c r="I6" s="161"/>
    </row>
    <row r="7" spans="1:9" x14ac:dyDescent="0.3">
      <c r="A7" t="s">
        <v>459</v>
      </c>
      <c r="B7" s="161">
        <f>'2300 kg smeti v metanol'!H22</f>
        <v>112.60655440412798</v>
      </c>
      <c r="C7" s="252">
        <f>'2500 kg smeti v metanol brezWGS'!H22</f>
        <v>172.40712435231299</v>
      </c>
      <c r="D7" s="161">
        <f>'2300kg smeti v met.brezW z H2'!H22</f>
        <v>112.60655440412798</v>
      </c>
      <c r="E7" s="161"/>
      <c r="F7" s="252"/>
      <c r="G7" s="161"/>
      <c r="H7" s="161"/>
      <c r="I7" s="161"/>
    </row>
    <row r="8" spans="1:9" x14ac:dyDescent="0.3">
      <c r="A8" t="s">
        <v>483</v>
      </c>
      <c r="B8" s="161">
        <f>'2300 kg smeti v metanol'!Q10</f>
        <v>116.53445099841062</v>
      </c>
      <c r="C8" s="252">
        <f>'2500 kg smeti v metanol brezWGS'!Q10</f>
        <v>116.53445099841062</v>
      </c>
      <c r="D8" s="161">
        <f>'2300kg smeti v met.brezW z H2'!Q10</f>
        <v>116.53445099841062</v>
      </c>
      <c r="E8" s="161"/>
      <c r="F8" s="252"/>
      <c r="G8" s="161"/>
      <c r="H8" s="161"/>
      <c r="I8" s="161"/>
    </row>
    <row r="9" spans="1:9" x14ac:dyDescent="0.3">
      <c r="A9" t="s">
        <v>461</v>
      </c>
      <c r="B9" s="161">
        <f>SUM(B3:B8)</f>
        <v>3332.9815939171831</v>
      </c>
      <c r="C9" s="252">
        <f t="shared" ref="C9:D9" si="0">SUM(C3:C8)</f>
        <v>3601.5307657651924</v>
      </c>
      <c r="D9" s="161">
        <f t="shared" si="0"/>
        <v>3332.9815939171831</v>
      </c>
      <c r="E9" s="161"/>
      <c r="F9" s="252"/>
      <c r="G9" s="161"/>
      <c r="H9" s="161"/>
      <c r="I9" s="161"/>
    </row>
    <row r="10" spans="1:9" x14ac:dyDescent="0.3">
      <c r="B10" s="161"/>
      <c r="C10" s="252"/>
      <c r="D10" s="161"/>
      <c r="E10" s="161"/>
      <c r="F10" s="252"/>
      <c r="G10" s="161"/>
      <c r="H10" s="161"/>
      <c r="I10" s="161"/>
    </row>
    <row r="11" spans="1:9" x14ac:dyDescent="0.3">
      <c r="A11" t="s">
        <v>462</v>
      </c>
      <c r="B11" s="161"/>
      <c r="C11" s="252"/>
      <c r="D11" s="161"/>
      <c r="E11" s="161"/>
      <c r="F11" s="252"/>
      <c r="G11" s="161"/>
      <c r="H11" s="161"/>
      <c r="I11" s="161"/>
    </row>
    <row r="12" spans="1:9" x14ac:dyDescent="0.3">
      <c r="A12" t="s">
        <v>463</v>
      </c>
      <c r="B12" s="161">
        <f>SUM('2300 kg smeti v metanol'!H23:H25)</f>
        <v>2261.4077392054796</v>
      </c>
      <c r="C12" s="252">
        <f>SUM('2500 kg smeti v metanol brezWGS'!H23:H25)</f>
        <v>2443.8544991363906</v>
      </c>
      <c r="D12" s="161">
        <f>SUM('2300kg smeti v met.brezW z H2'!H23:H25)</f>
        <v>2261.4077392054796</v>
      </c>
      <c r="E12" s="161"/>
      <c r="F12" s="252"/>
      <c r="G12" s="161"/>
      <c r="H12" s="161"/>
      <c r="I12" s="161"/>
    </row>
    <row r="13" spans="1:9" x14ac:dyDescent="0.3">
      <c r="A13" t="s">
        <v>464</v>
      </c>
      <c r="B13" s="161">
        <f>'2300 kg smeti v metanol'!H14</f>
        <v>460</v>
      </c>
      <c r="C13" s="252">
        <f>'2500 kg smeti v metanol brezWGS'!H14</f>
        <v>500</v>
      </c>
      <c r="D13" s="161">
        <f>'2300kg smeti v met.brezW z H2'!H14</f>
        <v>460</v>
      </c>
      <c r="E13" s="161"/>
      <c r="F13" s="252"/>
      <c r="G13" s="161"/>
      <c r="H13" s="161"/>
      <c r="I13" s="161"/>
    </row>
    <row r="14" spans="1:9" x14ac:dyDescent="0.3">
      <c r="A14" t="s">
        <v>465</v>
      </c>
      <c r="B14" s="161">
        <f>'2300 kg smeti v metanol'!H27</f>
        <v>114.08</v>
      </c>
      <c r="C14" s="252">
        <f>'2500 kg smeti v metanol brezWGS'!H31</f>
        <v>133.4</v>
      </c>
      <c r="D14" s="161">
        <f>'2300kg smeti v met.brezW z H2'!H30</f>
        <v>114.08</v>
      </c>
      <c r="E14" s="161"/>
      <c r="F14" s="252"/>
      <c r="G14" s="161"/>
      <c r="H14" s="161"/>
      <c r="I14" s="161"/>
    </row>
    <row r="15" spans="1:9" x14ac:dyDescent="0.3">
      <c r="A15" t="s">
        <v>466</v>
      </c>
      <c r="B15" s="161">
        <f>'2300 kg smeti v metanol'!H26</f>
        <v>71.226381260794255</v>
      </c>
      <c r="C15" s="252">
        <f>'2500 kg smeti v metanol brezWGS'!H26</f>
        <v>72.001573834196648</v>
      </c>
      <c r="D15" s="161">
        <f>'2300kg smeti v met.brezW z H2'!H26</f>
        <v>71.226381260794255</v>
      </c>
      <c r="E15" s="161"/>
      <c r="F15" s="252"/>
      <c r="G15" s="161"/>
      <c r="H15" s="161"/>
      <c r="I15" s="161"/>
    </row>
    <row r="16" spans="1:9" x14ac:dyDescent="0.3">
      <c r="A16" t="s">
        <v>461</v>
      </c>
      <c r="B16" s="161">
        <f>SUM(B12:B15)</f>
        <v>2906.7141204662739</v>
      </c>
      <c r="C16" s="252">
        <f t="shared" ref="C16:D16" si="1">SUM(C12:C15)</f>
        <v>3149.2560729705874</v>
      </c>
      <c r="D16" s="161">
        <f t="shared" si="1"/>
        <v>2906.7141204662739</v>
      </c>
      <c r="E16" s="161"/>
      <c r="F16" s="252"/>
      <c r="G16" s="161"/>
      <c r="H16" s="161"/>
      <c r="I16" s="161"/>
    </row>
    <row r="17" spans="1:9" x14ac:dyDescent="0.3">
      <c r="B17" s="161"/>
      <c r="C17" s="252"/>
      <c r="D17" s="161"/>
      <c r="E17" s="161"/>
      <c r="F17" s="252"/>
      <c r="G17" s="161"/>
      <c r="H17" s="161"/>
      <c r="I17" s="161"/>
    </row>
    <row r="18" spans="1:9" x14ac:dyDescent="0.3">
      <c r="A18" t="s">
        <v>467</v>
      </c>
      <c r="B18" s="161"/>
      <c r="C18" s="252"/>
      <c r="D18" s="161"/>
      <c r="E18" s="161"/>
      <c r="F18" s="252"/>
      <c r="G18" s="161"/>
      <c r="H18" s="161"/>
      <c r="I18" s="161"/>
    </row>
    <row r="19" spans="1:9" x14ac:dyDescent="0.3">
      <c r="A19" t="s">
        <v>468</v>
      </c>
      <c r="B19" s="161">
        <f>'2300 kg smeti v metanol'!H18</f>
        <v>311.81832901553838</v>
      </c>
      <c r="C19" s="252">
        <f>'2500 kg smeti v metanol brezWGS'!H18</f>
        <v>338.9329663212373</v>
      </c>
      <c r="D19" s="161">
        <f>'2300kg smeti v met.brezW z H2'!H18</f>
        <v>311.81832901553838</v>
      </c>
      <c r="E19" s="161"/>
      <c r="F19" s="252"/>
      <c r="G19" s="161"/>
      <c r="H19" s="161"/>
      <c r="I19" s="161"/>
    </row>
    <row r="20" spans="1:9" x14ac:dyDescent="0.3">
      <c r="A20" t="s">
        <v>460</v>
      </c>
      <c r="B20" s="161">
        <f>'2300 kg smeti v metanol'!Q10</f>
        <v>116.53445099841062</v>
      </c>
      <c r="C20" s="252">
        <f>'2500 kg smeti v metanol brezWGS'!Q10</f>
        <v>116.53445099841062</v>
      </c>
      <c r="D20" s="161">
        <f>'2300kg smeti v met.brezW z H2'!Q10</f>
        <v>116.53445099841062</v>
      </c>
      <c r="E20" s="161"/>
      <c r="F20" s="252"/>
      <c r="G20" s="161"/>
      <c r="H20" s="161"/>
      <c r="I20" s="161"/>
    </row>
    <row r="21" spans="1:9" x14ac:dyDescent="0.3">
      <c r="A21" t="s">
        <v>461</v>
      </c>
      <c r="B21" s="161">
        <f>SUM(B19:B20)</f>
        <v>428.35278001394897</v>
      </c>
      <c r="C21" s="252">
        <f>SUM(C19:C20)</f>
        <v>455.46741731964789</v>
      </c>
      <c r="D21" s="161">
        <f>SUM(D19:D20)</f>
        <v>428.35278001394897</v>
      </c>
      <c r="E21" s="161"/>
      <c r="F21" s="252"/>
      <c r="G21" s="161"/>
      <c r="H21" s="161"/>
      <c r="I21" s="161"/>
    </row>
    <row r="22" spans="1:9" x14ac:dyDescent="0.3">
      <c r="B22" s="161"/>
      <c r="C22" s="252"/>
      <c r="D22" s="161"/>
      <c r="E22" s="161"/>
      <c r="F22" s="252"/>
      <c r="G22" s="161"/>
      <c r="H22" s="161"/>
      <c r="I22" s="161"/>
    </row>
    <row r="23" spans="1:9" x14ac:dyDescent="0.3">
      <c r="A23" t="s">
        <v>469</v>
      </c>
      <c r="B23" s="161"/>
      <c r="C23" s="252"/>
      <c r="D23" s="161"/>
      <c r="E23" s="161"/>
      <c r="F23" s="252"/>
      <c r="G23" s="161"/>
      <c r="H23" s="161"/>
      <c r="I23" s="161"/>
    </row>
    <row r="24" spans="1:9" x14ac:dyDescent="0.3">
      <c r="A24" t="s">
        <v>503</v>
      </c>
      <c r="B24" s="161">
        <f>'2300 kg smeti v metanol'!H31</f>
        <v>83.328000000000003</v>
      </c>
      <c r="C24" s="252">
        <f>'2500 kg smeti v metanol brezWGS'!H32</f>
        <v>97.44</v>
      </c>
      <c r="D24" s="161">
        <f>'2300kg smeti v met.brezW z H2'!H31</f>
        <v>83.328000000000003</v>
      </c>
      <c r="E24" s="161"/>
      <c r="F24" s="252"/>
      <c r="G24" s="161"/>
      <c r="H24" s="161"/>
      <c r="I24" s="161"/>
    </row>
    <row r="25" spans="1:9" x14ac:dyDescent="0.3">
      <c r="A25" t="s">
        <v>466</v>
      </c>
      <c r="B25" s="161">
        <f>'2300 kg smeti v metanol'!H32</f>
        <v>109.36799999999999</v>
      </c>
      <c r="C25" s="252">
        <f>'2500 kg smeti v metanol brezWGS'!H33</f>
        <v>127.89</v>
      </c>
      <c r="D25" s="161">
        <f>'2300kg smeti v met.brezW z H2'!H32</f>
        <v>109.36799999999999</v>
      </c>
      <c r="E25" s="161"/>
      <c r="F25" s="252"/>
      <c r="G25" s="161"/>
      <c r="H25" s="161"/>
      <c r="I25" s="161"/>
    </row>
    <row r="26" spans="1:9" x14ac:dyDescent="0.3">
      <c r="A26" t="s">
        <v>461</v>
      </c>
      <c r="B26" s="161">
        <f>SUM(B24:B25)</f>
        <v>192.696</v>
      </c>
      <c r="C26" s="252">
        <f t="shared" ref="C26:D26" si="2">SUM(C24:C25)</f>
        <v>225.32999999999998</v>
      </c>
      <c r="D26" s="161">
        <f t="shared" si="2"/>
        <v>192.696</v>
      </c>
      <c r="E26" s="161"/>
      <c r="F26" s="252"/>
      <c r="G26" s="161"/>
      <c r="H26" s="161"/>
      <c r="I26" s="161"/>
    </row>
    <row r="27" spans="1:9" x14ac:dyDescent="0.3">
      <c r="B27" s="161"/>
      <c r="C27" s="252"/>
      <c r="D27" s="161"/>
      <c r="E27" s="161"/>
      <c r="F27" s="252"/>
      <c r="G27" s="161"/>
      <c r="H27" s="161"/>
      <c r="I27" s="161"/>
    </row>
    <row r="28" spans="1:9" x14ac:dyDescent="0.3">
      <c r="A28" t="s">
        <v>470</v>
      </c>
      <c r="B28" s="161"/>
      <c r="C28" s="252"/>
      <c r="D28" s="161"/>
      <c r="E28" s="161"/>
      <c r="F28" s="252"/>
      <c r="G28" s="161"/>
      <c r="H28" s="161"/>
      <c r="I28" s="161"/>
    </row>
    <row r="29" spans="1:9" x14ac:dyDescent="0.3">
      <c r="A29" t="s">
        <v>471</v>
      </c>
      <c r="B29" s="161">
        <f>SUM('2300 kg smeti v metanol'!H36:H38)</f>
        <v>2521.3117392054801</v>
      </c>
      <c r="C29" s="252">
        <f>SUM('2500 kg smeti v metanol brezWGS'!H37:H39)</f>
        <v>2747.7744991363907</v>
      </c>
      <c r="D29" s="161">
        <f>SUM('2300kg smeti v met.brezW z H2'!H36:H38)</f>
        <v>2521.3117392054801</v>
      </c>
      <c r="E29" s="161"/>
      <c r="F29" s="252"/>
      <c r="G29" s="161"/>
      <c r="H29" s="161"/>
      <c r="I29" s="161"/>
    </row>
    <row r="30" spans="1:9" x14ac:dyDescent="0.3">
      <c r="A30" t="s">
        <v>464</v>
      </c>
      <c r="B30" s="161">
        <f>'2300 kg smeti v metanol'!H40</f>
        <v>397.50400000000002</v>
      </c>
      <c r="C30" s="252">
        <f>'2500 kg smeti v metanol brezWGS'!H41</f>
        <v>426.92</v>
      </c>
      <c r="D30" s="161">
        <f>'2300kg smeti v met.brezW z H2'!H40</f>
        <v>397.50400000000002</v>
      </c>
      <c r="E30" s="161"/>
      <c r="F30" s="252"/>
      <c r="G30" s="161"/>
      <c r="H30" s="161"/>
      <c r="I30" s="161"/>
    </row>
    <row r="31" spans="1:9" x14ac:dyDescent="0.3">
      <c r="A31" t="s">
        <v>466</v>
      </c>
      <c r="B31" s="161">
        <f>'2300 kg smeti v metanol'!H39</f>
        <v>180.59438126079425</v>
      </c>
      <c r="C31" s="252">
        <f>'2500 kg smeti v metanol brezWGS'!H40</f>
        <v>199.89157383419666</v>
      </c>
      <c r="D31" s="161">
        <f>'2300kg smeti v met.brezW z H2'!H39</f>
        <v>180.59438126079425</v>
      </c>
      <c r="E31" s="161"/>
      <c r="F31" s="252"/>
      <c r="G31" s="161"/>
      <c r="H31" s="161"/>
      <c r="I31" s="161"/>
    </row>
    <row r="32" spans="1:9" x14ac:dyDescent="0.3">
      <c r="A32" t="s">
        <v>461</v>
      </c>
      <c r="B32" s="161">
        <f>SUM(B29:B31)</f>
        <v>3099.4101204662743</v>
      </c>
      <c r="C32" s="252">
        <f t="shared" ref="C32:D32" si="3">SUM(C29:C31)</f>
        <v>3374.5860729705873</v>
      </c>
      <c r="D32" s="161">
        <f t="shared" si="3"/>
        <v>3099.4101204662743</v>
      </c>
      <c r="E32" s="161"/>
      <c r="F32" s="252"/>
      <c r="G32" s="161"/>
      <c r="H32" s="161"/>
      <c r="I32" s="161"/>
    </row>
    <row r="33" spans="1:9" x14ac:dyDescent="0.3">
      <c r="B33" s="161"/>
      <c r="C33" s="252"/>
      <c r="D33" s="161"/>
      <c r="E33" s="161"/>
      <c r="F33" s="252"/>
      <c r="G33" s="161"/>
      <c r="H33" s="161"/>
      <c r="I33" s="161"/>
    </row>
    <row r="34" spans="1:9" x14ac:dyDescent="0.3">
      <c r="A34" t="s">
        <v>472</v>
      </c>
      <c r="B34" s="161"/>
      <c r="C34" s="252"/>
      <c r="D34" s="161"/>
      <c r="E34" s="161"/>
      <c r="F34" s="252"/>
      <c r="G34" s="161"/>
      <c r="H34" s="161"/>
      <c r="I34" s="161"/>
    </row>
    <row r="35" spans="1:9" x14ac:dyDescent="0.3">
      <c r="A35" t="s">
        <v>473</v>
      </c>
      <c r="B35" s="161"/>
      <c r="C35" s="252"/>
      <c r="D35" s="161"/>
      <c r="E35" s="161"/>
      <c r="F35" s="252"/>
      <c r="G35" s="161"/>
      <c r="H35" s="161"/>
      <c r="I35" s="161"/>
    </row>
    <row r="36" spans="1:9" x14ac:dyDescent="0.3">
      <c r="B36" s="161"/>
      <c r="C36" s="252"/>
      <c r="D36" s="161"/>
      <c r="E36" s="161"/>
      <c r="F36" s="252"/>
      <c r="G36" s="161"/>
      <c r="H36" s="161"/>
      <c r="I36" s="161"/>
    </row>
    <row r="37" spans="1:9" x14ac:dyDescent="0.3">
      <c r="A37" t="s">
        <v>509</v>
      </c>
      <c r="B37" s="161"/>
      <c r="C37" s="252"/>
      <c r="D37" s="161">
        <v>100</v>
      </c>
      <c r="E37" s="161"/>
      <c r="F37" s="252"/>
      <c r="G37" s="161"/>
      <c r="H37" s="161"/>
      <c r="I37" s="161"/>
    </row>
    <row r="38" spans="1:9" x14ac:dyDescent="0.3">
      <c r="B38" s="161"/>
      <c r="C38" s="252"/>
      <c r="D38" s="161"/>
      <c r="E38" s="161"/>
      <c r="F38" s="252"/>
      <c r="G38" s="161"/>
      <c r="H38" s="161"/>
      <c r="I38" s="161"/>
    </row>
    <row r="39" spans="1:9" x14ac:dyDescent="0.3">
      <c r="A39" t="s">
        <v>474</v>
      </c>
      <c r="B39" s="161"/>
      <c r="C39" s="252" t="s">
        <v>507</v>
      </c>
      <c r="D39" s="161" t="s">
        <v>508</v>
      </c>
      <c r="E39" s="161"/>
      <c r="F39" s="252"/>
      <c r="G39" s="161"/>
      <c r="H39" s="161"/>
      <c r="I39" s="161"/>
    </row>
    <row r="40" spans="1:9" x14ac:dyDescent="0.3">
      <c r="A40" t="s">
        <v>471</v>
      </c>
      <c r="B40" s="161">
        <f>SUM('2300 kg smeti v metanol'!H47:H49)</f>
        <v>2834.6110555904197</v>
      </c>
      <c r="C40" s="252">
        <f>C29</f>
        <v>2747.7744991363907</v>
      </c>
      <c r="D40" s="161">
        <f>D29+D37</f>
        <v>2621.3117392054801</v>
      </c>
      <c r="E40" s="161"/>
      <c r="F40" s="252"/>
      <c r="G40" s="161"/>
      <c r="H40" s="161"/>
      <c r="I40" s="161"/>
    </row>
    <row r="41" spans="1:9" x14ac:dyDescent="0.3">
      <c r="A41" t="s">
        <v>464</v>
      </c>
      <c r="B41" s="161">
        <f>'2300 kg smeti v metanol'!H51</f>
        <v>84.204683615059935</v>
      </c>
      <c r="C41" s="252">
        <f>C30</f>
        <v>426.92</v>
      </c>
      <c r="D41" s="161">
        <f>D30</f>
        <v>397.50400000000002</v>
      </c>
      <c r="E41" s="161"/>
      <c r="F41" s="252"/>
      <c r="G41" s="161"/>
      <c r="H41" s="161"/>
      <c r="I41" s="161"/>
    </row>
    <row r="42" spans="1:9" x14ac:dyDescent="0.3">
      <c r="A42" t="s">
        <v>466</v>
      </c>
      <c r="B42" s="161">
        <f>'2300 kg smeti v metanol'!H50</f>
        <v>180.59438126079425</v>
      </c>
      <c r="C42" s="252">
        <f>C31</f>
        <v>199.89157383419666</v>
      </c>
      <c r="D42" s="161">
        <f>D31</f>
        <v>180.59438126079425</v>
      </c>
      <c r="E42" s="161"/>
      <c r="F42" s="252"/>
      <c r="G42" s="161"/>
      <c r="H42" s="161"/>
      <c r="I42" s="161"/>
    </row>
    <row r="43" spans="1:9" x14ac:dyDescent="0.3">
      <c r="A43" t="s">
        <v>280</v>
      </c>
      <c r="B43" s="161">
        <f>SUM(B40:B42)</f>
        <v>3099.4101204662738</v>
      </c>
      <c r="C43" s="252">
        <f t="shared" ref="C43:D43" si="4">SUM(C40:C42)</f>
        <v>3374.5860729705873</v>
      </c>
      <c r="D43" s="161">
        <f t="shared" si="4"/>
        <v>3199.4101204662743</v>
      </c>
      <c r="E43" s="161">
        <f>'2300 kg smeti v metanol'!J72</f>
        <v>4316.7857363831499</v>
      </c>
      <c r="F43" s="252">
        <f>'2500 kg smeti v metanol brezWGS'!J73</f>
        <v>4350.2601260793499</v>
      </c>
      <c r="G43" s="161">
        <f>'2300kg smeti v met.brezW z H2'!J73</f>
        <v>5046.9021426596692</v>
      </c>
      <c r="H43" s="161"/>
      <c r="I43" s="161"/>
    </row>
    <row r="44" spans="1:9" x14ac:dyDescent="0.3">
      <c r="B44" s="161"/>
      <c r="C44" s="252"/>
      <c r="D44" s="161"/>
      <c r="E44" s="161"/>
      <c r="F44" s="252"/>
      <c r="G44" s="161"/>
      <c r="H44" s="161"/>
      <c r="I44" s="161"/>
    </row>
    <row r="45" spans="1:9" x14ac:dyDescent="0.3">
      <c r="A45" s="249" t="s">
        <v>475</v>
      </c>
      <c r="B45" s="161"/>
      <c r="C45" s="252"/>
      <c r="D45" s="161"/>
      <c r="E45" s="161"/>
      <c r="F45" s="252"/>
      <c r="G45" s="161"/>
      <c r="H45" s="161"/>
      <c r="I45" s="161"/>
    </row>
    <row r="46" spans="1:9" x14ac:dyDescent="0.3">
      <c r="A46" t="s">
        <v>471</v>
      </c>
      <c r="B46" s="161">
        <f>B40</f>
        <v>2834.6110555904197</v>
      </c>
      <c r="C46" s="252">
        <f>C40</f>
        <v>2747.7744991363907</v>
      </c>
      <c r="D46" s="161">
        <f>D40</f>
        <v>2621.3117392054801</v>
      </c>
      <c r="E46" s="161">
        <f>'2300 kg smeti v metanol'!J70</f>
        <v>4172.3102313745148</v>
      </c>
      <c r="F46" s="252">
        <f>'2500 kg smeti v metanol brezWGS'!J71</f>
        <v>4190.3468670119928</v>
      </c>
      <c r="G46" s="161">
        <f>'2300kg smeti v met.brezW z H2'!J71</f>
        <v>4902.4266376510341</v>
      </c>
      <c r="H46" s="161"/>
      <c r="I46" s="161"/>
    </row>
    <row r="47" spans="1:9" x14ac:dyDescent="0.3">
      <c r="A47" t="s">
        <v>466</v>
      </c>
      <c r="B47" s="161">
        <f>B42</f>
        <v>180.59438126079425</v>
      </c>
      <c r="C47" s="252">
        <f>'2500 kg smeti v metanol brezWGS'!H72</f>
        <v>199.89157383419666</v>
      </c>
      <c r="D47" s="161">
        <f>'2300kg smeti v met.brezW z H2'!H72</f>
        <v>180.59438126079425</v>
      </c>
      <c r="E47" s="161">
        <f>'2300 kg smeti v metanol'!J71</f>
        <v>144.47550500863539</v>
      </c>
      <c r="F47" s="252">
        <f>'2500 kg smeti v metanol brezWGS'!J72</f>
        <v>159.9132590673573</v>
      </c>
      <c r="G47" s="161">
        <f>'2300kg smeti v met.brezW z H2'!J72</f>
        <v>144.47550500863539</v>
      </c>
      <c r="H47" s="161"/>
      <c r="I47" s="161"/>
    </row>
    <row r="48" spans="1:9" x14ac:dyDescent="0.3">
      <c r="A48" s="249" t="s">
        <v>461</v>
      </c>
      <c r="B48" s="250">
        <f>SUM(B46:B47)</f>
        <v>3015.205436851214</v>
      </c>
      <c r="C48" s="253">
        <f t="shared" ref="C48:D48" si="5">SUM(C46:C47)</f>
        <v>2947.6660729705873</v>
      </c>
      <c r="D48" s="250">
        <f t="shared" si="5"/>
        <v>2801.9061204662744</v>
      </c>
      <c r="E48" s="250">
        <f t="shared" ref="E48" si="6">SUM(E46:E47)</f>
        <v>4316.7857363831499</v>
      </c>
      <c r="F48" s="253">
        <f t="shared" ref="F48" si="7">SUM(F46:F47)</f>
        <v>4350.2601260793499</v>
      </c>
      <c r="G48" s="250">
        <f t="shared" ref="G48" si="8">SUM(G46:G47)</f>
        <v>5046.9021426596692</v>
      </c>
      <c r="H48" s="161"/>
      <c r="I48" s="161"/>
    </row>
    <row r="49" spans="1:12" x14ac:dyDescent="0.3">
      <c r="B49" s="161"/>
      <c r="C49" s="252"/>
      <c r="D49" s="161"/>
      <c r="E49" s="161"/>
      <c r="F49" s="252"/>
      <c r="G49" s="161"/>
      <c r="H49" s="161"/>
      <c r="I49" s="161"/>
    </row>
    <row r="50" spans="1:12" x14ac:dyDescent="0.3">
      <c r="A50" t="s">
        <v>476</v>
      </c>
      <c r="B50" s="161"/>
      <c r="C50" s="252"/>
      <c r="D50" s="161"/>
      <c r="E50" s="161"/>
      <c r="F50" s="252"/>
      <c r="G50" s="161"/>
      <c r="H50" s="161"/>
      <c r="I50" s="161"/>
    </row>
    <row r="51" spans="1:12" x14ac:dyDescent="0.3">
      <c r="A51" t="s">
        <v>477</v>
      </c>
      <c r="B51" s="161">
        <f>B41</f>
        <v>84.204683615059935</v>
      </c>
      <c r="C51" s="252">
        <f>C41</f>
        <v>426.92</v>
      </c>
      <c r="D51" s="161">
        <f>D41</f>
        <v>397.50400000000002</v>
      </c>
      <c r="E51" s="161"/>
      <c r="F51" s="252"/>
      <c r="G51" s="161"/>
      <c r="H51" s="161"/>
      <c r="I51" s="161"/>
    </row>
    <row r="52" spans="1:12" x14ac:dyDescent="0.3">
      <c r="B52" s="161"/>
      <c r="C52" s="252"/>
      <c r="D52" s="161"/>
      <c r="E52" s="161"/>
      <c r="F52" s="252"/>
      <c r="G52" s="161"/>
      <c r="H52" s="161"/>
      <c r="I52" s="161"/>
    </row>
    <row r="53" spans="1:12" x14ac:dyDescent="0.3">
      <c r="A53" s="249" t="s">
        <v>478</v>
      </c>
      <c r="B53" s="250"/>
      <c r="C53" s="253" t="s">
        <v>511</v>
      </c>
      <c r="D53" s="250" t="s">
        <v>511</v>
      </c>
      <c r="E53" s="250"/>
      <c r="F53" s="253" t="s">
        <v>511</v>
      </c>
      <c r="G53" s="250" t="s">
        <v>511</v>
      </c>
      <c r="H53" s="161"/>
      <c r="I53" s="161"/>
    </row>
    <row r="54" spans="1:12" x14ac:dyDescent="0.3">
      <c r="A54" t="s">
        <v>510</v>
      </c>
      <c r="B54" s="161">
        <f>'2300 kg smeti v metanol'!$H$77</f>
        <v>9721.2755361220388</v>
      </c>
      <c r="C54" s="252">
        <f>'2500 kg smeti v metanol brezWGS'!H77</f>
        <v>1146.3870236038836</v>
      </c>
      <c r="D54" s="161">
        <f>'2300kg smeti v met.brezW z H2'!H77</f>
        <v>1584.5637950489063</v>
      </c>
      <c r="E54" s="161">
        <f>'2300 kg smeti v metanol'!J77</f>
        <v>20414.680902475047</v>
      </c>
      <c r="F54" s="252">
        <f>'2500 kg smeti v metanol brezWGS'!J78</f>
        <v>12839.534664363495</v>
      </c>
      <c r="G54" s="161">
        <f>'2300kg smeti v met.brezW z H2'!J78</f>
        <v>17747.11450454775</v>
      </c>
      <c r="H54" s="161"/>
      <c r="I54" s="161"/>
    </row>
    <row r="55" spans="1:12" x14ac:dyDescent="0.3">
      <c r="B55" s="161"/>
      <c r="C55" s="252"/>
      <c r="D55" s="161"/>
      <c r="E55" s="161"/>
      <c r="F55" s="252"/>
      <c r="G55" s="161"/>
      <c r="H55" s="161"/>
      <c r="I55" s="161"/>
    </row>
    <row r="56" spans="1:12" x14ac:dyDescent="0.3">
      <c r="A56" s="249" t="s">
        <v>479</v>
      </c>
      <c r="B56" s="161"/>
      <c r="C56" s="252"/>
      <c r="D56" s="161"/>
      <c r="E56" s="161"/>
      <c r="F56" s="252"/>
      <c r="G56" s="161"/>
      <c r="H56" s="161"/>
      <c r="I56" s="161"/>
    </row>
    <row r="57" spans="1:12" x14ac:dyDescent="0.3">
      <c r="A57" t="s">
        <v>471</v>
      </c>
      <c r="B57" s="161">
        <f>'2300 kg smeti v metanol'!$H$84</f>
        <v>12555.88659171246</v>
      </c>
      <c r="C57" s="252">
        <f>'2500 kg smeti v metanol brezWGS'!H85</f>
        <v>3894.1615227402744</v>
      </c>
      <c r="D57" s="161">
        <f>'2300kg smeti v met.brezW z H2'!H85</f>
        <v>4205.8755342543864</v>
      </c>
      <c r="E57" s="161">
        <f>'2300 kg smeti v metanol'!J84</f>
        <v>24586.991133849566</v>
      </c>
      <c r="F57" s="252">
        <f>'2500 kg smeti v metanol brezWGS'!J85</f>
        <v>17029.881531375489</v>
      </c>
      <c r="G57" s="161">
        <f>'2300kg smeti v met.brezW z H2'!J85</f>
        <v>22649.541142198785</v>
      </c>
      <c r="H57" s="161"/>
      <c r="I57" s="161"/>
      <c r="K57" t="s">
        <v>519</v>
      </c>
    </row>
    <row r="58" spans="1:12" x14ac:dyDescent="0.3">
      <c r="A58" t="s">
        <v>466</v>
      </c>
      <c r="B58" s="161">
        <f>'2300 kg smeti v metanol'!$H$83</f>
        <v>180.59438126079425</v>
      </c>
      <c r="C58" s="252">
        <f>'2500 kg smeti v metanol brezWGS'!H86</f>
        <v>199.89157383419666</v>
      </c>
      <c r="D58" s="161">
        <f>'2300kg smeti v met.brezW z H2'!H93</f>
        <v>180.59438126079425</v>
      </c>
      <c r="E58" s="161">
        <f>'2300 kg smeti v metanol'!J85</f>
        <v>144.47550500863539</v>
      </c>
      <c r="F58" s="252">
        <f>'2500 kg smeti v metanol brezWGS'!J86</f>
        <v>159.9132590673573</v>
      </c>
      <c r="G58" s="161">
        <f>'2300kg smeti v met.brezW z H2'!J86</f>
        <v>144.47550500863539</v>
      </c>
      <c r="H58" s="161"/>
      <c r="I58" s="161"/>
      <c r="J58" t="s">
        <v>255</v>
      </c>
      <c r="K58" s="3">
        <f>32/22.4</f>
        <v>1.4285714285714286</v>
      </c>
      <c r="L58" t="s">
        <v>520</v>
      </c>
    </row>
    <row r="59" spans="1:12" x14ac:dyDescent="0.3">
      <c r="A59" s="249" t="s">
        <v>461</v>
      </c>
      <c r="B59" s="250">
        <f>SUM(B57:B58)</f>
        <v>12736.480972973255</v>
      </c>
      <c r="C59" s="253">
        <f t="shared" ref="C59:D59" si="9">SUM(C57:C58)</f>
        <v>4094.0530965744711</v>
      </c>
      <c r="D59" s="250">
        <f t="shared" si="9"/>
        <v>4386.4699155151802</v>
      </c>
      <c r="E59" s="250">
        <f t="shared" ref="E59" si="10">SUM(E57:E58)</f>
        <v>24731.466638858201</v>
      </c>
      <c r="F59" s="253">
        <f t="shared" ref="F59" si="11">SUM(F57:F58)</f>
        <v>17189.794790442847</v>
      </c>
      <c r="G59" s="250">
        <f t="shared" ref="G59" si="12">SUM(G57:G58)</f>
        <v>22794.01664720742</v>
      </c>
      <c r="H59" s="161"/>
      <c r="I59" s="161"/>
      <c r="J59" t="s">
        <v>29</v>
      </c>
      <c r="K59" s="3">
        <f>28/22.4</f>
        <v>1.25</v>
      </c>
      <c r="L59" t="s">
        <v>520</v>
      </c>
    </row>
    <row r="60" spans="1:12" x14ac:dyDescent="0.3">
      <c r="B60" s="161"/>
      <c r="C60" s="252"/>
      <c r="D60" s="161"/>
      <c r="E60" s="161"/>
      <c r="F60" s="252"/>
      <c r="G60" s="161"/>
      <c r="H60" s="161"/>
      <c r="I60" s="161"/>
      <c r="J60" t="s">
        <v>44</v>
      </c>
      <c r="K60" s="3">
        <f>2/22.4</f>
        <v>8.9285714285714288E-2</v>
      </c>
      <c r="L60" t="s">
        <v>520</v>
      </c>
    </row>
    <row r="61" spans="1:12" x14ac:dyDescent="0.3">
      <c r="A61" s="249" t="s">
        <v>480</v>
      </c>
      <c r="B61" s="161"/>
      <c r="C61" s="252"/>
      <c r="D61" s="161"/>
      <c r="E61" s="161"/>
      <c r="F61" s="252"/>
      <c r="G61" s="161"/>
      <c r="H61" s="161"/>
      <c r="I61" s="161"/>
      <c r="J61" t="s">
        <v>23</v>
      </c>
      <c r="K61" s="3">
        <f>44/22.4</f>
        <v>1.9642857142857144</v>
      </c>
      <c r="L61" t="s">
        <v>520</v>
      </c>
    </row>
    <row r="62" spans="1:12" x14ac:dyDescent="0.3">
      <c r="A62" s="249" t="s">
        <v>481</v>
      </c>
      <c r="B62" s="250">
        <f>'2300 kg smeti v metanol'!$H$88</f>
        <v>1715.5195213001023</v>
      </c>
      <c r="C62" s="253">
        <f>'2500 kg smeti v metanol brezWGS'!H89</f>
        <v>1618.4287392054828</v>
      </c>
      <c r="D62" s="250">
        <f>'2300kg smeti v met.brezW z H2'!H89</f>
        <v>2237.0312400690441</v>
      </c>
      <c r="E62" s="161"/>
      <c r="F62" s="252"/>
      <c r="G62" s="161"/>
      <c r="H62" s="161"/>
      <c r="I62" s="161"/>
      <c r="J62" t="s">
        <v>45</v>
      </c>
      <c r="K62" s="3">
        <f>28/22.4</f>
        <v>1.25</v>
      </c>
      <c r="L62" t="s">
        <v>520</v>
      </c>
    </row>
    <row r="63" spans="1:12" x14ac:dyDescent="0.3">
      <c r="A63" t="s">
        <v>512</v>
      </c>
      <c r="B63" s="161">
        <f>B54</f>
        <v>9721.2755361220388</v>
      </c>
      <c r="C63" s="252">
        <f>'2500 kg smeti v metanol brezWGS'!H98</f>
        <v>1146.3870236038836</v>
      </c>
      <c r="D63" s="161">
        <f>'2300kg smeti v met.brezW z H2'!H98</f>
        <v>1584.5637950489063</v>
      </c>
      <c r="E63" s="161">
        <f>'2300 kg smeti v metanol'!J96</f>
        <v>20414.68065524043</v>
      </c>
      <c r="F63" s="252">
        <f>'2500 kg smeti v metanol brezWGS'!J98</f>
        <v>12839.534664363495</v>
      </c>
      <c r="G63" s="161">
        <f>'2300kg smeti v met.brezW z H2'!J98</f>
        <v>17747.11450454775</v>
      </c>
      <c r="H63" s="161"/>
      <c r="I63" s="161"/>
      <c r="J63" t="s">
        <v>225</v>
      </c>
      <c r="K63" s="3">
        <f>18/22.4</f>
        <v>0.8035714285714286</v>
      </c>
      <c r="L63" t="s">
        <v>520</v>
      </c>
    </row>
    <row r="64" spans="1:12" x14ac:dyDescent="0.3">
      <c r="A64" t="s">
        <v>482</v>
      </c>
      <c r="B64" s="161">
        <f>SUM('2300 kg smeti v metanol'!H91:H92)</f>
        <v>1299.6862245943837</v>
      </c>
      <c r="C64" s="252">
        <f>SUM('2500 kg smeti v metanol brezWGS'!H100:H102)</f>
        <v>1329.2373337651047</v>
      </c>
      <c r="D64" s="161">
        <f>SUM('2300kg smeti v met.brezW z H2'!H100:H102)</f>
        <v>564.87488039722973</v>
      </c>
      <c r="E64" s="161">
        <f>SUM('2300 kg smeti v metanol'!J91:J92)</f>
        <v>714.19498888755356</v>
      </c>
      <c r="F64" s="252">
        <f>SUM('2500 kg smeti v metanol brezWGS'!J100:J102)</f>
        <v>951.55977374783708</v>
      </c>
      <c r="G64" s="161">
        <f>SUM('2300kg smeti v met.brezW z H2'!J100:J102)</f>
        <v>349.13653851467677</v>
      </c>
      <c r="H64" s="161"/>
      <c r="I64" s="161"/>
    </row>
    <row r="65" spans="1:9" x14ac:dyDescent="0.3">
      <c r="A65" s="249" t="s">
        <v>280</v>
      </c>
      <c r="B65" s="250">
        <f>SUM(B62:B64)</f>
        <v>12736.481282016524</v>
      </c>
      <c r="C65" s="253">
        <f t="shared" ref="C65:D65" si="13">SUM(C62:C64)</f>
        <v>4094.0530965744711</v>
      </c>
      <c r="D65" s="250">
        <f t="shared" si="13"/>
        <v>4386.4699155151802</v>
      </c>
      <c r="E65" s="250">
        <f t="shared" ref="E65" si="14">SUM(E62:E64)</f>
        <v>21128.875644127984</v>
      </c>
      <c r="F65" s="253">
        <f t="shared" ref="F65" si="15">SUM(F62:F64)</f>
        <v>13791.094438111331</v>
      </c>
      <c r="G65" s="250">
        <f t="shared" ref="G65" si="16">SUM(G62:G64)</f>
        <v>18096.251043062428</v>
      </c>
      <c r="H65" s="161"/>
      <c r="I65" s="16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2:K39"/>
  <sheetViews>
    <sheetView workbookViewId="0">
      <selection activeCell="B55" sqref="B55"/>
    </sheetView>
  </sheetViews>
  <sheetFormatPr defaultRowHeight="14.4" x14ac:dyDescent="0.3"/>
  <cols>
    <col min="2" max="2" width="39.6640625" bestFit="1" customWidth="1"/>
    <col min="6" max="13" width="0" hidden="1" customWidth="1"/>
  </cols>
  <sheetData>
    <row r="2" spans="1:11" x14ac:dyDescent="0.3">
      <c r="C2" t="s">
        <v>294</v>
      </c>
      <c r="D2" t="s">
        <v>266</v>
      </c>
    </row>
    <row r="3" spans="1:11" x14ac:dyDescent="0.3">
      <c r="B3">
        <f>G4</f>
        <v>0</v>
      </c>
      <c r="C3" s="213">
        <f>H4</f>
        <v>0</v>
      </c>
      <c r="D3" s="312">
        <f>'03. Uplinjanje'!I6</f>
        <v>0.17712800122166833</v>
      </c>
    </row>
    <row r="4" spans="1:11" x14ac:dyDescent="0.3">
      <c r="A4" t="s">
        <v>338</v>
      </c>
      <c r="C4" s="320" t="s">
        <v>19</v>
      </c>
      <c r="E4">
        <f>1/3.6</f>
        <v>0.27777777777777779</v>
      </c>
    </row>
    <row r="5" spans="1:11" x14ac:dyDescent="0.3">
      <c r="A5" s="162">
        <f>A7/A6*2</f>
        <v>-2.5208205710795233</v>
      </c>
      <c r="C5" s="213" t="s">
        <v>20</v>
      </c>
      <c r="D5" t="s">
        <v>369</v>
      </c>
      <c r="E5" t="s">
        <v>368</v>
      </c>
      <c r="H5" s="170"/>
      <c r="I5" s="170" t="s">
        <v>593</v>
      </c>
      <c r="J5" s="170" t="s">
        <v>594</v>
      </c>
      <c r="K5" s="170" t="s">
        <v>595</v>
      </c>
    </row>
    <row r="6" spans="1:11" x14ac:dyDescent="0.3">
      <c r="A6" s="212">
        <v>7</v>
      </c>
      <c r="B6" s="301" t="s">
        <v>296</v>
      </c>
      <c r="C6" s="321">
        <f>Thermodynamics!E18</f>
        <v>-205.82599999999999</v>
      </c>
      <c r="D6" s="190">
        <f>A6*C6</f>
        <v>-1440.7819999999999</v>
      </c>
      <c r="E6" s="190">
        <f>D6*$E$20</f>
        <v>0</v>
      </c>
      <c r="H6" s="170" t="s">
        <v>2</v>
      </c>
      <c r="I6" s="170">
        <f>8.5*2</f>
        <v>17</v>
      </c>
      <c r="J6" s="170">
        <f>ROUND('01.Vhodni podatki'!D9/12*200,1)*2</f>
        <v>16.600000000000001</v>
      </c>
      <c r="K6" s="188">
        <f>(I6-J6)/J6</f>
        <v>2.4096385542168586E-2</v>
      </c>
    </row>
    <row r="7" spans="1:11" x14ac:dyDescent="0.3">
      <c r="A7" s="338">
        <f>D3-A6-A9</f>
        <v>-8.8228719987783322</v>
      </c>
      <c r="B7" s="301" t="s">
        <v>615</v>
      </c>
      <c r="C7" s="321">
        <f>Thermodynamics!E19</f>
        <v>-90.389999999999986</v>
      </c>
      <c r="D7" s="190">
        <f>C7*A7</f>
        <v>797.49939996957335</v>
      </c>
      <c r="E7" s="190">
        <f t="shared" ref="E7:E12" si="0">D7*$E$20</f>
        <v>0</v>
      </c>
      <c r="H7" s="170" t="s">
        <v>3</v>
      </c>
      <c r="I7" s="170">
        <f>16.5*2</f>
        <v>33</v>
      </c>
      <c r="J7" s="170">
        <f>ROUND('01.Vhodni podatki'!D10/1*200,1)*2</f>
        <v>33.200000000000003</v>
      </c>
      <c r="K7" s="188">
        <f t="shared" ref="K7:K8" si="1">(I7-J7)/J7</f>
        <v>-6.024096385542254E-3</v>
      </c>
    </row>
    <row r="8" spans="1:11" x14ac:dyDescent="0.3">
      <c r="A8" s="338">
        <f>(A6+A7)*9*F8</f>
        <v>-0.82029239945024957</v>
      </c>
      <c r="B8" s="301" t="s">
        <v>27</v>
      </c>
      <c r="C8" s="321" t="e">
        <f>Thermodynamics!#REF!</f>
        <v>#REF!</v>
      </c>
      <c r="D8" s="190" t="e">
        <f>A8*C8</f>
        <v>#REF!</v>
      </c>
      <c r="E8" s="190" t="e">
        <f t="shared" si="0"/>
        <v>#REF!</v>
      </c>
      <c r="F8" s="214">
        <v>0.05</v>
      </c>
      <c r="G8" t="s">
        <v>600</v>
      </c>
      <c r="H8" s="170" t="s">
        <v>4</v>
      </c>
      <c r="I8" s="170">
        <f>3*2</f>
        <v>6</v>
      </c>
      <c r="J8" s="170">
        <f>ROUND('01.Vhodni podatki'!D11/16*200,1)*2</f>
        <v>6.2</v>
      </c>
      <c r="K8" s="188">
        <f t="shared" si="1"/>
        <v>-3.2258064516129059E-2</v>
      </c>
    </row>
    <row r="9" spans="1:11" x14ac:dyDescent="0.3">
      <c r="A9" s="212">
        <v>2</v>
      </c>
      <c r="B9" s="291" t="s">
        <v>413</v>
      </c>
      <c r="C9" s="322" t="e">
        <f>Thermodynamics!B8+Thermodynamics!#REF!+Thermodynamics!#REF!-Thermodynamics!B4</f>
        <v>#REF!</v>
      </c>
      <c r="D9" s="190" t="e">
        <f>A9*C9</f>
        <v>#REF!</v>
      </c>
      <c r="E9" s="190" t="e">
        <f>D9*$E$20</f>
        <v>#REF!</v>
      </c>
      <c r="F9">
        <f>A9*H16*2</f>
        <v>368</v>
      </c>
      <c r="G9" t="s">
        <v>601</v>
      </c>
    </row>
    <row r="10" spans="1:11" hidden="1" x14ac:dyDescent="0.3">
      <c r="B10" s="229" t="s">
        <v>388</v>
      </c>
      <c r="C10" s="190"/>
      <c r="D10" s="190" t="e">
        <f>SUM(D6:D9)*0.75</f>
        <v>#REF!</v>
      </c>
      <c r="E10" s="190" t="e">
        <f t="shared" si="0"/>
        <v>#REF!</v>
      </c>
      <c r="G10" t="s">
        <v>602</v>
      </c>
    </row>
    <row r="11" spans="1:11" hidden="1" x14ac:dyDescent="0.3">
      <c r="B11" s="229" t="s">
        <v>337</v>
      </c>
      <c r="C11" s="190"/>
      <c r="D11" s="190" t="e">
        <f>SUM(#REF!)</f>
        <v>#REF!</v>
      </c>
      <c r="E11" s="190" t="e">
        <f t="shared" si="0"/>
        <v>#REF!</v>
      </c>
    </row>
    <row r="12" spans="1:11" hidden="1" x14ac:dyDescent="0.3">
      <c r="B12" s="229" t="s">
        <v>367</v>
      </c>
      <c r="C12" s="190"/>
      <c r="D12" s="190" t="e">
        <f>SUM(D10:D11)</f>
        <v>#REF!</v>
      </c>
      <c r="E12" s="190" t="e">
        <f t="shared" si="0"/>
        <v>#REF!</v>
      </c>
    </row>
    <row r="13" spans="1:11" hidden="1" x14ac:dyDescent="0.3">
      <c r="B13" s="193"/>
      <c r="C13" s="204"/>
      <c r="D13" s="204"/>
      <c r="E13" s="204"/>
    </row>
    <row r="14" spans="1:11" hidden="1" x14ac:dyDescent="0.3">
      <c r="A14">
        <f>A9/A6</f>
        <v>0.2857142857142857</v>
      </c>
    </row>
    <row r="15" spans="1:11" hidden="1" x14ac:dyDescent="0.3">
      <c r="B15" s="193"/>
      <c r="C15" s="204"/>
      <c r="D15" s="204"/>
      <c r="E15" s="204"/>
      <c r="G15" s="249" t="s">
        <v>599</v>
      </c>
      <c r="H15" s="249">
        <f>12*17+33+6*16</f>
        <v>333</v>
      </c>
    </row>
    <row r="16" spans="1:11" hidden="1" x14ac:dyDescent="0.3">
      <c r="B16" t="s">
        <v>256</v>
      </c>
      <c r="C16" s="204">
        <v>-41.153999999999996</v>
      </c>
      <c r="D16" s="3"/>
      <c r="E16" s="3"/>
      <c r="G16" s="249" t="s">
        <v>414</v>
      </c>
      <c r="H16" s="249">
        <f>7*12+8</f>
        <v>92</v>
      </c>
    </row>
    <row r="17" spans="1:8" hidden="1" x14ac:dyDescent="0.3">
      <c r="C17" s="204"/>
      <c r="D17" s="3"/>
      <c r="E17" s="3"/>
      <c r="G17" t="s">
        <v>295</v>
      </c>
      <c r="H17">
        <f>9*12+18+3*16</f>
        <v>174</v>
      </c>
    </row>
    <row r="18" spans="1:8" hidden="1" x14ac:dyDescent="0.3">
      <c r="B18" t="s">
        <v>308</v>
      </c>
      <c r="C18" s="204">
        <f>Thermodynamics!$E$18</f>
        <v>-205.82599999999999</v>
      </c>
    </row>
    <row r="19" spans="1:8" hidden="1" x14ac:dyDescent="0.3">
      <c r="C19" s="204"/>
    </row>
    <row r="20" spans="1:8" hidden="1" x14ac:dyDescent="0.3">
      <c r="B20" t="s">
        <v>319</v>
      </c>
      <c r="C20" s="204">
        <f>Thermodynamics!$E$19</f>
        <v>-90.389999999999986</v>
      </c>
    </row>
    <row r="21" spans="1:8" hidden="1" x14ac:dyDescent="0.3">
      <c r="C21" s="204"/>
    </row>
    <row r="22" spans="1:8" hidden="1" x14ac:dyDescent="0.3">
      <c r="C22" s="204" t="s">
        <v>387</v>
      </c>
      <c r="D22" t="s">
        <v>15</v>
      </c>
    </row>
    <row r="23" spans="1:8" hidden="1" x14ac:dyDescent="0.3">
      <c r="B23" s="229" t="s">
        <v>386</v>
      </c>
      <c r="C23" s="259" t="e">
        <f>9*(Thermodynamics!#REF!+Thermodynamics!#REF!)-Thermodynamics!B4</f>
        <v>#REF!</v>
      </c>
      <c r="D23" s="259" t="e">
        <f>C23/Thermodynamics!B5</f>
        <v>#REF!</v>
      </c>
    </row>
    <row r="24" spans="1:8" hidden="1" x14ac:dyDescent="0.3">
      <c r="B24" t="s">
        <v>389</v>
      </c>
      <c r="D24">
        <v>-22.4</v>
      </c>
    </row>
    <row r="25" spans="1:8" hidden="1" x14ac:dyDescent="0.3">
      <c r="B25" t="s">
        <v>390</v>
      </c>
      <c r="D25" s="162" t="e">
        <f>D24/D23</f>
        <v>#REF!</v>
      </c>
    </row>
    <row r="26" spans="1:8" hidden="1" x14ac:dyDescent="0.3"/>
    <row r="27" spans="1:8" hidden="1" x14ac:dyDescent="0.3">
      <c r="A27">
        <f>60%*A9</f>
        <v>1.2</v>
      </c>
      <c r="B27" t="s">
        <v>420</v>
      </c>
      <c r="C27" t="e">
        <f>7*Thermodynamics!#REF!-Thermodynamics!B8</f>
        <v>#REF!</v>
      </c>
      <c r="D27" s="190" t="e">
        <f>A27*C27</f>
        <v>#REF!</v>
      </c>
      <c r="E27" s="190" t="e">
        <f>D27*$E$20</f>
        <v>#REF!</v>
      </c>
    </row>
    <row r="28" spans="1:8" hidden="1" x14ac:dyDescent="0.3">
      <c r="A28">
        <f>40%*A9</f>
        <v>0.8</v>
      </c>
      <c r="B28" t="s">
        <v>419</v>
      </c>
      <c r="C28" t="e">
        <f>7*Thermodynamics!#REF!-Thermodynamics!B8-7*Thermodynamics!#REF!</f>
        <v>#REF!</v>
      </c>
      <c r="D28" s="190" t="e">
        <f>C28*A28</f>
        <v>#REF!</v>
      </c>
      <c r="E28" s="190" t="e">
        <f t="shared" ref="E28" si="2">D28*$E$20</f>
        <v>#REF!</v>
      </c>
    </row>
    <row r="29" spans="1:8" hidden="1" x14ac:dyDescent="0.3">
      <c r="E29" s="204" t="e">
        <f>SUM(E27:E28)</f>
        <v>#REF!</v>
      </c>
    </row>
    <row r="30" spans="1:8" hidden="1" x14ac:dyDescent="0.3">
      <c r="E30" s="3" t="e">
        <f>E29/SUM(J7:J10)</f>
        <v>#REF!</v>
      </c>
    </row>
    <row r="31" spans="1:8" hidden="1" x14ac:dyDescent="0.3"/>
    <row r="32" spans="1:8" hidden="1" x14ac:dyDescent="0.3">
      <c r="B32" t="s">
        <v>489</v>
      </c>
      <c r="C32">
        <f>12+3+16+1</f>
        <v>32</v>
      </c>
    </row>
    <row r="33" spans="1:2" hidden="1" x14ac:dyDescent="0.3"/>
    <row r="34" spans="1:2" hidden="1" x14ac:dyDescent="0.3"/>
    <row r="35" spans="1:2" hidden="1" x14ac:dyDescent="0.3"/>
    <row r="36" spans="1:2" hidden="1" x14ac:dyDescent="0.3"/>
    <row r="39" spans="1:2" x14ac:dyDescent="0.3">
      <c r="A39" s="319">
        <f>'03. Uplinjanje'!H29</f>
        <v>28.99502716150446</v>
      </c>
      <c r="B39" t="s">
        <v>623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2:H62"/>
  <sheetViews>
    <sheetView topLeftCell="A16" workbookViewId="0">
      <selection activeCell="C23" sqref="C23"/>
    </sheetView>
  </sheetViews>
  <sheetFormatPr defaultRowHeight="14.4" x14ac:dyDescent="0.3"/>
  <cols>
    <col min="3" max="3" width="11" bestFit="1" customWidth="1"/>
    <col min="4" max="4" width="9.44140625" bestFit="1" customWidth="1"/>
    <col min="5" max="6" width="11" bestFit="1" customWidth="1"/>
    <col min="7" max="7" width="12" bestFit="1" customWidth="1"/>
  </cols>
  <sheetData>
    <row r="22" spans="1:8" x14ac:dyDescent="0.3">
      <c r="C22">
        <f>273+225</f>
        <v>498</v>
      </c>
      <c r="D22" s="245">
        <f>10^(5139/C22-12.621)</f>
        <v>4.9920291014049732E-3</v>
      </c>
    </row>
    <row r="24" spans="1:8" x14ac:dyDescent="0.3">
      <c r="D24" t="s">
        <v>485</v>
      </c>
      <c r="F24" s="248">
        <f>H33/(H34*(H35^2))</f>
        <v>2.8537463207535746E-3</v>
      </c>
    </row>
    <row r="26" spans="1:8" x14ac:dyDescent="0.3">
      <c r="D26" t="s">
        <v>486</v>
      </c>
    </row>
    <row r="27" spans="1:8" x14ac:dyDescent="0.3">
      <c r="D27" t="s">
        <v>487</v>
      </c>
    </row>
    <row r="32" spans="1:8" x14ac:dyDescent="0.3">
      <c r="A32" s="247">
        <f>'2500 kg smeti v metanol brezWGS'!F88</f>
        <v>0</v>
      </c>
      <c r="B32" s="247" t="str">
        <f>'2500 kg smeti v metanol brezWGS'!G88</f>
        <v>Sinteza metanola</v>
      </c>
      <c r="C32" s="247" t="str">
        <f>'2500 kg smeti v metanol brezWGS'!H88</f>
        <v>kg</v>
      </c>
      <c r="D32" s="247" t="str">
        <f>'2500 kg smeti v metanol brezWGS'!I88</f>
        <v>kmol</v>
      </c>
      <c r="E32" s="247" t="str">
        <f>'2500 kg smeti v metanol brezWGS'!J88</f>
        <v>Nm3</v>
      </c>
      <c r="F32" s="247">
        <f>'2500 kg smeti v metanol brezWGS'!K88</f>
        <v>0</v>
      </c>
      <c r="G32" s="247" t="str">
        <f>'2500 kg smeti v metanol brezWGS'!L88</f>
        <v>deleži</v>
      </c>
      <c r="H32" s="247" t="str">
        <f>'2500 kg smeti v metanol brezWGS'!M88</f>
        <v>bar</v>
      </c>
    </row>
    <row r="33" spans="1:8" x14ac:dyDescent="0.3">
      <c r="A33" s="214">
        <f>'2500 kg smeti v metanol brezWGS'!F89</f>
        <v>0.15</v>
      </c>
      <c r="B33" s="214" t="str">
        <f>'2500 kg smeti v metanol brezWGS'!G89</f>
        <v xml:space="preserve">Metanol </v>
      </c>
      <c r="C33" s="247">
        <f>'2500 kg smeti v metanol brezWGS'!H89</f>
        <v>1618.4287392054828</v>
      </c>
      <c r="D33" s="247">
        <f>'2500 kg smeti v metanol brezWGS'!I89</f>
        <v>50.575898100171337</v>
      </c>
      <c r="E33" s="247">
        <f>'2500 kg smeti v metanol brezWGS'!J89</f>
        <v>1132.9001174438379</v>
      </c>
      <c r="F33" s="247">
        <f>'2500 kg smeti v metanol brezWGS'!K89</f>
        <v>0</v>
      </c>
      <c r="G33" s="214">
        <f>'2500 kg smeti v metanol brezWGS'!L89</f>
        <v>7.5911319400886371E-2</v>
      </c>
      <c r="H33" s="247">
        <f>'2500 kg smeti v metanol brezWGS'!M89</f>
        <v>2.2773395820265909</v>
      </c>
    </row>
    <row r="34" spans="1:8" x14ac:dyDescent="0.3">
      <c r="A34" s="214"/>
      <c r="B34" s="214" t="str">
        <f>'2500 kg smeti v metanol brezWGS'!G90</f>
        <v>CO</v>
      </c>
      <c r="C34" s="247">
        <f>'2500 kg smeti v metanol brezWGS'!H90</f>
        <v>744.92981433506009</v>
      </c>
      <c r="D34" s="247">
        <f>'2500 kg smeti v metanol brezWGS'!I90</f>
        <v>26.604636226252147</v>
      </c>
      <c r="E34" s="247">
        <f>'2500 kg smeti v metanol brezWGS'!J90</f>
        <v>595.94385146804802</v>
      </c>
      <c r="F34" s="247">
        <f>'2500 kg smeti v metanol brezWGS'!K90</f>
        <v>0</v>
      </c>
      <c r="G34" s="214">
        <f>'2500 kg smeti v metanol brezWGS'!L90</f>
        <v>3.9931926351863975E-2</v>
      </c>
      <c r="H34" s="247">
        <f>'2500 kg smeti v metanol brezWGS'!M90</f>
        <v>1.1979577905559193</v>
      </c>
    </row>
    <row r="35" spans="1:8" x14ac:dyDescent="0.3">
      <c r="A35" s="214"/>
      <c r="B35" s="214" t="str">
        <f>'2500 kg smeti v metanol brezWGS'!G91</f>
        <v>H2</v>
      </c>
      <c r="C35" s="247">
        <f>'2500 kg smeti v metanol brezWGS'!H91</f>
        <v>1146.3870236038836</v>
      </c>
      <c r="D35" s="247">
        <f>'2500 kg smeti v metanol brezWGS'!I91</f>
        <v>573.19351180194178</v>
      </c>
      <c r="E35" s="247">
        <f>'2500 kg smeti v metanol brezWGS'!J91</f>
        <v>12839.534664363495</v>
      </c>
      <c r="F35" s="247">
        <f>'2500 kg smeti v metanol brezWGS'!K91</f>
        <v>13435.478515831543</v>
      </c>
      <c r="G35" s="214">
        <f>'2500 kg smeti v metanol brezWGS'!L91</f>
        <v>0.8603282865433789</v>
      </c>
      <c r="H35" s="247">
        <f>'2500 kg smeti v metanol brezWGS'!M91</f>
        <v>25.809848596301368</v>
      </c>
    </row>
    <row r="36" spans="1:8" x14ac:dyDescent="0.3">
      <c r="A36" s="214"/>
      <c r="B36" s="214" t="str">
        <f>'2500 kg smeti v metanol brezWGS'!G92</f>
        <v>CO2</v>
      </c>
      <c r="C36" s="247">
        <f>'2500 kg smeti v metanol brezWGS'!H92</f>
        <v>384.41594559584809</v>
      </c>
      <c r="D36" s="247">
        <f>'2500 kg smeti v metanol brezWGS'!I92</f>
        <v>8.7367260362692747</v>
      </c>
      <c r="E36" s="247">
        <f>'2500 kg smeti v metanol brezWGS'!J92</f>
        <v>195.70266321243173</v>
      </c>
      <c r="F36" s="247">
        <f>'2500 kg smeti v metanol brezWGS'!K92</f>
        <v>0</v>
      </c>
      <c r="G36" s="214">
        <f>'2500 kg smeti v metanol brezWGS'!L92</f>
        <v>1.311328964131692E-2</v>
      </c>
      <c r="H36" s="247">
        <f>'2500 kg smeti v metanol brezWGS'!M92</f>
        <v>0.3933986892395076</v>
      </c>
    </row>
    <row r="37" spans="1:8" x14ac:dyDescent="0.3">
      <c r="A37" s="214"/>
      <c r="B37" s="214" t="str">
        <f>'2500 kg smeti v metanol brezWGS'!G93</f>
        <v>N2</v>
      </c>
      <c r="C37" s="247">
        <f>'2500 kg smeti v metanol brezWGS'!H93</f>
        <v>199.89157383419666</v>
      </c>
      <c r="D37" s="247">
        <f>'2500 kg smeti v metanol brezWGS'!I93</f>
        <v>7.1389847797927377</v>
      </c>
      <c r="E37" s="247">
        <f>'2500 kg smeti v metanol brezWGS'!J93</f>
        <v>159.9132590673573</v>
      </c>
      <c r="F37" s="247">
        <f>'2500 kg smeti v metanol brezWGS'!K93</f>
        <v>355.61592227978906</v>
      </c>
      <c r="G37" s="214">
        <f>'2500 kg smeti v metanol brezWGS'!L93</f>
        <v>1.0715178062553813E-2</v>
      </c>
      <c r="H37" s="247">
        <f>'2500 kg smeti v metanol brezWGS'!M93</f>
        <v>0.3214553418766144</v>
      </c>
    </row>
    <row r="38" spans="1:8" x14ac:dyDescent="0.3">
      <c r="A38" s="214"/>
      <c r="B38" s="214" t="str">
        <f>'2500 kg smeti v metanol brezWGS'!G94</f>
        <v>skupaj</v>
      </c>
      <c r="C38" s="247">
        <f>'2500 kg smeti v metanol brezWGS'!H94</f>
        <v>4094.0530965744711</v>
      </c>
      <c r="D38" s="247">
        <f>'2500 kg smeti v metanol brezWGS'!I94</f>
        <v>666.2497569444273</v>
      </c>
      <c r="E38" s="247">
        <f>'2500 kg smeti v metanol brezWGS'!J94</f>
        <v>14923.994555555171</v>
      </c>
      <c r="F38" s="247">
        <f>'2500 kg smeti v metanol brezWGS'!K94</f>
        <v>0</v>
      </c>
      <c r="G38" s="214">
        <f>'2500 kg smeti v metanol brezWGS'!L94</f>
        <v>0</v>
      </c>
      <c r="H38" s="247">
        <f>'2500 kg smeti v metanol brezWGS'!M94</f>
        <v>0</v>
      </c>
    </row>
    <row r="62" spans="4:5" x14ac:dyDescent="0.3">
      <c r="D62" t="s">
        <v>484</v>
      </c>
      <c r="E62">
        <f xml:space="preserve"> 10^(3749/(273+225)-9.28*LOG(273+225)+2.64/1000*(273+225)+1.195)</f>
        <v>1.0175227990389216E-15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54"/>
  <sheetViews>
    <sheetView workbookViewId="0">
      <selection activeCell="H32" sqref="H32"/>
    </sheetView>
  </sheetViews>
  <sheetFormatPr defaultRowHeight="14.4" x14ac:dyDescent="0.3"/>
  <cols>
    <col min="1" max="1" width="3" customWidth="1"/>
    <col min="2" max="2" width="37.44140625" bestFit="1" customWidth="1"/>
    <col min="3" max="3" width="6.88671875" customWidth="1"/>
    <col min="4" max="4" width="8.33203125" customWidth="1"/>
    <col min="5" max="5" width="7.33203125" customWidth="1"/>
    <col min="6" max="6" width="0.88671875" customWidth="1"/>
    <col min="7" max="7" width="7.44140625" customWidth="1"/>
    <col min="8" max="8" width="8.33203125" customWidth="1"/>
    <col min="9" max="9" width="7.88671875" customWidth="1"/>
    <col min="10" max="10" width="1.109375" customWidth="1"/>
    <col min="11" max="11" width="6" bestFit="1" customWidth="1"/>
    <col min="16" max="16" width="10.33203125" bestFit="1" customWidth="1"/>
    <col min="17" max="17" width="5.5546875" bestFit="1" customWidth="1"/>
    <col min="18" max="18" width="8.33203125" bestFit="1" customWidth="1"/>
  </cols>
  <sheetData>
    <row r="1" spans="1:18" ht="15.6" x14ac:dyDescent="0.3">
      <c r="A1" s="180" t="s">
        <v>397</v>
      </c>
      <c r="K1" s="2" t="s">
        <v>183</v>
      </c>
      <c r="L1" s="2"/>
    </row>
    <row r="2" spans="1:18" x14ac:dyDescent="0.3">
      <c r="A2" s="173"/>
      <c r="B2" s="236"/>
      <c r="C2" s="237" t="s">
        <v>182</v>
      </c>
      <c r="D2" s="237" t="s">
        <v>181</v>
      </c>
      <c r="E2" s="237" t="s">
        <v>180</v>
      </c>
      <c r="F2" s="178"/>
      <c r="G2" s="178" t="s">
        <v>179</v>
      </c>
      <c r="H2" s="178" t="s">
        <v>178</v>
      </c>
      <c r="I2" s="178" t="s">
        <v>177</v>
      </c>
      <c r="J2" s="1"/>
      <c r="K2" s="186" t="e">
        <f>'01.Vhodni podatki'!#REF!</f>
        <v>#REF!</v>
      </c>
      <c r="L2" s="177" t="s">
        <v>176</v>
      </c>
      <c r="P2" t="s">
        <v>145</v>
      </c>
    </row>
    <row r="3" spans="1:18" x14ac:dyDescent="0.3">
      <c r="A3" s="173"/>
      <c r="B3" s="238" t="s">
        <v>185</v>
      </c>
      <c r="C3" s="237"/>
      <c r="D3" s="237"/>
      <c r="E3" s="237"/>
      <c r="F3" s="178"/>
      <c r="G3" s="178"/>
      <c r="H3" s="178"/>
      <c r="I3" s="184" t="e">
        <f>I4*K3</f>
        <v>#REF!</v>
      </c>
      <c r="J3" s="1"/>
      <c r="K3" s="185">
        <v>0.8</v>
      </c>
      <c r="L3" s="187" t="s">
        <v>187</v>
      </c>
      <c r="P3" t="s">
        <v>144</v>
      </c>
      <c r="Q3" s="161">
        <f>C27</f>
        <v>915.76775906735463</v>
      </c>
      <c r="R3" t="s">
        <v>9</v>
      </c>
    </row>
    <row r="4" spans="1:18" x14ac:dyDescent="0.3">
      <c r="A4" s="475" t="s">
        <v>175</v>
      </c>
      <c r="B4" s="239" t="s">
        <v>174</v>
      </c>
      <c r="C4" s="240"/>
      <c r="D4" s="240"/>
      <c r="E4" s="240"/>
      <c r="F4" s="169"/>
      <c r="G4" s="169"/>
      <c r="H4" s="169"/>
      <c r="I4" s="169" t="e">
        <f>H6-I5</f>
        <v>#REF!</v>
      </c>
      <c r="K4" s="176">
        <v>0.3</v>
      </c>
      <c r="L4" s="2" t="s">
        <v>188</v>
      </c>
      <c r="Q4" s="181">
        <f>Q3/K22</f>
        <v>824.27341050166933</v>
      </c>
      <c r="R4" t="s">
        <v>189</v>
      </c>
    </row>
    <row r="5" spans="1:18" x14ac:dyDescent="0.3">
      <c r="A5" s="475"/>
      <c r="B5" s="239" t="s">
        <v>173</v>
      </c>
      <c r="C5" s="240"/>
      <c r="D5" s="240"/>
      <c r="E5" s="240"/>
      <c r="F5" s="169"/>
      <c r="G5" s="169"/>
      <c r="H5" s="169"/>
      <c r="I5" s="169" t="e">
        <f>K2</f>
        <v>#REF!</v>
      </c>
      <c r="J5" s="161"/>
      <c r="K5" s="157" t="e">
        <f ca="1">I5/G29</f>
        <v>#DIV/0!</v>
      </c>
      <c r="L5" s="2" t="s">
        <v>172</v>
      </c>
      <c r="P5" t="s">
        <v>137</v>
      </c>
      <c r="Q5" s="181">
        <f>C20</f>
        <v>192.696</v>
      </c>
      <c r="R5" t="s">
        <v>9</v>
      </c>
    </row>
    <row r="6" spans="1:18" x14ac:dyDescent="0.3">
      <c r="A6" s="475"/>
      <c r="B6" s="239" t="s">
        <v>171</v>
      </c>
      <c r="C6" s="240"/>
      <c r="D6" s="240"/>
      <c r="E6" s="240"/>
      <c r="F6" s="169"/>
      <c r="G6" s="169"/>
      <c r="H6" s="169" t="e">
        <f>1/K4*I5</f>
        <v>#REF!</v>
      </c>
      <c r="I6" s="169"/>
      <c r="K6" s="6" t="e">
        <f>(H6/(E6/K22))*3.6</f>
        <v>#REF!</v>
      </c>
      <c r="L6" s="2" t="s">
        <v>170</v>
      </c>
      <c r="Q6" s="181">
        <f>Q5/K22</f>
        <v>173.44374437443744</v>
      </c>
      <c r="R6" t="s">
        <v>189</v>
      </c>
    </row>
    <row r="7" spans="1:18" x14ac:dyDescent="0.3">
      <c r="A7" s="475"/>
      <c r="B7" s="239" t="s">
        <v>412</v>
      </c>
      <c r="C7" s="240"/>
      <c r="D7" s="240"/>
      <c r="E7" s="240"/>
      <c r="F7" s="169"/>
      <c r="G7" s="169"/>
      <c r="H7" s="169"/>
      <c r="I7" s="169"/>
      <c r="K7" s="6"/>
      <c r="L7" s="2"/>
      <c r="Q7" s="181"/>
    </row>
    <row r="8" spans="1:18" x14ac:dyDescent="0.3">
      <c r="A8" s="475"/>
      <c r="B8" s="239" t="s">
        <v>411</v>
      </c>
      <c r="C8" s="240"/>
      <c r="D8" s="240"/>
      <c r="E8" s="240">
        <f>'2300 kg smeti v metanol'!H102</f>
        <v>1715.5191681077915</v>
      </c>
      <c r="F8" s="169"/>
      <c r="G8" s="169"/>
      <c r="H8" s="169"/>
      <c r="I8" s="169"/>
      <c r="K8" s="6"/>
      <c r="L8" s="2"/>
      <c r="Q8" s="181"/>
    </row>
    <row r="9" spans="1:18" x14ac:dyDescent="0.3">
      <c r="A9" s="475"/>
      <c r="B9" s="239" t="s">
        <v>410</v>
      </c>
      <c r="C9" s="240"/>
      <c r="D9" s="240">
        <f>D15-E13-E11</f>
        <v>1715.5192122568303</v>
      </c>
      <c r="E9" s="240"/>
      <c r="F9" s="169"/>
      <c r="G9" s="169"/>
      <c r="H9" s="169"/>
      <c r="I9" s="169"/>
      <c r="K9" s="6"/>
      <c r="L9" s="2"/>
      <c r="Q9" s="181"/>
    </row>
    <row r="10" spans="1:18" x14ac:dyDescent="0.3">
      <c r="A10" s="475"/>
      <c r="B10" s="239" t="s">
        <v>409</v>
      </c>
      <c r="C10" s="240"/>
      <c r="D10" s="240"/>
      <c r="E10" s="240"/>
      <c r="F10" s="169"/>
      <c r="G10" s="169"/>
      <c r="H10" s="169"/>
      <c r="I10" s="169"/>
      <c r="K10" s="6"/>
      <c r="L10" s="2"/>
      <c r="Q10" s="181"/>
    </row>
    <row r="11" spans="1:18" x14ac:dyDescent="0.3">
      <c r="A11" s="475"/>
      <c r="B11" s="239" t="s">
        <v>407</v>
      </c>
      <c r="C11" s="240"/>
      <c r="D11" s="240"/>
      <c r="E11" s="240">
        <f>'2300 kg smeti v metanol'!H50+'2300 kg smeti v metanol'!H49</f>
        <v>1299.6862245943837</v>
      </c>
      <c r="F11" s="169"/>
      <c r="G11" s="169"/>
      <c r="H11" s="169"/>
      <c r="I11" s="169"/>
      <c r="K11" s="6"/>
      <c r="L11" s="2"/>
      <c r="Q11" s="181"/>
    </row>
    <row r="12" spans="1:18" x14ac:dyDescent="0.3">
      <c r="A12" s="475"/>
      <c r="B12" s="239" t="s">
        <v>408</v>
      </c>
      <c r="C12" s="240"/>
      <c r="D12" s="240"/>
      <c r="E12" s="240"/>
      <c r="F12" s="169"/>
      <c r="G12" s="169"/>
      <c r="H12" s="169"/>
      <c r="I12" s="169"/>
      <c r="K12" s="6"/>
      <c r="L12" s="2"/>
      <c r="Q12" s="181"/>
    </row>
    <row r="13" spans="1:18" x14ac:dyDescent="0.3">
      <c r="A13" s="475"/>
      <c r="B13" s="239" t="s">
        <v>169</v>
      </c>
      <c r="C13" s="240"/>
      <c r="D13" s="240"/>
      <c r="E13" s="240">
        <f>'2300 kg smeti v metanol'!H51</f>
        <v>84.204683615059935</v>
      </c>
      <c r="F13" s="169"/>
      <c r="G13" s="169"/>
      <c r="H13" s="169"/>
      <c r="I13" s="169"/>
      <c r="K13" s="6" t="e">
        <f>(H15/(D15/K22))*3.6</f>
        <v>#REF!</v>
      </c>
      <c r="L13" s="2" t="s">
        <v>168</v>
      </c>
      <c r="P13" t="s">
        <v>143</v>
      </c>
      <c r="Q13" s="181">
        <f>C27+C20</f>
        <v>1108.4637590673547</v>
      </c>
      <c r="R13" t="s">
        <v>9</v>
      </c>
    </row>
    <row r="14" spans="1:18" x14ac:dyDescent="0.3">
      <c r="A14" s="475"/>
      <c r="B14" s="239" t="s">
        <v>167</v>
      </c>
      <c r="C14" s="240"/>
      <c r="D14" s="240"/>
      <c r="E14" s="240"/>
      <c r="F14" s="169"/>
      <c r="G14" s="169"/>
      <c r="H14" s="169"/>
      <c r="I14" s="169" t="e">
        <f ca="1">H23-I22+H18</f>
        <v>#DIV/0!</v>
      </c>
      <c r="K14" s="157" t="e">
        <f ca="1">(I14+I5+I4)/I30</f>
        <v>#DIV/0!</v>
      </c>
      <c r="L14" s="2" t="s">
        <v>166</v>
      </c>
      <c r="Q14" s="181">
        <f>Q13/K22</f>
        <v>997.71715487610686</v>
      </c>
      <c r="R14" t="s">
        <v>189</v>
      </c>
    </row>
    <row r="15" spans="1:18" x14ac:dyDescent="0.3">
      <c r="A15" s="173"/>
      <c r="B15" s="239" t="s">
        <v>165</v>
      </c>
      <c r="C15" s="240"/>
      <c r="D15" s="240">
        <f>D17</f>
        <v>3099.4101204662738</v>
      </c>
      <c r="E15" s="240"/>
      <c r="F15" s="169"/>
      <c r="G15" s="169"/>
      <c r="H15" s="169" t="e">
        <f>H6</f>
        <v>#REF!</v>
      </c>
      <c r="I15" s="169"/>
      <c r="K15" s="182">
        <f>D6/K22</f>
        <v>0</v>
      </c>
      <c r="L15" s="2" t="s">
        <v>186</v>
      </c>
    </row>
    <row r="16" spans="1:18" x14ac:dyDescent="0.3">
      <c r="A16" s="173"/>
      <c r="B16" s="239" t="s">
        <v>406</v>
      </c>
      <c r="C16" s="240"/>
      <c r="D16" s="240"/>
      <c r="E16" s="240"/>
      <c r="F16" s="169"/>
      <c r="G16" s="169"/>
      <c r="H16" s="169"/>
      <c r="I16" s="169"/>
      <c r="K16" s="182"/>
      <c r="L16" s="2"/>
    </row>
    <row r="17" spans="1:29" x14ac:dyDescent="0.3">
      <c r="A17" s="173"/>
      <c r="B17" s="239" t="s">
        <v>405</v>
      </c>
      <c r="C17" s="240"/>
      <c r="D17" s="240">
        <f>D21+C20</f>
        <v>3099.4101204662738</v>
      </c>
      <c r="E17" s="240"/>
      <c r="F17" s="169"/>
      <c r="G17" s="169"/>
      <c r="H17" s="169"/>
      <c r="I17" s="169"/>
      <c r="K17" s="182"/>
      <c r="L17" s="2"/>
    </row>
    <row r="18" spans="1:29" x14ac:dyDescent="0.3">
      <c r="A18" s="173"/>
      <c r="B18" s="239" t="s">
        <v>164</v>
      </c>
      <c r="C18" s="240"/>
      <c r="D18" s="240"/>
      <c r="E18" s="240"/>
      <c r="F18" s="169"/>
      <c r="G18" s="169"/>
      <c r="H18" s="169">
        <f>K19*D21-(D19*K20)</f>
        <v>-397.39933446244913</v>
      </c>
      <c r="I18" s="170"/>
      <c r="K18" s="175"/>
      <c r="L18" s="2"/>
    </row>
    <row r="19" spans="1:29" x14ac:dyDescent="0.3">
      <c r="A19" s="173"/>
      <c r="B19" s="239" t="s">
        <v>430</v>
      </c>
      <c r="C19" s="240"/>
      <c r="D19" s="240">
        <f>'2300 kg smeti v metanol'!H30</f>
        <v>114.08</v>
      </c>
      <c r="E19" s="240"/>
      <c r="F19" s="169"/>
      <c r="G19" s="169"/>
      <c r="H19" s="169"/>
      <c r="I19" s="169"/>
      <c r="K19" s="174">
        <v>0.29499999999999998</v>
      </c>
      <c r="L19" s="2" t="s">
        <v>162</v>
      </c>
    </row>
    <row r="20" spans="1:29" x14ac:dyDescent="0.3">
      <c r="A20" s="173"/>
      <c r="B20" s="239" t="s">
        <v>429</v>
      </c>
      <c r="C20" s="240">
        <f>'2300 kg smeti v metanol'!H31+'2300 kg smeti v metanol'!H32</f>
        <v>192.696</v>
      </c>
      <c r="D20" s="240"/>
      <c r="E20" s="240"/>
      <c r="F20" s="169"/>
      <c r="G20" s="169"/>
      <c r="H20" s="169"/>
      <c r="I20" s="169"/>
      <c r="K20" s="10">
        <v>11</v>
      </c>
      <c r="L20" s="2" t="s">
        <v>160</v>
      </c>
    </row>
    <row r="21" spans="1:29" x14ac:dyDescent="0.3">
      <c r="A21" s="173"/>
      <c r="B21" s="239" t="s">
        <v>159</v>
      </c>
      <c r="C21" s="240"/>
      <c r="D21" s="240">
        <f>D24</f>
        <v>2906.7141204662739</v>
      </c>
      <c r="E21" s="240"/>
      <c r="F21" s="169"/>
      <c r="G21" s="169"/>
      <c r="H21" s="169" t="e">
        <f>H15+H18</f>
        <v>#REF!</v>
      </c>
      <c r="I21" s="169"/>
      <c r="K21" s="157">
        <v>0.15</v>
      </c>
      <c r="L21" s="2" t="s">
        <v>158</v>
      </c>
    </row>
    <row r="22" spans="1:29" x14ac:dyDescent="0.3">
      <c r="A22" s="173"/>
      <c r="B22" s="239" t="s">
        <v>157</v>
      </c>
      <c r="C22" s="240"/>
      <c r="D22" s="240"/>
      <c r="E22" s="240"/>
      <c r="F22" s="169"/>
      <c r="G22" s="169"/>
      <c r="H22" s="169"/>
      <c r="I22" s="169" t="e">
        <f ca="1">G29*K21</f>
        <v>#DIV/0!</v>
      </c>
      <c r="K22" s="172">
        <v>1.111</v>
      </c>
      <c r="L22" s="2" t="s">
        <v>156</v>
      </c>
    </row>
    <row r="23" spans="1:29" x14ac:dyDescent="0.3">
      <c r="A23" s="476" t="s">
        <v>155</v>
      </c>
      <c r="B23" s="239" t="s">
        <v>154</v>
      </c>
      <c r="C23" s="240"/>
      <c r="D23" s="240"/>
      <c r="E23" s="240"/>
      <c r="F23" s="169"/>
      <c r="G23" s="169"/>
      <c r="H23" s="169" t="e">
        <f>I30*K23</f>
        <v>#REF!</v>
      </c>
      <c r="I23" s="170"/>
      <c r="K23" s="171" t="e">
        <f>'Calculation list'!$F$46</f>
        <v>#REF!</v>
      </c>
      <c r="L23" s="2" t="s">
        <v>153</v>
      </c>
      <c r="W23" t="s">
        <v>228</v>
      </c>
    </row>
    <row r="24" spans="1:29" x14ac:dyDescent="0.3">
      <c r="A24" s="476"/>
      <c r="B24" s="239" t="s">
        <v>152</v>
      </c>
      <c r="C24" s="240"/>
      <c r="D24" s="240">
        <f>SUM('2300 kg smeti v metanol'!H23:H27,'2300 kg smeti v metanol'!H14)</f>
        <v>2906.7141204662739</v>
      </c>
      <c r="E24" s="240"/>
      <c r="F24" s="169"/>
      <c r="G24" s="169"/>
      <c r="H24" s="169" t="e">
        <f ca="1">I30*K24</f>
        <v>#DIV/0!</v>
      </c>
      <c r="I24" s="169"/>
      <c r="K24" s="171" t="e">
        <f ca="1">H24/G29</f>
        <v>#DIV/0!</v>
      </c>
      <c r="L24" s="2" t="s">
        <v>151</v>
      </c>
      <c r="AA24" t="s">
        <v>226</v>
      </c>
      <c r="AC24" t="s">
        <v>227</v>
      </c>
    </row>
    <row r="25" spans="1:29" x14ac:dyDescent="0.3">
      <c r="A25" s="476"/>
      <c r="B25" s="239" t="s">
        <v>0</v>
      </c>
      <c r="C25" s="240"/>
      <c r="D25" s="240"/>
      <c r="E25" s="240">
        <f>'2300 kg smeti v metanol'!H18</f>
        <v>311.81832901553838</v>
      </c>
      <c r="F25" s="169"/>
      <c r="G25" s="169"/>
      <c r="H25" s="169"/>
      <c r="I25" s="169"/>
      <c r="K25" s="4" t="e">
        <f ca="1">(H24/(D24/K22))*3.6</f>
        <v>#DIV/0!</v>
      </c>
      <c r="L25" s="2" t="s">
        <v>150</v>
      </c>
      <c r="W25" t="s">
        <v>29</v>
      </c>
      <c r="X25">
        <v>15</v>
      </c>
      <c r="Y25">
        <v>7</v>
      </c>
      <c r="Z25" s="162">
        <f>Y25/X25</f>
        <v>0.46666666666666667</v>
      </c>
      <c r="AA25">
        <v>13.9</v>
      </c>
      <c r="AB25">
        <f>AA25*Z25</f>
        <v>6.4866666666666672</v>
      </c>
      <c r="AC25" s="162">
        <f>AB25/AB$28</f>
        <v>0.64559773828756051</v>
      </c>
    </row>
    <row r="26" spans="1:29" x14ac:dyDescent="0.3">
      <c r="A26" s="476"/>
      <c r="B26" s="239" t="s">
        <v>402</v>
      </c>
      <c r="C26" s="240">
        <f>'2300 kg smeti v metanol'!H22</f>
        <v>112.60655440412798</v>
      </c>
      <c r="D26" s="240"/>
      <c r="E26" s="240"/>
      <c r="F26" s="169"/>
      <c r="G26" s="169"/>
      <c r="H26" s="169"/>
      <c r="I26" s="169"/>
      <c r="K26" s="4"/>
      <c r="L26" s="2"/>
      <c r="Z26" s="162"/>
      <c r="AC26" s="162"/>
    </row>
    <row r="27" spans="1:29" x14ac:dyDescent="0.3">
      <c r="A27" s="476"/>
      <c r="B27" s="239" t="s">
        <v>432</v>
      </c>
      <c r="C27" s="240">
        <f>'2300 kg smeti v metanol'!H21/0.8</f>
        <v>915.76775906735463</v>
      </c>
      <c r="D27" s="240"/>
      <c r="E27" s="240"/>
      <c r="F27" s="169"/>
      <c r="G27" s="169"/>
      <c r="H27" s="169"/>
      <c r="I27" s="169"/>
      <c r="K27" s="167"/>
      <c r="L27" s="167"/>
      <c r="W27" t="s">
        <v>23</v>
      </c>
      <c r="X27">
        <v>23</v>
      </c>
      <c r="Y27">
        <v>7</v>
      </c>
      <c r="Z27" s="162">
        <f>Y27/X27</f>
        <v>0.30434782608695654</v>
      </c>
      <c r="AA27">
        <v>11.7</v>
      </c>
      <c r="AB27">
        <f>AA27*Z27</f>
        <v>3.5608695652173914</v>
      </c>
      <c r="AC27" s="162">
        <f>AB27/AB$28</f>
        <v>0.35440226171243938</v>
      </c>
    </row>
    <row r="28" spans="1:29" x14ac:dyDescent="0.3">
      <c r="A28" s="476"/>
      <c r="B28" s="239" t="s">
        <v>148</v>
      </c>
      <c r="C28" s="240">
        <f>'2300 kg smeti v metanol'!M9+'2300 kg smeti v metanol'!N9</f>
        <v>77.689633998940423</v>
      </c>
      <c r="D28" s="240"/>
      <c r="E28" s="240"/>
      <c r="F28" s="169"/>
      <c r="G28" s="169"/>
      <c r="H28" s="169"/>
      <c r="I28" s="169"/>
      <c r="K28" s="167"/>
      <c r="L28" s="167"/>
      <c r="AB28">
        <f>SUM(AB25:AB27)</f>
        <v>10.04753623188406</v>
      </c>
    </row>
    <row r="29" spans="1:29" x14ac:dyDescent="0.3">
      <c r="A29" s="476"/>
      <c r="B29" s="239" t="s">
        <v>147</v>
      </c>
      <c r="C29" s="240">
        <f>'2300 kg smeti v metanol'!H12</f>
        <v>2300</v>
      </c>
      <c r="D29" s="240"/>
      <c r="E29" s="240"/>
      <c r="F29" s="169"/>
      <c r="G29" s="169" t="e">
        <f ca="1">H24+H23</f>
        <v>#DIV/0!</v>
      </c>
      <c r="H29" s="169"/>
      <c r="I29" s="169"/>
      <c r="K29" s="168"/>
      <c r="L29" s="167"/>
    </row>
    <row r="30" spans="1:29" x14ac:dyDescent="0.3">
      <c r="A30" s="476"/>
      <c r="B30" s="241" t="s">
        <v>146</v>
      </c>
      <c r="C30" s="242">
        <f>SUM(C4:C29)</f>
        <v>3598.759947470423</v>
      </c>
      <c r="D30" s="242"/>
      <c r="E30" s="242">
        <f>SUM(E4:E29)</f>
        <v>3411.2284053327735</v>
      </c>
      <c r="F30" s="165"/>
      <c r="G30" s="165" t="e">
        <f ca="1">SUM(G4:G29)</f>
        <v>#DIV/0!</v>
      </c>
      <c r="H30" s="165"/>
      <c r="I30" s="165" t="e">
        <f>SUM(I4:I29)</f>
        <v>#REF!</v>
      </c>
      <c r="J30" s="164"/>
      <c r="K30" s="2"/>
      <c r="L30" s="163"/>
      <c r="M30">
        <f>2000/4</f>
        <v>500</v>
      </c>
    </row>
    <row r="34" spans="1:18" ht="15.6" x14ac:dyDescent="0.3">
      <c r="A34" s="180" t="s">
        <v>184</v>
      </c>
      <c r="K34" s="2" t="s">
        <v>183</v>
      </c>
      <c r="L34" s="2"/>
    </row>
    <row r="35" spans="1:18" x14ac:dyDescent="0.3">
      <c r="A35" s="173"/>
      <c r="B35" s="179"/>
      <c r="C35" s="178" t="s">
        <v>182</v>
      </c>
      <c r="D35" s="178" t="s">
        <v>181</v>
      </c>
      <c r="E35" s="178" t="s">
        <v>180</v>
      </c>
      <c r="F35" s="178"/>
      <c r="G35" s="178" t="s">
        <v>179</v>
      </c>
      <c r="H35" s="178" t="s">
        <v>178</v>
      </c>
      <c r="I35" s="178" t="s">
        <v>177</v>
      </c>
      <c r="J35" s="1"/>
      <c r="K35" s="186" t="e">
        <f>'01.Vhodni podatki'!#REF!</f>
        <v>#REF!</v>
      </c>
      <c r="L35" s="177" t="s">
        <v>176</v>
      </c>
      <c r="P35" t="s">
        <v>145</v>
      </c>
    </row>
    <row r="36" spans="1:18" x14ac:dyDescent="0.3">
      <c r="A36" s="173"/>
      <c r="B36" s="183" t="s">
        <v>185</v>
      </c>
      <c r="C36" s="178"/>
      <c r="D36" s="178"/>
      <c r="E36" s="178"/>
      <c r="F36" s="178"/>
      <c r="G36" s="178"/>
      <c r="H36" s="178"/>
      <c r="I36" s="184" t="e">
        <f>I37*K36</f>
        <v>#REF!</v>
      </c>
      <c r="J36" s="1"/>
      <c r="K36" s="185">
        <v>0.8</v>
      </c>
      <c r="L36" s="187" t="s">
        <v>187</v>
      </c>
      <c r="P36" t="s">
        <v>144</v>
      </c>
      <c r="Q36" s="161" t="e">
        <f>C51</f>
        <v>#REF!</v>
      </c>
      <c r="R36" t="s">
        <v>9</v>
      </c>
    </row>
    <row r="37" spans="1:18" x14ac:dyDescent="0.3">
      <c r="A37" s="475" t="s">
        <v>175</v>
      </c>
      <c r="B37" s="170" t="s">
        <v>174</v>
      </c>
      <c r="C37" s="169"/>
      <c r="D37" s="169"/>
      <c r="E37" s="169"/>
      <c r="F37" s="169"/>
      <c r="G37" s="169"/>
      <c r="H37" s="169"/>
      <c r="I37" s="169" t="e">
        <f>H39-I38</f>
        <v>#REF!</v>
      </c>
      <c r="K37" s="176">
        <v>0.3</v>
      </c>
      <c r="L37" s="2" t="s">
        <v>188</v>
      </c>
      <c r="Q37" s="181" t="e">
        <f>Q36/K47</f>
        <v>#REF!</v>
      </c>
      <c r="R37" t="s">
        <v>189</v>
      </c>
    </row>
    <row r="38" spans="1:18" x14ac:dyDescent="0.3">
      <c r="A38" s="475"/>
      <c r="B38" s="170" t="s">
        <v>173</v>
      </c>
      <c r="C38" s="169"/>
      <c r="D38" s="169"/>
      <c r="E38" s="169"/>
      <c r="F38" s="169"/>
      <c r="G38" s="169"/>
      <c r="H38" s="169"/>
      <c r="I38" s="169" t="e">
        <f>K35</f>
        <v>#REF!</v>
      </c>
      <c r="J38" s="161"/>
      <c r="K38" s="157">
        <f ca="1">I38/G53</f>
        <v>0.18836162932716793</v>
      </c>
      <c r="L38" s="2" t="s">
        <v>172</v>
      </c>
      <c r="P38" t="s">
        <v>137</v>
      </c>
      <c r="Q38" s="181" t="e">
        <f>C45</f>
        <v>#REF!</v>
      </c>
      <c r="R38" t="s">
        <v>9</v>
      </c>
    </row>
    <row r="39" spans="1:18" x14ac:dyDescent="0.3">
      <c r="A39" s="475"/>
      <c r="B39" s="170" t="s">
        <v>171</v>
      </c>
      <c r="C39" s="169"/>
      <c r="D39" s="169" t="e">
        <f>D42-E40</f>
        <v>#REF!</v>
      </c>
      <c r="E39" s="169" t="e">
        <f>D39</f>
        <v>#REF!</v>
      </c>
      <c r="F39" s="169"/>
      <c r="G39" s="169"/>
      <c r="H39" s="169" t="e">
        <f>1/K37*I38</f>
        <v>#REF!</v>
      </c>
      <c r="I39" s="169"/>
      <c r="K39" s="6" t="e">
        <f>(H39/(E39/K47))*3.6</f>
        <v>#REF!</v>
      </c>
      <c r="L39" s="2" t="s">
        <v>170</v>
      </c>
      <c r="Q39" s="181" t="e">
        <f>Q38/K47</f>
        <v>#REF!</v>
      </c>
      <c r="R39" t="s">
        <v>189</v>
      </c>
    </row>
    <row r="40" spans="1:18" x14ac:dyDescent="0.3">
      <c r="A40" s="475"/>
      <c r="B40" s="170" t="s">
        <v>169</v>
      </c>
      <c r="C40" s="169"/>
      <c r="D40" s="169"/>
      <c r="E40" s="169" t="e">
        <f>C53*'Calculation list'!$F$52</f>
        <v>#REF!</v>
      </c>
      <c r="F40" s="169"/>
      <c r="G40" s="169"/>
      <c r="H40" s="169"/>
      <c r="I40" s="169"/>
      <c r="K40" s="6" t="e">
        <f>(H42/(D42/K47))*3.6</f>
        <v>#REF!</v>
      </c>
      <c r="L40" s="2" t="s">
        <v>168</v>
      </c>
      <c r="P40" t="s">
        <v>143</v>
      </c>
      <c r="Q40" s="181" t="e">
        <f>C51+C45</f>
        <v>#REF!</v>
      </c>
      <c r="R40" t="s">
        <v>9</v>
      </c>
    </row>
    <row r="41" spans="1:18" x14ac:dyDescent="0.3">
      <c r="A41" s="475"/>
      <c r="B41" s="170" t="s">
        <v>167</v>
      </c>
      <c r="C41" s="169"/>
      <c r="D41" s="169"/>
      <c r="E41" s="169"/>
      <c r="F41" s="169"/>
      <c r="G41" s="169"/>
      <c r="H41" s="169"/>
      <c r="I41" s="169">
        <f ca="1">H48-I47+H43</f>
        <v>2829.0519644785977</v>
      </c>
      <c r="K41" s="157">
        <f ca="1">(I41+I38+I37)/I54</f>
        <v>0.85000000000000009</v>
      </c>
      <c r="L41" s="2" t="s">
        <v>166</v>
      </c>
      <c r="Q41" s="181" t="e">
        <f>Q40/K47</f>
        <v>#REF!</v>
      </c>
      <c r="R41" t="s">
        <v>189</v>
      </c>
    </row>
    <row r="42" spans="1:18" x14ac:dyDescent="0.3">
      <c r="A42" s="173"/>
      <c r="B42" s="170" t="s">
        <v>165</v>
      </c>
      <c r="C42" s="169"/>
      <c r="D42" s="169" t="e">
        <f>C45+D46</f>
        <v>#REF!</v>
      </c>
      <c r="E42" s="169"/>
      <c r="F42" s="169"/>
      <c r="G42" s="169"/>
      <c r="H42" s="169" t="e">
        <f>H39</f>
        <v>#REF!</v>
      </c>
      <c r="I42" s="169"/>
      <c r="K42" s="182" t="e">
        <f>D39/K47</f>
        <v>#REF!</v>
      </c>
      <c r="L42" s="2" t="s">
        <v>186</v>
      </c>
    </row>
    <row r="43" spans="1:18" x14ac:dyDescent="0.3">
      <c r="A43" s="173"/>
      <c r="B43" s="170" t="s">
        <v>164</v>
      </c>
      <c r="C43" s="169"/>
      <c r="D43" s="169"/>
      <c r="E43" s="169"/>
      <c r="F43" s="169"/>
      <c r="G43" s="169"/>
      <c r="H43" s="169" t="e">
        <f>K44*D46-(D44*K45)</f>
        <v>#REF!</v>
      </c>
      <c r="I43" s="170"/>
      <c r="K43" s="175"/>
      <c r="L43" s="2"/>
    </row>
    <row r="44" spans="1:18" x14ac:dyDescent="0.3">
      <c r="A44" s="173"/>
      <c r="B44" s="170" t="s">
        <v>163</v>
      </c>
      <c r="C44" s="169"/>
      <c r="D44" s="169" t="e">
        <f>(D46/K47)*'Calculation list'!$E$27/1000</f>
        <v>#REF!</v>
      </c>
      <c r="E44" s="169"/>
      <c r="F44" s="169"/>
      <c r="G44" s="169"/>
      <c r="H44" s="169"/>
      <c r="I44" s="169"/>
      <c r="K44" s="174">
        <v>0.29499999999999998</v>
      </c>
      <c r="L44" s="2" t="s">
        <v>162</v>
      </c>
    </row>
    <row r="45" spans="1:18" x14ac:dyDescent="0.3">
      <c r="A45" s="173"/>
      <c r="B45" s="170" t="s">
        <v>161</v>
      </c>
      <c r="C45" s="169" t="e">
        <f>C53*'Calculation list'!$D$38</f>
        <v>#REF!</v>
      </c>
      <c r="D45" s="169"/>
      <c r="E45" s="169"/>
      <c r="F45" s="169"/>
      <c r="G45" s="169"/>
      <c r="H45" s="169"/>
      <c r="I45" s="169"/>
      <c r="K45" s="10">
        <v>11</v>
      </c>
      <c r="L45" s="2" t="s">
        <v>160</v>
      </c>
    </row>
    <row r="46" spans="1:18" x14ac:dyDescent="0.3">
      <c r="A46" s="173"/>
      <c r="B46" s="170" t="s">
        <v>159</v>
      </c>
      <c r="C46" s="169"/>
      <c r="D46" s="169" t="e">
        <f>D49</f>
        <v>#REF!</v>
      </c>
      <c r="E46" s="169"/>
      <c r="F46" s="169"/>
      <c r="G46" s="169"/>
      <c r="H46" s="169" t="e">
        <f>H42+H43</f>
        <v>#REF!</v>
      </c>
      <c r="I46" s="169"/>
      <c r="K46" s="157">
        <v>0.15</v>
      </c>
      <c r="L46" s="2" t="s">
        <v>158</v>
      </c>
    </row>
    <row r="47" spans="1:18" x14ac:dyDescent="0.3">
      <c r="A47" s="173"/>
      <c r="B47" s="170" t="s">
        <v>157</v>
      </c>
      <c r="C47" s="169"/>
      <c r="D47" s="169"/>
      <c r="E47" s="169"/>
      <c r="F47" s="169"/>
      <c r="G47" s="169"/>
      <c r="H47" s="169"/>
      <c r="I47" s="169">
        <f ca="1">G53*K46</f>
        <v>1910.4209349079874</v>
      </c>
      <c r="K47" s="172">
        <v>1.111</v>
      </c>
      <c r="L47" s="2" t="s">
        <v>156</v>
      </c>
    </row>
    <row r="48" spans="1:18" x14ac:dyDescent="0.3">
      <c r="A48" s="476" t="s">
        <v>155</v>
      </c>
      <c r="B48" s="170" t="s">
        <v>154</v>
      </c>
      <c r="C48" s="169"/>
      <c r="D48" s="169"/>
      <c r="E48" s="169"/>
      <c r="F48" s="169"/>
      <c r="G48" s="169"/>
      <c r="H48" s="169" t="e">
        <f>I54*K48</f>
        <v>#REF!</v>
      </c>
      <c r="I48" s="170"/>
      <c r="K48" s="171" t="e">
        <f>'Calculation list'!$F$46</f>
        <v>#REF!</v>
      </c>
      <c r="L48" s="2" t="s">
        <v>153</v>
      </c>
    </row>
    <row r="49" spans="1:12" x14ac:dyDescent="0.3">
      <c r="A49" s="476"/>
      <c r="B49" s="170" t="s">
        <v>152</v>
      </c>
      <c r="C49" s="169"/>
      <c r="D49" s="169" t="e">
        <f>C53+C52+C51-E50</f>
        <v>#REF!</v>
      </c>
      <c r="E49" s="169"/>
      <c r="F49" s="169"/>
      <c r="G49" s="169"/>
      <c r="H49" s="169">
        <f ca="1">I54*K49</f>
        <v>7977.8795975420153</v>
      </c>
      <c r="I49" s="169"/>
      <c r="K49" s="171">
        <f ca="1">H49/G53</f>
        <v>0.62639699856981446</v>
      </c>
      <c r="L49" s="2" t="s">
        <v>151</v>
      </c>
    </row>
    <row r="50" spans="1:12" x14ac:dyDescent="0.3">
      <c r="A50" s="476"/>
      <c r="B50" s="170" t="s">
        <v>0</v>
      </c>
      <c r="C50" s="169"/>
      <c r="D50" s="169"/>
      <c r="E50" s="169" t="e">
        <f>C53*'Calculation list'!$D$56</f>
        <v>#REF!</v>
      </c>
      <c r="F50" s="169"/>
      <c r="G50" s="169"/>
      <c r="H50" s="169"/>
      <c r="I50" s="169"/>
      <c r="K50" s="4">
        <f ca="1">(H49/(D49/K47))*3.6</f>
        <v>3.6973700699781418</v>
      </c>
      <c r="L50" s="2" t="s">
        <v>150</v>
      </c>
    </row>
    <row r="51" spans="1:12" x14ac:dyDescent="0.3">
      <c r="A51" s="476"/>
      <c r="B51" s="170" t="s">
        <v>149</v>
      </c>
      <c r="C51" s="169" t="e">
        <f>C53*'Calculation list'!$D$30</f>
        <v>#REF!</v>
      </c>
      <c r="D51" s="169"/>
      <c r="E51" s="169"/>
      <c r="F51" s="169"/>
      <c r="G51" s="169"/>
      <c r="H51" s="169"/>
      <c r="I51" s="169"/>
      <c r="K51" s="167"/>
      <c r="L51" s="167"/>
    </row>
    <row r="52" spans="1:12" x14ac:dyDescent="0.3">
      <c r="A52" s="476"/>
      <c r="B52" s="170" t="s">
        <v>148</v>
      </c>
      <c r="C52" s="169" t="e">
        <f>C53*'Calculation list'!$D$52</f>
        <v>#REF!</v>
      </c>
      <c r="D52" s="169"/>
      <c r="E52" s="169"/>
      <c r="F52" s="169"/>
      <c r="G52" s="169"/>
      <c r="H52" s="169"/>
      <c r="I52" s="169"/>
      <c r="K52" s="167"/>
      <c r="L52" s="167"/>
    </row>
    <row r="53" spans="1:12" x14ac:dyDescent="0.3">
      <c r="A53" s="476"/>
      <c r="B53" s="170" t="s">
        <v>147</v>
      </c>
      <c r="C53" s="169" t="e">
        <f>I54/'Calculation list'!$C$17</f>
        <v>#REF!</v>
      </c>
      <c r="D53" s="169"/>
      <c r="E53" s="169"/>
      <c r="F53" s="169"/>
      <c r="G53" s="169">
        <f ca="1">H49+H48</f>
        <v>12736.139566053251</v>
      </c>
      <c r="H53" s="169"/>
      <c r="I53" s="169"/>
      <c r="K53" s="168"/>
      <c r="L53" s="167"/>
    </row>
    <row r="54" spans="1:12" x14ac:dyDescent="0.3">
      <c r="A54" s="476"/>
      <c r="B54" s="166" t="s">
        <v>146</v>
      </c>
      <c r="C54" s="165" t="e">
        <f>SUM(C37:C53)</f>
        <v>#REF!</v>
      </c>
      <c r="D54" s="165"/>
      <c r="E54" s="165" t="e">
        <f>SUM(E37:E53)</f>
        <v>#REF!</v>
      </c>
      <c r="F54" s="165"/>
      <c r="G54" s="165">
        <f ca="1">SUM(G37:G53)</f>
        <v>12736.139566053251</v>
      </c>
      <c r="H54" s="165"/>
      <c r="I54" s="165" t="e">
        <f>SUM(I37:I53)</f>
        <v>#REF!</v>
      </c>
      <c r="J54" s="164"/>
      <c r="K54" s="2"/>
      <c r="L54" s="163"/>
    </row>
  </sheetData>
  <mergeCells count="4">
    <mergeCell ref="A4:A14"/>
    <mergeCell ref="A23:A30"/>
    <mergeCell ref="A37:A41"/>
    <mergeCell ref="A48:A5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25"/>
  <sheetViews>
    <sheetView workbookViewId="0">
      <selection activeCell="B25" sqref="B25"/>
    </sheetView>
  </sheetViews>
  <sheetFormatPr defaultRowHeight="14.4" x14ac:dyDescent="0.3"/>
  <sheetData>
    <row r="25" spans="2:2" x14ac:dyDescent="0.3">
      <c r="B25" t="s">
        <v>376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9"/>
  <sheetViews>
    <sheetView workbookViewId="0">
      <selection activeCell="A10" sqref="A10"/>
    </sheetView>
  </sheetViews>
  <sheetFormatPr defaultRowHeight="14.4" x14ac:dyDescent="0.3"/>
  <sheetData>
    <row r="1" spans="1:6" x14ac:dyDescent="0.3">
      <c r="A1" t="s">
        <v>242</v>
      </c>
      <c r="E1" s="194" t="s">
        <v>231</v>
      </c>
    </row>
    <row r="2" spans="1:6" x14ac:dyDescent="0.3">
      <c r="E2" s="194" t="s">
        <v>230</v>
      </c>
    </row>
    <row r="3" spans="1:6" x14ac:dyDescent="0.3">
      <c r="A3" t="s">
        <v>243</v>
      </c>
      <c r="E3" t="s">
        <v>244</v>
      </c>
    </row>
    <row r="4" spans="1:6" x14ac:dyDescent="0.3">
      <c r="E4" t="s">
        <v>245</v>
      </c>
    </row>
    <row r="5" spans="1:6" x14ac:dyDescent="0.3">
      <c r="F5" t="s">
        <v>246</v>
      </c>
    </row>
    <row r="6" spans="1:6" x14ac:dyDescent="0.3">
      <c r="F6" t="s">
        <v>247</v>
      </c>
    </row>
    <row r="7" spans="1:6" x14ac:dyDescent="0.3">
      <c r="E7" t="s">
        <v>248</v>
      </c>
    </row>
    <row r="8" spans="1:6" x14ac:dyDescent="0.3">
      <c r="E8" t="s">
        <v>249</v>
      </c>
    </row>
    <row r="9" spans="1:6" x14ac:dyDescent="0.3">
      <c r="A9" t="s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R22"/>
  <sheetViews>
    <sheetView workbookViewId="0">
      <selection activeCell="C20" sqref="C20"/>
    </sheetView>
  </sheetViews>
  <sheetFormatPr defaultColWidth="9.109375" defaultRowHeight="14.4" x14ac:dyDescent="0.3"/>
  <cols>
    <col min="1" max="1" width="3.109375" customWidth="1"/>
    <col min="2" max="2" width="37.44140625" bestFit="1" customWidth="1"/>
    <col min="3" max="3" width="7" customWidth="1"/>
    <col min="4" max="4" width="8.109375" customWidth="1"/>
    <col min="5" max="5" width="7.33203125" customWidth="1"/>
    <col min="6" max="6" width="1" customWidth="1"/>
    <col min="7" max="7" width="6.88671875" customWidth="1"/>
    <col min="8" max="8" width="8.33203125" customWidth="1"/>
    <col min="9" max="9" width="8" customWidth="1"/>
    <col min="10" max="10" width="0.88671875" customWidth="1"/>
    <col min="11" max="11" width="6" bestFit="1" customWidth="1"/>
    <col min="12" max="12" width="36.6640625" bestFit="1" customWidth="1"/>
  </cols>
  <sheetData>
    <row r="1" spans="1:18" ht="15.6" x14ac:dyDescent="0.3">
      <c r="A1" s="180" t="s">
        <v>184</v>
      </c>
      <c r="K1" s="2" t="s">
        <v>183</v>
      </c>
      <c r="L1" s="2"/>
    </row>
    <row r="2" spans="1:18" x14ac:dyDescent="0.3">
      <c r="A2" s="173"/>
      <c r="B2" s="179"/>
      <c r="C2" s="178" t="s">
        <v>182</v>
      </c>
      <c r="D2" s="178" t="s">
        <v>181</v>
      </c>
      <c r="E2" s="178" t="s">
        <v>180</v>
      </c>
      <c r="F2" s="178"/>
      <c r="G2" s="178" t="s">
        <v>179</v>
      </c>
      <c r="H2" s="178" t="s">
        <v>178</v>
      </c>
      <c r="I2" s="178" t="s">
        <v>177</v>
      </c>
      <c r="J2" s="1"/>
      <c r="K2" s="186">
        <v>100</v>
      </c>
      <c r="L2" s="177" t="s">
        <v>176</v>
      </c>
      <c r="P2" t="s">
        <v>145</v>
      </c>
    </row>
    <row r="3" spans="1:18" x14ac:dyDescent="0.3">
      <c r="A3" s="173"/>
      <c r="B3" s="183" t="s">
        <v>185</v>
      </c>
      <c r="C3" s="178"/>
      <c r="D3" s="178"/>
      <c r="E3" s="178"/>
      <c r="F3" s="178"/>
      <c r="G3" s="178"/>
      <c r="H3" s="178"/>
      <c r="I3" s="184">
        <f>I4*K3</f>
        <v>186.66666666666671</v>
      </c>
      <c r="J3" s="1"/>
      <c r="K3" s="185">
        <v>0.8</v>
      </c>
      <c r="L3" s="187" t="s">
        <v>187</v>
      </c>
      <c r="P3" t="s">
        <v>144</v>
      </c>
      <c r="Q3" s="161">
        <f ca="1">C18</f>
        <v>254.45065283946974</v>
      </c>
      <c r="R3" t="s">
        <v>9</v>
      </c>
    </row>
    <row r="4" spans="1:18" x14ac:dyDescent="0.3">
      <c r="A4" s="475" t="s">
        <v>175</v>
      </c>
      <c r="B4" s="170" t="s">
        <v>174</v>
      </c>
      <c r="C4" s="169"/>
      <c r="D4" s="169"/>
      <c r="E4" s="169"/>
      <c r="F4" s="169"/>
      <c r="G4" s="169"/>
      <c r="H4" s="169"/>
      <c r="I4" s="169">
        <f>H6-I5</f>
        <v>233.33333333333337</v>
      </c>
      <c r="K4" s="176">
        <v>0.3</v>
      </c>
      <c r="L4" s="2" t="s">
        <v>188</v>
      </c>
      <c r="Q4" s="181">
        <f ca="1">Q3/K14</f>
        <v>229.02849040456323</v>
      </c>
      <c r="R4" t="s">
        <v>189</v>
      </c>
    </row>
    <row r="5" spans="1:18" x14ac:dyDescent="0.3">
      <c r="A5" s="475"/>
      <c r="B5" s="170" t="s">
        <v>173</v>
      </c>
      <c r="C5" s="169"/>
      <c r="D5" s="169"/>
      <c r="E5" s="169"/>
      <c r="F5" s="169"/>
      <c r="G5" s="169"/>
      <c r="H5" s="169"/>
      <c r="I5" s="169">
        <f>K2</f>
        <v>100</v>
      </c>
      <c r="J5" s="161"/>
      <c r="K5" s="157">
        <f ca="1">I5/G20</f>
        <v>0.18836162932716788</v>
      </c>
      <c r="L5" s="2" t="s">
        <v>172</v>
      </c>
      <c r="P5" t="s">
        <v>137</v>
      </c>
      <c r="Q5" s="181">
        <f ca="1">C12</f>
        <v>35.795785957774342</v>
      </c>
      <c r="R5" t="s">
        <v>9</v>
      </c>
    </row>
    <row r="6" spans="1:18" x14ac:dyDescent="0.3">
      <c r="A6" s="475"/>
      <c r="B6" s="170" t="s">
        <v>171</v>
      </c>
      <c r="C6" s="169"/>
      <c r="D6" s="169">
        <f ca="1">D9-E7</f>
        <v>339.10358937755348</v>
      </c>
      <c r="E6" s="169">
        <f ca="1">D6</f>
        <v>339.10358937755348</v>
      </c>
      <c r="F6" s="169"/>
      <c r="G6" s="169"/>
      <c r="H6" s="169">
        <f>1/K4*I5</f>
        <v>333.33333333333337</v>
      </c>
      <c r="I6" s="169"/>
      <c r="K6" s="6">
        <f ca="1">(H6/(E6/K14))*3.6</f>
        <v>3.9315419882377971</v>
      </c>
      <c r="L6" s="2" t="s">
        <v>170</v>
      </c>
      <c r="Q6" s="181">
        <f ca="1">Q5/K14</f>
        <v>32.219429304927402</v>
      </c>
      <c r="R6" t="s">
        <v>189</v>
      </c>
    </row>
    <row r="7" spans="1:18" x14ac:dyDescent="0.3">
      <c r="A7" s="475"/>
      <c r="B7" s="170" t="s">
        <v>169</v>
      </c>
      <c r="C7" s="169"/>
      <c r="D7" s="169"/>
      <c r="E7" s="169">
        <f ca="1">C20*'Calculation list'!$F$52</f>
        <v>56.425684082419608</v>
      </c>
      <c r="F7" s="169"/>
      <c r="G7" s="169"/>
      <c r="H7" s="169"/>
      <c r="I7" s="169"/>
      <c r="K7" s="6">
        <f ca="1">(H9/(D9/K14))*3.6</f>
        <v>3.3706733975403669</v>
      </c>
      <c r="L7" s="2" t="s">
        <v>168</v>
      </c>
      <c r="P7" t="s">
        <v>143</v>
      </c>
      <c r="Q7" s="181">
        <f ca="1">C18+C12</f>
        <v>290.24643879724408</v>
      </c>
      <c r="R7" t="s">
        <v>9</v>
      </c>
    </row>
    <row r="8" spans="1:18" x14ac:dyDescent="0.3">
      <c r="A8" s="475"/>
      <c r="B8" s="170" t="s">
        <v>167</v>
      </c>
      <c r="C8" s="169"/>
      <c r="D8" s="169"/>
      <c r="E8" s="169"/>
      <c r="F8" s="169"/>
      <c r="G8" s="169"/>
      <c r="H8" s="169"/>
      <c r="I8" s="169">
        <f ca="1">H15-I14+H10</f>
        <v>117.92630114541889</v>
      </c>
      <c r="K8" s="157">
        <f ca="1">(I8+I5+I4)/I21</f>
        <v>0.8500000000000002</v>
      </c>
      <c r="L8" s="2" t="s">
        <v>166</v>
      </c>
      <c r="Q8" s="181">
        <f ca="1">Q7/K14</f>
        <v>261.24791970949065</v>
      </c>
      <c r="R8" t="s">
        <v>189</v>
      </c>
    </row>
    <row r="9" spans="1:18" x14ac:dyDescent="0.3">
      <c r="A9" s="173"/>
      <c r="B9" s="170" t="s">
        <v>165</v>
      </c>
      <c r="C9" s="169"/>
      <c r="D9" s="169">
        <f ca="1">C12+D13</f>
        <v>395.52927345997313</v>
      </c>
      <c r="E9" s="169"/>
      <c r="F9" s="169"/>
      <c r="G9" s="169"/>
      <c r="H9" s="169">
        <f>H6</f>
        <v>333.33333333333337</v>
      </c>
      <c r="I9" s="169"/>
      <c r="K9" s="182">
        <f ca="1">D6/K14</f>
        <v>305.22375281507965</v>
      </c>
      <c r="L9" s="2" t="s">
        <v>186</v>
      </c>
    </row>
    <row r="10" spans="1:18" x14ac:dyDescent="0.3">
      <c r="A10" s="173"/>
      <c r="B10" s="170" t="s">
        <v>164</v>
      </c>
      <c r="C10" s="169"/>
      <c r="D10" s="169"/>
      <c r="E10" s="169"/>
      <c r="F10" s="169"/>
      <c r="G10" s="169"/>
      <c r="H10" s="169">
        <f ca="1">K11*D13-(D11*K12)</f>
        <v>-0.78312084721345343</v>
      </c>
      <c r="I10" s="170"/>
      <c r="K10" s="175"/>
      <c r="L10" s="2"/>
    </row>
    <row r="11" spans="1:18" x14ac:dyDescent="0.3">
      <c r="A11" s="173"/>
      <c r="B11" s="170" t="s">
        <v>163</v>
      </c>
      <c r="C11" s="169"/>
      <c r="D11" s="169">
        <f ca="1">(D13/K14)*'Calculation list'!$E$27/1000</f>
        <v>9.7185908782147354</v>
      </c>
      <c r="E11" s="169"/>
      <c r="F11" s="169"/>
      <c r="G11" s="169"/>
      <c r="H11" s="169"/>
      <c r="I11" s="169"/>
      <c r="K11" s="174">
        <v>0.29499999999999998</v>
      </c>
      <c r="L11" s="2" t="s">
        <v>162</v>
      </c>
    </row>
    <row r="12" spans="1:18" x14ac:dyDescent="0.3">
      <c r="A12" s="173"/>
      <c r="B12" s="170" t="s">
        <v>161</v>
      </c>
      <c r="C12" s="169">
        <f ca="1">C20*'Calculation list'!$D$38</f>
        <v>35.795785957774349</v>
      </c>
      <c r="D12" s="169"/>
      <c r="E12" s="169"/>
      <c r="F12" s="169"/>
      <c r="G12" s="169"/>
      <c r="H12" s="169"/>
      <c r="I12" s="169"/>
      <c r="K12" s="10">
        <v>11</v>
      </c>
      <c r="L12" s="2" t="s">
        <v>160</v>
      </c>
    </row>
    <row r="13" spans="1:18" x14ac:dyDescent="0.3">
      <c r="A13" s="173"/>
      <c r="B13" s="170" t="s">
        <v>159</v>
      </c>
      <c r="C13" s="169"/>
      <c r="D13" s="169">
        <f ca="1">D16</f>
        <v>359.73348750219873</v>
      </c>
      <c r="E13" s="169"/>
      <c r="F13" s="169"/>
      <c r="G13" s="169"/>
      <c r="H13" s="169">
        <f ca="1">H9+H10</f>
        <v>332.5502124861199</v>
      </c>
      <c r="I13" s="169"/>
      <c r="K13" s="157">
        <v>0.15</v>
      </c>
      <c r="L13" s="2" t="s">
        <v>158</v>
      </c>
    </row>
    <row r="14" spans="1:18" x14ac:dyDescent="0.3">
      <c r="A14" s="173"/>
      <c r="B14" s="170" t="s">
        <v>157</v>
      </c>
      <c r="C14" s="169"/>
      <c r="D14" s="169"/>
      <c r="E14" s="169"/>
      <c r="F14" s="169"/>
      <c r="G14" s="169"/>
      <c r="H14" s="169"/>
      <c r="I14" s="169">
        <f ca="1">G20*K13</f>
        <v>79.634053143309231</v>
      </c>
      <c r="K14" s="172">
        <v>1.111</v>
      </c>
      <c r="L14" s="2" t="s">
        <v>156</v>
      </c>
    </row>
    <row r="15" spans="1:18" x14ac:dyDescent="0.3">
      <c r="A15" s="476" t="s">
        <v>155</v>
      </c>
      <c r="B15" s="170" t="s">
        <v>154</v>
      </c>
      <c r="C15" s="169"/>
      <c r="D15" s="169"/>
      <c r="E15" s="169"/>
      <c r="F15" s="169"/>
      <c r="G15" s="169"/>
      <c r="H15" s="169">
        <f ca="1">I21*K15</f>
        <v>198.3434751359415</v>
      </c>
      <c r="I15" s="170"/>
      <c r="K15" s="171" t="e">
        <f>'Calculation list'!$F$46</f>
        <v>#REF!</v>
      </c>
      <c r="L15" s="2" t="s">
        <v>153</v>
      </c>
    </row>
    <row r="16" spans="1:18" x14ac:dyDescent="0.3">
      <c r="A16" s="476"/>
      <c r="B16" s="170" t="s">
        <v>152</v>
      </c>
      <c r="C16" s="169"/>
      <c r="D16" s="169">
        <f ca="1">C20+C19+C18-E17</f>
        <v>359.73348750219878</v>
      </c>
      <c r="E16" s="169"/>
      <c r="F16" s="169"/>
      <c r="G16" s="169"/>
      <c r="H16" s="169">
        <f ca="1">I21*K16</f>
        <v>332.55021248611996</v>
      </c>
      <c r="I16" s="169"/>
      <c r="K16" s="171">
        <f ca="1">H16/G20</f>
        <v>0.62639699856981435</v>
      </c>
      <c r="L16" s="2" t="s">
        <v>151</v>
      </c>
    </row>
    <row r="17" spans="1:12" x14ac:dyDescent="0.3">
      <c r="A17" s="476"/>
      <c r="B17" s="170" t="s">
        <v>0</v>
      </c>
      <c r="C17" s="169"/>
      <c r="D17" s="169"/>
      <c r="E17" s="169">
        <f ca="1">C20*'Calculation list'!$D$56</f>
        <v>25.952958191805322</v>
      </c>
      <c r="F17" s="169"/>
      <c r="G17" s="169"/>
      <c r="H17" s="169"/>
      <c r="I17" s="169"/>
      <c r="K17" s="4">
        <f ca="1">(H16/(D16/K14))*3.6</f>
        <v>3.6973700699781409</v>
      </c>
      <c r="L17" s="2" t="s">
        <v>150</v>
      </c>
    </row>
    <row r="18" spans="1:12" x14ac:dyDescent="0.3">
      <c r="A18" s="476"/>
      <c r="B18" s="170" t="s">
        <v>149</v>
      </c>
      <c r="C18" s="169">
        <f ca="1">C20*'Calculation list'!$D$30</f>
        <v>254.45065283946977</v>
      </c>
      <c r="D18" s="169"/>
      <c r="E18" s="169"/>
      <c r="F18" s="169"/>
      <c r="G18" s="169"/>
      <c r="H18" s="169"/>
      <c r="I18" s="169"/>
      <c r="K18" s="167"/>
      <c r="L18" s="167"/>
    </row>
    <row r="19" spans="1:12" x14ac:dyDescent="0.3">
      <c r="A19" s="476"/>
      <c r="B19" s="170" t="s">
        <v>148</v>
      </c>
      <c r="C19" s="169">
        <f ca="1">C20*'Calculation list'!$D$52</f>
        <v>7.6648535338935497</v>
      </c>
      <c r="D19" s="169"/>
      <c r="E19" s="169"/>
      <c r="F19" s="169"/>
      <c r="G19" s="169"/>
      <c r="H19" s="169"/>
      <c r="I19" s="169"/>
      <c r="K19" s="167"/>
      <c r="L19" s="167"/>
    </row>
    <row r="20" spans="1:12" x14ac:dyDescent="0.3">
      <c r="A20" s="476"/>
      <c r="B20" s="170" t="s">
        <v>147</v>
      </c>
      <c r="C20" s="169">
        <f ca="1">I21/'Calculation list'!$C$17</f>
        <v>123.57093932064075</v>
      </c>
      <c r="D20" s="169"/>
      <c r="E20" s="169"/>
      <c r="F20" s="169"/>
      <c r="G20" s="169">
        <f ca="1">H16+H15</f>
        <v>530.89368762206141</v>
      </c>
      <c r="H20" s="169"/>
      <c r="I20" s="169"/>
      <c r="K20" s="168"/>
      <c r="L20" s="167"/>
    </row>
    <row r="21" spans="1:12" x14ac:dyDescent="0.3">
      <c r="A21" s="476"/>
      <c r="B21" s="166" t="s">
        <v>146</v>
      </c>
      <c r="C21" s="165">
        <f ca="1">SUM(C4:C20)</f>
        <v>421.48223165177842</v>
      </c>
      <c r="D21" s="165"/>
      <c r="E21" s="165">
        <f ca="1">SUM(E4:E20)</f>
        <v>421.48223165177842</v>
      </c>
      <c r="F21" s="165"/>
      <c r="G21" s="165">
        <f ca="1">SUM(G4:G20)</f>
        <v>530.89368762206141</v>
      </c>
      <c r="H21" s="165"/>
      <c r="I21" s="165">
        <f ca="1">SUM(I4:I20)</f>
        <v>530.89368762206152</v>
      </c>
      <c r="J21" s="164"/>
      <c r="K21" s="2"/>
      <c r="L21" s="163"/>
    </row>
    <row r="22" spans="1:12" x14ac:dyDescent="0.3">
      <c r="L22" s="162"/>
    </row>
  </sheetData>
  <mergeCells count="2">
    <mergeCell ref="A4:A8"/>
    <mergeCell ref="A15:A21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Sheet3</vt:lpstr>
      <vt:lpstr>01.Vhodni podatki</vt:lpstr>
      <vt:lpstr>Customer calculations MS</vt:lpstr>
      <vt:lpstr>Customer calculations</vt:lpstr>
      <vt:lpstr>Info data</vt:lpstr>
      <vt:lpstr>Calculation list</vt:lpstr>
      <vt:lpstr>230 kg smeti v metan-stara</vt:lpstr>
      <vt:lpstr>2300 kg smeti v metan (2)</vt:lpstr>
      <vt:lpstr>2300 kg smeti v metanol (2)</vt:lpstr>
      <vt:lpstr>2300 kg smeti v metanol</vt:lpstr>
      <vt:lpstr>2300 kg smeti v metanol bre (2</vt:lpstr>
      <vt:lpstr>01.1 Dodajane adsorbenta</vt:lpstr>
      <vt:lpstr>02. Pripravljeno gorivo</vt:lpstr>
      <vt:lpstr>03.1 Enacbe</vt:lpstr>
      <vt:lpstr>Thermodynamics</vt:lpstr>
      <vt:lpstr>03. Uplinjanje</vt:lpstr>
      <vt:lpstr>04.1 Enacbe</vt:lpstr>
      <vt:lpstr>04.Katrani</vt:lpstr>
      <vt:lpstr>05.bilanca energije</vt:lpstr>
      <vt:lpstr> Uplinjanje-DELO</vt:lpstr>
      <vt:lpstr>03.1 Enacbe1</vt:lpstr>
      <vt:lpstr>03. Uplinjanje1</vt:lpstr>
      <vt:lpstr>2500 kg smeti v metanol brezWGS</vt:lpstr>
      <vt:lpstr>2300kg smeti v met.brezW z H2</vt:lpstr>
      <vt:lpstr>Makedonja Kisik</vt:lpstr>
      <vt:lpstr>375 kg smeti v H2-nov</vt:lpstr>
      <vt:lpstr>PODATKI ZA SHEMO</vt:lpstr>
      <vt:lpstr>03.1 Enacbe (2)</vt:lpstr>
      <vt:lpstr>eq</vt:lpstr>
      <vt:lpstr>Customer calculations metanol</vt:lpstr>
      <vt:lpstr>Slike</vt:lpstr>
      <vt:lpstr>Popravki</vt:lpstr>
      <vt:lpstr>Control model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2022-05-19T19:13:05Z</dcterms:modified>
</cp:coreProperties>
</file>