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2081596-3D92-467C-ABA0-8565FC5BBA9A}" xr6:coauthVersionLast="47" xr6:coauthVersionMax="47" xr10:uidLastSave="{00000000-0000-0000-0000-000000000000}"/>
  <bookViews>
    <workbookView xWindow="-120" yWindow="-120" windowWidth="29040" windowHeight="15720" activeTab="4" xr2:uid="{AD5FE48E-9CE6-4EDE-8F69-E8FD3B4EAF42}"/>
  </bookViews>
  <sheets>
    <sheet name="Propane-Use-Day-1" sheetId="1" r:id="rId1"/>
    <sheet name="Propane-Use-Day-2" sheetId="3" r:id="rId2"/>
    <sheet name="Propane-Use-Day-3" sheetId="4" r:id="rId3"/>
    <sheet name="Propane-Use-Day-4" sheetId="5" r:id="rId4"/>
    <sheet name="Propane-Use-Day-5" sheetId="7" r:id="rId5"/>
  </sheets>
  <definedNames>
    <definedName name="_nInt" localSheetId="1">'Propane-Use-Day-2'!$H$8</definedName>
    <definedName name="_nInt" localSheetId="2">'Propane-Use-Day-3'!$H$8</definedName>
    <definedName name="_nInt" localSheetId="3">'Propane-Use-Day-4'!$H$8</definedName>
    <definedName name="_nInt" localSheetId="4">'Propane-Use-Day-5'!$H$8</definedName>
    <definedName name="_nInt">'Propane-Use-Day-1'!$H$8</definedName>
    <definedName name="_nSlope" localSheetId="1">'Propane-Use-Day-2'!$G$8</definedName>
    <definedName name="_nSlope" localSheetId="2">'Propane-Use-Day-3'!$G$8</definedName>
    <definedName name="_nSlope" localSheetId="3">'Propane-Use-Day-4'!$G$8</definedName>
    <definedName name="_nSlope" localSheetId="4">'Propane-Use-Day-5'!$G$8</definedName>
    <definedName name="_nSlope">'Propane-Use-Day-1'!$G$8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7" l="1" a="1"/>
  <c r="G8" i="7" s="1"/>
  <c r="K8" i="7" a="1"/>
  <c r="K8" i="7" s="1"/>
  <c r="C17" i="7"/>
  <c r="K51" i="7" a="1"/>
  <c r="K51" i="7" s="1"/>
  <c r="K48" i="7" a="1"/>
  <c r="K48" i="7" s="1"/>
  <c r="L71" i="7" s="1"/>
  <c r="L45" i="7"/>
  <c r="C16" i="7"/>
  <c r="C10" i="7"/>
  <c r="C11" i="7"/>
  <c r="C12" i="7"/>
  <c r="C13" i="7"/>
  <c r="C14" i="7"/>
  <c r="C15" i="7"/>
  <c r="E2" i="7"/>
  <c r="B3" i="7"/>
  <c r="L44" i="7"/>
  <c r="L43" i="7"/>
  <c r="L42" i="7"/>
  <c r="L41" i="7"/>
  <c r="G16" i="7"/>
  <c r="M26" i="7"/>
  <c r="K8" i="5" a="1"/>
  <c r="K8" i="5" s="1"/>
  <c r="C15" i="5"/>
  <c r="C14" i="5"/>
  <c r="C13" i="5"/>
  <c r="L41" i="5"/>
  <c r="C12" i="5"/>
  <c r="C9" i="5"/>
  <c r="C10" i="5"/>
  <c r="C11" i="5"/>
  <c r="C8" i="5"/>
  <c r="B3" i="4"/>
  <c r="B3" i="5"/>
  <c r="K50" i="5" a="1"/>
  <c r="K50" i="5" s="1"/>
  <c r="L44" i="5"/>
  <c r="L43" i="5"/>
  <c r="L42" i="5"/>
  <c r="G16" i="5"/>
  <c r="M34" i="5" s="1"/>
  <c r="C15" i="4"/>
  <c r="L42" i="4"/>
  <c r="L43" i="4"/>
  <c r="L41" i="4"/>
  <c r="C14" i="4"/>
  <c r="C13" i="4"/>
  <c r="C12" i="4"/>
  <c r="C11" i="4"/>
  <c r="C10" i="4"/>
  <c r="D9" i="4"/>
  <c r="C8" i="3"/>
  <c r="C9" i="3"/>
  <c r="C10" i="3"/>
  <c r="C11" i="3"/>
  <c r="C12" i="3"/>
  <c r="C13" i="3"/>
  <c r="C14" i="3"/>
  <c r="C15" i="3"/>
  <c r="C16" i="3"/>
  <c r="C17" i="3"/>
  <c r="C18" i="3"/>
  <c r="K8" i="4" a="1"/>
  <c r="K8" i="4" s="1"/>
  <c r="C9" i="4"/>
  <c r="C8" i="4"/>
  <c r="G16" i="4"/>
  <c r="K8" i="3" a="1"/>
  <c r="K8" i="3" s="1"/>
  <c r="M8" i="3" s="1"/>
  <c r="G16" i="3"/>
  <c r="I12" i="7"/>
  <c r="I12" i="4"/>
  <c r="I12" i="5"/>
  <c r="L70" i="7" l="1"/>
  <c r="L69" i="7"/>
  <c r="L63" i="7"/>
  <c r="L64" i="7"/>
  <c r="L65" i="7"/>
  <c r="L66" i="7"/>
  <c r="L67" i="7"/>
  <c r="L68" i="7"/>
  <c r="M32" i="5"/>
  <c r="M33" i="5"/>
  <c r="M8" i="5"/>
  <c r="G12" i="7"/>
  <c r="G30" i="7" s="1"/>
  <c r="M33" i="7"/>
  <c r="M11" i="7"/>
  <c r="M13" i="7"/>
  <c r="M27" i="7"/>
  <c r="M31" i="7"/>
  <c r="M15" i="7"/>
  <c r="M30" i="7"/>
  <c r="M23" i="7"/>
  <c r="M34" i="7"/>
  <c r="M16" i="7"/>
  <c r="M20" i="7"/>
  <c r="M24" i="7"/>
  <c r="M9" i="7"/>
  <c r="M28" i="7"/>
  <c r="M32" i="7"/>
  <c r="M8" i="7"/>
  <c r="M10" i="7"/>
  <c r="M12" i="7"/>
  <c r="M18" i="7"/>
  <c r="M22" i="7"/>
  <c r="M19" i="7"/>
  <c r="M14" i="7"/>
  <c r="M17" i="7"/>
  <c r="M21" i="7"/>
  <c r="M25" i="7"/>
  <c r="M29" i="7"/>
  <c r="G8" i="5" a="1"/>
  <c r="M29" i="5"/>
  <c r="M15" i="5"/>
  <c r="M18" i="5"/>
  <c r="M22" i="5"/>
  <c r="M31" i="5"/>
  <c r="M20" i="5"/>
  <c r="M24" i="5"/>
  <c r="M14" i="5"/>
  <c r="M28" i="5"/>
  <c r="M26" i="5"/>
  <c r="M30" i="5"/>
  <c r="M11" i="5"/>
  <c r="M13" i="5"/>
  <c r="M19" i="5"/>
  <c r="M23" i="5"/>
  <c r="M27" i="5"/>
  <c r="M9" i="5"/>
  <c r="M16" i="5"/>
  <c r="M17" i="5"/>
  <c r="M21" i="5"/>
  <c r="M25" i="5"/>
  <c r="M10" i="5"/>
  <c r="M12" i="5"/>
  <c r="G8" i="4" a="1"/>
  <c r="G8" i="4" s="1"/>
  <c r="L8" i="4" s="1"/>
  <c r="M26" i="4"/>
  <c r="M14" i="4"/>
  <c r="M23" i="4"/>
  <c r="M27" i="4"/>
  <c r="M20" i="4"/>
  <c r="M31" i="4"/>
  <c r="M8" i="4"/>
  <c r="M10" i="4"/>
  <c r="M12" i="4"/>
  <c r="M17" i="4"/>
  <c r="M24" i="4"/>
  <c r="M28" i="4"/>
  <c r="M15" i="4"/>
  <c r="M21" i="4"/>
  <c r="M25" i="4"/>
  <c r="M29" i="4"/>
  <c r="M11" i="4"/>
  <c r="M13" i="4"/>
  <c r="M18" i="4"/>
  <c r="M22" i="4"/>
  <c r="M9" i="4"/>
  <c r="M16" i="4"/>
  <c r="M19" i="4"/>
  <c r="M30" i="4"/>
  <c r="M10" i="3"/>
  <c r="M38" i="3"/>
  <c r="M24" i="3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G8" i="5" l="1"/>
  <c r="L34" i="5"/>
  <c r="L33" i="5"/>
  <c r="L32" i="5"/>
  <c r="L26" i="7"/>
  <c r="L8" i="7"/>
  <c r="L21" i="7"/>
  <c r="L17" i="7"/>
  <c r="L30" i="7"/>
  <c r="L15" i="7"/>
  <c r="L12" i="7"/>
  <c r="L13" i="7"/>
  <c r="L29" i="7"/>
  <c r="L11" i="7"/>
  <c r="L9" i="7"/>
  <c r="L14" i="7"/>
  <c r="L19" i="7"/>
  <c r="L27" i="7"/>
  <c r="L24" i="7"/>
  <c r="L18" i="7"/>
  <c r="L32" i="7"/>
  <c r="L20" i="7"/>
  <c r="L16" i="7"/>
  <c r="L34" i="7"/>
  <c r="L10" i="7"/>
  <c r="L31" i="7"/>
  <c r="L28" i="7"/>
  <c r="L33" i="7"/>
  <c r="L25" i="7"/>
  <c r="L23" i="7"/>
  <c r="L22" i="7"/>
  <c r="G12" i="5"/>
  <c r="G26" i="5" s="1"/>
  <c r="M41" i="5"/>
  <c r="K47" i="5" s="1" a="1"/>
  <c r="L25" i="5"/>
  <c r="L13" i="5"/>
  <c r="L10" i="5"/>
  <c r="L14" i="5"/>
  <c r="L23" i="5"/>
  <c r="L8" i="5"/>
  <c r="L30" i="5"/>
  <c r="L29" i="5"/>
  <c r="L12" i="5"/>
  <c r="L28" i="5"/>
  <c r="L27" i="5"/>
  <c r="L15" i="5"/>
  <c r="L11" i="5"/>
  <c r="L17" i="5"/>
  <c r="L31" i="5"/>
  <c r="L18" i="5"/>
  <c r="L9" i="5"/>
  <c r="L16" i="5"/>
  <c r="L24" i="5"/>
  <c r="L19" i="5"/>
  <c r="L26" i="5"/>
  <c r="L21" i="5"/>
  <c r="L20" i="5"/>
  <c r="L22" i="5"/>
  <c r="G12" i="4"/>
  <c r="H34" i="4" s="1"/>
  <c r="L24" i="4"/>
  <c r="L16" i="4"/>
  <c r="L17" i="4"/>
  <c r="L29" i="4"/>
  <c r="L9" i="4"/>
  <c r="L14" i="4"/>
  <c r="L25" i="4"/>
  <c r="L31" i="4"/>
  <c r="L26" i="4"/>
  <c r="L23" i="4"/>
  <c r="L22" i="4"/>
  <c r="L30" i="4"/>
  <c r="L19" i="4"/>
  <c r="L11" i="4"/>
  <c r="L28" i="4"/>
  <c r="L15" i="4"/>
  <c r="L18" i="4"/>
  <c r="L21" i="4"/>
  <c r="L12" i="4"/>
  <c r="L27" i="4"/>
  <c r="L13" i="4"/>
  <c r="L10" i="4"/>
  <c r="L20" i="4"/>
  <c r="G8" i="3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L62" i="7" l="1"/>
  <c r="H40" i="7"/>
  <c r="K47" i="5"/>
  <c r="L56" i="5" s="1"/>
  <c r="L52" i="5"/>
  <c r="L51" i="5"/>
  <c r="L60" i="5"/>
  <c r="L55" i="5"/>
  <c r="L58" i="5"/>
  <c r="L50" i="5"/>
  <c r="L57" i="5"/>
  <c r="L54" i="5"/>
  <c r="L61" i="5"/>
  <c r="L59" i="5"/>
  <c r="H34" i="5"/>
  <c r="G26" i="4"/>
  <c r="G8" i="3"/>
  <c r="L33" i="3" s="1"/>
  <c r="G8" i="1" a="1"/>
  <c r="G8" i="1" s="1"/>
  <c r="L53" i="5" l="1"/>
  <c r="L56" i="7"/>
  <c r="L60" i="7"/>
  <c r="L53" i="7"/>
  <c r="L57" i="7"/>
  <c r="L58" i="7"/>
  <c r="L52" i="7"/>
  <c r="L55" i="7"/>
  <c r="L61" i="7"/>
  <c r="L51" i="7"/>
  <c r="L54" i="7"/>
  <c r="L59" i="7"/>
  <c r="L38" i="3"/>
  <c r="L9" i="3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30" i="3" l="1"/>
  <c r="G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9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D9FAC42-22A4-4FF1-B146-F2C42D0545F9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50380CC-A4BE-432C-93D7-875574C490FA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9" authorId="0" shapeId="0" xr:uid="{37049AD9-8749-4D08-85E4-2429029DAB74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<sst xmlns="http://schemas.openxmlformats.org/spreadsheetml/2006/main" count="222" uniqueCount="50">
  <si>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</si>
  <si>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</si>
  <si>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</si>
  <si>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</si>
  <si>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</si>
  <si>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</si>
  <si>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</si>
  <si>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</si>
  <si>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</si>
  <si>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</si>
  <si>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</si>
  <si>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</si>
  <si>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</si>
  <si>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</si>
  <si>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</si>
  <si>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</si>
  <si>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</si>
  <si>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</si>
  <si>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</si>
  <si>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</si>
  <si>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</si>
  <si>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</si>
  <si>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</si>
  <si>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</si>
  <si>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</si>
  <si>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</si>
  <si>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</si>
  <si>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</si>
  <si>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</si>
  <si>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</si>
  <si>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</si>
  <si>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</si>
  <si>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</si>
  <si>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</si>
  <si>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</si>
  <si>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</si>
  <si>
    <t>Mosquito Magnetic Test Plans</t>
  </si>
  <si>
    <t>Checkout hair dryer to kill remaining mosquitos</t>
  </si>
  <si>
    <t>Attempt to measure number of mosquitos</t>
  </si>
  <si>
    <t xml:space="preserve">Note that I started my test with only 5 lbs of propane in </t>
  </si>
  <si>
    <t>Rate</t>
  </si>
  <si>
    <t>Fuel</t>
  </si>
  <si>
    <t xml:space="preserve">Note that I started my test with only 4 lbs of propane in </t>
  </si>
  <si>
    <t>Curve Fit</t>
  </si>
  <si>
    <t>Propane Burn Rate vs Propane Weight</t>
  </si>
  <si>
    <t>Propane Weight (lbs)</t>
  </si>
  <si>
    <t>Burn Rate (lbs/day)</t>
  </si>
  <si>
    <t>The burn rate reduces by 0.02 lbs/day per lb of propane</t>
  </si>
  <si>
    <t>I believe the mean burn rate will end up somewhere around the vendor spec of 0.81 lb/day.</t>
  </si>
  <si>
    <t>Initial Tank Wght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</si>
</sst>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;\-0.00;0.00;@"/>
    <numFmt numFmtId="165" formatCode="0.0;\-0.0;0.0;@"/>
    <numFmt numFmtId="166" formatCode="0.000;\-0.000;0.000;@"/>
    <numFmt numFmtId="167" formatCode="dd/mmm/yyyy\ h:mm:ss\ AM/PM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166" fontId="0" fillId="0" borderId="0" xfId="0" applyNumberFormat="1"/>
    <xf numFmtId="167" fontId="0" fillId="0" borderId="3" xfId="0" applyNumberFormat="1" applyBorder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37"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167" formatCode="dd/mmm/yyyy\ h:mm:ss\ AM/P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168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8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8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8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'Propane-Use-Day-1'!$D$8:$D$22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'Propane-Use-Day-1'!$L$7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'Propane-Use-Day-1'!$L$8:$L$32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'Propane-Use-Day-2'!$C$21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'Propane-Use-Day-2'!$C$8:$C$19</c:f>
              <c:numCache>
                <c:formatCode>0.00</c:formatCode>
                <c:ptCount val="12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'Propane-Use-Day-2'!$D$8:$D$19</c:f>
              <c:numCache>
                <c:formatCode>0.00;\-0.00;0.00;@</c:formatCode>
                <c:ptCount val="12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'Propane-Use-Day-2'!$L$8:$L$38</c:f>
              <c:numCache>
                <c:formatCode>0.00;\-0.00;0.00;@</c:formatCode>
                <c:ptCount val="31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  <c:pt idx="30">
                  <c:v>23.797732327644738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'Propane-Use-Day-2'!$M$8:$M$38</c:f>
              <c:numCache>
                <c:formatCode>0.00;\-0.00;0.00;@</c:formatCode>
                <c:ptCount val="31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  <c:pt idx="30">
                  <c:v>23.658095238095239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'Propane-Use-Day-2'!$C$22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'Propane-Use-Day-2'!$C$23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'Propane-Use-Day-3'!$C$33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'Propane-Use-Day-3'!$C$8:$C$15</c:f>
              <c:numCache>
                <c:formatCode>0.00</c:formatCode>
                <c:ptCount val="8"/>
                <c:pt idx="0">
                  <c:v>0</c:v>
                </c:pt>
                <c:pt idx="1">
                  <c:v>1.0833333333721384</c:v>
                </c:pt>
                <c:pt idx="2">
                  <c:v>2.0166666666045785</c:v>
                </c:pt>
                <c:pt idx="3">
                  <c:v>3.28333333338378</c:v>
                </c:pt>
                <c:pt idx="4">
                  <c:v>4.3000000000465661</c:v>
                </c:pt>
                <c:pt idx="5">
                  <c:v>5.3666666666977108</c:v>
                </c:pt>
                <c:pt idx="6">
                  <c:v>6.3833333333604969</c:v>
                </c:pt>
                <c:pt idx="7">
                  <c:v>10.649999999965075</c:v>
                </c:pt>
              </c:numCache>
            </c:numRef>
          </c:xVal>
          <c:yVal>
            <c:numRef>
              <c:f>'Propane-Use-Day-3'!$D$8:$D$15</c:f>
              <c:numCache>
                <c:formatCode>0.00;\-0.00;0.00;@</c:formatCode>
                <c:ptCount val="8"/>
                <c:pt idx="0">
                  <c:v>21.882999999999999</c:v>
                </c:pt>
                <c:pt idx="1">
                  <c:v>21.83</c:v>
                </c:pt>
                <c:pt idx="2">
                  <c:v>21.736666670000002</c:v>
                </c:pt>
                <c:pt idx="3">
                  <c:v>21.72</c:v>
                </c:pt>
                <c:pt idx="4">
                  <c:v>21.79</c:v>
                </c:pt>
                <c:pt idx="5">
                  <c:v>21.725000000000001</c:v>
                </c:pt>
                <c:pt idx="6">
                  <c:v>21.704999999999998</c:v>
                </c:pt>
                <c:pt idx="7">
                  <c:v>21.552499999999998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A-46B1-A799-581615440ECB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'Propane-Use-Day-3'!$L$8:$L$38</c:f>
              <c:numCache>
                <c:formatCode>0.00;\-0.00;0.00;@</c:formatCode>
                <c:ptCount val="31"/>
                <c:pt idx="0">
                  <c:v>21.853110218453502</c:v>
                </c:pt>
                <c:pt idx="1">
                  <c:v>21.826428654394295</c:v>
                </c:pt>
                <c:pt idx="2">
                  <c:v>21.799747090335089</c:v>
                </c:pt>
                <c:pt idx="3">
                  <c:v>21.773065526275882</c:v>
                </c:pt>
                <c:pt idx="4">
                  <c:v>21.746383962216676</c:v>
                </c:pt>
                <c:pt idx="5">
                  <c:v>21.71970239815747</c:v>
                </c:pt>
                <c:pt idx="6">
                  <c:v>21.693020834098263</c:v>
                </c:pt>
                <c:pt idx="7">
                  <c:v>21.666339270039057</c:v>
                </c:pt>
                <c:pt idx="8">
                  <c:v>21.63965770597985</c:v>
                </c:pt>
                <c:pt idx="9">
                  <c:v>21.612976141920644</c:v>
                </c:pt>
                <c:pt idx="10">
                  <c:v>21.586294577861437</c:v>
                </c:pt>
                <c:pt idx="11">
                  <c:v>21.559613013802231</c:v>
                </c:pt>
                <c:pt idx="12">
                  <c:v>21.532931449743025</c:v>
                </c:pt>
                <c:pt idx="13">
                  <c:v>21.506249885683818</c:v>
                </c:pt>
                <c:pt idx="14">
                  <c:v>21.479568321624612</c:v>
                </c:pt>
                <c:pt idx="15">
                  <c:v>21.452886757565405</c:v>
                </c:pt>
                <c:pt idx="16">
                  <c:v>21.426205193506199</c:v>
                </c:pt>
                <c:pt idx="17">
                  <c:v>21.399523629446993</c:v>
                </c:pt>
                <c:pt idx="18">
                  <c:v>21.372842065387786</c:v>
                </c:pt>
                <c:pt idx="19">
                  <c:v>21.34616050132858</c:v>
                </c:pt>
                <c:pt idx="20">
                  <c:v>21.319478937269373</c:v>
                </c:pt>
                <c:pt idx="21">
                  <c:v>21.292797373210167</c:v>
                </c:pt>
                <c:pt idx="22">
                  <c:v>21.266115809150961</c:v>
                </c:pt>
                <c:pt idx="23">
                  <c:v>21.239434245091754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DA-46B1-A799-581615440ECB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'Propane-Use-Day-3'!$M$8:$M$38</c:f>
              <c:numCache>
                <c:formatCode>0.00;\-0.00;0.00;@</c:formatCode>
                <c:ptCount val="31"/>
                <c:pt idx="0">
                  <c:v>21.882999999999999</c:v>
                </c:pt>
                <c:pt idx="1">
                  <c:v>21.849269841269841</c:v>
                </c:pt>
                <c:pt idx="2">
                  <c:v>21.815539682539683</c:v>
                </c:pt>
                <c:pt idx="3">
                  <c:v>21.781809523809525</c:v>
                </c:pt>
                <c:pt idx="4">
                  <c:v>21.748079365079363</c:v>
                </c:pt>
                <c:pt idx="5">
                  <c:v>21.714349206349205</c:v>
                </c:pt>
                <c:pt idx="6">
                  <c:v>21.680619047619047</c:v>
                </c:pt>
                <c:pt idx="7">
                  <c:v>21.646888888888888</c:v>
                </c:pt>
                <c:pt idx="8">
                  <c:v>21.61315873015873</c:v>
                </c:pt>
                <c:pt idx="9">
                  <c:v>21.579428571428572</c:v>
                </c:pt>
                <c:pt idx="10">
                  <c:v>21.54569841269841</c:v>
                </c:pt>
                <c:pt idx="11">
                  <c:v>21.511968253968252</c:v>
                </c:pt>
                <c:pt idx="12">
                  <c:v>21.478238095238094</c:v>
                </c:pt>
                <c:pt idx="13">
                  <c:v>21.444507936507936</c:v>
                </c:pt>
                <c:pt idx="14">
                  <c:v>21.410777777777778</c:v>
                </c:pt>
                <c:pt idx="15">
                  <c:v>21.37704761904762</c:v>
                </c:pt>
                <c:pt idx="16">
                  <c:v>21.343317460317458</c:v>
                </c:pt>
                <c:pt idx="17">
                  <c:v>21.3095873015873</c:v>
                </c:pt>
                <c:pt idx="18">
                  <c:v>21.275857142857141</c:v>
                </c:pt>
                <c:pt idx="19">
                  <c:v>21.242126984126983</c:v>
                </c:pt>
                <c:pt idx="20">
                  <c:v>21.208396825396825</c:v>
                </c:pt>
                <c:pt idx="21">
                  <c:v>21.174666666666667</c:v>
                </c:pt>
                <c:pt idx="22">
                  <c:v>21.140936507936509</c:v>
                </c:pt>
                <c:pt idx="23">
                  <c:v>21.107206349206347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DA-46B1-A799-58161544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2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05741066198"/>
          <c:y val="0.41687809857101193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'Propane-Use-Day-3'!$M$40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'Propane-Use-Day-3'!$L$41:$L$43</c:f>
              <c:numCache>
                <c:formatCode>General</c:formatCode>
                <c:ptCount val="3"/>
                <c:pt idx="0">
                  <c:v>4.5</c:v>
                </c:pt>
                <c:pt idx="1">
                  <c:v>7.5500000000000007</c:v>
                </c:pt>
                <c:pt idx="2">
                  <c:v>10.850000000000001</c:v>
                </c:pt>
              </c:numCache>
            </c:numRef>
          </c:xVal>
          <c:yVal>
            <c:numRef>
              <c:f>'Propane-Use-Day-3'!$M$41:$M$43</c:f>
              <c:numCache>
                <c:formatCode>0.00;\-0.00;0.00;@</c:formatCode>
                <c:ptCount val="3"/>
                <c:pt idx="0">
                  <c:v>0.64</c:v>
                </c:pt>
                <c:pt idx="1">
                  <c:v>0.7</c:v>
                </c:pt>
                <c:pt idx="2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B4-42BF-B093-D69BBC12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'Propane-Use-Day-4'!$C$8:$C$15</c:f>
              <c:numCache>
                <c:formatCode>0.00</c:formatCode>
                <c:ptCount val="8"/>
                <c:pt idx="0">
                  <c:v>0</c:v>
                </c:pt>
                <c:pt idx="1">
                  <c:v>2.5166666666627862</c:v>
                </c:pt>
                <c:pt idx="2">
                  <c:v>5.3166666667093523</c:v>
                </c:pt>
                <c:pt idx="3">
                  <c:v>5.9166666667442769</c:v>
                </c:pt>
                <c:pt idx="4">
                  <c:v>6.933333333407063</c:v>
                </c:pt>
                <c:pt idx="5">
                  <c:v>7.9000000000814907</c:v>
                </c:pt>
                <c:pt idx="6">
                  <c:v>11.750000000058208</c:v>
                </c:pt>
                <c:pt idx="7">
                  <c:v>25.533333333441988</c:v>
                </c:pt>
              </c:numCache>
            </c:numRef>
          </c:xVal>
          <c:yVal>
            <c:numRef>
              <c:f>'Propane-Use-Day-4'!$D$8:$D$15</c:f>
              <c:numCache>
                <c:formatCode>0.00;\-0.00;0.00;@</c:formatCode>
                <c:ptCount val="8"/>
                <c:pt idx="0">
                  <c:v>21.13</c:v>
                </c:pt>
                <c:pt idx="1">
                  <c:v>21.05</c:v>
                </c:pt>
                <c:pt idx="2">
                  <c:v>20.99</c:v>
                </c:pt>
                <c:pt idx="3">
                  <c:v>20.97666667</c:v>
                </c:pt>
                <c:pt idx="4">
                  <c:v>21.016666669999999</c:v>
                </c:pt>
                <c:pt idx="5">
                  <c:v>20.963333330000001</c:v>
                </c:pt>
                <c:pt idx="6">
                  <c:v>20.83666667</c:v>
                </c:pt>
                <c:pt idx="7">
                  <c:v>20.48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1-4C9B-AC3F-536AA4846B4F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'Propane-Use-Day-4'!$L$8:$L$38</c:f>
              <c:numCache>
                <c:formatCode>0.00;\-0.00;0.00;@</c:formatCode>
                <c:ptCount val="31"/>
                <c:pt idx="0">
                  <c:v>21.139286553032619</c:v>
                </c:pt>
                <c:pt idx="1">
                  <c:v>21.113917741024778</c:v>
                </c:pt>
                <c:pt idx="2">
                  <c:v>21.088548929016937</c:v>
                </c:pt>
                <c:pt idx="3">
                  <c:v>21.063180117009097</c:v>
                </c:pt>
                <c:pt idx="4">
                  <c:v>21.037811305001256</c:v>
                </c:pt>
                <c:pt idx="5">
                  <c:v>21.012442492993411</c:v>
                </c:pt>
                <c:pt idx="6">
                  <c:v>20.987073680985571</c:v>
                </c:pt>
                <c:pt idx="7">
                  <c:v>20.96170486897773</c:v>
                </c:pt>
                <c:pt idx="8">
                  <c:v>20.936336056969889</c:v>
                </c:pt>
                <c:pt idx="9">
                  <c:v>20.910967244962048</c:v>
                </c:pt>
                <c:pt idx="10">
                  <c:v>20.885598432954207</c:v>
                </c:pt>
                <c:pt idx="11">
                  <c:v>20.860229620946367</c:v>
                </c:pt>
                <c:pt idx="12">
                  <c:v>20.834860808938526</c:v>
                </c:pt>
                <c:pt idx="13">
                  <c:v>20.809491996930685</c:v>
                </c:pt>
                <c:pt idx="14">
                  <c:v>20.784123184922841</c:v>
                </c:pt>
                <c:pt idx="15">
                  <c:v>20.758754372915</c:v>
                </c:pt>
                <c:pt idx="16">
                  <c:v>20.733385560907159</c:v>
                </c:pt>
                <c:pt idx="17">
                  <c:v>20.708016748899318</c:v>
                </c:pt>
                <c:pt idx="18">
                  <c:v>20.682647936891478</c:v>
                </c:pt>
                <c:pt idx="19">
                  <c:v>20.657279124883637</c:v>
                </c:pt>
                <c:pt idx="20">
                  <c:v>20.631910312875796</c:v>
                </c:pt>
                <c:pt idx="21">
                  <c:v>20.606541500867955</c:v>
                </c:pt>
                <c:pt idx="22">
                  <c:v>20.581172688860114</c:v>
                </c:pt>
                <c:pt idx="23">
                  <c:v>20.55580387685227</c:v>
                </c:pt>
                <c:pt idx="24">
                  <c:v>20.530435064844429</c:v>
                </c:pt>
                <c:pt idx="25">
                  <c:v>20.505066252836588</c:v>
                </c:pt>
                <c:pt idx="26">
                  <c:v>20.479697440828748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D1-4C9B-AC3F-536AA4846B4F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'Propane-Use-Day-4'!$M$8:$M$38</c:f>
              <c:numCache>
                <c:formatCode>0.00;\-0.00;0.00;@</c:formatCode>
                <c:ptCount val="31"/>
                <c:pt idx="0">
                  <c:v>21.13</c:v>
                </c:pt>
                <c:pt idx="1">
                  <c:v>21.096269841269841</c:v>
                </c:pt>
                <c:pt idx="2">
                  <c:v>21.062539682539683</c:v>
                </c:pt>
                <c:pt idx="3">
                  <c:v>21.028809523809525</c:v>
                </c:pt>
                <c:pt idx="4">
                  <c:v>20.995079365079363</c:v>
                </c:pt>
                <c:pt idx="5">
                  <c:v>20.961349206349205</c:v>
                </c:pt>
                <c:pt idx="6">
                  <c:v>20.927619047619046</c:v>
                </c:pt>
                <c:pt idx="7">
                  <c:v>20.893888888888888</c:v>
                </c:pt>
                <c:pt idx="8">
                  <c:v>20.86015873015873</c:v>
                </c:pt>
                <c:pt idx="9">
                  <c:v>20.826428571428572</c:v>
                </c:pt>
                <c:pt idx="10">
                  <c:v>20.79269841269841</c:v>
                </c:pt>
                <c:pt idx="11">
                  <c:v>20.758968253968252</c:v>
                </c:pt>
                <c:pt idx="12">
                  <c:v>20.725238095238094</c:v>
                </c:pt>
                <c:pt idx="13">
                  <c:v>20.691507936507936</c:v>
                </c:pt>
                <c:pt idx="14">
                  <c:v>20.657777777777778</c:v>
                </c:pt>
                <c:pt idx="15">
                  <c:v>20.624047619047619</c:v>
                </c:pt>
                <c:pt idx="16">
                  <c:v>20.590317460317458</c:v>
                </c:pt>
                <c:pt idx="17">
                  <c:v>20.5565873015873</c:v>
                </c:pt>
                <c:pt idx="18">
                  <c:v>20.522857142857141</c:v>
                </c:pt>
                <c:pt idx="19">
                  <c:v>20.489126984126983</c:v>
                </c:pt>
                <c:pt idx="20">
                  <c:v>20.455396825396825</c:v>
                </c:pt>
                <c:pt idx="21">
                  <c:v>20.421666666666667</c:v>
                </c:pt>
                <c:pt idx="22">
                  <c:v>20.387936507936509</c:v>
                </c:pt>
                <c:pt idx="23">
                  <c:v>20.354206349206347</c:v>
                </c:pt>
                <c:pt idx="24">
                  <c:v>20.320476190476189</c:v>
                </c:pt>
                <c:pt idx="25">
                  <c:v>20.286746031746031</c:v>
                </c:pt>
                <c:pt idx="26">
                  <c:v>20.253015873015872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D1-4C9B-AC3F-536AA4846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1.4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20855301698891"/>
          <c:y val="0.22243365412656751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'Propane-Use-Day-4'!$M$40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'Propane-Use-Day-4'!$L$41:$L$44</c:f>
              <c:numCache>
                <c:formatCode>General</c:formatCode>
                <c:ptCount val="4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</c:numCache>
            </c:numRef>
          </c:xVal>
          <c:yVal>
            <c:numRef>
              <c:f>'Propane-Use-Day-4'!$M$41:$M$44</c:f>
              <c:numCache>
                <c:formatCode>0.00;\-0.00;0.00;@</c:formatCode>
                <c:ptCount val="4"/>
                <c:pt idx="0">
                  <c:v>0.60885148818818891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8-4046-92F9-856623D97D58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'Propane-Use-Day-4'!$K$50:$K$61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'Propane-Use-Day-4'!$L$50:$L$61</c:f>
              <c:numCache>
                <c:formatCode>0.000;\-0.000;0.000;@</c:formatCode>
                <c:ptCount val="12"/>
                <c:pt idx="0">
                  <c:v>0.53147156698673692</c:v>
                </c:pt>
                <c:pt idx="1">
                  <c:v>0.55244908480758048</c:v>
                </c:pt>
                <c:pt idx="2">
                  <c:v>0.57342660262842393</c:v>
                </c:pt>
                <c:pt idx="3">
                  <c:v>0.59440412044926749</c:v>
                </c:pt>
                <c:pt idx="4">
                  <c:v>0.61538163827011094</c:v>
                </c:pt>
                <c:pt idx="5">
                  <c:v>0.6363591560909545</c:v>
                </c:pt>
                <c:pt idx="6">
                  <c:v>0.65733667391179795</c:v>
                </c:pt>
                <c:pt idx="7">
                  <c:v>0.67831419173264151</c:v>
                </c:pt>
                <c:pt idx="8">
                  <c:v>0.69929170955348496</c:v>
                </c:pt>
                <c:pt idx="9">
                  <c:v>0.72026922737432852</c:v>
                </c:pt>
                <c:pt idx="10">
                  <c:v>0.74124674519517197</c:v>
                </c:pt>
                <c:pt idx="11">
                  <c:v>0.76222426301601554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38-4046-92F9-856623D97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'Propane-Use-Day-5'!$C$39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'Propane-Use-Day-5'!$C$10:$C$17</c:f>
              <c:numCache>
                <c:formatCode>0.00</c:formatCode>
                <c:ptCount val="8"/>
                <c:pt idx="0">
                  <c:v>0</c:v>
                </c:pt>
                <c:pt idx="1">
                  <c:v>4.4333333334652707</c:v>
                </c:pt>
                <c:pt idx="2">
                  <c:v>16.250000000058208</c:v>
                </c:pt>
                <c:pt idx="3">
                  <c:v>18.316666666651145</c:v>
                </c:pt>
                <c:pt idx="4">
                  <c:v>19.549999999988358</c:v>
                </c:pt>
                <c:pt idx="5">
                  <c:v>21.666666666744277</c:v>
                </c:pt>
                <c:pt idx="6">
                  <c:v>23.25</c:v>
                </c:pt>
                <c:pt idx="7">
                  <c:v>42.616666666755918</c:v>
                </c:pt>
              </c:numCache>
            </c:numRef>
          </c:xVal>
          <c:yVal>
            <c:numRef>
              <c:f>'Propane-Use-Day-5'!$D$10:$D$17</c:f>
              <c:numCache>
                <c:formatCode>0.00;\-0.00;0.00;@</c:formatCode>
                <c:ptCount val="8"/>
                <c:pt idx="0">
                  <c:v>36.9</c:v>
                </c:pt>
                <c:pt idx="1">
                  <c:v>36.823333329999997</c:v>
                </c:pt>
                <c:pt idx="2">
                  <c:v>36.536666670000002</c:v>
                </c:pt>
                <c:pt idx="3">
                  <c:v>36.416666669999998</c:v>
                </c:pt>
                <c:pt idx="4">
                  <c:v>36.31</c:v>
                </c:pt>
                <c:pt idx="5">
                  <c:v>36.21</c:v>
                </c:pt>
                <c:pt idx="6">
                  <c:v>36.159999999999997</c:v>
                </c:pt>
                <c:pt idx="7">
                  <c:v>35.646666670000002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9E-4434-87D5-FEEB60AC8912}"/>
            </c:ext>
          </c:extLst>
        </c:ser>
        <c:ser>
          <c:idx val="1"/>
          <c:order val="1"/>
          <c:tx>
            <c:v>Linear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'Propane-Use-Day-5'!$K$8:$K$34</c:f>
              <c:numCache>
                <c:formatCode>General</c:formatCode>
                <c:ptCount val="2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</c:numCache>
            </c:numRef>
          </c:xVal>
          <c:yVal>
            <c:numRef>
              <c:f>'Propane-Use-Day-5'!$L$8:$L$34</c:f>
              <c:numCache>
                <c:formatCode>0.00;\-0.00;0.00;@</c:formatCode>
                <c:ptCount val="27"/>
                <c:pt idx="0">
                  <c:v>37.418489282725538</c:v>
                </c:pt>
                <c:pt idx="1">
                  <c:v>37.308241290663169</c:v>
                </c:pt>
                <c:pt idx="2">
                  <c:v>37.1979932986008</c:v>
                </c:pt>
                <c:pt idx="3">
                  <c:v>37.08774530653843</c:v>
                </c:pt>
                <c:pt idx="4">
                  <c:v>36.977497314476054</c:v>
                </c:pt>
                <c:pt idx="5">
                  <c:v>36.867249322413684</c:v>
                </c:pt>
                <c:pt idx="6">
                  <c:v>36.757001330351315</c:v>
                </c:pt>
                <c:pt idx="7">
                  <c:v>36.646753338288946</c:v>
                </c:pt>
                <c:pt idx="8">
                  <c:v>36.536505346226576</c:v>
                </c:pt>
                <c:pt idx="9">
                  <c:v>36.426257354164207</c:v>
                </c:pt>
                <c:pt idx="10">
                  <c:v>36.316009362101838</c:v>
                </c:pt>
                <c:pt idx="11">
                  <c:v>36.205761370039468</c:v>
                </c:pt>
                <c:pt idx="12">
                  <c:v>36.095513377977092</c:v>
                </c:pt>
                <c:pt idx="13">
                  <c:v>35.985265385914722</c:v>
                </c:pt>
                <c:pt idx="14">
                  <c:v>35.875017393852353</c:v>
                </c:pt>
                <c:pt idx="15">
                  <c:v>35.764769401789984</c:v>
                </c:pt>
                <c:pt idx="16">
                  <c:v>35.654521409727614</c:v>
                </c:pt>
                <c:pt idx="17">
                  <c:v>35.544273417665245</c:v>
                </c:pt>
                <c:pt idx="18">
                  <c:v>35.434025425602876</c:v>
                </c:pt>
                <c:pt idx="19">
                  <c:v>35.323777433540499</c:v>
                </c:pt>
                <c:pt idx="20">
                  <c:v>35.21352944147813</c:v>
                </c:pt>
                <c:pt idx="21">
                  <c:v>35.103281449415761</c:v>
                </c:pt>
                <c:pt idx="22">
                  <c:v>34.993033457353391</c:v>
                </c:pt>
                <c:pt idx="23">
                  <c:v>34.882785465291022</c:v>
                </c:pt>
                <c:pt idx="24">
                  <c:v>34.772537473228653</c:v>
                </c:pt>
                <c:pt idx="25">
                  <c:v>34.662289481166283</c:v>
                </c:pt>
                <c:pt idx="26">
                  <c:v>34.552041489103914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9E-4434-87D5-FEEB60AC8912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'Propane-Use-Day-5'!$K$8:$K$38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</c:numCache>
            </c:numRef>
          </c:xVal>
          <c:yVal>
            <c:numRef>
              <c:f>'Propane-Use-Day-5'!$M$8:$M$38</c:f>
              <c:numCache>
                <c:formatCode>0.00;\-0.00;0.00;@</c:formatCode>
                <c:ptCount val="31"/>
                <c:pt idx="0">
                  <c:v>36.9</c:v>
                </c:pt>
                <c:pt idx="1">
                  <c:v>36.832539682539682</c:v>
                </c:pt>
                <c:pt idx="2">
                  <c:v>36.765079365079366</c:v>
                </c:pt>
                <c:pt idx="3">
                  <c:v>36.69761904761905</c:v>
                </c:pt>
                <c:pt idx="4">
                  <c:v>36.630158730158726</c:v>
                </c:pt>
                <c:pt idx="5">
                  <c:v>36.56269841269841</c:v>
                </c:pt>
                <c:pt idx="6">
                  <c:v>36.495238095238093</c:v>
                </c:pt>
                <c:pt idx="7">
                  <c:v>36.427777777777777</c:v>
                </c:pt>
                <c:pt idx="8">
                  <c:v>36.360317460317461</c:v>
                </c:pt>
                <c:pt idx="9">
                  <c:v>36.292857142857144</c:v>
                </c:pt>
                <c:pt idx="10">
                  <c:v>36.225396825396821</c:v>
                </c:pt>
                <c:pt idx="11">
                  <c:v>36.157936507936505</c:v>
                </c:pt>
                <c:pt idx="12">
                  <c:v>36.090476190476188</c:v>
                </c:pt>
                <c:pt idx="13">
                  <c:v>36.023015873015872</c:v>
                </c:pt>
                <c:pt idx="14">
                  <c:v>35.955555555555556</c:v>
                </c:pt>
                <c:pt idx="15">
                  <c:v>35.888095238095239</c:v>
                </c:pt>
                <c:pt idx="16">
                  <c:v>35.820634920634916</c:v>
                </c:pt>
                <c:pt idx="17">
                  <c:v>35.7531746031746</c:v>
                </c:pt>
                <c:pt idx="18">
                  <c:v>35.685714285714283</c:v>
                </c:pt>
                <c:pt idx="19">
                  <c:v>35.618253968253967</c:v>
                </c:pt>
                <c:pt idx="20">
                  <c:v>35.550793650793651</c:v>
                </c:pt>
                <c:pt idx="21">
                  <c:v>35.483333333333334</c:v>
                </c:pt>
                <c:pt idx="22">
                  <c:v>35.415873015873018</c:v>
                </c:pt>
                <c:pt idx="23">
                  <c:v>35.348412698412695</c:v>
                </c:pt>
                <c:pt idx="24">
                  <c:v>35.280952380952378</c:v>
                </c:pt>
                <c:pt idx="25">
                  <c:v>35.213492063492062</c:v>
                </c:pt>
                <c:pt idx="26">
                  <c:v>35.146031746031746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9E-4434-87D5-FEEB60AC8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'Propane-Use-Day-5'!$C$40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38"/>
          <c:min val="3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'Propane-Use-Day-5'!$C$41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0513365924046"/>
          <c:y val="0.1811965256920204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'Propane-Use-Day-5'!$P$56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'Propane-Use-Day-5'!$M$40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'Propane-Use-Day-5'!$L$41:$L$45</c:f>
              <c:numCache>
                <c:formatCode>General</c:formatCode>
                <c:ptCount val="5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  <c:pt idx="4">
                  <c:v>19.899999999999999</c:v>
                </c:pt>
              </c:numCache>
            </c:numRef>
          </c:xVal>
          <c:yVal>
            <c:numRef>
              <c:f>'Propane-Use-Day-5'!$M$41:$M$45</c:f>
              <c:numCache>
                <c:formatCode>0.00;\-0.00;0.00;@</c:formatCode>
                <c:ptCount val="5"/>
                <c:pt idx="0">
                  <c:v>0.61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  <c:pt idx="4">
                  <c:v>0.94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E6-44E7-964C-7C3997ADB2ED}"/>
            </c:ext>
          </c:extLst>
        </c:ser>
        <c:ser>
          <c:idx val="1"/>
          <c:order val="1"/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'Propane-Use-Day-5'!$K$51:$K$71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'Propane-Use-Day-5'!$L$51:$L$71</c:f>
              <c:numCache>
                <c:formatCode>0.000;\-0.000;0.000;@</c:formatCode>
                <c:ptCount val="21"/>
                <c:pt idx="0">
                  <c:v>0.53564610773587806</c:v>
                </c:pt>
                <c:pt idx="1">
                  <c:v>0.55602290499569373</c:v>
                </c:pt>
                <c:pt idx="2">
                  <c:v>0.57639970225550941</c:v>
                </c:pt>
                <c:pt idx="3">
                  <c:v>0.59677649951532508</c:v>
                </c:pt>
                <c:pt idx="4">
                  <c:v>0.61715329677514075</c:v>
                </c:pt>
                <c:pt idx="5">
                  <c:v>0.63753009403495642</c:v>
                </c:pt>
                <c:pt idx="6">
                  <c:v>0.65790689129477209</c:v>
                </c:pt>
                <c:pt idx="7">
                  <c:v>0.67828368855458776</c:v>
                </c:pt>
                <c:pt idx="8">
                  <c:v>0.69866048581440343</c:v>
                </c:pt>
                <c:pt idx="9">
                  <c:v>0.7190372830742191</c:v>
                </c:pt>
                <c:pt idx="10">
                  <c:v>0.73941408033403477</c:v>
                </c:pt>
                <c:pt idx="11">
                  <c:v>0.75979087759385044</c:v>
                </c:pt>
                <c:pt idx="12">
                  <c:v>0.78016767485366612</c:v>
                </c:pt>
                <c:pt idx="13">
                  <c:v>0.80054447211348179</c:v>
                </c:pt>
                <c:pt idx="14">
                  <c:v>0.82092126937329746</c:v>
                </c:pt>
                <c:pt idx="15">
                  <c:v>0.84129806663311313</c:v>
                </c:pt>
                <c:pt idx="16">
                  <c:v>0.8616748638929288</c:v>
                </c:pt>
                <c:pt idx="17">
                  <c:v>0.88205166115274447</c:v>
                </c:pt>
                <c:pt idx="18">
                  <c:v>0.90242845841256014</c:v>
                </c:pt>
                <c:pt idx="19">
                  <c:v>0.92280525567237581</c:v>
                </c:pt>
                <c:pt idx="20">
                  <c:v>0.94318205293219148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E6-44E7-964C-7C3997ADB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6</xdr:col>
      <xdr:colOff>285750</xdr:colOff>
      <xdr:row>48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257800"/>
          <a:ext cx="5419725" cy="274320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1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D62075-FF7F-4476-95E2-D94784952108}"/>
            </a:ext>
          </a:extLst>
        </xdr:cNvPr>
        <xdr:cNvGrpSpPr/>
      </xdr:nvGrpSpPr>
      <xdr:grpSpPr>
        <a:xfrm>
          <a:off x="609600" y="6067425"/>
          <a:ext cx="5419725" cy="274320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D4C94F9-EC2E-F48E-87C0-6A250853E20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FB8B34EA-721C-C583-F5ED-17A035D7C2C4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0.64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BBE5B3-C1BA-7811-8496-BCF7A96B5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6017E48-843A-4A4B-9083-9547464CDA4C}"/>
            </a:ext>
          </a:extLst>
        </xdr:cNvPr>
        <xdr:cNvGrpSpPr/>
      </xdr:nvGrpSpPr>
      <xdr:grpSpPr>
        <a:xfrm>
          <a:off x="609600" y="6067425"/>
          <a:ext cx="5505450" cy="2771775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2D8473CF-A288-6C52-5E15-DFA6D7E9BF90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7853F847-F28C-3C77-3F48-B7F51F5980A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0403D29-DCF7-44D4-AC93-7F8FA32CC39B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0.61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77887-4C85-4153-8D4B-BDAD9B222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472440</xdr:colOff>
      <xdr:row>39</xdr:row>
      <xdr:rowOff>83820</xdr:rowOff>
    </xdr:from>
    <xdr:to>
      <xdr:col>18</xdr:col>
      <xdr:colOff>518160</xdr:colOff>
      <xdr:row>42</xdr:row>
      <xdr:rowOff>53340</xdr:rowOff>
    </xdr:to>
    <xdr:sp macro="" textlink="$O$60">
      <xdr:nvSpPr>
        <xdr:cNvPr id="6" name="TextBox 5">
          <a:extLst>
            <a:ext uri="{FF2B5EF4-FFF2-40B4-BE49-F238E27FC236}">
              <a16:creationId xmlns:a16="http://schemas.microsoft.com/office/drawing/2014/main" id="{4743A20C-F5A4-7BFD-9CF2-55274D8F66BA}"/>
            </a:ext>
          </a:extLst>
        </xdr:cNvPr>
        <xdr:cNvSpPr txBox="1"/>
      </xdr:nvSpPr>
      <xdr:spPr>
        <a:xfrm>
          <a:off x="11323320" y="6667500"/>
          <a:ext cx="2484120" cy="472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5887D1-8904-4EA7-B61C-F0AB6002A20D}" type="TxLink">
            <a:rPr lang="en-US" sz="1000" b="0" i="0" u="none" strike="noStrike">
              <a:solidFill>
                <a:srgbClr val="000000"/>
              </a:solidFill>
              <a:latin typeface="Consolas"/>
            </a:rPr>
            <a:pPr/>
            <a:t>The burn rate reduces by 0.02 lbs/day per lb of propane</a:t>
          </a:fld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6</xdr:col>
      <xdr:colOff>285750</xdr:colOff>
      <xdr:row>57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9B0A6D2-AFA3-4617-9152-F2CC65FF7F28}"/>
            </a:ext>
          </a:extLst>
        </xdr:cNvPr>
        <xdr:cNvGrpSpPr/>
      </xdr:nvGrpSpPr>
      <xdr:grpSpPr>
        <a:xfrm>
          <a:off x="609600" y="6715125"/>
          <a:ext cx="6029325" cy="2771775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52BC209-798A-8956-475B-77A72FAE73D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30">
        <xdr:nvSpPr>
          <xdr:cNvPr id="4" name="TextBox 3">
            <a:extLst>
              <a:ext uri="{FF2B5EF4-FFF2-40B4-BE49-F238E27FC236}">
                <a16:creationId xmlns:a16="http://schemas.microsoft.com/office/drawing/2014/main" id="{96F4A051-D9FD-AD5D-DF35-E9EE925C3DB7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EA5141DB-22AA-46E0-8FD5-061EBDAA38DF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1.32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337902-0A18-40CC-9386-D0B162DBE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167640</xdr:colOff>
      <xdr:row>46</xdr:row>
      <xdr:rowOff>112395</xdr:rowOff>
    </xdr:from>
    <xdr:to>
      <xdr:col>20</xdr:col>
      <xdr:colOff>213360</xdr:colOff>
      <xdr:row>49</xdr:row>
      <xdr:rowOff>81915</xdr:rowOff>
    </xdr:to>
    <xdr:sp macro="" textlink="$O$60">
      <xdr:nvSpPr>
        <xdr:cNvPr id="6" name="TextBox 5">
          <a:extLst>
            <a:ext uri="{FF2B5EF4-FFF2-40B4-BE49-F238E27FC236}">
              <a16:creationId xmlns:a16="http://schemas.microsoft.com/office/drawing/2014/main" id="{D1D5AB43-F2C4-46DB-B384-4172053B1CE0}"/>
            </a:ext>
          </a:extLst>
        </xdr:cNvPr>
        <xdr:cNvSpPr txBox="1"/>
      </xdr:nvSpPr>
      <xdr:spPr>
        <a:xfrm>
          <a:off x="12616815" y="7665720"/>
          <a:ext cx="2484120" cy="4552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5887D1-8904-4EA7-B61C-F0AB6002A20D}" type="TxLink">
            <a:rPr lang="en-US" sz="1000" b="0" i="0" u="none" strike="noStrike">
              <a:solidFill>
                <a:srgbClr val="000000"/>
              </a:solidFill>
              <a:latin typeface="Consolas"/>
            </a:rPr>
            <a:pPr/>
            <a:t>The burn rate reduces by 0.02 lbs/day per lb of propane</a:t>
          </a:fld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29" tableBorderDxfId="28">
  <autoFilter ref="B7:D22" xr:uid="{54D38F27-53A3-4E24-9E84-90EF95A9A65D}"/>
  <tableColumns count="3">
    <tableColumn id="1" xr3:uid="{50A0F3A2-E162-46C4-837A-DC05922AAF3E}" name="X" dataDxfId="27"/>
    <tableColumn id="2" xr3:uid="{B53705B3-471E-46FE-A5FC-E295D297C414}" name="Time (hours)" dataDxfId="26">
      <calculatedColumnFormula>(_tTankWeight[[#This Row],[X]]-INDEX($B$8,1,1))*24</calculatedColumnFormula>
    </tableColumn>
    <tableColumn id="3" xr3:uid="{B3B5534E-647A-4915-9C71-7D67E3F5C2DA}" name="Weight (lbs)" dataDxfId="25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24" tableBorderDxfId="23">
  <autoFilter ref="B7:D18" xr:uid="{54D38F27-53A3-4E24-9E84-90EF95A9A65D}"/>
  <tableColumns count="3">
    <tableColumn id="1" xr3:uid="{9E925115-B54F-4B4C-AF74-BCDF7C7A568F}" name="X" dataDxfId="22"/>
    <tableColumn id="2" xr3:uid="{496E99EF-94CF-4D0A-B048-1B2C0AE9F694}" name="Time (hours)" dataDxfId="21">
      <calculatedColumnFormula>(_tTankWeight2[[#This Row],[X]]-INDEX('Propane-Use-Day-2'!$B$8,1,1))*24</calculatedColumnFormula>
    </tableColumn>
    <tableColumn id="3" xr3:uid="{ECD2A7D4-374E-475D-AFEC-98EEA0B9C174}" name="Weight (lbs)" dataDxfId="20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C3822-A090-49DA-BB24-C1136312D490}" name="_tTankWeight24" displayName="_tTankWeight24" ref="B7:D15" totalsRowShown="0" headerRowDxfId="19" tableBorderDxfId="18">
  <autoFilter ref="B7:D15" xr:uid="{54D38F27-53A3-4E24-9E84-90EF95A9A65D}"/>
  <tableColumns count="3">
    <tableColumn id="1" xr3:uid="{97B1BA55-1722-4D93-BB88-758CE5343A2A}" name="X" dataDxfId="17"/>
    <tableColumn id="2" xr3:uid="{4D171C35-268F-4B9D-80C9-888D0938537F}" name="Time (hours)" dataDxfId="16">
      <calculatedColumnFormula>(_tTankWeight24[[#This Row],[X]]-INDEX('Propane-Use-Day-3'!$B$8,1,1))*24</calculatedColumnFormula>
    </tableColumn>
    <tableColumn id="3" xr3:uid="{4D7DC68D-F1A9-4E70-A339-66AB49B8ACA6}" name="Weight (lbs)" dataDxfId="15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9E77B6-A77B-4862-A8B3-E12969205598}" name="_tTankWeight4" displayName="_tTankWeight4" ref="B7:D15" totalsRowShown="0" headerRowDxfId="14" tableBorderDxfId="13">
  <autoFilter ref="B7:D15" xr:uid="{54D38F27-53A3-4E24-9E84-90EF95A9A65D}"/>
  <tableColumns count="3">
    <tableColumn id="1" xr3:uid="{3B43DB70-94E1-459B-8FB3-761B425FC480}" name="X" dataDxfId="12"/>
    <tableColumn id="2" xr3:uid="{182F14ED-38CE-440A-A952-5B718E8962E5}" name="Time (hours)" dataDxfId="11">
      <calculatedColumnFormula>(_tTankWeight4[[#This Row],[X]]-INDEX('Propane-Use-Day-4'!$B$8,1,1))*24</calculatedColumnFormula>
    </tableColumn>
    <tableColumn id="3" xr3:uid="{CAF6B0C6-7671-4815-AA0F-C7EC06E66BB3}" name="Weight (lbs)" dataDxfId="10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2640CD-FE65-4A9C-96E2-4EB4B7A88B35}" name="_tTankWeight46" displayName="_tTankWeight46" ref="B9:D17" totalsRowShown="0" headerRowDxfId="9" tableBorderDxfId="8">
  <autoFilter ref="B9:D17" xr:uid="{54D38F27-53A3-4E24-9E84-90EF95A9A65D}"/>
  <tableColumns count="3">
    <tableColumn id="1" xr3:uid="{5E8842F1-EA49-43DF-A3E1-1B5CC76346AB}" name="X" dataDxfId="7"/>
    <tableColumn id="2" xr3:uid="{36D8FF9C-5836-47BE-A23B-22C78B1E531D}" name="Time (hours)" dataDxfId="6">
      <calculatedColumnFormula>(_tTankWeight46[[#This Row],[X]]-INDEX('Propane-Use-Day-5'!$B$10,1,1))*24</calculatedColumnFormula>
    </tableColumn>
    <tableColumn id="3" xr3:uid="{D37109D9-5908-44EB-9F93-C839A91BAC3F}" name="Weight (lbs)" dataDxfId="5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5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workbookViewId="0">
      <selection activeCell="P18" sqref="P1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2" x14ac:dyDescent="0.2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">
      <c r="A2" s="1" t="s">
        <v>2</v>
      </c>
      <c r="B2" s="2" t="s">
        <v>16</v>
      </c>
      <c r="C2" s="2"/>
      <c r="E2" s="24" t="s">
        <v>31</v>
      </c>
      <c r="F2" s="24"/>
      <c r="G2" s="24"/>
      <c r="H2" s="24"/>
      <c r="I2" s="24"/>
      <c r="J2" s="24"/>
    </row>
    <row r="3" spans="1:12" x14ac:dyDescent="0.2">
      <c r="A3" s="1" t="s">
        <v>3</v>
      </c>
      <c r="B3" s="2" t="str">
        <f>TEXT(DATE(2023,7,12),"dd-mmm-yyyy")</f>
        <v>12-Jul-2023</v>
      </c>
      <c r="C3" s="2"/>
      <c r="E3" s="24" t="s">
        <v>27</v>
      </c>
      <c r="F3" s="24"/>
      <c r="G3" s="24"/>
      <c r="H3" s="24"/>
      <c r="I3" s="24"/>
      <c r="J3" s="24"/>
    </row>
    <row r="4" spans="1:12" x14ac:dyDescent="0.2">
      <c r="E4" s="24" t="s">
        <v>28</v>
      </c>
      <c r="F4" s="24"/>
      <c r="G4" s="24"/>
      <c r="H4" s="24"/>
      <c r="I4" s="24"/>
      <c r="J4" s="24"/>
    </row>
    <row r="5" spans="1:12" ht="15" x14ac:dyDescent="0.25">
      <c r="A5" s="3" t="s">
        <v>14</v>
      </c>
      <c r="J5" s="3" t="s">
        <v>23</v>
      </c>
    </row>
    <row r="7" spans="1:12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5" thickTop="1" x14ac:dyDescent="0.2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2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0"/>
      <c r="K15" s="14">
        <v>7</v>
      </c>
      <c r="L15" s="15">
        <f t="shared" si="0"/>
        <v>27.987050416186708</v>
      </c>
    </row>
    <row r="16" spans="1:12" x14ac:dyDescent="0.2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">
      <c r="B17" s="10">
        <v>45119.513194444444</v>
      </c>
      <c r="C17" s="11">
        <f>(_tTankWeight[[#This Row],[X]]-INDEX($B$8,1,1))*24</f>
        <v>16.883333333360497</v>
      </c>
      <c r="D17" s="23">
        <v>27.61</v>
      </c>
      <c r="K17" s="14">
        <v>9</v>
      </c>
      <c r="L17" s="15">
        <f t="shared" si="0"/>
        <v>27.923386932117193</v>
      </c>
    </row>
    <row r="18" spans="1:12" x14ac:dyDescent="0.2">
      <c r="B18" s="10">
        <v>45119.53402777778</v>
      </c>
      <c r="C18" s="11">
        <f>(_tTankWeight[[#This Row],[X]]-INDEX($B$8,1,1))*24</f>
        <v>17.383333333418705</v>
      </c>
      <c r="D18" s="23">
        <v>27.69</v>
      </c>
      <c r="K18" s="14">
        <v>10</v>
      </c>
      <c r="L18" s="15">
        <f t="shared" si="0"/>
        <v>27.891555190082432</v>
      </c>
    </row>
    <row r="19" spans="1:12" x14ac:dyDescent="0.2">
      <c r="B19" s="10">
        <v>45119.561111111114</v>
      </c>
      <c r="C19" s="11">
        <f>(_tTankWeight[[#This Row],[X]]-INDEX($B$8,1,1))*24</f>
        <v>18.033333333441988</v>
      </c>
      <c r="D19" s="23">
        <v>27.68</v>
      </c>
      <c r="K19" s="14">
        <v>11</v>
      </c>
      <c r="L19" s="15">
        <f t="shared" si="0"/>
        <v>27.859723448047674</v>
      </c>
    </row>
    <row r="20" spans="1:12" x14ac:dyDescent="0.2">
      <c r="B20" s="10">
        <v>45119.582638888889</v>
      </c>
      <c r="C20" s="11">
        <f>(_tTankWeight[[#This Row],[X]]-INDEX($B$8,1,1))*24</f>
        <v>18.550000000046566</v>
      </c>
      <c r="D20" s="23">
        <v>27.51</v>
      </c>
      <c r="K20" s="14">
        <v>12</v>
      </c>
      <c r="L20" s="15">
        <f t="shared" si="0"/>
        <v>27.827891706012913</v>
      </c>
    </row>
    <row r="21" spans="1:12" x14ac:dyDescent="0.2">
      <c r="B21" s="10">
        <v>45119.633333333331</v>
      </c>
      <c r="C21" s="11">
        <f>(_tTankWeight[[#This Row],[X]]-INDEX($B$8,1,1))*24</f>
        <v>19.766666666662786</v>
      </c>
      <c r="D21" s="23">
        <v>27.67</v>
      </c>
      <c r="K21" s="14">
        <v>13</v>
      </c>
      <c r="L21" s="15">
        <f t="shared" si="0"/>
        <v>27.796059963978156</v>
      </c>
    </row>
    <row r="22" spans="1:12" x14ac:dyDescent="0.2">
      <c r="B22" s="10">
        <v>45119.664583333331</v>
      </c>
      <c r="C22" s="11">
        <f>(_tTankWeight[[#This Row],[X]]-INDEX($B$8,1,1))*24</f>
        <v>20.516666666662786</v>
      </c>
      <c r="D22" s="23">
        <v>27.57</v>
      </c>
      <c r="K22" s="14">
        <v>14</v>
      </c>
      <c r="L22" s="15">
        <f t="shared" si="0"/>
        <v>27.764228221943398</v>
      </c>
    </row>
    <row r="23" spans="1:12" x14ac:dyDescent="0.2">
      <c r="B23" s="20"/>
      <c r="C23" s="21"/>
      <c r="K23" s="14">
        <v>15</v>
      </c>
      <c r="L23" s="15">
        <f t="shared" si="0"/>
        <v>27.732396479908637</v>
      </c>
    </row>
    <row r="24" spans="1:12" x14ac:dyDescent="0.2">
      <c r="K24" s="14">
        <v>16</v>
      </c>
      <c r="L24" s="15">
        <f t="shared" si="0"/>
        <v>27.700564737873879</v>
      </c>
    </row>
    <row r="25" spans="1:12" x14ac:dyDescent="0.2">
      <c r="K25" s="14">
        <v>17</v>
      </c>
      <c r="L25" s="15">
        <f t="shared" si="0"/>
        <v>27.668732995839122</v>
      </c>
    </row>
    <row r="26" spans="1:12" ht="15" x14ac:dyDescent="0.25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">
      <c r="K30" s="14">
        <v>22</v>
      </c>
      <c r="L30" s="15">
        <f t="shared" si="0"/>
        <v>27.509574285665327</v>
      </c>
    </row>
    <row r="31" spans="1:12" x14ac:dyDescent="0.2">
      <c r="K31" s="14">
        <v>23</v>
      </c>
      <c r="L31" s="15">
        <f t="shared" si="0"/>
        <v>27.477742543630566</v>
      </c>
    </row>
    <row r="32" spans="1:12" x14ac:dyDescent="0.2">
      <c r="K32" s="14">
        <v>24</v>
      </c>
      <c r="L32" s="15">
        <f t="shared" si="0"/>
        <v>27.445910801595808</v>
      </c>
    </row>
  </sheetData>
  <conditionalFormatting sqref="K8:L32">
    <cfRule type="expression" dxfId="4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54"/>
  <sheetViews>
    <sheetView showGridLines="0" workbookViewId="0">
      <selection activeCell="G12" sqref="G12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45120.291666666664</v>
      </c>
      <c r="C8" s="11">
        <f>(_tTankWeight2[[#This Row],[X]]-INDEX('Propane-Use-Day-2'!$B$8,1,1))*24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8">_xlfn.SEQUENCE(31,1,0,1)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">
      <c r="B9" s="10">
        <v>45120.347916666666</v>
      </c>
      <c r="C9" s="11">
        <f>(_tTankWeight2[[#This Row],[X]]-INDEX('Propane-Use-Day-2'!$B$8,1,1))*24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">
      <c r="B10" s="10">
        <v>45120.377083333333</v>
      </c>
      <c r="C10" s="11">
        <f>(_tTankWeight2[[#This Row],[X]]-INDEX('Propane-Use-Day-2'!$B$8,1,1))*24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">
      <c r="B11" s="10">
        <v>45120.442361111112</v>
      </c>
      <c r="C11" s="11">
        <f>(_tTankWeight2[[#This Row],[X]]-INDEX('Propane-Use-Day-2'!$B$8,1,1))*24</f>
        <v>3.6166666667559184</v>
      </c>
      <c r="D11" s="23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">
      <c r="B12" s="10">
        <v>45120.518055555556</v>
      </c>
      <c r="C12" s="11">
        <f>(_tTankWeight2[[#This Row],[X]]-INDEX('Propane-Use-Day-2'!$B$8,1,1))*24</f>
        <v>5.433333333407063</v>
      </c>
      <c r="D12" s="23">
        <v>24.51</v>
      </c>
      <c r="G12" s="22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">
      <c r="B13" s="10">
        <v>45120.540972222225</v>
      </c>
      <c r="C13" s="11">
        <f>(_tTankWeight2[[#This Row],[X]]-INDEX('Propane-Use-Day-2'!$B$8,1,1))*24</f>
        <v>5.9833333334536292</v>
      </c>
      <c r="D13" s="23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">
      <c r="B14" s="10">
        <v>45120.615277777775</v>
      </c>
      <c r="C14" s="11">
        <f>(_tTankWeight2[[#This Row],[X]]-INDEX('Propane-Use-Day-2'!$B$8,1,1))*24</f>
        <v>7.7666666666627862</v>
      </c>
      <c r="D14" s="23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">
      <c r="B15" s="10">
        <v>45121.286111111112</v>
      </c>
      <c r="C15" s="11">
        <f>(_tTankWeight2[[#This Row],[X]]-INDEX('Propane-Use-Day-2'!$B$8,1,1))*24</f>
        <v>23.866666666755918</v>
      </c>
      <c r="D15" s="23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">
      <c r="B16" s="10">
        <v>45121.354861111111</v>
      </c>
      <c r="C16" s="11">
        <f>(_tTankWeight2[[#This Row],[X]]-INDEX('Propane-Use-Day-2'!$B$8,1,1))*24</f>
        <v>25.516666666720994</v>
      </c>
      <c r="D16" s="23">
        <v>23.97</v>
      </c>
      <c r="G16" s="22">
        <f>H29/21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">
      <c r="B17" s="10">
        <v>45121.421527777777</v>
      </c>
      <c r="C17" s="11">
        <f>(_tTankWeight2[[#This Row],[X]]-INDEX('Propane-Use-Day-2'!$B$8,1,1))*24</f>
        <v>27.116666666697711</v>
      </c>
      <c r="D17" s="23">
        <v>23.89</v>
      </c>
      <c r="G17" s="22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">
      <c r="B18" s="10">
        <v>45121.509027777778</v>
      </c>
      <c r="C18" s="11">
        <f>(_tTankWeight2[[#This Row],[X]]-INDEX('Propane-Use-Day-2'!$B$8,1,1))*24</f>
        <v>29.216666666732635</v>
      </c>
      <c r="D18" s="23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">
      <c r="B19" s="20"/>
      <c r="C19" s="21"/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"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">
      <c r="B21" s="4" t="s">
        <v>9</v>
      </c>
      <c r="C21" t="s">
        <v>35</v>
      </c>
      <c r="G21" t="str">
        <f>"Measured Propane Burn Rate = "&amp;TEXT($G$12,"0.00")&amp;" lbs/day"</f>
        <v>Measured Propane Burn Rate = 0.70 lbs/day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">
      <c r="B22" s="4" t="s">
        <v>10</v>
      </c>
      <c r="C22" t="s">
        <v>6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">
      <c r="B23" s="4" t="s">
        <v>11</v>
      </c>
      <c r="C23" t="s">
        <v>25</v>
      </c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">
      <c r="F24" s="20"/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x14ac:dyDescent="0.2"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ht="15" x14ac:dyDescent="0.25">
      <c r="A27" s="3" t="s">
        <v>15</v>
      </c>
      <c r="E27" s="3" t="s">
        <v>18</v>
      </c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"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">
      <c r="E29" t="s">
        <v>29</v>
      </c>
      <c r="H29" s="5">
        <v>17</v>
      </c>
      <c r="I29" t="s">
        <v>19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">
      <c r="E30" t="s">
        <v>20</v>
      </c>
      <c r="H30" s="6">
        <f>H29/ABS(G12)</f>
        <v>24.212316493740765</v>
      </c>
      <c r="I30" s="16" t="s">
        <v>21</v>
      </c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  <row r="38" spans="11:13" x14ac:dyDescent="0.2">
      <c r="K38">
        <v>30</v>
      </c>
      <c r="L38" s="15">
        <f t="shared" ref="L38" si="2">_nInt+_nSlope*K38</f>
        <v>23.797732327644738</v>
      </c>
      <c r="M38" s="15">
        <f>INDEX(_tTankWeight2[Weight (lbs)],1,1)-$G$16/24*K38</f>
        <v>23.658095238095239</v>
      </c>
    </row>
    <row r="51" spans="1:1" ht="15" x14ac:dyDescent="0.25">
      <c r="A51" s="3" t="s">
        <v>36</v>
      </c>
    </row>
    <row r="53" spans="1:1" x14ac:dyDescent="0.2">
      <c r="A53" t="s">
        <v>37</v>
      </c>
    </row>
    <row r="54" spans="1:1" x14ac:dyDescent="0.2">
      <c r="A54" t="s">
        <v>38</v>
      </c>
    </row>
  </sheetData>
  <conditionalFormatting sqref="K8:M37 L38:M38">
    <cfRule type="expression" dxfId="3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CF8F-163F-4FEE-A5DD-653E823CCE8B}">
  <dimension ref="A1:M59"/>
  <sheetViews>
    <sheetView showGridLines="0" workbookViewId="0">
      <selection activeCell="D8" sqref="D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39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TEXT(DATE(2023,7,17),"dd-mmm-yyyy")</f>
        <v>17-Jul-2023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45124.356944444444</v>
      </c>
      <c r="C8" s="11">
        <f>(_tTankWeight24[[#This Row],[X]]-INDEX('Propane-Use-Day-3'!$B$8,1,1))*24</f>
        <v>0</v>
      </c>
      <c r="D8" s="19">
        <v>21.882999999999999</v>
      </c>
      <c r="G8" s="17" cm="1">
        <f t="array" ref="G8:H8">LINEST(_tTankWeight24[Weight (lbs)],_tTankWeight24[Time (hours)])</f>
        <v>-2.6681564059206481E-2</v>
      </c>
      <c r="H8" s="17">
        <v>21.853110218453502</v>
      </c>
      <c r="K8" s="14" cm="1">
        <f t="array" ref="K8:K31">_xlfn.SEQUENCE(24,1,0,1)</f>
        <v>0</v>
      </c>
      <c r="L8" s="15">
        <f>_nInt+_nSlope*K8</f>
        <v>21.853110218453502</v>
      </c>
      <c r="M8" s="15">
        <f>INDEX(_tTankWeight24[Weight (lbs)],1,1)-$G$16/24*K8</f>
        <v>21.882999999999999</v>
      </c>
    </row>
    <row r="9" spans="1:13" x14ac:dyDescent="0.2">
      <c r="B9" s="10">
        <v>45124.402083333334</v>
      </c>
      <c r="C9" s="11">
        <f>(_tTankWeight24[[#This Row],[X]]-INDEX('Propane-Use-Day-3'!$B$8,1,1))*24</f>
        <v>1.0833333333721384</v>
      </c>
      <c r="D9" s="19">
        <f>21.83</f>
        <v>21.83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21.826428654394295</v>
      </c>
      <c r="M9" s="15">
        <f>INDEX(_tTankWeight24[Weight (lbs)],1,1)-$G$16/24*K9</f>
        <v>21.849269841269841</v>
      </c>
    </row>
    <row r="10" spans="1:13" x14ac:dyDescent="0.2">
      <c r="B10" s="10">
        <v>45124.440972222219</v>
      </c>
      <c r="C10" s="11">
        <f>(_tTankWeight24[[#This Row],[X]]-INDEX('Propane-Use-Day-3'!$B$8,1,1))*24</f>
        <v>2.0166666666045785</v>
      </c>
      <c r="D10" s="19">
        <v>21.736666670000002</v>
      </c>
      <c r="K10" s="14">
        <v>2</v>
      </c>
      <c r="L10" s="15">
        <f t="shared" si="0"/>
        <v>21.799747090335089</v>
      </c>
      <c r="M10" s="15">
        <f>INDEX(_tTankWeight24[Weight (lbs)],1,1)-$G$16/24*K10</f>
        <v>21.815539682539683</v>
      </c>
    </row>
    <row r="11" spans="1:13" x14ac:dyDescent="0.2">
      <c r="B11" s="10">
        <v>45124.493750000001</v>
      </c>
      <c r="C11" s="11">
        <f>(_tTankWeight24[[#This Row],[X]]-INDEX('Propane-Use-Day-3'!$B$8,1,1))*24</f>
        <v>3.28333333338378</v>
      </c>
      <c r="D11" s="19">
        <v>21.72</v>
      </c>
      <c r="G11" s="4" t="s">
        <v>17</v>
      </c>
      <c r="K11" s="14">
        <v>3</v>
      </c>
      <c r="L11" s="15">
        <f t="shared" si="0"/>
        <v>21.773065526275882</v>
      </c>
      <c r="M11" s="15">
        <f>INDEX(_tTankWeight24[Weight (lbs)],1,1)-$G$16/24*K11</f>
        <v>21.781809523809525</v>
      </c>
    </row>
    <row r="12" spans="1:13" x14ac:dyDescent="0.2">
      <c r="B12" s="10">
        <v>45124.536111111112</v>
      </c>
      <c r="C12" s="11">
        <f>(_tTankWeight24[[#This Row],[X]]-INDEX('Propane-Use-Day-3'!$B$8,1,1))*24</f>
        <v>4.3000000000465661</v>
      </c>
      <c r="D12" s="19">
        <v>21.79</v>
      </c>
      <c r="G12" s="22">
        <f>ABS(24*_nSlope)</f>
        <v>0.64035753742095558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21.746383962216676</v>
      </c>
      <c r="M12" s="15">
        <f>INDEX(_tTankWeight24[Weight (lbs)],1,1)-$G$16/24*K12</f>
        <v>21.748079365079363</v>
      </c>
    </row>
    <row r="13" spans="1:13" x14ac:dyDescent="0.2">
      <c r="B13" s="10">
        <v>45124.580555555556</v>
      </c>
      <c r="C13" s="11">
        <f>(_tTankWeight24[[#This Row],[X]]-INDEX('Propane-Use-Day-3'!$B$8,1,1))*24</f>
        <v>5.3666666666977108</v>
      </c>
      <c r="D13" s="19">
        <v>21.725000000000001</v>
      </c>
      <c r="K13" s="14">
        <v>5</v>
      </c>
      <c r="L13" s="15">
        <f t="shared" si="0"/>
        <v>21.71970239815747</v>
      </c>
      <c r="M13" s="15">
        <f>INDEX(_tTankWeight24[Weight (lbs)],1,1)-$G$16/24*K13</f>
        <v>21.714349206349205</v>
      </c>
    </row>
    <row r="14" spans="1:13" x14ac:dyDescent="0.2">
      <c r="B14" s="10">
        <v>45124.622916666667</v>
      </c>
      <c r="C14" s="11">
        <f>(_tTankWeight24[[#This Row],[X]]-INDEX('Propane-Use-Day-3'!$B$8,1,1))*24</f>
        <v>6.3833333333604969</v>
      </c>
      <c r="D14" s="19">
        <v>21.704999999999998</v>
      </c>
      <c r="K14" s="14">
        <v>6</v>
      </c>
      <c r="L14" s="15">
        <f t="shared" si="0"/>
        <v>21.693020834098263</v>
      </c>
      <c r="M14" s="15">
        <f>INDEX(_tTankWeight24[Weight (lbs)],1,1)-$G$16/24*K14</f>
        <v>21.680619047619047</v>
      </c>
    </row>
    <row r="15" spans="1:13" x14ac:dyDescent="0.2">
      <c r="B15" s="10">
        <v>45124.800694444442</v>
      </c>
      <c r="C15" s="11">
        <f>(_tTankWeight24[[#This Row],[X]]-INDEX('Propane-Use-Day-3'!$B$8,1,1))*24</f>
        <v>10.649999999965075</v>
      </c>
      <c r="D15" s="19">
        <v>21.552499999999998</v>
      </c>
      <c r="G15" s="4" t="s">
        <v>34</v>
      </c>
      <c r="K15" s="14">
        <v>7</v>
      </c>
      <c r="L15" s="15">
        <f t="shared" si="0"/>
        <v>21.666339270039057</v>
      </c>
      <c r="M15" s="15">
        <f>INDEX(_tTankWeight24[Weight (lbs)],1,1)-$G$16/24*K15</f>
        <v>21.646888888888888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21.63965770597985</v>
      </c>
      <c r="M16" s="15">
        <f>INDEX(_tTankWeight24[Weight (lbs)],1,1)-$G$16/24*K16</f>
        <v>21.61315873015873</v>
      </c>
    </row>
    <row r="17" spans="1:13" x14ac:dyDescent="0.2">
      <c r="G17" s="22"/>
      <c r="K17" s="14">
        <v>9</v>
      </c>
      <c r="L17" s="15">
        <f t="shared" si="0"/>
        <v>21.612976141920644</v>
      </c>
      <c r="M17" s="15">
        <f>INDEX(_tTankWeight24[Weight (lbs)],1,1)-$G$16/24*K17</f>
        <v>21.579428571428572</v>
      </c>
    </row>
    <row r="18" spans="1:13" x14ac:dyDescent="0.2">
      <c r="K18" s="14">
        <v>10</v>
      </c>
      <c r="L18" s="15">
        <f t="shared" si="0"/>
        <v>21.586294577861437</v>
      </c>
      <c r="M18" s="15">
        <f>INDEX(_tTankWeight24[Weight (lbs)],1,1)-$G$16/24*K18</f>
        <v>21.54569841269841</v>
      </c>
    </row>
    <row r="19" spans="1:13" x14ac:dyDescent="0.2">
      <c r="K19" s="14">
        <v>11</v>
      </c>
      <c r="L19" s="15">
        <f t="shared" si="0"/>
        <v>21.559613013802231</v>
      </c>
      <c r="M19" s="15">
        <f>INDEX(_tTankWeight24[Weight (lbs)],1,1)-$G$16/24*K19</f>
        <v>21.511968253968252</v>
      </c>
    </row>
    <row r="20" spans="1:13" x14ac:dyDescent="0.2">
      <c r="K20" s="14">
        <v>12</v>
      </c>
      <c r="L20" s="15">
        <f t="shared" si="0"/>
        <v>21.532931449743025</v>
      </c>
      <c r="M20" s="15">
        <f>INDEX(_tTankWeight24[Weight (lbs)],1,1)-$G$16/24*K20</f>
        <v>21.478238095238094</v>
      </c>
    </row>
    <row r="21" spans="1:13" x14ac:dyDescent="0.2">
      <c r="K21" s="14">
        <v>13</v>
      </c>
      <c r="L21" s="15">
        <f t="shared" si="0"/>
        <v>21.506249885683818</v>
      </c>
      <c r="M21" s="15">
        <f>INDEX(_tTankWeight24[Weight (lbs)],1,1)-$G$16/24*K21</f>
        <v>21.444507936507936</v>
      </c>
    </row>
    <row r="22" spans="1:13" x14ac:dyDescent="0.2">
      <c r="K22" s="14">
        <v>14</v>
      </c>
      <c r="L22" s="15">
        <f t="shared" si="0"/>
        <v>21.479568321624612</v>
      </c>
      <c r="M22" s="15">
        <f>INDEX(_tTankWeight24[Weight (lbs)],1,1)-$G$16/24*K22</f>
        <v>21.410777777777778</v>
      </c>
    </row>
    <row r="23" spans="1:13" x14ac:dyDescent="0.2">
      <c r="K23" s="14">
        <v>15</v>
      </c>
      <c r="L23" s="15">
        <f t="shared" si="0"/>
        <v>21.452886757565405</v>
      </c>
      <c r="M23" s="15">
        <f>INDEX(_tTankWeight24[Weight (lbs)],1,1)-$G$16/24*K23</f>
        <v>21.37704761904762</v>
      </c>
    </row>
    <row r="24" spans="1:13" x14ac:dyDescent="0.2">
      <c r="K24" s="14">
        <v>16</v>
      </c>
      <c r="L24" s="15">
        <f t="shared" si="0"/>
        <v>21.426205193506199</v>
      </c>
      <c r="M24" s="15">
        <f>INDEX(_tTankWeight24[Weight (lbs)],1,1)-$G$16/24*K24</f>
        <v>21.343317460317458</v>
      </c>
    </row>
    <row r="25" spans="1:13" x14ac:dyDescent="0.2">
      <c r="K25" s="14">
        <v>17</v>
      </c>
      <c r="L25" s="15">
        <f t="shared" si="0"/>
        <v>21.399523629446993</v>
      </c>
      <c r="M25" s="15">
        <f>INDEX(_tTankWeight24[Weight (lbs)],1,1)-$G$16/24*K25</f>
        <v>21.3095873015873</v>
      </c>
    </row>
    <row r="26" spans="1:13" x14ac:dyDescent="0.2">
      <c r="G26" t="str">
        <f>"Measured Propane Burn Rate = "&amp;TEXT($G$12,"0.00")&amp;" lbs/day"</f>
        <v>Measured Propane Burn Rate = 0.64 lbs/day</v>
      </c>
      <c r="K26" s="14">
        <v>18</v>
      </c>
      <c r="L26" s="15">
        <f t="shared" si="0"/>
        <v>21.372842065387786</v>
      </c>
      <c r="M26" s="15">
        <f>INDEX(_tTankWeight24[Weight (lbs)],1,1)-$G$16/24*K26</f>
        <v>21.275857142857141</v>
      </c>
    </row>
    <row r="27" spans="1:13" x14ac:dyDescent="0.2">
      <c r="K27" s="14">
        <v>19</v>
      </c>
      <c r="L27" s="15">
        <f t="shared" si="0"/>
        <v>21.34616050132858</v>
      </c>
      <c r="M27" s="15">
        <f>INDEX(_tTankWeight24[Weight (lbs)],1,1)-$G$16/24*K27</f>
        <v>21.242126984126983</v>
      </c>
    </row>
    <row r="28" spans="1:13" x14ac:dyDescent="0.2">
      <c r="K28" s="14">
        <v>20</v>
      </c>
      <c r="L28" s="15">
        <f t="shared" si="0"/>
        <v>21.319478937269373</v>
      </c>
      <c r="M28" s="15">
        <f>INDEX(_tTankWeight24[Weight (lbs)],1,1)-$G$16/24*K28</f>
        <v>21.208396825396825</v>
      </c>
    </row>
    <row r="29" spans="1:13" x14ac:dyDescent="0.2">
      <c r="F29" s="20"/>
      <c r="K29" s="14">
        <v>21</v>
      </c>
      <c r="L29" s="15">
        <f t="shared" si="0"/>
        <v>21.292797373210167</v>
      </c>
      <c r="M29" s="15">
        <f>INDEX(_tTankWeight24[Weight (lbs)],1,1)-$G$16/24*K29</f>
        <v>21.174666666666667</v>
      </c>
    </row>
    <row r="30" spans="1:13" x14ac:dyDescent="0.2">
      <c r="K30" s="14">
        <v>22</v>
      </c>
      <c r="L30" s="15">
        <f t="shared" si="0"/>
        <v>21.266115809150961</v>
      </c>
      <c r="M30" s="15">
        <f>INDEX(_tTankWeight24[Weight (lbs)],1,1)-$G$16/24*K30</f>
        <v>21.140936507936509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21.239434245091754</v>
      </c>
      <c r="M31" s="15">
        <f>INDEX(_tTankWeight24[Weight (lbs)],1,1)-$G$16/24*K31</f>
        <v>21.107206349206347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26.547669085722983</v>
      </c>
      <c r="I34" s="16" t="s">
        <v>21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21.5</v>
      </c>
      <c r="L41">
        <f>K41-17</f>
        <v>4.5</v>
      </c>
      <c r="M41" s="22">
        <v>0.64</v>
      </c>
    </row>
    <row r="42" spans="2:13" x14ac:dyDescent="0.2">
      <c r="K42">
        <v>24.55</v>
      </c>
      <c r="L42">
        <f t="shared" ref="L42:L43" si="1">K42-17</f>
        <v>7.5500000000000007</v>
      </c>
      <c r="M42" s="22">
        <v>0.7</v>
      </c>
    </row>
    <row r="43" spans="2:13" x14ac:dyDescent="0.2">
      <c r="K43">
        <v>27.85</v>
      </c>
      <c r="L43">
        <f t="shared" si="1"/>
        <v>10.850000000000001</v>
      </c>
      <c r="M43" s="22">
        <v>0.76</v>
      </c>
    </row>
    <row r="56" spans="1:1" ht="15" x14ac:dyDescent="0.25">
      <c r="A56" s="3" t="s">
        <v>36</v>
      </c>
    </row>
    <row r="58" spans="1:1" x14ac:dyDescent="0.2">
      <c r="A58" t="s">
        <v>37</v>
      </c>
    </row>
    <row r="59" spans="1:1" x14ac:dyDescent="0.2">
      <c r="A59" t="s">
        <v>38</v>
      </c>
    </row>
  </sheetData>
  <conditionalFormatting sqref="K8:M31">
    <cfRule type="expression" dxfId="2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757-7902-41C1-9127-0A0B0C181624}">
  <dimension ref="A1:P62"/>
  <sheetViews>
    <sheetView showGridLines="0" topLeftCell="D27" workbookViewId="0">
      <selection activeCell="K38" sqref="K38"/>
    </sheetView>
  </sheetViews>
  <sheetFormatPr defaultRowHeight="12.75" x14ac:dyDescent="0.2"/>
  <cols>
    <col min="2" max="2" width="17.14062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42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TEXT(DATE(2023,7,18),"dd-mmm-yyyy")</f>
        <v>18-Jul-2023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45125.282638888886</v>
      </c>
      <c r="C8" s="11">
        <f>(_tTankWeight4[[#This Row],[X]]-INDEX('Propane-Use-Day-4'!$B$8,1,1))*24</f>
        <v>0</v>
      </c>
      <c r="D8" s="19">
        <v>21.13</v>
      </c>
      <c r="G8" s="17" cm="1">
        <f t="array" ref="G8:H8">LINEST(_tTankWeight4[Weight (lbs)],_tTankWeight4[Time (hours)])</f>
        <v>-2.5368812007841204E-2</v>
      </c>
      <c r="H8" s="17">
        <v>21.139286553032619</v>
      </c>
      <c r="K8" s="14" cm="1">
        <f t="array" ref="K8:K34">_xlfn.SEQUENCE(27,1,0,1)</f>
        <v>0</v>
      </c>
      <c r="L8" s="15">
        <f>_nInt+_nSlope*K8</f>
        <v>21.139286553032619</v>
      </c>
      <c r="M8" s="15">
        <f>INDEX(_tTankWeight4[Weight (lbs)],1,1)-$G$16/24*K8</f>
        <v>21.13</v>
      </c>
    </row>
    <row r="9" spans="1:13" x14ac:dyDescent="0.2">
      <c r="B9" s="10">
        <v>45125.387499999997</v>
      </c>
      <c r="C9" s="11">
        <f>(_tTankWeight4[[#This Row],[X]]-INDEX('Propane-Use-Day-4'!$B$8,1,1))*24</f>
        <v>2.5166666666627862</v>
      </c>
      <c r="D9" s="19">
        <v>21.05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21.113917741024778</v>
      </c>
      <c r="M9" s="15">
        <f>INDEX(_tTankWeight4[Weight (lbs)],1,1)-$G$16/24*K9</f>
        <v>21.096269841269841</v>
      </c>
    </row>
    <row r="10" spans="1:13" x14ac:dyDescent="0.2">
      <c r="B10" s="10">
        <v>45125.504166666666</v>
      </c>
      <c r="C10" s="11">
        <f>(_tTankWeight4[[#This Row],[X]]-INDEX('Propane-Use-Day-4'!$B$8,1,1))*24</f>
        <v>5.3166666667093523</v>
      </c>
      <c r="D10" s="19">
        <v>20.99</v>
      </c>
      <c r="K10" s="14">
        <v>2</v>
      </c>
      <c r="L10" s="15">
        <f t="shared" si="0"/>
        <v>21.088548929016937</v>
      </c>
      <c r="M10" s="15">
        <f>INDEX(_tTankWeight4[Weight (lbs)],1,1)-$G$16/24*K10</f>
        <v>21.062539682539683</v>
      </c>
    </row>
    <row r="11" spans="1:13" x14ac:dyDescent="0.2">
      <c r="B11" s="10">
        <v>45125.529166666667</v>
      </c>
      <c r="C11" s="11">
        <f>(_tTankWeight4[[#This Row],[X]]-INDEX('Propane-Use-Day-4'!$B$8,1,1))*24</f>
        <v>5.9166666667442769</v>
      </c>
      <c r="D11" s="19">
        <v>20.97666667</v>
      </c>
      <c r="G11" s="4" t="s">
        <v>17</v>
      </c>
      <c r="K11" s="14">
        <v>3</v>
      </c>
      <c r="L11" s="15">
        <f t="shared" si="0"/>
        <v>21.063180117009097</v>
      </c>
      <c r="M11" s="15">
        <f>INDEX(_tTankWeight4[Weight (lbs)],1,1)-$G$16/24*K11</f>
        <v>21.028809523809525</v>
      </c>
    </row>
    <row r="12" spans="1:13" x14ac:dyDescent="0.2">
      <c r="B12" s="10">
        <v>45125.571527777778</v>
      </c>
      <c r="C12" s="11">
        <f>(_tTankWeight4[[#This Row],[X]]-INDEX('Propane-Use-Day-4'!$B$8,1,1))*24</f>
        <v>6.933333333407063</v>
      </c>
      <c r="D12" s="19">
        <v>21.016666669999999</v>
      </c>
      <c r="G12" s="22">
        <f>ABS(24*_nSlope)</f>
        <v>0.60885148818818891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21.037811305001256</v>
      </c>
      <c r="M12" s="15">
        <f>INDEX(_tTankWeight4[Weight (lbs)],1,1)-$G$16/24*K12</f>
        <v>20.995079365079363</v>
      </c>
    </row>
    <row r="13" spans="1:13" x14ac:dyDescent="0.2">
      <c r="B13" s="10">
        <v>45125.611805555556</v>
      </c>
      <c r="C13" s="11">
        <f>(_tTankWeight4[[#This Row],[X]]-INDEX('Propane-Use-Day-4'!$B$8,1,1))*24</f>
        <v>7.9000000000814907</v>
      </c>
      <c r="D13" s="19">
        <v>20.963333330000001</v>
      </c>
      <c r="K13" s="14">
        <v>5</v>
      </c>
      <c r="L13" s="15">
        <f t="shared" si="0"/>
        <v>21.012442492993411</v>
      </c>
      <c r="M13" s="15">
        <f>INDEX(_tTankWeight4[Weight (lbs)],1,1)-$G$16/24*K13</f>
        <v>20.961349206349205</v>
      </c>
    </row>
    <row r="14" spans="1:13" x14ac:dyDescent="0.2">
      <c r="B14" s="10">
        <v>45125.772222222222</v>
      </c>
      <c r="C14" s="11">
        <f>(_tTankWeight4[[#This Row],[X]]-INDEX('Propane-Use-Day-4'!$B$8,1,1))*24</f>
        <v>11.750000000058208</v>
      </c>
      <c r="D14" s="19">
        <v>20.83666667</v>
      </c>
      <c r="K14" s="14">
        <v>6</v>
      </c>
      <c r="L14" s="15">
        <f t="shared" si="0"/>
        <v>20.987073680985571</v>
      </c>
      <c r="M14" s="15">
        <f>INDEX(_tTankWeight4[Weight (lbs)],1,1)-$G$16/24*K14</f>
        <v>20.927619047619046</v>
      </c>
    </row>
    <row r="15" spans="1:13" x14ac:dyDescent="0.2">
      <c r="B15" s="10">
        <v>45126.34652777778</v>
      </c>
      <c r="C15" s="11">
        <f>(_tTankWeight4[[#This Row],[X]]-INDEX('Propane-Use-Day-4'!$B$8,1,1))*24</f>
        <v>25.533333333441988</v>
      </c>
      <c r="D15" s="19">
        <v>20.48</v>
      </c>
      <c r="G15" s="4" t="s">
        <v>34</v>
      </c>
      <c r="K15" s="14">
        <v>7</v>
      </c>
      <c r="L15" s="15">
        <f t="shared" si="0"/>
        <v>20.96170486897773</v>
      </c>
      <c r="M15" s="15">
        <f>INDEX(_tTankWeight4[Weight (lbs)],1,1)-$G$16/24*K15</f>
        <v>20.893888888888888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20.936336056969889</v>
      </c>
      <c r="M16" s="15">
        <f>INDEX(_tTankWeight4[Weight (lbs)],1,1)-$G$16/24*K16</f>
        <v>20.86015873015873</v>
      </c>
    </row>
    <row r="17" spans="1:13" x14ac:dyDescent="0.2">
      <c r="G17" s="22"/>
      <c r="K17" s="14">
        <v>9</v>
      </c>
      <c r="L17" s="15">
        <f t="shared" si="0"/>
        <v>20.910967244962048</v>
      </c>
      <c r="M17" s="15">
        <f>INDEX(_tTankWeight4[Weight (lbs)],1,1)-$G$16/24*K17</f>
        <v>20.826428571428572</v>
      </c>
    </row>
    <row r="18" spans="1:13" x14ac:dyDescent="0.2">
      <c r="K18" s="14">
        <v>10</v>
      </c>
      <c r="L18" s="15">
        <f t="shared" si="0"/>
        <v>20.885598432954207</v>
      </c>
      <c r="M18" s="15">
        <f>INDEX(_tTankWeight4[Weight (lbs)],1,1)-$G$16/24*K18</f>
        <v>20.79269841269841</v>
      </c>
    </row>
    <row r="19" spans="1:13" x14ac:dyDescent="0.2">
      <c r="D19">
        <v>20.49</v>
      </c>
      <c r="K19" s="14">
        <v>11</v>
      </c>
      <c r="L19" s="15">
        <f t="shared" si="0"/>
        <v>20.860229620946367</v>
      </c>
      <c r="M19" s="15">
        <f>INDEX(_tTankWeight4[Weight (lbs)],1,1)-$G$16/24*K19</f>
        <v>20.758968253968252</v>
      </c>
    </row>
    <row r="20" spans="1:13" x14ac:dyDescent="0.2">
      <c r="D20">
        <v>20.48</v>
      </c>
      <c r="K20" s="14">
        <v>12</v>
      </c>
      <c r="L20" s="15">
        <f t="shared" si="0"/>
        <v>20.834860808938526</v>
      </c>
      <c r="M20" s="15">
        <f>INDEX(_tTankWeight4[Weight (lbs)],1,1)-$G$16/24*K20</f>
        <v>20.725238095238094</v>
      </c>
    </row>
    <row r="21" spans="1:13" x14ac:dyDescent="0.2">
      <c r="D21">
        <v>20.47</v>
      </c>
      <c r="K21" s="14">
        <v>13</v>
      </c>
      <c r="L21" s="15">
        <f t="shared" si="0"/>
        <v>20.809491996930685</v>
      </c>
      <c r="M21" s="15">
        <f>INDEX(_tTankWeight4[Weight (lbs)],1,1)-$G$16/24*K21</f>
        <v>20.691507936507936</v>
      </c>
    </row>
    <row r="22" spans="1:13" x14ac:dyDescent="0.2">
      <c r="K22" s="14">
        <v>14</v>
      </c>
      <c r="L22" s="15">
        <f t="shared" si="0"/>
        <v>20.784123184922841</v>
      </c>
      <c r="M22" s="15">
        <f>INDEX(_tTankWeight4[Weight (lbs)],1,1)-$G$16/24*K22</f>
        <v>20.657777777777778</v>
      </c>
    </row>
    <row r="23" spans="1:13" x14ac:dyDescent="0.2">
      <c r="K23" s="14">
        <v>15</v>
      </c>
      <c r="L23" s="15">
        <f t="shared" si="0"/>
        <v>20.758754372915</v>
      </c>
      <c r="M23" s="15">
        <f>INDEX(_tTankWeight4[Weight (lbs)],1,1)-$G$16/24*K23</f>
        <v>20.624047619047619</v>
      </c>
    </row>
    <row r="24" spans="1:13" x14ac:dyDescent="0.2">
      <c r="K24" s="14">
        <v>16</v>
      </c>
      <c r="L24" s="15">
        <f t="shared" si="0"/>
        <v>20.733385560907159</v>
      </c>
      <c r="M24" s="15">
        <f>INDEX(_tTankWeight4[Weight (lbs)],1,1)-$G$16/24*K24</f>
        <v>20.590317460317458</v>
      </c>
    </row>
    <row r="25" spans="1:13" x14ac:dyDescent="0.2">
      <c r="K25" s="14">
        <v>17</v>
      </c>
      <c r="L25" s="15">
        <f t="shared" si="0"/>
        <v>20.708016748899318</v>
      </c>
      <c r="M25" s="15">
        <f>INDEX(_tTankWeight4[Weight (lbs)],1,1)-$G$16/24*K25</f>
        <v>20.5565873015873</v>
      </c>
    </row>
    <row r="26" spans="1:13" x14ac:dyDescent="0.2">
      <c r="G26" t="str">
        <f>"Measured Propane Burn Rate = "&amp;TEXT($G$12,"0.00")&amp;" lbs/day"</f>
        <v>Measured Propane Burn Rate = 0.61 lbs/day</v>
      </c>
      <c r="K26" s="14">
        <v>18</v>
      </c>
      <c r="L26" s="15">
        <f t="shared" si="0"/>
        <v>20.682647936891478</v>
      </c>
      <c r="M26" s="15">
        <f>INDEX(_tTankWeight4[Weight (lbs)],1,1)-$G$16/24*K26</f>
        <v>20.522857142857141</v>
      </c>
    </row>
    <row r="27" spans="1:13" x14ac:dyDescent="0.2">
      <c r="K27" s="14">
        <v>19</v>
      </c>
      <c r="L27" s="15">
        <f t="shared" si="0"/>
        <v>20.657279124883637</v>
      </c>
      <c r="M27" s="15">
        <f>INDEX(_tTankWeight4[Weight (lbs)],1,1)-$G$16/24*K27</f>
        <v>20.489126984126983</v>
      </c>
    </row>
    <row r="28" spans="1:13" x14ac:dyDescent="0.2">
      <c r="K28" s="14">
        <v>20</v>
      </c>
      <c r="L28" s="15">
        <f t="shared" si="0"/>
        <v>20.631910312875796</v>
      </c>
      <c r="M28" s="15">
        <f>INDEX(_tTankWeight4[Weight (lbs)],1,1)-$G$16/24*K28</f>
        <v>20.455396825396825</v>
      </c>
    </row>
    <row r="29" spans="1:13" x14ac:dyDescent="0.2">
      <c r="F29" s="20"/>
      <c r="K29" s="14">
        <v>21</v>
      </c>
      <c r="L29" s="15">
        <f t="shared" si="0"/>
        <v>20.606541500867955</v>
      </c>
      <c r="M29" s="15">
        <f>INDEX(_tTankWeight4[Weight (lbs)],1,1)-$G$16/24*K29</f>
        <v>20.421666666666667</v>
      </c>
    </row>
    <row r="30" spans="1:13" x14ac:dyDescent="0.2">
      <c r="K30" s="14">
        <v>22</v>
      </c>
      <c r="L30" s="15">
        <f t="shared" si="0"/>
        <v>20.581172688860114</v>
      </c>
      <c r="M30" s="15">
        <f>INDEX(_tTankWeight4[Weight (lbs)],1,1)-$G$16/24*K30</f>
        <v>20.387936507936509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20.55580387685227</v>
      </c>
      <c r="M31" s="15">
        <f>INDEX(_tTankWeight4[Weight (lbs)],1,1)-$G$16/24*K31</f>
        <v>20.354206349206347</v>
      </c>
    </row>
    <row r="32" spans="1:13" x14ac:dyDescent="0.2">
      <c r="K32">
        <v>24</v>
      </c>
      <c r="L32" s="15">
        <f t="shared" ref="L32" si="1">_nInt+_nSlope*K32</f>
        <v>20.530435064844429</v>
      </c>
      <c r="M32" s="15">
        <f>INDEX(_tTankWeight4[Weight (lbs)],1,1)-$G$16/24*K32</f>
        <v>20.320476190476189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  <c r="K33">
        <v>25</v>
      </c>
      <c r="L33" s="15">
        <f t="shared" ref="L33" si="2">_nInt+_nSlope*K33</f>
        <v>20.505066252836588</v>
      </c>
      <c r="M33" s="15">
        <f>INDEX(_tTankWeight4[Weight (lbs)],1,1)-$G$16/24*K33</f>
        <v>20.286746031746031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27.921423088885508</v>
      </c>
      <c r="I34" s="16" t="s">
        <v>21</v>
      </c>
      <c r="K34">
        <v>26</v>
      </c>
      <c r="L34" s="15">
        <f t="shared" ref="L34" si="3">_nInt+_nSlope*K34</f>
        <v>20.479697440828748</v>
      </c>
      <c r="M34" s="15">
        <f>INDEX(_tTankWeight4[Weight (lbs)],1,1)-$G$16/24*K34</f>
        <v>20.253015873015872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21.13</v>
      </c>
      <c r="L41">
        <f>K41-17</f>
        <v>4.129999999999999</v>
      </c>
      <c r="M41" s="22">
        <f>ABS(24*_nSlope)</f>
        <v>0.60885148818818891</v>
      </c>
    </row>
    <row r="42" spans="2:13" x14ac:dyDescent="0.2">
      <c r="K42">
        <v>21.88</v>
      </c>
      <c r="L42">
        <f>K42-17</f>
        <v>4.879999999999999</v>
      </c>
      <c r="M42" s="22">
        <v>0.64</v>
      </c>
    </row>
    <row r="43" spans="2:13" x14ac:dyDescent="0.2">
      <c r="K43">
        <v>24.67</v>
      </c>
      <c r="L43">
        <f t="shared" ref="L43:L44" si="4">K43-17</f>
        <v>7.6700000000000017</v>
      </c>
      <c r="M43" s="22">
        <v>0.7</v>
      </c>
    </row>
    <row r="44" spans="2:13" x14ac:dyDescent="0.2">
      <c r="K44">
        <v>28.11</v>
      </c>
      <c r="L44">
        <f t="shared" si="4"/>
        <v>11.11</v>
      </c>
      <c r="M44" s="22">
        <v>0.76</v>
      </c>
    </row>
    <row r="46" spans="2:13" ht="15" x14ac:dyDescent="0.25">
      <c r="K46" s="3" t="s">
        <v>43</v>
      </c>
    </row>
    <row r="47" spans="2:13" x14ac:dyDescent="0.2">
      <c r="K47" cm="1">
        <f t="array" ref="K47:L47">LINEST(M41:M44,L41:L44)</f>
        <v>2.0977517820843509E-2</v>
      </c>
      <c r="L47">
        <v>0.53147156698673692</v>
      </c>
    </row>
    <row r="49" spans="1:16" x14ac:dyDescent="0.2">
      <c r="L49" t="s">
        <v>5</v>
      </c>
    </row>
    <row r="50" spans="1:16" x14ac:dyDescent="0.2">
      <c r="K50" cm="1">
        <f t="array" ref="K50:K61">_xlfn.SEQUENCE(12,1,0,1)</f>
        <v>0</v>
      </c>
      <c r="L50" s="25">
        <f>$L$47+K50*$K$47</f>
        <v>0.53147156698673692</v>
      </c>
    </row>
    <row r="51" spans="1:16" x14ac:dyDescent="0.2">
      <c r="K51">
        <v>1</v>
      </c>
      <c r="L51" s="25">
        <f t="shared" ref="L51:L61" si="5">$L$47+K51*$K$47</f>
        <v>0.55244908480758048</v>
      </c>
    </row>
    <row r="52" spans="1:16" x14ac:dyDescent="0.2">
      <c r="K52">
        <v>2</v>
      </c>
      <c r="L52" s="25">
        <f t="shared" si="5"/>
        <v>0.57342660262842393</v>
      </c>
    </row>
    <row r="53" spans="1:16" x14ac:dyDescent="0.2">
      <c r="K53">
        <v>3</v>
      </c>
      <c r="L53" s="25">
        <f t="shared" si="5"/>
        <v>0.59440412044926749</v>
      </c>
    </row>
    <row r="54" spans="1:16" x14ac:dyDescent="0.2">
      <c r="K54">
        <v>4</v>
      </c>
      <c r="L54" s="25">
        <f t="shared" si="5"/>
        <v>0.61538163827011094</v>
      </c>
    </row>
    <row r="55" spans="1:16" x14ac:dyDescent="0.2">
      <c r="K55">
        <v>5</v>
      </c>
      <c r="L55" s="25">
        <f t="shared" si="5"/>
        <v>0.6363591560909545</v>
      </c>
    </row>
    <row r="56" spans="1:16" ht="15" x14ac:dyDescent="0.25">
      <c r="A56" s="3" t="s">
        <v>36</v>
      </c>
      <c r="K56">
        <v>6</v>
      </c>
      <c r="L56" s="25">
        <f t="shared" si="5"/>
        <v>0.65733667391179795</v>
      </c>
      <c r="O56" t="s">
        <v>9</v>
      </c>
      <c r="P56" t="s">
        <v>44</v>
      </c>
    </row>
    <row r="57" spans="1:16" x14ac:dyDescent="0.2">
      <c r="K57">
        <v>7</v>
      </c>
      <c r="L57" s="25">
        <f t="shared" si="5"/>
        <v>0.67831419173264151</v>
      </c>
      <c r="O57" t="s">
        <v>10</v>
      </c>
      <c r="P57" t="s">
        <v>45</v>
      </c>
    </row>
    <row r="58" spans="1:16" x14ac:dyDescent="0.2">
      <c r="A58" t="s">
        <v>37</v>
      </c>
      <c r="K58">
        <v>8</v>
      </c>
      <c r="L58" s="25">
        <f t="shared" si="5"/>
        <v>0.69929170955348496</v>
      </c>
      <c r="O58" t="s">
        <v>11</v>
      </c>
      <c r="P58" t="s">
        <v>46</v>
      </c>
    </row>
    <row r="59" spans="1:16" x14ac:dyDescent="0.2">
      <c r="A59" t="s">
        <v>38</v>
      </c>
      <c r="K59">
        <v>9</v>
      </c>
      <c r="L59" s="25">
        <f t="shared" si="5"/>
        <v>0.72026922737432852</v>
      </c>
    </row>
    <row r="60" spans="1:16" x14ac:dyDescent="0.2">
      <c r="K60">
        <v>10</v>
      </c>
      <c r="L60" s="25">
        <f t="shared" si="5"/>
        <v>0.74124674519517197</v>
      </c>
      <c r="O60" t="s">
        <v>47</v>
      </c>
    </row>
    <row r="61" spans="1:16" x14ac:dyDescent="0.2">
      <c r="K61">
        <v>11</v>
      </c>
      <c r="L61" s="25">
        <f t="shared" si="5"/>
        <v>0.76222426301601554</v>
      </c>
    </row>
    <row r="62" spans="1:16" x14ac:dyDescent="0.2">
      <c r="O62" t="s">
        <v>48</v>
      </c>
    </row>
  </sheetData>
  <conditionalFormatting sqref="K8:M31 L32:M34">
    <cfRule type="expression" dxfId="1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FE03-6F96-4002-83C1-8201B1986D54}">
  <dimension ref="A1:P71"/>
  <sheetViews>
    <sheetView showGridLines="0" tabSelected="1" topLeftCell="A13" workbookViewId="0">
      <selection activeCell="E27" sqref="E27"/>
    </sheetView>
  </sheetViews>
  <sheetFormatPr defaultRowHeight="12.75" x14ac:dyDescent="0.2"/>
  <cols>
    <col min="2" max="2" width="2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tr">
        <f>"Note that I started my test with  "&amp;TEXT(36.4-17,0)&amp;" lbs of propane in"</f>
        <v>Note that I started my test with  19 lbs of propane in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TEXT(DATE(2023,8,4),"dd-mmm-yyyy")</f>
        <v>04-Aug-2023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t="s">
        <v>49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G8" s="17" cm="1">
        <f t="array" ref="G8:H8">LINEST(_xlfn.DROP(_xlfn.DROP(_tTankWeight46[Weight (lbs)],2),-1),_xlfn.DROP(_xlfn.DROP(_tTankWeight46[Time (hours)],2),-1))</f>
        <v>-5.5123996031185153E-2</v>
      </c>
      <c r="H8" s="17">
        <v>37.418489282725538</v>
      </c>
      <c r="K8" s="14" cm="1">
        <f t="array" ref="K8:K34">_xlfn.SEQUENCE(27,1,0,2)</f>
        <v>0</v>
      </c>
      <c r="L8" s="15">
        <f>_nInt+_nSlope*K8</f>
        <v>37.418489282725538</v>
      </c>
      <c r="M8" s="15">
        <f>INDEX(_tTankWeight46[Weight (lbs)],1,1)-$G$16/24*K8</f>
        <v>36.9</v>
      </c>
    </row>
    <row r="9" spans="1:13" x14ac:dyDescent="0.2">
      <c r="B9" s="7" t="s">
        <v>4</v>
      </c>
      <c r="C9" s="8" t="s">
        <v>6</v>
      </c>
      <c r="D9" s="9" t="s">
        <v>7</v>
      </c>
      <c r="F9" s="18" t="s">
        <v>24</v>
      </c>
      <c r="G9" s="18" t="s">
        <v>8</v>
      </c>
      <c r="H9" s="18" t="s">
        <v>19</v>
      </c>
      <c r="K9" s="14">
        <v>2</v>
      </c>
      <c r="L9" s="15">
        <f t="shared" ref="L9:L31" si="0">_nInt+_nSlope*K9</f>
        <v>37.308241290663169</v>
      </c>
      <c r="M9" s="15">
        <f>INDEX(_tTankWeight46[Weight (lbs)],1,1)-$G$16/24*K9</f>
        <v>36.832539682539682</v>
      </c>
    </row>
    <row r="10" spans="1:13" x14ac:dyDescent="0.2">
      <c r="B10" s="26">
        <v>45141.604166666664</v>
      </c>
      <c r="C10" s="11">
        <f>(_tTankWeight46[[#This Row],[X]]-INDEX('Propane-Use-Day-5'!$B$10,1,1))*24</f>
        <v>0</v>
      </c>
      <c r="D10" s="19">
        <v>36.9</v>
      </c>
      <c r="K10" s="14">
        <v>4</v>
      </c>
      <c r="L10" s="15">
        <f t="shared" si="0"/>
        <v>37.1979932986008</v>
      </c>
      <c r="M10" s="15">
        <f>INDEX(_tTankWeight46[Weight (lbs)],1,1)-$G$16/24*K10</f>
        <v>36.765079365079366</v>
      </c>
    </row>
    <row r="11" spans="1:13" x14ac:dyDescent="0.2">
      <c r="B11" s="26">
        <v>45141.788888888892</v>
      </c>
      <c r="C11" s="11">
        <f>(_tTankWeight46[[#This Row],[X]]-INDEX('Propane-Use-Day-5'!$B$10,1,1))*24</f>
        <v>4.4333333334652707</v>
      </c>
      <c r="D11" s="19">
        <v>36.823333329999997</v>
      </c>
      <c r="G11" s="4" t="s">
        <v>17</v>
      </c>
      <c r="K11" s="14">
        <v>6</v>
      </c>
      <c r="L11" s="15">
        <f t="shared" si="0"/>
        <v>37.08774530653843</v>
      </c>
      <c r="M11" s="15">
        <f>INDEX(_tTankWeight46[Weight (lbs)],1,1)-$G$16/24*K11</f>
        <v>36.69761904761905</v>
      </c>
    </row>
    <row r="12" spans="1:13" x14ac:dyDescent="0.2">
      <c r="B12" s="26">
        <v>45142.28125</v>
      </c>
      <c r="C12" s="11">
        <f>(_tTankWeight46[[#This Row],[X]]-INDEX('Propane-Use-Day-5'!$B$10,1,1))*24</f>
        <v>16.250000000058208</v>
      </c>
      <c r="D12" s="19">
        <v>36.536666670000002</v>
      </c>
      <c r="G12" s="22">
        <f>ABS(24*_nSlope)</f>
        <v>1.3229759047484437</v>
      </c>
      <c r="H12" t="s">
        <v>22</v>
      </c>
      <c r="I12" t="str">
        <f ca="1">_xlfn.FORMULATEXT(G12)</f>
        <v>=ABS(24*_nSlope)</v>
      </c>
      <c r="K12" s="14">
        <v>8</v>
      </c>
      <c r="L12" s="15">
        <f t="shared" si="0"/>
        <v>36.977497314476054</v>
      </c>
      <c r="M12" s="15">
        <f>INDEX(_tTankWeight46[Weight (lbs)],1,1)-$G$16/24*K12</f>
        <v>36.630158730158726</v>
      </c>
    </row>
    <row r="13" spans="1:13" x14ac:dyDescent="0.2">
      <c r="B13" s="26">
        <v>45142.367361111108</v>
      </c>
      <c r="C13" s="11">
        <f>(_tTankWeight46[[#This Row],[X]]-INDEX('Propane-Use-Day-5'!$B$10,1,1))*24</f>
        <v>18.316666666651145</v>
      </c>
      <c r="D13" s="19">
        <v>36.416666669999998</v>
      </c>
      <c r="K13" s="14">
        <v>10</v>
      </c>
      <c r="L13" s="15">
        <f t="shared" si="0"/>
        <v>36.867249322413684</v>
      </c>
      <c r="M13" s="15">
        <f>INDEX(_tTankWeight46[Weight (lbs)],1,1)-$G$16/24*K13</f>
        <v>36.56269841269841</v>
      </c>
    </row>
    <row r="14" spans="1:13" x14ac:dyDescent="0.2">
      <c r="B14" s="26">
        <v>45142.418749999997</v>
      </c>
      <c r="C14" s="11">
        <f>(_tTankWeight46[[#This Row],[X]]-INDEX('Propane-Use-Day-5'!$B$10,1,1))*24</f>
        <v>19.549999999988358</v>
      </c>
      <c r="D14" s="19">
        <v>36.31</v>
      </c>
      <c r="K14" s="14">
        <v>12</v>
      </c>
      <c r="L14" s="15">
        <f t="shared" si="0"/>
        <v>36.757001330351315</v>
      </c>
      <c r="M14" s="15">
        <f>INDEX(_tTankWeight46[Weight (lbs)],1,1)-$G$16/24*K14</f>
        <v>36.495238095238093</v>
      </c>
    </row>
    <row r="15" spans="1:13" x14ac:dyDescent="0.2">
      <c r="B15" s="26">
        <v>45142.506944444445</v>
      </c>
      <c r="C15" s="11">
        <f>(_tTankWeight46[[#This Row],[X]]-INDEX('Propane-Use-Day-5'!$B$10,1,1))*24</f>
        <v>21.666666666744277</v>
      </c>
      <c r="D15" s="19">
        <v>36.21</v>
      </c>
      <c r="G15" s="4" t="s">
        <v>34</v>
      </c>
      <c r="K15" s="14">
        <v>14</v>
      </c>
      <c r="L15" s="15">
        <f t="shared" si="0"/>
        <v>36.646753338288946</v>
      </c>
      <c r="M15" s="15">
        <f>INDEX(_tTankWeight46[Weight (lbs)],1,1)-$G$16/24*K15</f>
        <v>36.427777777777777</v>
      </c>
    </row>
    <row r="16" spans="1:13" x14ac:dyDescent="0.2">
      <c r="B16" s="26">
        <v>45142.572916666664</v>
      </c>
      <c r="C16" s="11">
        <f>(_tTankWeight46[[#This Row],[X]]-INDEX('Propane-Use-Day-5'!$B$10,1,1))*24</f>
        <v>23.25</v>
      </c>
      <c r="D16" s="19">
        <v>36.159999999999997</v>
      </c>
      <c r="G16" s="22">
        <f>H39/21</f>
        <v>0.80952380952380953</v>
      </c>
      <c r="H16" t="s">
        <v>22</v>
      </c>
      <c r="K16" s="14">
        <v>16</v>
      </c>
      <c r="L16" s="15">
        <f t="shared" si="0"/>
        <v>36.536505346226576</v>
      </c>
      <c r="M16" s="15">
        <f>INDEX(_tTankWeight46[Weight (lbs)],1,1)-$G$16/24*K16</f>
        <v>36.360317460317461</v>
      </c>
    </row>
    <row r="17" spans="2:13" x14ac:dyDescent="0.2">
      <c r="B17" s="26">
        <v>45143.379861111112</v>
      </c>
      <c r="C17" s="11">
        <f>(_tTankWeight46[[#This Row],[X]]-INDEX('Propane-Use-Day-5'!$B$10,1,1))*24</f>
        <v>42.616666666755918</v>
      </c>
      <c r="D17" s="19">
        <v>35.646666670000002</v>
      </c>
      <c r="G17" s="22"/>
      <c r="K17" s="14">
        <v>18</v>
      </c>
      <c r="L17" s="15">
        <f t="shared" si="0"/>
        <v>36.426257354164207</v>
      </c>
      <c r="M17" s="15">
        <f>INDEX(_tTankWeight46[Weight (lbs)],1,1)-$G$16/24*K17</f>
        <v>36.292857142857144</v>
      </c>
    </row>
    <row r="18" spans="2:13" x14ac:dyDescent="0.2">
      <c r="K18" s="14">
        <v>20</v>
      </c>
      <c r="L18" s="15">
        <f t="shared" si="0"/>
        <v>36.316009362101838</v>
      </c>
      <c r="M18" s="15">
        <f>INDEX(_tTankWeight46[Weight (lbs)],1,1)-$G$16/24*K18</f>
        <v>36.225396825396821</v>
      </c>
    </row>
    <row r="19" spans="2:13" x14ac:dyDescent="0.2">
      <c r="K19" s="14">
        <v>22</v>
      </c>
      <c r="L19" s="15">
        <f t="shared" si="0"/>
        <v>36.205761370039468</v>
      </c>
      <c r="M19" s="15">
        <f>INDEX(_tTankWeight46[Weight (lbs)],1,1)-$G$16/24*K19</f>
        <v>36.157936507936505</v>
      </c>
    </row>
    <row r="20" spans="2:13" x14ac:dyDescent="0.2">
      <c r="K20" s="14">
        <v>24</v>
      </c>
      <c r="L20" s="15">
        <f t="shared" si="0"/>
        <v>36.095513377977092</v>
      </c>
      <c r="M20" s="15">
        <f>INDEX(_tTankWeight46[Weight (lbs)],1,1)-$G$16/24*K20</f>
        <v>36.090476190476188</v>
      </c>
    </row>
    <row r="21" spans="2:13" x14ac:dyDescent="0.2">
      <c r="K21" s="14">
        <v>26</v>
      </c>
      <c r="L21" s="15">
        <f t="shared" si="0"/>
        <v>35.985265385914722</v>
      </c>
      <c r="M21" s="15">
        <f>INDEX(_tTankWeight46[Weight (lbs)],1,1)-$G$16/24*K21</f>
        <v>36.023015873015872</v>
      </c>
    </row>
    <row r="22" spans="2:13" x14ac:dyDescent="0.2">
      <c r="K22" s="14">
        <v>28</v>
      </c>
      <c r="L22" s="15">
        <f t="shared" si="0"/>
        <v>35.875017393852353</v>
      </c>
      <c r="M22" s="15">
        <f>INDEX(_tTankWeight46[Weight (lbs)],1,1)-$G$16/24*K22</f>
        <v>35.955555555555556</v>
      </c>
    </row>
    <row r="23" spans="2:13" x14ac:dyDescent="0.2">
      <c r="K23" s="14">
        <v>30</v>
      </c>
      <c r="L23" s="15">
        <f t="shared" si="0"/>
        <v>35.764769401789984</v>
      </c>
      <c r="M23" s="15">
        <f>INDEX(_tTankWeight46[Weight (lbs)],1,1)-$G$16/24*K23</f>
        <v>35.888095238095239</v>
      </c>
    </row>
    <row r="24" spans="2:13" x14ac:dyDescent="0.2">
      <c r="K24" s="14">
        <v>32</v>
      </c>
      <c r="L24" s="15">
        <f t="shared" si="0"/>
        <v>35.654521409727614</v>
      </c>
      <c r="M24" s="15">
        <f>INDEX(_tTankWeight46[Weight (lbs)],1,1)-$G$16/24*K24</f>
        <v>35.820634920634916</v>
      </c>
    </row>
    <row r="25" spans="2:13" x14ac:dyDescent="0.2">
      <c r="K25" s="14">
        <v>34</v>
      </c>
      <c r="L25" s="15">
        <f t="shared" si="0"/>
        <v>35.544273417665245</v>
      </c>
      <c r="M25" s="15">
        <f>INDEX(_tTankWeight46[Weight (lbs)],1,1)-$G$16/24*K25</f>
        <v>35.7531746031746</v>
      </c>
    </row>
    <row r="26" spans="2:13" x14ac:dyDescent="0.2">
      <c r="K26" s="14">
        <v>36</v>
      </c>
      <c r="L26" s="15">
        <f t="shared" si="0"/>
        <v>35.434025425602876</v>
      </c>
      <c r="M26" s="15">
        <f>INDEX(_tTankWeight46[Weight (lbs)],1,1)-$G$16/24*K26</f>
        <v>35.685714285714283</v>
      </c>
    </row>
    <row r="27" spans="2:13" x14ac:dyDescent="0.2">
      <c r="K27" s="14">
        <v>38</v>
      </c>
      <c r="L27" s="15">
        <f t="shared" si="0"/>
        <v>35.323777433540499</v>
      </c>
      <c r="M27" s="15">
        <f>INDEX(_tTankWeight46[Weight (lbs)],1,1)-$G$16/24*K27</f>
        <v>35.618253968253967</v>
      </c>
    </row>
    <row r="28" spans="2:13" x14ac:dyDescent="0.2">
      <c r="C28">
        <v>35.69</v>
      </c>
      <c r="K28" s="14">
        <v>40</v>
      </c>
      <c r="L28" s="15">
        <f t="shared" si="0"/>
        <v>35.21352944147813</v>
      </c>
      <c r="M28" s="15">
        <f>INDEX(_tTankWeight46[Weight (lbs)],1,1)-$G$16/24*K28</f>
        <v>35.550793650793651</v>
      </c>
    </row>
    <row r="29" spans="2:13" x14ac:dyDescent="0.2">
      <c r="C29">
        <v>35.65</v>
      </c>
      <c r="K29" s="14">
        <v>42</v>
      </c>
      <c r="L29" s="15">
        <f t="shared" si="0"/>
        <v>35.103281449415761</v>
      </c>
      <c r="M29" s="15">
        <f>INDEX(_tTankWeight46[Weight (lbs)],1,1)-$G$16/24*K29</f>
        <v>35.483333333333334</v>
      </c>
    </row>
    <row r="30" spans="2:13" x14ac:dyDescent="0.2">
      <c r="C30">
        <v>35.6</v>
      </c>
      <c r="G30" t="str">
        <f>"Measured Propane Burn Rate = "&amp;TEXT($G$12,"0.00")&amp;" lbs/day"</f>
        <v>Measured Propane Burn Rate = 1.32 lbs/day</v>
      </c>
      <c r="K30" s="14">
        <v>44</v>
      </c>
      <c r="L30" s="15">
        <f t="shared" si="0"/>
        <v>34.993033457353391</v>
      </c>
      <c r="M30" s="15">
        <f>INDEX(_tTankWeight46[Weight (lbs)],1,1)-$G$16/24*K30</f>
        <v>35.415873015873018</v>
      </c>
    </row>
    <row r="31" spans="2:13" x14ac:dyDescent="0.2">
      <c r="K31" s="14">
        <v>46</v>
      </c>
      <c r="L31" s="15">
        <f t="shared" si="0"/>
        <v>34.882785465291022</v>
      </c>
      <c r="M31" s="15">
        <f>INDEX(_tTankWeight46[Weight (lbs)],1,1)-$G$16/24*K31</f>
        <v>35.348412698412695</v>
      </c>
    </row>
    <row r="32" spans="2:13" x14ac:dyDescent="0.2">
      <c r="K32">
        <v>48</v>
      </c>
      <c r="L32" s="15">
        <f t="shared" ref="L32" si="1">_nInt+_nSlope*K32</f>
        <v>34.772537473228653</v>
      </c>
      <c r="M32" s="15">
        <f>INDEX(_tTankWeight46[Weight (lbs)],1,1)-$G$16/24*K32</f>
        <v>35.280952380952378</v>
      </c>
    </row>
    <row r="33" spans="1:13" x14ac:dyDescent="0.2">
      <c r="K33">
        <v>50</v>
      </c>
      <c r="L33" s="15">
        <f t="shared" ref="L33" si="2">_nInt+_nSlope*K33</f>
        <v>34.662289481166283</v>
      </c>
      <c r="M33" s="15">
        <f>INDEX(_tTankWeight46[Weight (lbs)],1,1)-$G$16/24*K33</f>
        <v>35.213492063492062</v>
      </c>
    </row>
    <row r="34" spans="1:13" x14ac:dyDescent="0.2">
      <c r="K34">
        <v>52</v>
      </c>
      <c r="L34" s="15">
        <f t="shared" ref="L34" si="3">_nInt+_nSlope*K34</f>
        <v>34.552041489103914</v>
      </c>
      <c r="M34" s="15">
        <f>INDEX(_tTankWeight46[Weight (lbs)],1,1)-$G$16/24*K34</f>
        <v>35.146031746031746</v>
      </c>
    </row>
    <row r="35" spans="1:13" x14ac:dyDescent="0.2">
      <c r="F35" s="20"/>
    </row>
    <row r="37" spans="1:13" ht="15" x14ac:dyDescent="0.25">
      <c r="A37" s="3" t="s">
        <v>15</v>
      </c>
      <c r="E37" s="3" t="s">
        <v>18</v>
      </c>
    </row>
    <row r="39" spans="1:13" x14ac:dyDescent="0.2">
      <c r="B39" s="4" t="s">
        <v>9</v>
      </c>
      <c r="C39" t="s">
        <v>35</v>
      </c>
      <c r="E39" t="s">
        <v>29</v>
      </c>
      <c r="H39" s="5">
        <v>17</v>
      </c>
      <c r="I39" t="s">
        <v>19</v>
      </c>
    </row>
    <row r="40" spans="1:13" x14ac:dyDescent="0.2">
      <c r="B40" s="4" t="s">
        <v>10</v>
      </c>
      <c r="C40" t="s">
        <v>6</v>
      </c>
      <c r="E40" t="s">
        <v>20</v>
      </c>
      <c r="H40" s="6">
        <f>H39/ABS(G12)</f>
        <v>12.849818306579403</v>
      </c>
      <c r="I40" s="16" t="s">
        <v>21</v>
      </c>
      <c r="L40" t="s">
        <v>41</v>
      </c>
      <c r="M40" t="s">
        <v>40</v>
      </c>
    </row>
    <row r="41" spans="1:13" x14ac:dyDescent="0.2">
      <c r="B41" s="4" t="s">
        <v>11</v>
      </c>
      <c r="C41" t="s">
        <v>25</v>
      </c>
      <c r="K41">
        <v>21.13</v>
      </c>
      <c r="L41">
        <f>K41-17</f>
        <v>4.129999999999999</v>
      </c>
      <c r="M41" s="22">
        <v>0.61</v>
      </c>
    </row>
    <row r="42" spans="1:13" x14ac:dyDescent="0.2">
      <c r="K42">
        <v>21.88</v>
      </c>
      <c r="L42">
        <f>K42-17</f>
        <v>4.879999999999999</v>
      </c>
      <c r="M42" s="22">
        <v>0.64</v>
      </c>
    </row>
    <row r="43" spans="1:13" x14ac:dyDescent="0.2">
      <c r="K43">
        <v>24.67</v>
      </c>
      <c r="L43">
        <f t="shared" ref="L43:L45" si="4">K43-17</f>
        <v>7.6700000000000017</v>
      </c>
      <c r="M43" s="22">
        <v>0.7</v>
      </c>
    </row>
    <row r="44" spans="1:13" x14ac:dyDescent="0.2">
      <c r="K44">
        <v>28.11</v>
      </c>
      <c r="L44">
        <f t="shared" si="4"/>
        <v>11.11</v>
      </c>
      <c r="M44" s="22">
        <v>0.76</v>
      </c>
    </row>
    <row r="45" spans="1:13" x14ac:dyDescent="0.2">
      <c r="K45">
        <v>36.9</v>
      </c>
      <c r="L45">
        <f t="shared" si="4"/>
        <v>19.899999999999999</v>
      </c>
      <c r="M45" s="22">
        <v>0.94</v>
      </c>
    </row>
    <row r="47" spans="1:13" ht="15" x14ac:dyDescent="0.25">
      <c r="K47" s="3" t="s">
        <v>43</v>
      </c>
    </row>
    <row r="48" spans="1:13" x14ac:dyDescent="0.2">
      <c r="K48" cm="1">
        <f t="array" ref="K48:L48">LINEST(M41:M45,L41:L45)</f>
        <v>2.0376797259815671E-2</v>
      </c>
      <c r="L48">
        <v>0.53564610773587806</v>
      </c>
    </row>
    <row r="50" spans="1:16" x14ac:dyDescent="0.2">
      <c r="L50" t="s">
        <v>5</v>
      </c>
    </row>
    <row r="51" spans="1:16" x14ac:dyDescent="0.2">
      <c r="K51" cm="1">
        <f t="array" ref="K51:K71">_xlfn.SEQUENCE(21,1,0,1)</f>
        <v>0</v>
      </c>
      <c r="L51" s="25">
        <f t="shared" ref="L51:L71" si="5">$L$48+K51*$K$48</f>
        <v>0.53564610773587806</v>
      </c>
    </row>
    <row r="52" spans="1:16" x14ac:dyDescent="0.2">
      <c r="K52">
        <v>1</v>
      </c>
      <c r="L52" s="25">
        <f t="shared" si="5"/>
        <v>0.55602290499569373</v>
      </c>
    </row>
    <row r="53" spans="1:16" x14ac:dyDescent="0.2">
      <c r="K53">
        <v>2</v>
      </c>
      <c r="L53" s="25">
        <f t="shared" si="5"/>
        <v>0.57639970225550941</v>
      </c>
    </row>
    <row r="54" spans="1:16" x14ac:dyDescent="0.2">
      <c r="K54">
        <v>3</v>
      </c>
      <c r="L54" s="25">
        <f t="shared" si="5"/>
        <v>0.59677649951532508</v>
      </c>
    </row>
    <row r="55" spans="1:16" x14ac:dyDescent="0.2">
      <c r="K55">
        <v>4</v>
      </c>
      <c r="L55" s="25">
        <f t="shared" si="5"/>
        <v>0.61715329677514075</v>
      </c>
    </row>
    <row r="56" spans="1:16" x14ac:dyDescent="0.2">
      <c r="K56">
        <v>5</v>
      </c>
      <c r="L56" s="25">
        <f t="shared" si="5"/>
        <v>0.63753009403495642</v>
      </c>
      <c r="O56" t="s">
        <v>9</v>
      </c>
      <c r="P56" t="s">
        <v>44</v>
      </c>
    </row>
    <row r="57" spans="1:16" x14ac:dyDescent="0.2">
      <c r="K57">
        <v>6</v>
      </c>
      <c r="L57" s="25">
        <f t="shared" si="5"/>
        <v>0.65790689129477209</v>
      </c>
      <c r="O57" t="s">
        <v>10</v>
      </c>
      <c r="P57" t="s">
        <v>45</v>
      </c>
    </row>
    <row r="58" spans="1:16" x14ac:dyDescent="0.2">
      <c r="K58">
        <v>7</v>
      </c>
      <c r="L58" s="25">
        <f t="shared" si="5"/>
        <v>0.67828368855458776</v>
      </c>
      <c r="O58" t="s">
        <v>11</v>
      </c>
      <c r="P58" t="s">
        <v>46</v>
      </c>
    </row>
    <row r="59" spans="1:16" x14ac:dyDescent="0.2">
      <c r="K59">
        <v>8</v>
      </c>
      <c r="L59" s="25">
        <f t="shared" si="5"/>
        <v>0.69866048581440343</v>
      </c>
    </row>
    <row r="60" spans="1:16" ht="15" x14ac:dyDescent="0.25">
      <c r="A60" s="3" t="s">
        <v>36</v>
      </c>
      <c r="K60">
        <v>9</v>
      </c>
      <c r="L60" s="25">
        <f t="shared" si="5"/>
        <v>0.7190372830742191</v>
      </c>
      <c r="O60" t="s">
        <v>47</v>
      </c>
    </row>
    <row r="61" spans="1:16" x14ac:dyDescent="0.2">
      <c r="K61">
        <v>10</v>
      </c>
      <c r="L61" s="25">
        <f t="shared" si="5"/>
        <v>0.73941408033403477</v>
      </c>
    </row>
    <row r="62" spans="1:16" x14ac:dyDescent="0.2">
      <c r="A62" t="s">
        <v>37</v>
      </c>
      <c r="K62">
        <v>11</v>
      </c>
      <c r="L62" s="25">
        <f t="shared" si="5"/>
        <v>0.75979087759385044</v>
      </c>
      <c r="O62" t="s">
        <v>48</v>
      </c>
    </row>
    <row r="63" spans="1:16" x14ac:dyDescent="0.2">
      <c r="A63" t="s">
        <v>38</v>
      </c>
      <c r="K63">
        <v>12</v>
      </c>
      <c r="L63" s="25">
        <f t="shared" si="5"/>
        <v>0.78016767485366612</v>
      </c>
    </row>
    <row r="64" spans="1:16" x14ac:dyDescent="0.2">
      <c r="K64">
        <v>13</v>
      </c>
      <c r="L64" s="25">
        <f t="shared" si="5"/>
        <v>0.80054447211348179</v>
      </c>
    </row>
    <row r="65" spans="11:12" x14ac:dyDescent="0.2">
      <c r="K65">
        <v>14</v>
      </c>
      <c r="L65" s="25">
        <f t="shared" si="5"/>
        <v>0.82092126937329746</v>
      </c>
    </row>
    <row r="66" spans="11:12" x14ac:dyDescent="0.2">
      <c r="K66">
        <v>15</v>
      </c>
      <c r="L66" s="25">
        <f t="shared" si="5"/>
        <v>0.84129806663311313</v>
      </c>
    </row>
    <row r="67" spans="11:12" x14ac:dyDescent="0.2">
      <c r="K67">
        <v>16</v>
      </c>
      <c r="L67" s="25">
        <f t="shared" si="5"/>
        <v>0.8616748638929288</v>
      </c>
    </row>
    <row r="68" spans="11:12" x14ac:dyDescent="0.2">
      <c r="K68">
        <v>17</v>
      </c>
      <c r="L68" s="25">
        <f t="shared" si="5"/>
        <v>0.88205166115274447</v>
      </c>
    </row>
    <row r="69" spans="11:12" x14ac:dyDescent="0.2">
      <c r="K69">
        <v>18</v>
      </c>
      <c r="L69" s="25">
        <f t="shared" si="5"/>
        <v>0.90242845841256014</v>
      </c>
    </row>
    <row r="70" spans="11:12" x14ac:dyDescent="0.2">
      <c r="K70">
        <v>19</v>
      </c>
      <c r="L70" s="25">
        <f t="shared" si="5"/>
        <v>0.92280525567237581</v>
      </c>
    </row>
    <row r="71" spans="11:12" x14ac:dyDescent="0.2">
      <c r="K71">
        <v>20</v>
      </c>
      <c r="L71" s="25">
        <f t="shared" si="5"/>
        <v>0.94318205293219148</v>
      </c>
    </row>
  </sheetData>
  <conditionalFormatting sqref="K8:M31 L32:M34">
    <cfRule type="expression" dxfId="0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Propane-Use-Day-1</vt:lpstr>
      <vt:lpstr>Propane-Use-Day-2</vt:lpstr>
      <vt:lpstr>Propane-Use-Day-3</vt:lpstr>
      <vt:lpstr>Propane-Use-Day-4</vt:lpstr>
      <vt:lpstr>Propane-Use-Day-5</vt:lpstr>
      <vt:lpstr>'Propane-Use-Day-2'!_nInt</vt:lpstr>
      <vt:lpstr>'Propane-Use-Day-3'!_nInt</vt:lpstr>
      <vt:lpstr>'Propane-Use-Day-4'!_nInt</vt:lpstr>
      <vt:lpstr>'Propane-Use-Day-5'!_nInt</vt:lpstr>
      <vt:lpstr>_nInt</vt:lpstr>
      <vt:lpstr>'Propane-Use-Day-2'!_nSlope</vt:lpstr>
      <vt:lpstr>'Propane-Use-Day-3'!_nSlope</vt:lpstr>
      <vt:lpstr>'Propane-Use-Day-4'!_nSlope</vt:lpstr>
      <vt:lpstr>'Propane-Use-Day-5'!_nSlope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mbieg</cp:lastModifiedBy>
  <dcterms:created xsi:type="dcterms:W3CDTF">2021-09-27T12:19:57Z</dcterms:created>
  <dcterms:modified xsi:type="dcterms:W3CDTF">2023-08-05T14:18:33Z</dcterms:modified>
</cp:coreProperties>
</file>