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72FD381-A988-494C-9B81-427C1FB54056}" xr6:coauthVersionLast="47" xr6:coauthVersionMax="47" xr10:uidLastSave="{00000000-0000-0000-0000-000000000000}"/>
  <bookViews>
    <workbookView xWindow="-21160" yWindow="0" windowWidth="21230" windowHeight="19590" firstSheet="1" activeTab="3" xr2:uid="{AD5FE48E-9CE6-4EDE-8F69-E8FD3B4EAF42}"/>
  </bookViews>
  <sheets>
    <sheet name="Formula208" sheetId="1" r:id="rId1"/>
    <sheet name="Formula229" sheetId="4" r:id="rId2"/>
    <sheet name="Formula229 (2)" sheetId="6" r:id="rId3"/>
    <sheet name="Formula229 (3)" sheetId="7" r:id="rId4"/>
    <sheet name="Formats" sheetId="2" r:id="rId5"/>
    <sheet name="Lists" sheetId="3" r:id="rId6"/>
  </sheets>
  <definedNames>
    <definedName name="_Alt">Formula208!$D$23</definedName>
    <definedName name="_d" localSheetId="1">Formula229!$C$6</definedName>
    <definedName name="_d" localSheetId="2">'Formula229 (2)'!$C$6</definedName>
    <definedName name="_d" localSheetId="3">'Formula229 (3)'!$C$6</definedName>
    <definedName name="_d">Formula208!$D$8</definedName>
    <definedName name="_fHM">_xlfn.LAMBDA(_xlpm.a, INT(_xlpm.a) &amp; "° " &amp; FIXED(MOD(_xlpm.a, 1) * 60, 1) &amp; "'")</definedName>
    <definedName name="_h">Formula208!$D$11</definedName>
    <definedName name="_HC" comment="Computed altitude_x000a_" localSheetId="1">Formula229!$D$11</definedName>
    <definedName name="_HC" comment="Computed altitude_x000a_" localSheetId="2">'Formula229 (2)'!$D$11</definedName>
    <definedName name="_HC" comment="Computed altitude_x000a_" localSheetId="3">'Formula229 (3)'!$D$11</definedName>
    <definedName name="_L" localSheetId="1">Formula229!$C$5</definedName>
    <definedName name="_L" localSheetId="2">'Formula229 (2)'!$C$5</definedName>
    <definedName name="_L" localSheetId="3">'Formula229 (3)'!$C$5</definedName>
    <definedName name="_L">Formula208!$D$7</definedName>
    <definedName name="_PX">Formula208!$D$20</definedName>
    <definedName name="_PZ">Formula208!$D$21</definedName>
    <definedName name="_t" localSheetId="1">Formula229!$C$7</definedName>
    <definedName name="_t" localSheetId="2">'Formula229 (2)'!$C$7</definedName>
    <definedName name="_t" localSheetId="3">'Formula229 (3)'!$C$7</definedName>
    <definedName name="_t">Formula208!$D$9</definedName>
    <definedName name="_Z">Formula208!$D$12</definedName>
    <definedName name="_ZPA">Formula208!$D$24</definedName>
    <definedName name="_ZX">Formula208!$D$22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7" l="1"/>
  <c r="C12" i="7" s="1"/>
  <c r="K6" i="7"/>
  <c r="J6" i="7"/>
  <c r="I6" i="7"/>
  <c r="C12" i="6"/>
  <c r="C13" i="6" s="1"/>
  <c r="C12" i="4"/>
  <c r="C13" i="4" s="1"/>
  <c r="D13" i="4" s="1" a="1"/>
  <c r="D13" i="4" s="1"/>
  <c r="C14" i="6"/>
  <c r="D14" i="6" s="1" a="1"/>
  <c r="D14" i="6" s="1"/>
  <c r="C11" i="6"/>
  <c r="D11" i="6" s="1" a="1"/>
  <c r="D11" i="6" s="1"/>
  <c r="K6" i="6"/>
  <c r="J6" i="6"/>
  <c r="I6" i="6"/>
  <c r="C14" i="4"/>
  <c r="K6" i="4"/>
  <c r="J6" i="4"/>
  <c r="I6" i="4"/>
  <c r="C11" i="4"/>
  <c r="D11" i="4" s="1" a="1"/>
  <c r="D11" i="4" s="1"/>
  <c r="K8" i="1"/>
  <c r="N11" i="1"/>
  <c r="D24" i="1"/>
  <c r="D21" i="1"/>
  <c r="D20" i="1"/>
  <c r="C14" i="1"/>
  <c r="C15" i="1" s="1"/>
  <c r="D11" i="1"/>
  <c r="M8" i="1"/>
  <c r="L8" i="1"/>
  <c r="B3" i="3" a="1"/>
  <c r="B3" i="3" s="1"/>
  <c r="B3" i="2" a="1"/>
  <c r="B3" i="2" s="1"/>
  <c r="D11" i="7" l="1" a="1"/>
  <c r="D11" i="7" s="1"/>
  <c r="D13" i="6" a="1"/>
  <c r="D13" i="6" s="1"/>
  <c r="D12" i="6" a="1"/>
  <c r="D12" i="6" s="1"/>
  <c r="D12" i="4" a="1"/>
  <c r="D12" i="4" s="1"/>
  <c r="E11" i="1"/>
  <c r="D22" i="1"/>
  <c r="C26" i="1" s="1"/>
  <c r="C27" i="1" s="1"/>
  <c r="D12" i="1"/>
  <c r="D12" i="7" l="1" a="1"/>
  <c r="D12" i="7" s="1"/>
  <c r="D27" i="1"/>
  <c r="C28" i="1"/>
  <c r="D28" i="1" s="1"/>
  <c r="D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<sst xmlns="http://schemas.openxmlformats.org/spreadsheetml/2006/main" count="160" uniqueCount="67">
  <si>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</si>
  <si>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</si>
  <si>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</si>
  <si>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</si>
  <si>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</si>
  <si>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</si>
  <si>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</si>
  <si>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</si>
  <si>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</si>
  <si>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</si>
  <si>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</si>
  <si>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</si>
  <si>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</si>
  <si>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</si>
  <si>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</si>
  <si>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</si>
  <si>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</si>
  <si>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</si>
  <si>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</si>
  <si>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</si>
  <si>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</si>
  <si>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_L</t>
  </si>
  <si>
    <t>_d</t>
  </si>
  <si>
    <t>_t</t>
  </si>
  <si>
    <t>_h</t>
  </si>
  <si>
    <t>_Z</t>
  </si>
  <si>
    <t>https://www.siranah.de/html/sail042e.htm</t>
  </si>
  <si>
    <t>I need to understand the definition of azimuth better.</t>
  </si>
  <si>
    <t>_PX</t>
  </si>
  <si>
    <t>_PZ</t>
  </si>
  <si>
    <t>_ZX</t>
  </si>
  <si>
    <t>_Alt</t>
  </si>
  <si>
    <t>_ZPA</t>
  </si>
  <si>
    <t>https://astronavigationdemystified.com/calculating-azimuth-and-altitude-at-the-assumed-position-by-spherical-trigonometry/</t>
  </si>
  <si>
    <t>_Hc</t>
  </si>
  <si>
    <t>28° 5.4'</t>
  </si>
  <si>
    <t>75° 48.6'</t>
  </si>
  <si>
    <t>37° 38.6'</t>
  </si>
  <si>
    <t>218° 2.4'</t>
  </si>
  <si>
    <t>72° 21.5'</t>
  </si>
  <si>
    <t>264° 21.1'</t>
  </si>
  <si>
    <t>284° 11.4'</t>
  </si>
  <si>
    <t>141° 57.6'</t>
  </si>
  <si>
    <t>95° 38.9'</t>
  </si>
  <si>
    <t>Arcturus</t>
  </si>
  <si>
    <t>Antares</t>
  </si>
  <si>
    <t>Rasalhague</t>
  </si>
  <si>
    <t>Regulus</t>
  </si>
  <si>
    <t>Deneb</t>
  </si>
  <si>
    <t>Kochab</t>
  </si>
  <si>
    <t>29° 52.6'</t>
  </si>
  <si>
    <t>252° 59.9'</t>
  </si>
  <si>
    <t>107° 0.1'</t>
  </si>
  <si>
    <t>26° 33.6'</t>
  </si>
  <si>
    <t>50° 40.3'</t>
  </si>
  <si>
    <t>309° 19.7'</t>
  </si>
  <si>
    <t>64° 7.7'</t>
  </si>
  <si>
    <t>8° 2.1'</t>
  </si>
  <si>
    <t>351° 57.9'</t>
  </si>
  <si>
    <t>pg 55</t>
  </si>
  <si>
    <t>HO 208</t>
  </si>
  <si>
    <t>Pub 229</t>
  </si>
  <si>
    <t>291° 57.4'</t>
  </si>
  <si>
    <t>68° 2.6'</t>
  </si>
  <si>
    <t>pg64</t>
  </si>
  <si>
    <t>12° 40.0'</t>
  </si>
  <si>
    <t>111° 57'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</si>
</sst>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FF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Continuous"/>
    </xf>
    <xf numFmtId="0" fontId="0" fillId="10" borderId="0" xfId="0" applyFill="1"/>
    <xf numFmtId="0" fontId="0" fillId="11" borderId="0" xfId="0" applyFill="1" applyAlignment="1">
      <alignment horizontal="centerContinuous"/>
    </xf>
    <xf numFmtId="0" fontId="11" fillId="0" borderId="0" xfId="0" applyFon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201542" cy="47955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  <xdr:twoCellAnchor editAs="oneCell">
    <xdr:from>
      <xdr:col>16</xdr:col>
      <xdr:colOff>0</xdr:colOff>
      <xdr:row>7</xdr:row>
      <xdr:rowOff>0</xdr:rowOff>
    </xdr:from>
    <xdr:to>
      <xdr:col>28</xdr:col>
      <xdr:colOff>326823</xdr:colOff>
      <xdr:row>28</xdr:row>
      <xdr:rowOff>503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28ADD8-582F-3B1A-9AE9-032478281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1200150"/>
          <a:ext cx="7649643" cy="360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34</xdr:col>
      <xdr:colOff>34554</xdr:colOff>
      <xdr:row>23</xdr:row>
      <xdr:rowOff>114800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12C50C-25DA-2C6C-7F62-1F845FA70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330200"/>
          <a:ext cx="10993384" cy="3581900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584200</xdr:colOff>
      <xdr:row>21</xdr:row>
      <xdr:rowOff>64770</xdr:rowOff>
    </xdr:from>
    <xdr:to>
      <xdr:col>16</xdr:col>
      <xdr:colOff>297447</xdr:colOff>
      <xdr:row>47</xdr:row>
      <xdr:rowOff>72991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08C245-59EC-9573-C6D8-61726901A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200" y="3531870"/>
          <a:ext cx="11009897" cy="429574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17</xdr:col>
      <xdr:colOff>569369</xdr:colOff>
      <xdr:row>21</xdr:row>
      <xdr:rowOff>105562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685DC6-F112-D7A7-0C3A-FCED35322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3800" y="2476500"/>
          <a:ext cx="7478169" cy="10860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34</xdr:col>
      <xdr:colOff>34554</xdr:colOff>
      <xdr:row>23</xdr:row>
      <xdr:rowOff>114800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DD0711-54A8-49A4-B155-D2F0D4F33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0" y="330200"/>
          <a:ext cx="11007354" cy="3581900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584200</xdr:colOff>
      <xdr:row>21</xdr:row>
      <xdr:rowOff>64770</xdr:rowOff>
    </xdr:from>
    <xdr:to>
      <xdr:col>16</xdr:col>
      <xdr:colOff>301257</xdr:colOff>
      <xdr:row>47</xdr:row>
      <xdr:rowOff>72991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E1CD8D-D5C0-4E58-976A-140A5F5CB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660" y="3533140"/>
          <a:ext cx="11018787" cy="429955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17</xdr:col>
      <xdr:colOff>569369</xdr:colOff>
      <xdr:row>21</xdr:row>
      <xdr:rowOff>110642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F8C34B-73C6-4A21-9065-565EAEBFA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3800" y="2476500"/>
          <a:ext cx="7478169" cy="10961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34</xdr:col>
      <xdr:colOff>34554</xdr:colOff>
      <xdr:row>23</xdr:row>
      <xdr:rowOff>114800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BBA8A7-86E0-4169-8428-BA43DD9F0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0" y="330200"/>
          <a:ext cx="11007354" cy="3581900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584200</xdr:colOff>
      <xdr:row>21</xdr:row>
      <xdr:rowOff>64770</xdr:rowOff>
    </xdr:from>
    <xdr:to>
      <xdr:col>16</xdr:col>
      <xdr:colOff>301257</xdr:colOff>
      <xdr:row>47</xdr:row>
      <xdr:rowOff>72991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83E78E-9F7D-4C6B-B402-AFF1610C6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660" y="3533140"/>
          <a:ext cx="11022597" cy="429955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17</xdr:col>
      <xdr:colOff>569369</xdr:colOff>
      <xdr:row>21</xdr:row>
      <xdr:rowOff>110642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37C871-440D-4EA7-B504-C97BDB0CC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3800" y="2476500"/>
          <a:ext cx="7478169" cy="110124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71191" y="257755"/>
          <a:ext cx="2196465" cy="44900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88" row="8">
    <wetp:webextensionref xmlns:r="http://schemas.openxmlformats.org/officeDocument/2006/relationships" r:id="rId1"/>
  </wetp:taskpane>
  <wetp:taskpane dockstate="right" visibility="0" width="974" row="9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C610B3D2-9FDC-4B5F-B02D-6D2CE6D75A26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CE3DB59B-49FD-4195-9271-1E20C81680B6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BD814D2B-B43D-4A0E-A2E2-A69725B415D9}">
  <we:reference id="wa200006385" version="1.0.0.0" store="en-US" storeType="OMEX"/>
  <we:alternateReferences>
    <we:reference id="wa200006385" version="1.0.0.0" store="WA20000638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2:N28"/>
  <sheetViews>
    <sheetView workbookViewId="0">
      <selection activeCell="C28" sqref="C28"/>
    </sheetView>
  </sheetViews>
  <sheetFormatPr defaultRowHeight="13.2" x14ac:dyDescent="0.25"/>
  <sheetData>
    <row r="2" spans="3:14" x14ac:dyDescent="0.25">
      <c r="F2" t="s">
        <v>26</v>
      </c>
    </row>
    <row r="5" spans="3:14" x14ac:dyDescent="0.25">
      <c r="H5" t="s">
        <v>33</v>
      </c>
    </row>
    <row r="7" spans="3:14" x14ac:dyDescent="0.25">
      <c r="C7" t="s">
        <v>21</v>
      </c>
      <c r="D7">
        <v>-20</v>
      </c>
      <c r="I7" s="9">
        <v>49</v>
      </c>
      <c r="J7" s="9">
        <v>49</v>
      </c>
      <c r="K7" s="9">
        <v>49</v>
      </c>
      <c r="L7" s="9">
        <v>68</v>
      </c>
      <c r="M7" s="9">
        <v>-20</v>
      </c>
      <c r="N7">
        <v>36</v>
      </c>
    </row>
    <row r="8" spans="3:14" x14ac:dyDescent="0.25">
      <c r="C8" t="s">
        <v>22</v>
      </c>
      <c r="D8">
        <v>22.05</v>
      </c>
      <c r="I8" s="9">
        <v>12.1</v>
      </c>
      <c r="J8" s="9">
        <v>45.18333333333333</v>
      </c>
      <c r="K8" s="9">
        <f>74+16/60</f>
        <v>74.266666666666666</v>
      </c>
      <c r="L8" s="9">
        <f>21+8/60</f>
        <v>21.133333333333333</v>
      </c>
      <c r="M8" s="9">
        <f>22+3/60</f>
        <v>22.05</v>
      </c>
      <c r="N8">
        <v>28.091666666666665</v>
      </c>
    </row>
    <row r="9" spans="3:14" x14ac:dyDescent="0.25">
      <c r="C9" t="s">
        <v>23</v>
      </c>
      <c r="D9">
        <v>63</v>
      </c>
      <c r="I9" s="9">
        <v>58</v>
      </c>
      <c r="J9" s="9">
        <v>259</v>
      </c>
      <c r="K9" s="9">
        <v>347</v>
      </c>
      <c r="L9" s="9">
        <v>329</v>
      </c>
      <c r="M9" s="9">
        <v>63</v>
      </c>
      <c r="N9">
        <v>68</v>
      </c>
    </row>
    <row r="11" spans="3:14" x14ac:dyDescent="0.25">
      <c r="C11" t="s">
        <v>24</v>
      </c>
      <c r="D11">
        <f>_xlfn.LET(
_xlpm.L,_L*PI()/180,
_xlpm.t,_t*PI()/180,
_xlpm.d,_d*PI()/180,
ASIN(COS(_xlpm.L)*COS(_xlpm.d)*COS(_xlpm.t)+SIN(_xlpm.L)*SIN(_xlpm.d))*180/PI())</f>
        <v>15.486303643338168</v>
      </c>
      <c r="E11" t="str">
        <f>INT(_h)&amp;"° "&amp;TEXT(ROUND(MOD(_h,1)*60,1),"0.0")</f>
        <v>15° 29.2</v>
      </c>
      <c r="I11">
        <v>29.87672961514842</v>
      </c>
      <c r="J11">
        <v>26.55981084518049</v>
      </c>
      <c r="K11">
        <v>64.128051808531652</v>
      </c>
      <c r="L11">
        <v>39.330371718485488</v>
      </c>
      <c r="N11">
        <f>32+58/60</f>
        <v>32.966666666666669</v>
      </c>
    </row>
    <row r="12" spans="3:14" x14ac:dyDescent="0.25">
      <c r="C12" t="s">
        <v>25</v>
      </c>
      <c r="D12">
        <f>_xlfn.LET(
_xlpm.d,_d*PI()/180,
_xlpm.t,_t*PI()/180,
_xlpm.h,_h*PI()/180,
ASIN(COS(_xlpm.d)*SIN(_xlpm.t)/COS(_xlpm.h))*180/PI())</f>
        <v>58.975538982785935</v>
      </c>
      <c r="I12">
        <v>72.999137827422672</v>
      </c>
      <c r="J12">
        <v>-50.671216761659181</v>
      </c>
      <c r="K12">
        <v>-8.0355468673109627</v>
      </c>
      <c r="L12">
        <v>-38.394152431161189</v>
      </c>
      <c r="N12">
        <v>77.099999999999994</v>
      </c>
    </row>
    <row r="14" spans="3:14" x14ac:dyDescent="0.25">
      <c r="C14">
        <f>_xlfn.LET(
_xlpm.t,_t*PI()/180,
_xlpm.L,_L*PI()/180,
_xlpm.d,_d*PI()/180,
180/PI()*ATAN2(-SIN(_xlpm.t),COS(_xlpm.L)*TAN(_xlpm.d)-SIN(_xlpm.L)*COS(_xlpm.t)))</f>
        <v>148.97553898278593</v>
      </c>
    </row>
    <row r="15" spans="3:14" x14ac:dyDescent="0.25">
      <c r="C15">
        <f>180+C14</f>
        <v>328.97553898278591</v>
      </c>
    </row>
    <row r="18" spans="3:4" x14ac:dyDescent="0.25">
      <c r="C18" t="s">
        <v>27</v>
      </c>
    </row>
    <row r="20" spans="3:4" x14ac:dyDescent="0.25">
      <c r="C20" t="s">
        <v>28</v>
      </c>
      <c r="D20">
        <f>90-_d</f>
        <v>67.95</v>
      </c>
    </row>
    <row r="21" spans="3:4" x14ac:dyDescent="0.25">
      <c r="C21" t="s">
        <v>29</v>
      </c>
      <c r="D21">
        <f>90-_L</f>
        <v>110</v>
      </c>
    </row>
    <row r="22" spans="3:4" x14ac:dyDescent="0.25">
      <c r="C22" t="s">
        <v>30</v>
      </c>
      <c r="D22">
        <f>90-_h</f>
        <v>74.513696356661825</v>
      </c>
    </row>
    <row r="23" spans="3:4" x14ac:dyDescent="0.25">
      <c r="C23" t="s">
        <v>31</v>
      </c>
      <c r="D23">
        <f>90-_ZX</f>
        <v>15.486303643338175</v>
      </c>
    </row>
    <row r="24" spans="3:4" x14ac:dyDescent="0.25">
      <c r="C24" t="s">
        <v>32</v>
      </c>
      <c r="D24">
        <f>_t</f>
        <v>63</v>
      </c>
    </row>
    <row r="26" spans="3:4" x14ac:dyDescent="0.25">
      <c r="C26">
        <f>(COS(_PX*PI()/180)-COS(_ZX*PI()/180)*COS(_PZ*PI()/180))/(SIN(_ZX*PI()/180)*SIN(_PZ*PI()/180))</f>
        <v>0.51540397435955743</v>
      </c>
    </row>
    <row r="27" spans="3:4" x14ac:dyDescent="0.25">
      <c r="C27">
        <f>ACOS(C26)*180/PI()</f>
        <v>58.975538982785935</v>
      </c>
      <c r="D27" t="str">
        <f>INT(C27)&amp;"° "&amp;TEXT(ROUND(MOD(C27,1)*60,1),"0.0")</f>
        <v>58° 58.5</v>
      </c>
    </row>
    <row r="28" spans="3:4" x14ac:dyDescent="0.25">
      <c r="C28">
        <f>180-C27</f>
        <v>121.02446101721407</v>
      </c>
      <c r="D28" t="str">
        <f>INT(C28)&amp;"° "&amp;TEXT(ROUND(MOD(C28,1)*60,1),"0.0")</f>
        <v>121° 1.5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B084-70EE-4F78-B076-1D78244F5ECF}">
  <dimension ref="B2:M14"/>
  <sheetViews>
    <sheetView workbookViewId="0">
      <selection activeCell="C12" sqref="C12"/>
    </sheetView>
  </sheetViews>
  <sheetFormatPr defaultRowHeight="13.2" x14ac:dyDescent="0.25"/>
  <cols>
    <col min="3" max="3" width="13.109375" bestFit="1" customWidth="1"/>
    <col min="6" max="6" width="11" bestFit="1" customWidth="1"/>
    <col min="7" max="7" width="13.21875" bestFit="1" customWidth="1"/>
    <col min="8" max="8" width="12.109375" bestFit="1" customWidth="1"/>
    <col min="9" max="9" width="11" bestFit="1" customWidth="1"/>
    <col min="10" max="11" width="12.109375" bestFit="1" customWidth="1"/>
  </cols>
  <sheetData>
    <row r="2" spans="2:13" x14ac:dyDescent="0.25">
      <c r="F2" s="10" t="s">
        <v>61</v>
      </c>
      <c r="G2" s="10"/>
      <c r="H2" s="10"/>
      <c r="I2" s="12" t="s">
        <v>60</v>
      </c>
      <c r="J2" s="12"/>
      <c r="K2" s="12"/>
    </row>
    <row r="3" spans="2:13" x14ac:dyDescent="0.25">
      <c r="F3" s="11"/>
      <c r="G3" s="11"/>
      <c r="H3" s="11"/>
      <c r="I3" s="12" t="s">
        <v>59</v>
      </c>
      <c r="J3" s="12"/>
      <c r="K3" s="12"/>
    </row>
    <row r="4" spans="2:13" x14ac:dyDescent="0.25"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M4" s="9"/>
    </row>
    <row r="5" spans="2:13" x14ac:dyDescent="0.25">
      <c r="B5" t="s">
        <v>21</v>
      </c>
      <c r="C5">
        <v>15</v>
      </c>
      <c r="F5">
        <v>15</v>
      </c>
      <c r="G5">
        <v>15</v>
      </c>
      <c r="H5">
        <v>15</v>
      </c>
      <c r="I5">
        <v>49</v>
      </c>
      <c r="J5">
        <v>49</v>
      </c>
      <c r="K5">
        <v>49</v>
      </c>
    </row>
    <row r="6" spans="2:13" x14ac:dyDescent="0.25">
      <c r="B6" t="s">
        <v>22</v>
      </c>
      <c r="C6">
        <v>-26.378333333333334</v>
      </c>
      <c r="F6">
        <v>19.315000000000001</v>
      </c>
      <c r="G6">
        <v>-26.378333333333334</v>
      </c>
      <c r="H6">
        <v>12.581666666666667</v>
      </c>
      <c r="I6">
        <f>12+6/60</f>
        <v>12.1</v>
      </c>
      <c r="J6">
        <f>45+11/60</f>
        <v>45.18333333333333</v>
      </c>
      <c r="K6">
        <f>74+16/60</f>
        <v>74.266666666666666</v>
      </c>
    </row>
    <row r="7" spans="2:13" x14ac:dyDescent="0.25">
      <c r="B7" t="s">
        <v>23</v>
      </c>
      <c r="C7">
        <v>33</v>
      </c>
      <c r="F7">
        <v>65</v>
      </c>
      <c r="G7">
        <v>33</v>
      </c>
      <c r="H7">
        <v>18</v>
      </c>
      <c r="I7">
        <v>58</v>
      </c>
      <c r="J7">
        <v>259</v>
      </c>
      <c r="K7">
        <v>347</v>
      </c>
    </row>
    <row r="8" spans="2:13" x14ac:dyDescent="0.25">
      <c r="F8" t="s">
        <v>35</v>
      </c>
      <c r="G8" t="s">
        <v>37</v>
      </c>
      <c r="H8" t="s">
        <v>39</v>
      </c>
      <c r="I8" t="s">
        <v>50</v>
      </c>
      <c r="J8" t="s">
        <v>53</v>
      </c>
      <c r="K8" t="s">
        <v>56</v>
      </c>
    </row>
    <row r="9" spans="2:13" x14ac:dyDescent="0.25">
      <c r="F9" s="9" t="s">
        <v>36</v>
      </c>
      <c r="G9" t="s">
        <v>38</v>
      </c>
      <c r="H9" t="s">
        <v>40</v>
      </c>
      <c r="I9" t="s">
        <v>51</v>
      </c>
      <c r="J9" s="9" t="s">
        <v>54</v>
      </c>
      <c r="K9" s="9" t="s">
        <v>57</v>
      </c>
    </row>
    <row r="10" spans="2:13" x14ac:dyDescent="0.25">
      <c r="F10" t="s">
        <v>41</v>
      </c>
      <c r="G10" s="9" t="s">
        <v>42</v>
      </c>
      <c r="H10" s="9" t="s">
        <v>43</v>
      </c>
      <c r="I10" s="9" t="s">
        <v>52</v>
      </c>
      <c r="J10" t="s">
        <v>55</v>
      </c>
      <c r="K10" t="s">
        <v>58</v>
      </c>
    </row>
    <row r="11" spans="2:13" x14ac:dyDescent="0.25">
      <c r="B11" t="s">
        <v>34</v>
      </c>
      <c r="C11">
        <f>_xlfn.LET(_xlpm.L, PI() / 180 * _L, _xlpm.d, PI() / 180 * _d, _xlpm.t, PI() / 180 * _t, ASIN(SIN(_xlpm.L) * SIN(_xlpm.d) + COS(_xlpm.L) * COS(_xlpm.d) * COS(_xlpm.t)) * 180 / PI())</f>
        <v>37.644050023822807</v>
      </c>
      <c r="D11" t="str" cm="1">
        <f t="array" ref="D11">_fHM(C11)</f>
        <v>37° 38.6'</v>
      </c>
    </row>
    <row r="12" spans="2:13" x14ac:dyDescent="0.25">
      <c r="B12" t="s">
        <v>25</v>
      </c>
      <c r="C12">
        <f>_xlfn.LET(
_xlpm.d,PI()/180*_d,
_xlpm.L,PI()/180*_L,
_xlpm.t,PI()/180*_t,
_xlpm._z,MOD(DEGREES(ATAN2(COS(_xlpm.d)*SIN(_xlpm.t),(COS(_xlpm.L)*SIN(_xlpm.d)-SIN(_xlpm.L)*COS(_xlpm.d)*COS(_xlpm.t)))),360),
MOD(_xlpm._z-90,360)
)</f>
        <v>218.0402181944944</v>
      </c>
      <c r="D12" t="str" cm="1">
        <f t="array" ref="D12">_fHM(ABS(C12))</f>
        <v>218° 2.4'</v>
      </c>
    </row>
    <row r="13" spans="2:13" x14ac:dyDescent="0.25">
      <c r="C13">
        <f>360-C12</f>
        <v>141.9597818055056</v>
      </c>
      <c r="D13" t="str" cm="1">
        <f t="array" ref="D13">_fHM(ABS(C13))</f>
        <v>141° 57.6'</v>
      </c>
    </row>
    <row r="14" spans="2:13" x14ac:dyDescent="0.25">
      <c r="C14">
        <f>_xlfn.LET(
_xlpm.d,PI()/180*_d,
_xlpm.L,PI()/180*_L,
_xlpm.t,PI()/180*_t,
_xlpm._z,MOD(DEGREES(ATAN2(COS(_xlpm.d)*SIN(_xlpm.t),(COS(_xlpm.L)*SIN(_xlpm.d)-SIN(_xlpm.L)*COS(_xlpm.d)*COS(_xlpm.t)))),360),
MOD(_xlpm._z,360)
)</f>
        <v>308.0402181944944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FC01-0787-4116-93FD-519DFE4BC403}">
  <dimension ref="B2:M14"/>
  <sheetViews>
    <sheetView workbookViewId="0">
      <selection activeCell="C11" sqref="C11"/>
    </sheetView>
  </sheetViews>
  <sheetFormatPr defaultRowHeight="13.2" x14ac:dyDescent="0.25"/>
  <cols>
    <col min="3" max="3" width="13.109375" bestFit="1" customWidth="1"/>
    <col min="6" max="6" width="11" bestFit="1" customWidth="1"/>
    <col min="7" max="7" width="13.21875" bestFit="1" customWidth="1"/>
    <col min="8" max="8" width="12.109375" bestFit="1" customWidth="1"/>
    <col min="9" max="9" width="11" bestFit="1" customWidth="1"/>
    <col min="10" max="11" width="12.109375" bestFit="1" customWidth="1"/>
  </cols>
  <sheetData>
    <row r="2" spans="2:13" x14ac:dyDescent="0.25">
      <c r="F2" s="10" t="s">
        <v>61</v>
      </c>
      <c r="G2" s="10"/>
      <c r="H2" s="10"/>
      <c r="I2" s="12" t="s">
        <v>60</v>
      </c>
      <c r="J2" s="12"/>
      <c r="K2" s="12"/>
    </row>
    <row r="3" spans="2:13" x14ac:dyDescent="0.25">
      <c r="F3" s="11"/>
      <c r="G3" s="11"/>
      <c r="H3" s="11"/>
      <c r="I3" s="12" t="s">
        <v>59</v>
      </c>
      <c r="J3" s="12"/>
      <c r="K3" s="12"/>
      <c r="L3" t="s">
        <v>64</v>
      </c>
    </row>
    <row r="4" spans="2:13" x14ac:dyDescent="0.25"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M4" s="9"/>
    </row>
    <row r="5" spans="2:13" x14ac:dyDescent="0.25">
      <c r="B5" t="s">
        <v>21</v>
      </c>
      <c r="C5">
        <v>15</v>
      </c>
      <c r="F5">
        <v>15</v>
      </c>
      <c r="G5">
        <v>15</v>
      </c>
      <c r="H5">
        <v>15</v>
      </c>
      <c r="I5">
        <v>49</v>
      </c>
      <c r="J5">
        <v>49</v>
      </c>
      <c r="K5">
        <v>49</v>
      </c>
      <c r="L5" s="13">
        <v>-1</v>
      </c>
    </row>
    <row r="6" spans="2:13" x14ac:dyDescent="0.25">
      <c r="B6" t="s">
        <v>22</v>
      </c>
      <c r="C6">
        <v>-26.378333333333334</v>
      </c>
      <c r="F6">
        <v>19.315000000000001</v>
      </c>
      <c r="G6">
        <v>-26.378333333333334</v>
      </c>
      <c r="H6">
        <v>12.581666666666667</v>
      </c>
      <c r="I6">
        <f>12+6/60</f>
        <v>12.1</v>
      </c>
      <c r="J6">
        <f>45+11/60</f>
        <v>45.18333333333333</v>
      </c>
      <c r="K6">
        <f>74+16/60</f>
        <v>74.266666666666666</v>
      </c>
      <c r="L6" s="13">
        <v>21.156666666666666</v>
      </c>
    </row>
    <row r="7" spans="2:13" x14ac:dyDescent="0.25">
      <c r="B7" t="s">
        <v>23</v>
      </c>
      <c r="C7">
        <v>33</v>
      </c>
      <c r="F7">
        <v>65</v>
      </c>
      <c r="G7">
        <v>33</v>
      </c>
      <c r="H7">
        <v>18</v>
      </c>
      <c r="I7">
        <v>58</v>
      </c>
      <c r="J7">
        <v>259</v>
      </c>
      <c r="K7">
        <v>347</v>
      </c>
      <c r="L7" s="13">
        <v>284</v>
      </c>
    </row>
    <row r="8" spans="2:13" x14ac:dyDescent="0.25">
      <c r="F8" t="s">
        <v>35</v>
      </c>
      <c r="G8" t="s">
        <v>37</v>
      </c>
      <c r="H8" t="s">
        <v>39</v>
      </c>
      <c r="I8" t="s">
        <v>50</v>
      </c>
      <c r="J8" t="s">
        <v>53</v>
      </c>
      <c r="K8" t="s">
        <v>56</v>
      </c>
      <c r="L8" s="13" t="s">
        <v>65</v>
      </c>
    </row>
    <row r="9" spans="2:13" x14ac:dyDescent="0.25">
      <c r="F9" s="9" t="s">
        <v>36</v>
      </c>
      <c r="G9" s="9" t="s">
        <v>42</v>
      </c>
      <c r="H9" s="9" t="s">
        <v>43</v>
      </c>
      <c r="I9" s="9" t="s">
        <v>52</v>
      </c>
      <c r="J9" t="s">
        <v>55</v>
      </c>
      <c r="K9" t="s">
        <v>58</v>
      </c>
      <c r="L9" s="13" t="s">
        <v>62</v>
      </c>
    </row>
    <row r="10" spans="2:13" x14ac:dyDescent="0.25">
      <c r="F10" t="s">
        <v>41</v>
      </c>
      <c r="G10" t="s">
        <v>38</v>
      </c>
      <c r="H10" t="s">
        <v>40</v>
      </c>
      <c r="I10" t="s">
        <v>51</v>
      </c>
      <c r="J10" s="9" t="s">
        <v>54</v>
      </c>
      <c r="K10" s="9" t="s">
        <v>57</v>
      </c>
      <c r="L10" s="13" t="s">
        <v>63</v>
      </c>
    </row>
    <row r="11" spans="2:13" x14ac:dyDescent="0.25">
      <c r="B11" t="s">
        <v>34</v>
      </c>
      <c r="C11">
        <f>_xlfn.LET(_xlpm.L, PI() / 180 * _L, _xlpm.d, PI() / 180 * _d, _xlpm.t, PI() / 180 * _t, ASIN(SIN(_xlpm.L) * SIN(_xlpm.d) + COS(_xlpm.L) * COS(_xlpm.d) * COS(_xlpm.t)) * 180 / PI())</f>
        <v>37.644050023822807</v>
      </c>
      <c r="D11" t="str" cm="1">
        <f t="array" ref="D11">_fHM(C11)</f>
        <v>37° 38.6'</v>
      </c>
      <c r="L11" s="9" t="s">
        <v>66</v>
      </c>
    </row>
    <row r="12" spans="2:13" x14ac:dyDescent="0.25">
      <c r="B12" t="s">
        <v>25</v>
      </c>
      <c r="C12">
        <f>_xlfn.LET(
_xlpm.d,PI()/180*_d,
_xlpm.L,PI()/180*_L,
_xlpm.t,PI()/180*_t,
_xlpm._z,MOD(DEGREES(ATAN2(COS(_xlpm.d)*SIN(_xlpm.t),(COS(_xlpm.L)*SIN(_xlpm.d)-SIN(_xlpm.L)*COS(_xlpm.d)*COS(_xlpm.t)))),360),
_xlpm._y,MOD(_xlpm._z-90,360),
_xlpm._x,IF(SIGN(_xlpm.L)&lt;&gt;SIGN(_xlpm.d),180-_xlpm._y,_xlpm._y),360-_xlpm._x)</f>
        <v>398.0402181944944</v>
      </c>
      <c r="D12" t="str" cm="1">
        <f t="array" ref="D12">_fHM(ABS(C12))</f>
        <v>398° 2.4'</v>
      </c>
    </row>
    <row r="13" spans="2:13" x14ac:dyDescent="0.25">
      <c r="C13">
        <f>360-C12</f>
        <v>-38.0402181944944</v>
      </c>
      <c r="D13" t="str" cm="1">
        <f t="array" ref="D13">_fHM(ABS(C13))</f>
        <v>38° 2.4'</v>
      </c>
    </row>
    <row r="14" spans="2:13" x14ac:dyDescent="0.25">
      <c r="C14">
        <f>_xlfn.LET(
_xlpm.d,PI()/180*_d,
_xlpm.L,PI()/180*_L,
_xlpm.t,PI()/180*_t,
_xlpm._z,MOD(DEGREES(ATAN2(COS(_xlpm.d)*SIN(_xlpm.t),(COS(_xlpm.L)*SIN(_xlpm.d)-SIN(_xlpm.L)*COS(_xlpm.d)*COS(_xlpm.t)))),360),
_xlpm._z
)</f>
        <v>308.0402181944944</v>
      </c>
      <c r="D14" t="str" cm="1">
        <f t="array" ref="D14">_fHM(ABS(C14))</f>
        <v>308° 2.4'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FCC6-3E31-4FC6-8F07-E8D73C1C42B1}">
  <dimension ref="B2:M12"/>
  <sheetViews>
    <sheetView tabSelected="1" topLeftCell="A4" workbookViewId="0">
      <selection activeCell="E14" sqref="E14"/>
    </sheetView>
  </sheetViews>
  <sheetFormatPr defaultRowHeight="13.2" x14ac:dyDescent="0.25"/>
  <cols>
    <col min="3" max="3" width="13.109375" bestFit="1" customWidth="1"/>
    <col min="6" max="6" width="11" bestFit="1" customWidth="1"/>
    <col min="7" max="7" width="13.21875" bestFit="1" customWidth="1"/>
    <col min="8" max="8" width="12.109375" bestFit="1" customWidth="1"/>
    <col min="9" max="9" width="11" bestFit="1" customWidth="1"/>
    <col min="10" max="11" width="12.109375" bestFit="1" customWidth="1"/>
  </cols>
  <sheetData>
    <row r="2" spans="2:13" x14ac:dyDescent="0.25">
      <c r="F2" s="10" t="s">
        <v>61</v>
      </c>
      <c r="G2" s="10"/>
      <c r="H2" s="10"/>
      <c r="I2" s="12" t="s">
        <v>60</v>
      </c>
      <c r="J2" s="12"/>
      <c r="K2" s="12"/>
    </row>
    <row r="3" spans="2:13" x14ac:dyDescent="0.25">
      <c r="F3" s="11"/>
      <c r="G3" s="11"/>
      <c r="H3" s="11"/>
      <c r="I3" s="12" t="s">
        <v>59</v>
      </c>
      <c r="J3" s="12"/>
      <c r="K3" s="12"/>
      <c r="L3" t="s">
        <v>64</v>
      </c>
    </row>
    <row r="4" spans="2:13" x14ac:dyDescent="0.25"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M4" s="9"/>
    </row>
    <row r="5" spans="2:13" x14ac:dyDescent="0.25">
      <c r="B5" t="s">
        <v>21</v>
      </c>
      <c r="C5">
        <v>15</v>
      </c>
      <c r="F5">
        <v>15</v>
      </c>
      <c r="G5">
        <v>15</v>
      </c>
      <c r="H5">
        <v>15</v>
      </c>
      <c r="I5">
        <v>49</v>
      </c>
      <c r="J5">
        <v>49</v>
      </c>
      <c r="K5">
        <v>49</v>
      </c>
      <c r="L5" s="13">
        <v>-1</v>
      </c>
    </row>
    <row r="6" spans="2:13" x14ac:dyDescent="0.25">
      <c r="B6" t="s">
        <v>22</v>
      </c>
      <c r="C6">
        <v>-26.378333333333334</v>
      </c>
      <c r="F6">
        <v>19.315000000000001</v>
      </c>
      <c r="G6">
        <v>-26.378333333333334</v>
      </c>
      <c r="H6">
        <v>12.581666666666667</v>
      </c>
      <c r="I6">
        <f>12+6/60</f>
        <v>12.1</v>
      </c>
      <c r="J6">
        <f>45+11/60</f>
        <v>45.18333333333333</v>
      </c>
      <c r="K6">
        <f>74+16/60</f>
        <v>74.266666666666666</v>
      </c>
      <c r="L6" s="13">
        <v>21.156666666666666</v>
      </c>
    </row>
    <row r="7" spans="2:13" x14ac:dyDescent="0.25">
      <c r="B7" t="s">
        <v>23</v>
      </c>
      <c r="C7">
        <v>33</v>
      </c>
      <c r="F7">
        <v>65</v>
      </c>
      <c r="G7">
        <v>33</v>
      </c>
      <c r="H7">
        <v>18</v>
      </c>
      <c r="I7">
        <v>58</v>
      </c>
      <c r="J7">
        <v>259</v>
      </c>
      <c r="K7">
        <v>347</v>
      </c>
      <c r="L7" s="13">
        <v>284</v>
      </c>
    </row>
    <row r="8" spans="2:13" x14ac:dyDescent="0.25">
      <c r="F8" t="s">
        <v>35</v>
      </c>
      <c r="G8" t="s">
        <v>37</v>
      </c>
      <c r="H8" t="s">
        <v>39</v>
      </c>
      <c r="I8" t="s">
        <v>50</v>
      </c>
      <c r="J8" t="s">
        <v>53</v>
      </c>
      <c r="K8" t="s">
        <v>56</v>
      </c>
      <c r="L8" s="13" t="s">
        <v>65</v>
      </c>
    </row>
    <row r="9" spans="2:13" x14ac:dyDescent="0.25">
      <c r="F9" s="9" t="s">
        <v>36</v>
      </c>
      <c r="G9" s="9" t="s">
        <v>42</v>
      </c>
      <c r="H9" s="9" t="s">
        <v>43</v>
      </c>
      <c r="I9" s="9" t="s">
        <v>52</v>
      </c>
      <c r="J9" t="s">
        <v>55</v>
      </c>
      <c r="K9" t="s">
        <v>58</v>
      </c>
      <c r="L9" s="13" t="s">
        <v>62</v>
      </c>
    </row>
    <row r="10" spans="2:13" x14ac:dyDescent="0.25">
      <c r="F10" t="s">
        <v>41</v>
      </c>
      <c r="G10" t="s">
        <v>38</v>
      </c>
      <c r="H10" t="s">
        <v>40</v>
      </c>
      <c r="I10" t="s">
        <v>51</v>
      </c>
      <c r="J10" s="9" t="s">
        <v>54</v>
      </c>
      <c r="K10" s="9" t="s">
        <v>57</v>
      </c>
      <c r="L10" s="13" t="s">
        <v>63</v>
      </c>
    </row>
    <row r="11" spans="2:13" x14ac:dyDescent="0.25">
      <c r="B11" t="s">
        <v>34</v>
      </c>
      <c r="C11">
        <f>_xlfn.LET(_xlpm.L, PI() / 180 * _L, _xlpm.d, PI() / 180 * _d, _xlpm.t, PI() / 180 * _t, ASIN(SIN(_xlpm.L) * SIN(_xlpm.d) + COS(_xlpm.L) * COS(_xlpm.d) * COS(_xlpm.t)) * 180 / PI())</f>
        <v>37.644050023822807</v>
      </c>
      <c r="D11" t="str" cm="1">
        <f t="array" ref="D11">_fHM(C11)</f>
        <v>37° 38.6'</v>
      </c>
      <c r="L11" s="9" t="s">
        <v>66</v>
      </c>
    </row>
    <row r="12" spans="2:13" x14ac:dyDescent="0.25">
      <c r="B12" t="s">
        <v>25</v>
      </c>
      <c r="C12">
        <f>_xlfn.LET(
_xlpm.d,PI()/180*_d,
_xlpm.L,PI()/180*_L,
_xlpm.t,PI()/180*_t,
_xlpm.s,SIN(_xlpm.d),
_xlpm.c,COS(_xlpm.d)*COS(_xlpm.t),
_xlpm.x,(_xlpm.s*COS(_xlpm.L)-_xlpm.c*SIN(_xlpm.L))/COS(C11*PI()/180),
_xlpm.a,DEGREES(ACOS(_xlpm.x)),
_xlpm.a)</f>
        <v>141.9597818055056</v>
      </c>
      <c r="D12" t="str" cm="1">
        <f t="array" ref="D12">_fHM(ABS(C12))</f>
        <v>141° 57.6'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24-May-2025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24-May-2025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CE3DB59B-49FD-4195-9271-1E20C81680B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22</vt:i4>
      </vt:variant>
    </vt:vector>
  </HeadingPairs>
  <TitlesOfParts>
    <vt:vector size="28" baseType="lpstr">
      <vt:lpstr>Formula208</vt:lpstr>
      <vt:lpstr>Formula229</vt:lpstr>
      <vt:lpstr>Formula229 (2)</vt:lpstr>
      <vt:lpstr>Formula229 (3)</vt:lpstr>
      <vt:lpstr>Formats</vt:lpstr>
      <vt:lpstr>Lists</vt:lpstr>
      <vt:lpstr>_Alt</vt:lpstr>
      <vt:lpstr>Formula229!_d</vt:lpstr>
      <vt:lpstr>'Formula229 (2)'!_d</vt:lpstr>
      <vt:lpstr>'Formula229 (3)'!_d</vt:lpstr>
      <vt:lpstr>_d</vt:lpstr>
      <vt:lpstr>_h</vt:lpstr>
      <vt:lpstr>Formula229!_HC</vt:lpstr>
      <vt:lpstr>'Formula229 (2)'!_HC</vt:lpstr>
      <vt:lpstr>'Formula229 (3)'!_HC</vt:lpstr>
      <vt:lpstr>Formula229!_L</vt:lpstr>
      <vt:lpstr>'Formula229 (2)'!_L</vt:lpstr>
      <vt:lpstr>'Formula229 (3)'!_L</vt:lpstr>
      <vt:lpstr>_L</vt:lpstr>
      <vt:lpstr>_PX</vt:lpstr>
      <vt:lpstr>_PZ</vt:lpstr>
      <vt:lpstr>Formula229!_t</vt:lpstr>
      <vt:lpstr>'Formula229 (2)'!_t</vt:lpstr>
      <vt:lpstr>'Formula229 (3)'!_t</vt:lpstr>
      <vt:lpstr>_t</vt:lpstr>
      <vt:lpstr>_Z</vt:lpstr>
      <vt:lpstr>_ZPA</vt:lpstr>
      <vt:lpstr>_ZX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2025-05-24T21:55:11Z</dcterms:modified>
</cp:coreProperties>
</file>