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57" documentId="8_{3C09572E-698A-41A2-B0D7-5067F5088005}" xr6:coauthVersionLast="47" xr6:coauthVersionMax="47" xr10:uidLastSave="{20827442-CEC1-43F6-AEEE-83EEBF2DFBFF}"/>
  <bookViews>
    <workbookView xWindow="28680" yWindow="1665" windowWidth="29040" windowHeight="15720" xr2:uid="{AD5FE48E-9CE6-4EDE-8F69-E8FD3B4EAF42}"/>
  </bookViews>
  <sheets>
    <sheet name="Report" sheetId="1" r:id="rId1"/>
  </sheets>
  <definedNames>
    <definedName name="_slope">Report!$K$2</definedName>
    <definedName name="_X">_xlfn.DROP(_xlfn._TRO_ALL(Report!$A:$A),2)</definedName>
    <definedName name="_Y">_xlfn.DROP(_xlfn._TRO_ALL(Report!$B:$B),2)</definedName>
    <definedName name="_Yp">_xlfn.DROP(_xlfn._TRO_ALL(Report!$D:$D),2)</definedName>
    <definedName name="alpha">Report!$O$1</definedName>
    <definedName name="conf">_xlfn.LAMBDA(_xlpm.X,t_95*SE*SQRT(1/n+(_xlpm.X-xm)^2/SSxx))</definedName>
    <definedName name="df">Report!$L$5</definedName>
    <definedName name="F">Report!$K$5</definedName>
    <definedName name="HD_Date">_xlfn.LET(_xlpm.dt, TODAY(),      _xlpm.y,  YEAR(_xlpm.dt),      _xlpm.m,  MONTH(_xlpm.dt),      _xlpm.d,  DAY(_xlpm.dt),      TEXT(DATE(_xlpm.y,_xlpm.m,_xlpm.d),"dd-mmm-yyyy")     )</definedName>
    <definedName name="interc">Report!$L$2</definedName>
    <definedName name="n">Report!$O$2</definedName>
    <definedName name="pred">_xlfn.LAMBDA(_xlpm.X,t_95*SE*SQRT(1+1/n+(_xlpm.X-xm)^2/SSxx))</definedName>
    <definedName name="_xlnm.Print_Area" localSheetId="0">Report!$A$1:$Q$44</definedName>
    <definedName name="RSQ">Report!$K$4</definedName>
    <definedName name="SE">Report!$O$6</definedName>
    <definedName name="SEinterc">Report!$L$3</definedName>
    <definedName name="SEslope">Report!$K$3</definedName>
    <definedName name="SEy">Report!$L$4</definedName>
    <definedName name="SSregr">Report!$K$6</definedName>
    <definedName name="SSres">Report!$L$6</definedName>
    <definedName name="SSxx">Report!$O$4</definedName>
    <definedName name="t_95">Report!$O$5</definedName>
    <definedName name="xm">Report!$O$3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 s="1" a="1"/>
  <c r="O4" i="1" s="1"/>
  <c r="O2" i="1"/>
  <c r="K2" i="1" a="1"/>
  <c r="K2" i="1" s="1"/>
  <c r="D3" i="1" a="1"/>
  <c r="D3" i="1" s="1"/>
  <c r="G23" i="1"/>
  <c r="G22" i="1"/>
  <c r="F20" i="1"/>
  <c r="E19" i="1"/>
  <c r="H20" i="1"/>
  <c r="G19" i="1"/>
  <c r="P4" i="1"/>
  <c r="P6" i="1"/>
  <c r="P2" i="1"/>
  <c r="P3" i="1"/>
  <c r="P5" i="1"/>
  <c r="O5" i="1" l="1"/>
  <c r="F22" i="1" s="1" a="1"/>
  <c r="F22" i="1" s="1"/>
  <c r="O6" i="1"/>
  <c r="F23" i="1" l="1" a="1"/>
  <c r="F23" i="1" s="1"/>
  <c r="E3" i="1" a="1"/>
  <c r="E3" i="1" s="1"/>
  <c r="F3" i="1" a="1"/>
  <c r="F3" i="1" s="1"/>
  <c r="G3" i="1" a="1"/>
  <c r="G3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<sst xmlns="http://schemas.openxmlformats.org/spreadsheetml/2006/main" count="36" uniqueCount="33">
  <si>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>Hb A1C</t>
  </si>
  <si>
    <t>Glucose</t>
  </si>
  <si>
    <t>X</t>
  </si>
  <si>
    <t>Y</t>
  </si>
  <si>
    <t>Pred</t>
  </si>
  <si>
    <t>min</t>
  </si>
  <si>
    <t>max</t>
  </si>
  <si>
    <t>Confidence</t>
  </si>
  <si>
    <t>Prediction</t>
  </si>
  <si>
    <t>RSQ</t>
  </si>
  <si>
    <t>F</t>
  </si>
  <si>
    <t>interc</t>
  </si>
  <si>
    <t>df</t>
  </si>
  <si>
    <r>
      <t>SE</t>
    </r>
    <r>
      <rPr>
        <b/>
        <vertAlign val="subscript"/>
        <sz val="10"/>
        <color theme="1"/>
        <rFont val="Consolas"/>
        <family val="3"/>
        <scheme val="minor"/>
      </rPr>
      <t>slope</t>
    </r>
  </si>
  <si>
    <r>
      <t>SS</t>
    </r>
    <r>
      <rPr>
        <b/>
        <vertAlign val="subscript"/>
        <sz val="10"/>
        <color theme="1"/>
        <rFont val="Consolas"/>
        <family val="3"/>
        <scheme val="minor"/>
      </rPr>
      <t>regr</t>
    </r>
  </si>
  <si>
    <r>
      <t>SE</t>
    </r>
    <r>
      <rPr>
        <b/>
        <vertAlign val="subscript"/>
        <sz val="10"/>
        <color theme="1"/>
        <rFont val="Consolas"/>
        <family val="3"/>
        <scheme val="minor"/>
      </rPr>
      <t>interc</t>
    </r>
  </si>
  <si>
    <r>
      <t>SE</t>
    </r>
    <r>
      <rPr>
        <b/>
        <vertAlign val="subscript"/>
        <sz val="10"/>
        <color theme="1"/>
        <rFont val="Consolas"/>
        <family val="3"/>
        <scheme val="minor"/>
      </rPr>
      <t>y</t>
    </r>
  </si>
  <si>
    <r>
      <t>SS</t>
    </r>
    <r>
      <rPr>
        <b/>
        <vertAlign val="subscript"/>
        <sz val="10"/>
        <color theme="1"/>
        <rFont val="Consolas"/>
        <family val="3"/>
        <scheme val="minor"/>
      </rPr>
      <t>res</t>
    </r>
  </si>
  <si>
    <t>df =n(data-k(variables)</t>
  </si>
  <si>
    <r>
      <t>SS</t>
    </r>
    <r>
      <rPr>
        <b/>
        <vertAlign val="subscript"/>
        <sz val="10"/>
        <color theme="1"/>
        <rFont val="Consolas"/>
        <family val="3"/>
        <scheme val="minor"/>
      </rPr>
      <t>res</t>
    </r>
    <r>
      <rPr>
        <b/>
        <sz val="10"/>
        <color theme="1"/>
        <rFont val="Consolas"/>
        <family val="3"/>
        <scheme val="minor"/>
      </rPr>
      <t xml:space="preserve"> is unexplained variation</t>
    </r>
  </si>
  <si>
    <r>
      <t>SS</t>
    </r>
    <r>
      <rPr>
        <b/>
        <vertAlign val="subscript"/>
        <sz val="10"/>
        <color theme="1"/>
        <rFont val="Consolas"/>
        <family val="3"/>
        <scheme val="minor"/>
      </rPr>
      <t>regr</t>
    </r>
    <r>
      <rPr>
        <b/>
        <sz val="10"/>
        <color theme="1"/>
        <rFont val="Consolas"/>
        <family val="3"/>
        <scheme val="minor"/>
      </rPr>
      <t xml:space="preserve"> is explained variation</t>
    </r>
  </si>
  <si>
    <t>n</t>
  </si>
  <si>
    <t>xm</t>
  </si>
  <si>
    <t>SSxx</t>
  </si>
  <si>
    <t>SE</t>
  </si>
  <si>
    <t>t_95</t>
  </si>
  <si>
    <t>Confidence Interval</t>
  </si>
  <si>
    <t>Prediction Interval</t>
  </si>
  <si>
    <t>Standard Error</t>
  </si>
  <si>
    <t>alpha</t>
  </si>
  <si>
    <t>_slope</t>
  </si>
  <si>
    <t>conf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</si>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</sst>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0.00000000000000"/>
    <numFmt numFmtId="167" formatCode="0.0_0"/>
  </numFmts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b/>
      <sz val="10"/>
      <color theme="1"/>
      <name val="Consolas"/>
      <family val="3"/>
      <scheme val="minor"/>
    </font>
    <font>
      <b/>
      <vertAlign val="subscript"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</cellStyleXfs>
  <cellXfs count="28">
    <xf numFmtId="0" fontId="0" fillId="0" borderId="0" xfId="0"/>
    <xf numFmtId="0" fontId="14" fillId="0" borderId="0" xfId="0" applyFont="1"/>
    <xf numFmtId="164" fontId="0" fillId="6" borderId="0" xfId="0" applyNumberFormat="1" applyFill="1"/>
    <xf numFmtId="164" fontId="0" fillId="6" borderId="3" xfId="0" applyNumberFormat="1" applyFill="1" applyBorder="1"/>
    <xf numFmtId="0" fontId="14" fillId="0" borderId="0" xfId="0" applyFont="1" applyFill="1" applyBorder="1"/>
    <xf numFmtId="165" fontId="0" fillId="0" borderId="0" xfId="0" applyNumberFormat="1"/>
    <xf numFmtId="0" fontId="4" fillId="2" borderId="0" xfId="3"/>
    <xf numFmtId="0" fontId="0" fillId="0" borderId="6" xfId="0" applyBorder="1" applyAlignment="1">
      <alignment horizontal="center"/>
    </xf>
    <xf numFmtId="0" fontId="14" fillId="0" borderId="5" xfId="0" applyFont="1" applyBorder="1" applyAlignment="1">
      <alignment horizontal="center"/>
    </xf>
    <xf numFmtId="167" fontId="0" fillId="0" borderId="4" xfId="0" applyNumberFormat="1" applyBorder="1"/>
    <xf numFmtId="167" fontId="0" fillId="0" borderId="7" xfId="0" applyNumberFormat="1" applyBorder="1"/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Continuous"/>
    </xf>
    <xf numFmtId="0" fontId="14" fillId="0" borderId="12" xfId="0" applyFont="1" applyBorder="1" applyAlignment="1">
      <alignment horizontal="centerContinuous"/>
    </xf>
    <xf numFmtId="167" fontId="0" fillId="0" borderId="8" xfId="0" applyNumberFormat="1" applyBorder="1"/>
    <xf numFmtId="0" fontId="14" fillId="0" borderId="6" xfId="0" applyFont="1" applyBorder="1" applyAlignment="1">
      <alignment horizontal="center"/>
    </xf>
    <xf numFmtId="167" fontId="0" fillId="0" borderId="9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6" borderId="0" xfId="0" applyFill="1"/>
    <xf numFmtId="2" fontId="0" fillId="6" borderId="0" xfId="0" applyNumberFormat="1" applyFill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center"/>
    </xf>
    <xf numFmtId="0" fontId="14" fillId="0" borderId="12" xfId="0" applyFont="1" applyBorder="1" applyAlignment="1">
      <alignment horizontal="center"/>
    </xf>
  </cellXfs>
  <cellStyles count="16">
    <cellStyle name="Calculation" xfId="15" builtinId="22" customBuiltin="1"/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put" xfId="13" builtinId="20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2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</xdr:colOff>
      <xdr:row>21</xdr:row>
      <xdr:rowOff>28575</xdr:rowOff>
    </xdr:from>
    <xdr:to>
      <xdr:col>3</xdr:col>
      <xdr:colOff>325120</xdr:colOff>
      <xdr:row>24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5A226E4-8B82-4F67-83EC-8709A0D53AF9}"/>
            </a:ext>
          </a:extLst>
        </xdr:cNvPr>
        <xdr:cNvGrpSpPr/>
      </xdr:nvGrpSpPr>
      <xdr:grpSpPr>
        <a:xfrm>
          <a:off x="34925" y="3597275"/>
          <a:ext cx="2118995" cy="565150"/>
          <a:chOff x="10536555" y="342900"/>
          <a:chExt cx="2122170" cy="54292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83EC638F-1F2D-5842-B794-F2778739A916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A042425-482B-6416-16FF-FAB0124106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Conf vs Pred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18-Feb-2025</a:t>
            </a:r>
          </a:p>
        </xdr:txBody>
      </xdr:sp>
    </xdr:grpSp>
    <xdr:clientData/>
  </xdr:twoCellAnchor>
  <xdr:twoCellAnchor editAs="oneCell">
    <xdr:from>
      <xdr:col>5</xdr:col>
      <xdr:colOff>0</xdr:colOff>
      <xdr:row>25</xdr:row>
      <xdr:rowOff>47625</xdr:rowOff>
    </xdr:from>
    <xdr:to>
      <xdr:col>7</xdr:col>
      <xdr:colOff>349331</xdr:colOff>
      <xdr:row>29</xdr:row>
      <xdr:rowOff>63534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FE7E91-1EE6-5300-23B4-B1D10B899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0" y="1619250"/>
          <a:ext cx="1568531" cy="66678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9</xdr:col>
      <xdr:colOff>390671</xdr:colOff>
      <xdr:row>35</xdr:row>
      <xdr:rowOff>95288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2BDB8E9-1884-9AC1-F92C-5ED0A9A89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6525" y="2733675"/>
          <a:ext cx="2832246" cy="742988"/>
        </a:xfrm>
        <a:prstGeom prst="rect">
          <a:avLst/>
        </a:prstGeom>
      </xdr:spPr>
    </xdr:pic>
    <xdr:clientData/>
  </xdr:twoCellAnchor>
  <xdr:twoCellAnchor editAs="oneCell">
    <xdr:from>
      <xdr:col>4</xdr:col>
      <xdr:colOff>606425</xdr:colOff>
      <xdr:row>37</xdr:row>
      <xdr:rowOff>158750</xdr:rowOff>
    </xdr:from>
    <xdr:to>
      <xdr:col>9</xdr:col>
      <xdr:colOff>358919</xdr:colOff>
      <xdr:row>42</xdr:row>
      <xdr:rowOff>133390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83D34D7-C3DB-DAE9-4FB4-4362163AA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4825" y="6330950"/>
          <a:ext cx="2800494" cy="784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231528E-98C8-469B-9F42-9EA629649424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9A5FC6E6-42C8-4A97-A2F6-73D5C4385BF0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  <pageSetUpPr fitToPage="1"/>
  </sheetPr>
  <dimension ref="A1:P37"/>
  <sheetViews>
    <sheetView tabSelected="1" workbookViewId="0">
      <selection activeCell="M13" activeCellId="1" sqref="Q19 M13"/>
    </sheetView>
  </sheetViews>
  <sheetFormatPr defaultRowHeight="13" x14ac:dyDescent="0.3"/>
  <cols>
    <col min="13" max="13" width="15.36328125" customWidth="1"/>
    <col min="16" max="16" width="18.7265625" customWidth="1"/>
  </cols>
  <sheetData>
    <row r="1" spans="1:16" x14ac:dyDescent="0.3">
      <c r="A1" s="26" t="s">
        <v>2</v>
      </c>
      <c r="B1" s="27" t="s">
        <v>3</v>
      </c>
      <c r="D1" s="11" t="s">
        <v>4</v>
      </c>
      <c r="E1" s="12" t="s">
        <v>7</v>
      </c>
      <c r="F1" s="13"/>
      <c r="G1" s="12" t="s">
        <v>8</v>
      </c>
      <c r="H1" s="13"/>
      <c r="N1" t="s">
        <v>29</v>
      </c>
      <c r="O1" s="23">
        <v>0.05</v>
      </c>
    </row>
    <row r="2" spans="1:16" ht="13.5" thickBot="1" x14ac:dyDescent="0.35">
      <c r="A2" s="15" t="s">
        <v>0</v>
      </c>
      <c r="B2" s="8" t="s">
        <v>1</v>
      </c>
      <c r="D2" s="7" t="s">
        <v>3</v>
      </c>
      <c r="E2" s="7" t="s">
        <v>5</v>
      </c>
      <c r="F2" s="7" t="s">
        <v>6</v>
      </c>
      <c r="G2" s="7" t="s">
        <v>5</v>
      </c>
      <c r="H2" s="7" t="s">
        <v>6</v>
      </c>
      <c r="J2" s="25" t="s">
        <v>30</v>
      </c>
      <c r="K2" s="3" cm="1">
        <f t="array" ref="K2:L6">LINEST(_Y,_X,TRUE,TRUE)</f>
        <v>10.405627927400468</v>
      </c>
      <c r="L2" s="3">
        <v>60.552382172131132</v>
      </c>
      <c r="M2" s="1" t="s">
        <v>11</v>
      </c>
      <c r="N2" t="s">
        <v>21</v>
      </c>
      <c r="O2" s="23">
        <f>COUNT(_X)</f>
        <v>15</v>
      </c>
      <c r="P2" t="str">
        <f ca="1">_xlfn.FORMULATEXT(O2)</f>
        <v>=COUNT(_X)</v>
      </c>
    </row>
    <row r="3" spans="1:16" ht="15.5" thickTop="1" x14ac:dyDescent="0.4">
      <c r="A3" s="10">
        <v>5.5</v>
      </c>
      <c r="B3" s="9">
        <v>110</v>
      </c>
      <c r="D3" s="10" cm="1">
        <f t="array" ref="D3:D17">TREND(_Y,_X)</f>
        <v>117.78333577283371</v>
      </c>
      <c r="E3" s="10" cm="1">
        <f t="array" ref="E3:E17">_Yp-conf(_X)</f>
        <v>112.4244410758814</v>
      </c>
      <c r="F3" s="10" cm="1">
        <f t="array" ref="F3:F17">_Yp+conf(_X)</f>
        <v>123.14223046978601</v>
      </c>
      <c r="G3" s="10" cm="1">
        <f t="array" ref="G3:G17">_Yp-pred(_X)</f>
        <v>103.99447983387961</v>
      </c>
      <c r="H3" s="10" cm="1">
        <f t="array" ref="H3:H17">_Yp+pred(_X)</f>
        <v>131.57219171178781</v>
      </c>
      <c r="J3" s="1" t="s">
        <v>13</v>
      </c>
      <c r="K3" s="3">
        <v>0.97425021407385104</v>
      </c>
      <c r="L3" s="3">
        <v>7.4757014991601887</v>
      </c>
      <c r="M3" s="1" t="s">
        <v>15</v>
      </c>
      <c r="N3" t="s">
        <v>22</v>
      </c>
      <c r="O3" s="2">
        <f>AVERAGE(_X)</f>
        <v>7.5133333333333336</v>
      </c>
      <c r="P3" t="str">
        <f ca="1">_xlfn.FORMULATEXT(O3)</f>
        <v>=AVERAGE(_X)</v>
      </c>
    </row>
    <row r="4" spans="1:16" ht="15" x14ac:dyDescent="0.4">
      <c r="A4" s="10">
        <v>5.5</v>
      </c>
      <c r="B4" s="9">
        <v>118</v>
      </c>
      <c r="D4" s="10">
        <v>117.78333577283371</v>
      </c>
      <c r="E4" s="10">
        <v>112.4244410758814</v>
      </c>
      <c r="F4" s="10">
        <v>123.14223046978601</v>
      </c>
      <c r="G4" s="10">
        <v>103.99447983387961</v>
      </c>
      <c r="H4" s="10">
        <v>131.57219171178781</v>
      </c>
      <c r="J4" s="1" t="s">
        <v>9</v>
      </c>
      <c r="K4" s="3">
        <v>0.89769928571544022</v>
      </c>
      <c r="L4" s="3">
        <v>5.8809001092390423</v>
      </c>
      <c r="M4" s="1" t="s">
        <v>16</v>
      </c>
      <c r="N4" t="s">
        <v>23</v>
      </c>
      <c r="O4" s="2" cm="1">
        <f t="array" ref="O4">SUM((_X-xm)^2)</f>
        <v>36.437333333333335</v>
      </c>
      <c r="P4" t="str">
        <f ca="1">_xlfn.FORMULATEXT(O4)</f>
        <v>=SUM((_X-xm)^2)</v>
      </c>
    </row>
    <row r="5" spans="1:16" x14ac:dyDescent="0.3">
      <c r="A5" s="10">
        <v>5.8</v>
      </c>
      <c r="B5" s="9">
        <v>115</v>
      </c>
      <c r="D5" s="10">
        <v>120.90502415105385</v>
      </c>
      <c r="E5" s="10">
        <v>116.0300788313411</v>
      </c>
      <c r="F5" s="10">
        <v>125.7799694707666</v>
      </c>
      <c r="G5" s="10">
        <v>107.29694244927106</v>
      </c>
      <c r="H5" s="10">
        <v>134.51310585283665</v>
      </c>
      <c r="J5" s="1" t="s">
        <v>10</v>
      </c>
      <c r="K5" s="3">
        <v>114.07633657218844</v>
      </c>
      <c r="L5" s="3">
        <v>13</v>
      </c>
      <c r="M5" s="1" t="s">
        <v>12</v>
      </c>
      <c r="N5" t="s">
        <v>25</v>
      </c>
      <c r="O5" s="24">
        <f>TINV(alpha,df)</f>
        <v>2.1603686564627926</v>
      </c>
      <c r="P5" t="str">
        <f ca="1">_xlfn.FORMULATEXT(O5)</f>
        <v>=TINV(alpha,df)</v>
      </c>
    </row>
    <row r="6" spans="1:16" ht="15" x14ac:dyDescent="0.4">
      <c r="A6" s="10">
        <v>6.1</v>
      </c>
      <c r="B6" s="9">
        <v>120</v>
      </c>
      <c r="D6" s="10">
        <v>124.02671252927399</v>
      </c>
      <c r="E6" s="10">
        <v>119.5984150496359</v>
      </c>
      <c r="F6" s="10">
        <v>128.4550100089121</v>
      </c>
      <c r="G6" s="10">
        <v>110.5721737300295</v>
      </c>
      <c r="H6" s="10">
        <v>137.48125132851848</v>
      </c>
      <c r="J6" s="1" t="s">
        <v>14</v>
      </c>
      <c r="K6" s="3">
        <v>3945.3285141003121</v>
      </c>
      <c r="L6" s="3">
        <v>449.60481923302115</v>
      </c>
      <c r="M6" s="1" t="s">
        <v>17</v>
      </c>
      <c r="N6" t="s">
        <v>24</v>
      </c>
      <c r="O6" s="24">
        <f>SQRT(SSres/df)</f>
        <v>5.8809001092390423</v>
      </c>
      <c r="P6" t="str">
        <f ca="1">_xlfn.FORMULATEXT(O6)</f>
        <v>=SQRT(SSres/df)</v>
      </c>
    </row>
    <row r="7" spans="1:16" x14ac:dyDescent="0.3">
      <c r="A7" s="10">
        <v>6.5</v>
      </c>
      <c r="B7" s="9">
        <v>125</v>
      </c>
      <c r="D7" s="10">
        <v>128.18896370023418</v>
      </c>
      <c r="E7" s="10">
        <v>124.27618537075642</v>
      </c>
      <c r="F7" s="10">
        <v>132.10174202971194</v>
      </c>
      <c r="G7" s="10">
        <v>114.89518207167427</v>
      </c>
      <c r="H7" s="10">
        <v>141.4827453287941</v>
      </c>
    </row>
    <row r="8" spans="1:16" x14ac:dyDescent="0.3">
      <c r="A8" s="10">
        <v>6.8</v>
      </c>
      <c r="B8" s="9">
        <v>146</v>
      </c>
      <c r="D8" s="10">
        <v>131.31065207845432</v>
      </c>
      <c r="E8" s="10">
        <v>127.70300310871745</v>
      </c>
      <c r="F8" s="10">
        <v>134.91830104819121</v>
      </c>
      <c r="G8" s="10">
        <v>118.10345984009231</v>
      </c>
      <c r="H8" s="10">
        <v>144.51784431681634</v>
      </c>
    </row>
    <row r="9" spans="1:16" ht="15" x14ac:dyDescent="0.4">
      <c r="A9" s="10">
        <v>7.1</v>
      </c>
      <c r="B9" s="9">
        <v>135</v>
      </c>
      <c r="D9" s="10">
        <v>134.43234045667447</v>
      </c>
      <c r="E9" s="10">
        <v>131.0385497850404</v>
      </c>
      <c r="F9" s="10">
        <v>137.82613112830853</v>
      </c>
      <c r="G9" s="10">
        <v>121.28195601913514</v>
      </c>
      <c r="H9" s="10">
        <v>147.58272489421381</v>
      </c>
      <c r="J9" s="4" t="s">
        <v>19</v>
      </c>
    </row>
    <row r="10" spans="1:16" ht="15" x14ac:dyDescent="0.4">
      <c r="A10" s="10">
        <v>7.4</v>
      </c>
      <c r="B10" s="9">
        <v>140</v>
      </c>
      <c r="D10" s="10">
        <v>137.55402883489461</v>
      </c>
      <c r="E10" s="10">
        <v>134.26497329299335</v>
      </c>
      <c r="F10" s="10">
        <v>140.84308437679587</v>
      </c>
      <c r="G10" s="10">
        <v>124.43028386290138</v>
      </c>
      <c r="H10" s="10">
        <v>150.67777380688784</v>
      </c>
      <c r="J10" s="4" t="s">
        <v>20</v>
      </c>
    </row>
    <row r="11" spans="1:16" x14ac:dyDescent="0.3">
      <c r="A11" s="10">
        <v>7.7</v>
      </c>
      <c r="B11" s="9">
        <v>145</v>
      </c>
      <c r="D11" s="10">
        <v>140.67571721311475</v>
      </c>
      <c r="E11" s="10">
        <v>137.37187932463317</v>
      </c>
      <c r="F11" s="10">
        <v>143.97955510159633</v>
      </c>
      <c r="G11" s="10">
        <v>127.54825970887683</v>
      </c>
      <c r="H11" s="10">
        <v>153.80317471735268</v>
      </c>
      <c r="J11" s="4" t="s">
        <v>18</v>
      </c>
    </row>
    <row r="12" spans="1:16" x14ac:dyDescent="0.3">
      <c r="A12" s="10">
        <v>8</v>
      </c>
      <c r="B12" s="9">
        <v>145</v>
      </c>
      <c r="D12" s="10">
        <v>143.79740559133489</v>
      </c>
      <c r="E12" s="10">
        <v>140.36080982956199</v>
      </c>
      <c r="F12" s="10">
        <v>147.2340013531078</v>
      </c>
      <c r="G12" s="10">
        <v>130.63590924167761</v>
      </c>
      <c r="H12" s="10">
        <v>156.95890194099218</v>
      </c>
    </row>
    <row r="13" spans="1:16" x14ac:dyDescent="0.3">
      <c r="A13" s="10">
        <v>8</v>
      </c>
      <c r="B13" s="9">
        <v>150</v>
      </c>
      <c r="D13" s="10">
        <v>143.79740559133489</v>
      </c>
      <c r="E13" s="10">
        <v>140.36080982956199</v>
      </c>
      <c r="F13" s="10">
        <v>147.2340013531078</v>
      </c>
      <c r="G13" s="10">
        <v>130.63590924167761</v>
      </c>
      <c r="H13" s="10">
        <v>156.95890194099218</v>
      </c>
      <c r="P13" s="5"/>
    </row>
    <row r="14" spans="1:16" x14ac:dyDescent="0.3">
      <c r="A14" s="10">
        <v>8.3000000000000007</v>
      </c>
      <c r="B14" s="9">
        <v>147</v>
      </c>
      <c r="D14" s="10">
        <v>146.91909396955504</v>
      </c>
      <c r="E14" s="10">
        <v>143.24452960529104</v>
      </c>
      <c r="F14" s="10">
        <v>150.59365833381904</v>
      </c>
      <c r="G14" s="10">
        <v>133.69346661205984</v>
      </c>
      <c r="H14" s="10">
        <v>160.14472132705023</v>
      </c>
    </row>
    <row r="15" spans="1:16" x14ac:dyDescent="0.3">
      <c r="A15" s="10">
        <v>9</v>
      </c>
      <c r="B15" s="9">
        <v>155</v>
      </c>
      <c r="D15" s="10">
        <v>154.20303351873537</v>
      </c>
      <c r="E15" s="10">
        <v>149.66961132578871</v>
      </c>
      <c r="F15" s="10">
        <v>158.73645571168203</v>
      </c>
      <c r="G15" s="10">
        <v>140.71352972831716</v>
      </c>
      <c r="H15" s="10">
        <v>167.69253730915358</v>
      </c>
    </row>
    <row r="16" spans="1:16" x14ac:dyDescent="0.3">
      <c r="A16" s="10">
        <v>10</v>
      </c>
      <c r="B16" s="9">
        <v>160</v>
      </c>
      <c r="D16" s="10">
        <v>164.60866144613581</v>
      </c>
      <c r="E16" s="10">
        <v>158.43180942297786</v>
      </c>
      <c r="F16" s="10">
        <v>170.78551346929376</v>
      </c>
      <c r="G16" s="10">
        <v>150.48179708605232</v>
      </c>
      <c r="H16" s="10">
        <v>178.7355258062193</v>
      </c>
    </row>
    <row r="17" spans="1:13" x14ac:dyDescent="0.3">
      <c r="A17" s="14">
        <v>11</v>
      </c>
      <c r="B17" s="16">
        <v>170</v>
      </c>
      <c r="D17" s="14">
        <v>175.01428937353629</v>
      </c>
      <c r="E17" s="14">
        <v>166.97594732810782</v>
      </c>
      <c r="F17" s="14">
        <v>183.05263141896475</v>
      </c>
      <c r="G17" s="14">
        <v>159.98000393752341</v>
      </c>
      <c r="H17" s="14">
        <v>190.04857480954917</v>
      </c>
    </row>
    <row r="19" spans="1:13" x14ac:dyDescent="0.3">
      <c r="E19" t="str">
        <f ca="1">_xlfn.FORMULATEXT(E3)</f>
        <v>=_Yp-conf(_X)</v>
      </c>
      <c r="G19" t="str">
        <f ca="1">_xlfn.FORMULATEXT(G3)</f>
        <v>=_Yp-pred(_X)</v>
      </c>
    </row>
    <row r="20" spans="1:13" x14ac:dyDescent="0.3">
      <c r="F20" t="str">
        <f ca="1">_xlfn.FORMULATEXT(F3)</f>
        <v>=_Yp+conf(_X)</v>
      </c>
      <c r="H20" t="str">
        <f ca="1">_xlfn.FORMULATEXT(H3)</f>
        <v>=_Yp+pred(_X)</v>
      </c>
    </row>
    <row r="21" spans="1:13" ht="13.5" thickBot="1" x14ac:dyDescent="0.35"/>
    <row r="22" spans="1:13" x14ac:dyDescent="0.3">
      <c r="E22" s="17" t="s">
        <v>31</v>
      </c>
      <c r="F22" s="18" cm="1">
        <f t="array" ref="F22">_xlfn.LAMBDA(_xlpm.X, t_95 * SE * SQRT(1 / n + (_xlpm.X - xm) ^ 2 / SSxx))(5.5)</f>
        <v>5.3588946969523041</v>
      </c>
      <c r="G22" s="18" t="str">
        <f ca="1">_xlfn.FORMULATEXT(F22)</f>
        <v>=LAMBDA(X, t_95 * SE * SQRT(1 / n + (X - xm) ^ 2 / SSxx))(5.5)</v>
      </c>
      <c r="H22" s="18"/>
      <c r="I22" s="18"/>
      <c r="J22" s="18"/>
      <c r="K22" s="18"/>
      <c r="L22" s="18"/>
      <c r="M22" s="19"/>
    </row>
    <row r="23" spans="1:13" ht="13.5" thickBot="1" x14ac:dyDescent="0.35">
      <c r="E23" s="20" t="s">
        <v>32</v>
      </c>
      <c r="F23" s="21" cm="1">
        <f t="array" ref="F23">_xlfn.LAMBDA(_xlpm.X, t_95 * SE * SQRT(1 + 1 / n + (_xlpm.X - xm) ^ 2 / SSxx))(5.5)</f>
        <v>13.788855938954104</v>
      </c>
      <c r="G23" s="21" t="str">
        <f ca="1">_xlfn.FORMULATEXT(F23)</f>
        <v>=LAMBDA(X, t_95 * SE * SQRT(1 + 1 / n + (X - xm) ^ 2 / SSxx))(5.5)</v>
      </c>
      <c r="H23" s="21"/>
      <c r="I23" s="21"/>
      <c r="J23" s="21"/>
      <c r="K23" s="21"/>
      <c r="L23" s="21"/>
      <c r="M23" s="22"/>
    </row>
    <row r="25" spans="1:13" x14ac:dyDescent="0.3">
      <c r="E25" s="6" t="s">
        <v>28</v>
      </c>
    </row>
    <row r="31" spans="1:13" x14ac:dyDescent="0.3">
      <c r="E31" s="6" t="s">
        <v>27</v>
      </c>
    </row>
    <row r="37" spans="5:5" x14ac:dyDescent="0.3">
      <c r="E37" s="6" t="s">
        <v>26</v>
      </c>
    </row>
  </sheetData>
  <conditionalFormatting sqref="D3:H17 A3:B17">
    <cfRule type="expression" dxfId="1" priority="1">
      <formula>MOD(ROW(A3)-ROW($A$2),2)</formula>
    </cfRule>
  </conditionalFormatting>
  <pageMargins left="0.7" right="0.7" top="0.75" bottom="0.75" header="0.3" footer="0.3"/>
  <pageSetup scale="75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9A5FC6E6-42C8-4A97-A2F6-73D5C4385BF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Report</vt:lpstr>
      <vt:lpstr>_slope</vt:lpstr>
      <vt:lpstr>alpha</vt:lpstr>
      <vt:lpstr>df</vt:lpstr>
      <vt:lpstr>F</vt:lpstr>
      <vt:lpstr>interc</vt:lpstr>
      <vt:lpstr>n</vt:lpstr>
      <vt:lpstr>Report!Print_Area</vt:lpstr>
      <vt:lpstr>RSQ</vt:lpstr>
      <vt:lpstr>SE</vt:lpstr>
      <vt:lpstr>SEinterc</vt:lpstr>
      <vt:lpstr>SEslope</vt:lpstr>
      <vt:lpstr>SEy</vt:lpstr>
      <vt:lpstr>SSregr</vt:lpstr>
      <vt:lpstr>SSres</vt:lpstr>
      <vt:lpstr>SSxx</vt:lpstr>
      <vt:lpstr>t_95</vt:lpstr>
      <vt:lpstr>xm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2025-02-18T15:20:00Z</cp:lastPrinted>
  <dcterms:created xsi:type="dcterms:W3CDTF">2021-09-27T12:19:57Z</dcterms:created>
  <dcterms:modified xsi:type="dcterms:W3CDTF">2025-02-18T15:26:39Z</dcterms:modified>
</cp:coreProperties>
</file>