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pivotTables/pivotTable1.xml" ContentType="application/vnd.openxmlformats-officedocument.spreadsheetml.pivotTable+xml"/>
  <Override PartName="/xl/drawings/drawing7.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3811723E-D3C1-4EBC-9C18-6A4E93AACA81}" xr6:coauthVersionLast="47" xr6:coauthVersionMax="47" xr10:uidLastSave="{00000000-0000-0000-0000-000000000000}"/>
  <bookViews>
    <workbookView xWindow="-108" yWindow="-108" windowWidth="23256" windowHeight="12456" firstSheet="2" activeTab="4" xr2:uid="{AD5FE48E-9CE6-4EDE-8F69-E8FD3B4EAF42}"/>
  </bookViews>
  <sheets>
    <sheet name="Formula208" sheetId="1" r:id="rId1"/>
    <sheet name="Formula229" sheetId="4" r:id="rId2"/>
    <sheet name="Formula229 (2)" sheetId="6" r:id="rId3"/>
    <sheet name="Working" sheetId="7" r:id="rId4"/>
    <sheet name="NumMethod" sheetId="9" r:id="rId5"/>
    <sheet name="vCorrection" sheetId="8" r:id="rId6"/>
    <sheet name="Formats" sheetId="2" r:id="rId7"/>
    <sheet name="Lists" sheetId="3" r:id="rId8"/>
  </sheets>
  <definedNames>
    <definedName name="_Alt">Formula208!$D$23</definedName>
    <definedName name="_d" localSheetId="1">Formula229!$C$6</definedName>
    <definedName name="_d" localSheetId="2">'Formula229 (2)'!$C$6</definedName>
    <definedName name="_d" localSheetId="4">NumMethod!$C$6</definedName>
    <definedName name="_d" localSheetId="3">Working!$C$6</definedName>
    <definedName name="_d">Formula208!$D$8</definedName>
    <definedName name="_fHM">_xlfn.LAMBDA(_xlpm.a, INT(_xlpm.a) &amp; "° " &amp; FIXED(MOD(_xlpm.a, 1) * 60, 1) &amp; "'")</definedName>
    <definedName name="_h">Formula208!$D$11</definedName>
    <definedName name="_HC" comment="Computed altitude_x000a_" localSheetId="1">Formula229!$D$11</definedName>
    <definedName name="_HC" comment="Computed altitude_x000a_" localSheetId="2">'Formula229 (2)'!$D$11</definedName>
    <definedName name="_HC" comment="Computed altitude_x000a_" localSheetId="4">NumMethod!$D$11</definedName>
    <definedName name="_HC" comment="Computed altitude_x000a_" localSheetId="3">Working!$D$11</definedName>
    <definedName name="_L" localSheetId="1">Formula229!$C$5</definedName>
    <definedName name="_L" localSheetId="2">'Formula229 (2)'!$C$5</definedName>
    <definedName name="_L" localSheetId="4">NumMethod!$C$5</definedName>
    <definedName name="_L" localSheetId="3">Working!$C$5</definedName>
    <definedName name="_L">Formula208!$D$7</definedName>
    <definedName name="_PX">Formula208!$D$20</definedName>
    <definedName name="_PZ">Formula208!$D$21</definedName>
    <definedName name="_t" localSheetId="1">Formula229!$C$7</definedName>
    <definedName name="_t" localSheetId="2">'Formula229 (2)'!$C$7</definedName>
    <definedName name="_t" localSheetId="4">NumMethod!$C$7</definedName>
    <definedName name="_t" localSheetId="3">Working!$C$7</definedName>
    <definedName name="_t">Formula208!$D$9</definedName>
    <definedName name="_Z">Formula208!$D$12</definedName>
    <definedName name="_ZPA">Formula208!$D$24</definedName>
    <definedName name="_ZX">Formula208!$D$22</definedName>
    <definedName name="HD_Date">_xlfn.LET(_xlpm.dt, TODAY(),      _xlpm.y,  YEAR(_xlpm.dt),      _xlpm.m,  MONTH(_xlpm.dt),      _xlpm.d,  DAY(_xlpm.dt),      TEXT(DATE(_xlpm.y,_xlpm.m,_xlpm.d),"dd-mmm-yyyy")     )</definedName>
    <definedName name="solver_adj" localSheetId="4" hidden="1">NumMethod!$C$7</definedName>
    <definedName name="solver_cvg" localSheetId="4" hidden="1">0.0001</definedName>
    <definedName name="solver_drv" localSheetId="4" hidden="1">2</definedName>
    <definedName name="solver_eng" localSheetId="4" hidden="1">1</definedName>
    <definedName name="solver_est" localSheetId="4" hidden="1">1</definedName>
    <definedName name="solver_itr" localSheetId="4" hidden="1">2147483647</definedName>
    <definedName name="solver_mip" localSheetId="4" hidden="1">2147483647</definedName>
    <definedName name="solver_mni" localSheetId="4" hidden="1">30</definedName>
    <definedName name="solver_mrt" localSheetId="4" hidden="1">0.075</definedName>
    <definedName name="solver_msl" localSheetId="4" hidden="1">2</definedName>
    <definedName name="solver_neg" localSheetId="4" hidden="1">1</definedName>
    <definedName name="solver_nod" localSheetId="4" hidden="1">2147483647</definedName>
    <definedName name="solver_num" localSheetId="4" hidden="1">0</definedName>
    <definedName name="solver_nwt" localSheetId="4" hidden="1">1</definedName>
    <definedName name="solver_opt" localSheetId="4" hidden="1">NumMethod!$C$11</definedName>
    <definedName name="solver_pre" localSheetId="4" hidden="1">0.000001</definedName>
    <definedName name="solver_rbv" localSheetId="4" hidden="1">2</definedName>
    <definedName name="solver_rlx" localSheetId="4" hidden="1">2</definedName>
    <definedName name="solver_rsd" localSheetId="4" hidden="1">0</definedName>
    <definedName name="solver_scl" localSheetId="4" hidden="1">2</definedName>
    <definedName name="solver_sho" localSheetId="4" hidden="1">2</definedName>
    <definedName name="solver_ssz" localSheetId="4" hidden="1">100</definedName>
    <definedName name="solver_tim" localSheetId="4" hidden="1">2147483647</definedName>
    <definedName name="solver_tol" localSheetId="4" hidden="1">0.01</definedName>
    <definedName name="solver_typ" localSheetId="4" hidden="1">3</definedName>
    <definedName name="solver_val" localSheetId="4" hidden="1">12.66688658</definedName>
    <definedName name="solver_ver" localSheetId="4" hidden="1">3</definedName>
  </definedNames>
  <calcPr calcId="191029"/>
  <pivotCaches>
    <pivotCache cacheId="2"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1" i="9" l="1"/>
  <c r="D11" i="9" s="1" a="1"/>
  <c r="D11" i="9" s="1"/>
  <c r="F13" i="9"/>
  <c r="K12" i="9"/>
  <c r="C12" i="9" a="1"/>
  <c r="C12" i="9" s="1"/>
  <c r="D12" i="9" s="1" a="1"/>
  <c r="D12" i="9" s="1"/>
  <c r="K6" i="9"/>
  <c r="J6" i="9"/>
  <c r="I6" i="9"/>
  <c r="I25" i="8"/>
  <c r="I24" i="8"/>
  <c r="H24" i="8"/>
  <c r="G24" i="8"/>
  <c r="B3" i="8" a="1"/>
  <c r="B3" i="8" s="1"/>
  <c r="C12" i="7" a="1"/>
  <c r="C12" i="7" s="1"/>
  <c r="D12" i="7" s="1" a="1"/>
  <c r="D12" i="7" s="1"/>
  <c r="F13" i="7"/>
  <c r="K12" i="7"/>
  <c r="C17" i="7"/>
  <c r="C11" i="7"/>
  <c r="K6" i="7"/>
  <c r="J6" i="7"/>
  <c r="I6" i="7"/>
  <c r="C12" i="6"/>
  <c r="C13" i="6" s="1"/>
  <c r="C12" i="4"/>
  <c r="C13" i="4" s="1"/>
  <c r="D13" i="4" s="1" a="1"/>
  <c r="D13" i="4" s="1"/>
  <c r="C14" i="6"/>
  <c r="D14" i="6" s="1" a="1"/>
  <c r="D14" i="6" s="1"/>
  <c r="C11" i="6"/>
  <c r="D11" i="6" s="1" a="1"/>
  <c r="D11" i="6" s="1"/>
  <c r="K6" i="6"/>
  <c r="J6" i="6"/>
  <c r="I6" i="6"/>
  <c r="C14" i="4"/>
  <c r="K6" i="4"/>
  <c r="J6" i="4"/>
  <c r="I6" i="4"/>
  <c r="C11" i="4"/>
  <c r="D11" i="4" s="1" a="1"/>
  <c r="D11" i="4" s="1"/>
  <c r="K8" i="1"/>
  <c r="N11" i="1"/>
  <c r="D24" i="1"/>
  <c r="D21" i="1"/>
  <c r="D20" i="1"/>
  <c r="C14" i="1"/>
  <c r="C15" i="1" s="1"/>
  <c r="D11" i="1"/>
  <c r="M8" i="1"/>
  <c r="L8" i="1"/>
  <c r="B3" i="3" a="1"/>
  <c r="B3" i="3" s="1"/>
  <c r="B3" i="2" a="1"/>
  <c r="B3" i="2" s="1"/>
  <c r="D11" i="7" l="1" a="1"/>
  <c r="D11" i="7" s="1"/>
  <c r="D13" i="6" a="1"/>
  <c r="D13" i="6" s="1"/>
  <c r="D12" i="6" a="1"/>
  <c r="D12" i="6" s="1"/>
  <c r="D12" i="4" a="1"/>
  <c r="D12" i="4" s="1"/>
  <c r="E11" i="1"/>
  <c r="D22" i="1"/>
  <c r="C26" i="1" s="1"/>
  <c r="C27" i="1" s="1"/>
  <c r="D12" i="1"/>
  <c r="D27" i="1" l="1"/>
  <c r="C28" i="1"/>
  <c r="D28" i="1" s="1"/>
  <c r="D23"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<sst xmlns="http://schemas.openxmlformats.org/spreadsheetml/2006/main" count="207" uniqueCount="73">
  <si>
    <t>FROM:</t>
  </si>
  <si>
    <t>Mark Biegert</t>
  </si>
  <si>
    <t>SUBJECT:</t>
  </si>
  <si>
    <t>DATE:</t>
  </si>
  <si>
    <t>Category A</t>
  </si>
  <si>
    <t>Category B</t>
  </si>
  <si>
    <t>Category C</t>
  </si>
  <si>
    <t>Value</t>
  </si>
  <si>
    <t>A</t>
  </si>
  <si>
    <t>B</t>
  </si>
  <si>
    <t>C</t>
  </si>
  <si>
    <t>a</t>
  </si>
  <si>
    <t>b</t>
  </si>
  <si>
    <t>Grand Total</t>
  </si>
  <si>
    <t>Sum of Value</t>
  </si>
  <si>
    <t>Table Formats</t>
  </si>
  <si>
    <t>Tab Colors</t>
  </si>
  <si>
    <t>Data Tabs</t>
  </si>
  <si>
    <t>Report Tabs</t>
  </si>
  <si>
    <t>Analysis Tabs</t>
  </si>
  <si>
    <t>Metadata Tabs</t>
  </si>
  <si>
    <t>_L</t>
  </si>
  <si>
    <t>_d</t>
  </si>
  <si>
    <t>_t</t>
  </si>
  <si>
    <t>_h</t>
  </si>
  <si>
    <t>_Z</t>
  </si>
  <si>
    <t>https://www.siranah.de/html/sail042e.htm</t>
  </si>
  <si>
    <t>I need to understand the definition of azimuth better.</t>
  </si>
  <si>
    <t>_PX</t>
  </si>
  <si>
    <t>_PZ</t>
  </si>
  <si>
    <t>_ZX</t>
  </si>
  <si>
    <t>_Alt</t>
  </si>
  <si>
    <t>_ZPA</t>
  </si>
  <si>
    <t>https://astronavigationdemystified.com/calculating-azimuth-and-altitude-at-the-assumed-position-by-spherical-trigonometry/</t>
  </si>
  <si>
    <t>_Hc</t>
  </si>
  <si>
    <t>28° 5.4'</t>
  </si>
  <si>
    <t>75° 48.6'</t>
  </si>
  <si>
    <t>37° 38.6'</t>
  </si>
  <si>
    <t>218° 2.4'</t>
  </si>
  <si>
    <t>72° 21.5'</t>
  </si>
  <si>
    <t>264° 21.1'</t>
  </si>
  <si>
    <t>284° 11.4'</t>
  </si>
  <si>
    <t>141° 57.6'</t>
  </si>
  <si>
    <t>95° 38.9'</t>
  </si>
  <si>
    <t>Arcturus</t>
  </si>
  <si>
    <t>Antares</t>
  </si>
  <si>
    <t>Rasalhague</t>
  </si>
  <si>
    <t>Regulus</t>
  </si>
  <si>
    <t>Deneb</t>
  </si>
  <si>
    <t>Kochab</t>
  </si>
  <si>
    <t>29° 52.6'</t>
  </si>
  <si>
    <t>252° 59.9'</t>
  </si>
  <si>
    <t>107° 0.1'</t>
  </si>
  <si>
    <t>26° 33.6'</t>
  </si>
  <si>
    <t>50° 40.3'</t>
  </si>
  <si>
    <t>309° 19.7'</t>
  </si>
  <si>
    <t>64° 7.7'</t>
  </si>
  <si>
    <t>8° 2.1'</t>
  </si>
  <si>
    <t>351° 57.9'</t>
  </si>
  <si>
    <t>pg 55</t>
  </si>
  <si>
    <t>HO 208</t>
  </si>
  <si>
    <t>Pub 229</t>
  </si>
  <si>
    <t>291° 57.4'</t>
  </si>
  <si>
    <t>68° 2.6'</t>
  </si>
  <si>
    <t>pg64</t>
  </si>
  <si>
    <t>12° 40.0'</t>
  </si>
  <si>
    <t>111° 57'</t>
  </si>
  <si>
    <t>`</t>
  </si>
  <si>
    <t>Lat</t>
  </si>
  <si>
    <t>LHA</t>
  </si>
  <si>
    <t>dec</t>
  </si>
  <si>
    <t xml:space="preserve">Measured </t>
  </si>
  <si>
    <t>Celestial Body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</si>
</sst>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0"/>
      <color theme="1"/>
      <name val="Consolas"/>
      <family val="2"/>
      <scheme val="minor"/>
    </font>
    <font>
      <sz val="18"/>
      <color theme="3"/>
      <name val="Consolas"/>
      <family val="2"/>
      <scheme val="major"/>
    </font>
    <font>
      <b/>
      <sz val="11"/>
      <color theme="3"/>
      <name val="Consolas"/>
      <family val="2"/>
      <scheme val="minor"/>
    </font>
    <font>
      <b/>
      <sz val="11"/>
      <color theme="1"/>
      <name val="Consolas"/>
      <family val="2"/>
      <scheme val="minor"/>
    </font>
    <font>
      <i/>
      <sz val="10"/>
      <color theme="1"/>
      <name val="Consolas"/>
      <family val="2"/>
      <scheme val="minor"/>
    </font>
    <font>
      <b/>
      <sz val="10"/>
      <color theme="1"/>
      <name val="Consolas"/>
      <family val="2"/>
      <scheme val="minor"/>
    </font>
    <font>
      <sz val="10"/>
      <color theme="1"/>
      <name val="Consolas"/>
      <family val="2"/>
      <scheme val="minor"/>
    </font>
    <font>
      <b/>
      <sz val="10"/>
      <color rgb="FF7030A0"/>
      <name val="Consolas"/>
      <family val="2"/>
      <scheme val="minor"/>
    </font>
    <font>
      <sz val="11"/>
      <color rgb="FF0070C0"/>
      <name val="Consolas"/>
      <family val="2"/>
      <scheme val="minor"/>
    </font>
    <font>
      <sz val="10"/>
      <color rgb="FF0070C0"/>
      <name val="Consolas"/>
      <family val="2"/>
      <scheme val="minor"/>
    </font>
    <font>
      <u/>
      <sz val="10"/>
      <color rgb="FF00B050"/>
      <name val="Consolas"/>
      <family val="2"/>
      <scheme val="minor"/>
    </font>
    <font>
      <sz val="10"/>
      <color rgb="FFFF0000"/>
      <name val="Consolas"/>
      <family val="2"/>
      <scheme val="minor"/>
    </font>
    <font>
      <sz val="10"/>
      <name val="Consolas"/>
      <family val="2"/>
      <scheme val="minor"/>
    </font>
    <font>
      <b/>
      <sz val="10"/>
      <color theme="1"/>
      <name val="Consolas"/>
      <family val="3"/>
      <scheme val="minor"/>
    </font>
  </fonts>
  <fills count="12">
    <fill>
      <patternFill patternType="none"/>
    </fill>
    <fill>
      <patternFill patternType="gray125"/>
    </fill>
    <fill>
      <patternFill patternType="solid">
        <fgColor theme="0"/>
        <bgColor indexed="64"/>
      </patternFill>
    </fill>
    <fill>
      <patternFill patternType="solid">
        <fgColor theme="6" tint="0.59996337778862885"/>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rgb="FF99CCFF"/>
        <bgColor indexed="64"/>
      </patternFill>
    </fill>
    <fill>
      <patternFill patternType="solid">
        <fgColor rgb="FFCCFFCC"/>
        <bgColor indexed="64"/>
      </patternFill>
    </fill>
    <fill>
      <patternFill patternType="solid">
        <fgColor rgb="FFFF9999"/>
        <bgColor indexed="64"/>
      </patternFill>
    </fill>
    <fill>
      <patternFill patternType="solid">
        <fgColor rgb="FFFFFF00"/>
        <bgColor indexed="64"/>
      </patternFill>
    </fill>
    <fill>
      <patternFill patternType="solid">
        <fgColor theme="2"/>
        <bgColor indexed="64"/>
      </patternFill>
    </fill>
    <fill>
      <patternFill patternType="solid">
        <fgColor theme="6" tint="0.59999389629810485"/>
        <bgColor indexed="64"/>
      </patternFill>
    </fill>
  </fills>
  <borders count="3">
    <border>
      <left/>
      <right/>
      <top/>
      <bottom/>
      <diagonal/>
    </border>
    <border>
      <left/>
      <right/>
      <top/>
      <bottom style="medium">
        <color theme="4" tint="0.39997558519241921"/>
      </bottom>
      <diagonal/>
    </border>
    <border>
      <left/>
      <right/>
      <top style="double">
        <color theme="1"/>
      </top>
      <bottom/>
      <diagonal/>
    </border>
  </borders>
  <cellStyleXfs count="14">
    <xf numFmtId="0" fontId="0" fillId="0" borderId="0"/>
    <xf numFmtId="0" fontId="1" fillId="0" borderId="0" applyNumberFormat="0" applyFill="0" applyBorder="0" applyAlignment="0" applyProtection="0"/>
    <xf numFmtId="0" fontId="3" fillId="2" borderId="0" applyNumberFormat="0" applyAlignment="0" applyProtection="0"/>
    <xf numFmtId="0" fontId="4" fillId="2" borderId="0" applyNumberFormat="0" applyAlignment="0" applyProtection="0"/>
    <xf numFmtId="0" fontId="2" fillId="0" borderId="1" applyNumberFormat="0" applyFill="0" applyAlignment="0" applyProtection="0"/>
    <xf numFmtId="0" fontId="2" fillId="0" borderId="0" applyNumberFormat="0" applyFill="0" applyBorder="0" applyAlignment="0" applyProtection="0"/>
    <xf numFmtId="0" fontId="5" fillId="0" borderId="2" applyNumberFormat="0" applyFill="0" applyAlignment="0" applyProtection="0"/>
    <xf numFmtId="0" fontId="5" fillId="3" borderId="0" applyNumberFormat="0" applyAlignment="0" applyProtection="0"/>
    <xf numFmtId="0" fontId="6" fillId="4" borderId="0" applyNumberFormat="0" applyAlignment="0" applyProtection="0"/>
    <xf numFmtId="0" fontId="7" fillId="0" borderId="0" applyNumberFormat="0" applyAlignment="0" applyProtection="0"/>
    <xf numFmtId="0" fontId="8" fillId="0" borderId="0" applyNumberFormat="0" applyFill="0" applyAlignment="0" applyProtection="0"/>
    <xf numFmtId="0" fontId="6" fillId="0" borderId="0"/>
    <xf numFmtId="0" fontId="9" fillId="0" borderId="0" applyNumberFormat="0" applyFill="0" applyBorder="0" applyAlignment="0" applyProtection="0"/>
    <xf numFmtId="0" fontId="10" fillId="0" borderId="0" applyNumberFormat="0" applyFill="0" applyBorder="0" applyAlignment="0" applyProtection="0"/>
  </cellStyleXfs>
  <cellXfs count="16">
    <xf numFmtId="0" fontId="0" fillId="0" borderId="0" xfId="0"/>
    <xf numFmtId="0" fontId="5" fillId="3" borderId="0" xfId="7"/>
    <xf numFmtId="0" fontId="6" fillId="4" borderId="0" xfId="8"/>
    <xf numFmtId="0" fontId="0" fillId="0" borderId="0" xfId="0" pivotButton="1"/>
    <xf numFmtId="0" fontId="3" fillId="2" borderId="0" xfId="2"/>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applyAlignment="1">
      <alignment horizontal="centerContinuous"/>
    </xf>
    <xf numFmtId="0" fontId="0" fillId="10" borderId="0" xfId="0" applyFill="1"/>
    <xf numFmtId="0" fontId="0" fillId="11" borderId="0" xfId="0" applyFill="1" applyAlignment="1">
      <alignment horizontal="centerContinuous"/>
    </xf>
    <xf numFmtId="0" fontId="11" fillId="0" borderId="0" xfId="0" applyFont="1"/>
    <xf numFmtId="0" fontId="12" fillId="0" borderId="0" xfId="0" applyFont="1"/>
    <xf numFmtId="0" fontId="13" fillId="0" borderId="0" xfId="0" applyFont="1"/>
  </cellXfs>
  <cellStyles count="14">
    <cellStyle name="Comment" xfId="9" xr:uid="{C4DDEBC2-DCD2-4316-AAE7-A5F6C47DBA99}"/>
    <cellStyle name="Followed Hyperlink" xfId="11" builtinId="9" hidden="1"/>
    <cellStyle name="Followed Hyperlink" xfId="13" builtinId="9" customBuiltin="1"/>
    <cellStyle name="Heading 1" xfId="2" builtinId="16" customBuiltin="1"/>
    <cellStyle name="Heading 2" xfId="3" builtinId="17" customBuiltin="1"/>
    <cellStyle name="Heading 3" xfId="4" builtinId="18" hidden="1"/>
    <cellStyle name="Heading 4" xfId="5" builtinId="19" hidden="1"/>
    <cellStyle name="Hyperlink" xfId="12" builtinId="8" customBuiltin="1"/>
    <cellStyle name="Intro_Hd" xfId="7" xr:uid="{84D0D410-758D-4384-B224-A500BAF57428}"/>
    <cellStyle name="Intro_Value" xfId="8" xr:uid="{15DF3F31-B3CA-47B9-81DE-6CDBDA24C6D7}"/>
    <cellStyle name="Linked Cell" xfId="10" builtinId="24" customBuiltin="1"/>
    <cellStyle name="Normal" xfId="0" builtinId="0" customBuiltin="1"/>
    <cellStyle name="Title" xfId="1" builtinId="15" hidden="1"/>
    <cellStyle name="Total" xfId="6" builtinId="25" customBuiltin="1"/>
  </cellStyles>
  <dxfs count="19">
    <dxf>
      <fill>
        <patternFill patternType="solid">
          <fgColor theme="4" tint="0.79998168889431442"/>
          <bgColor theme="4" tint="0.79998168889431442"/>
        </patternFill>
      </fill>
    </dxf>
    <dxf>
      <fill>
        <patternFill patternType="solid">
          <fgColor theme="4" tint="0.79995117038483843"/>
          <bgColor rgb="FFFDF5E9"/>
        </patternFill>
      </fill>
    </dxf>
    <dxf>
      <font>
        <b/>
        <color theme="1"/>
      </font>
    </dxf>
    <dxf>
      <font>
        <b/>
        <color theme="1"/>
      </font>
    </dxf>
    <dxf>
      <font>
        <b val="0"/>
        <i val="0"/>
        <color theme="1"/>
      </font>
      <fill>
        <patternFill patternType="none">
          <bgColor auto="1"/>
        </patternFill>
      </fill>
      <border>
        <top style="double">
          <color theme="1"/>
        </top>
      </border>
    </dxf>
    <dxf>
      <font>
        <b/>
        <i val="0"/>
        <color theme="1"/>
      </font>
      <fill>
        <patternFill patternType="solid">
          <fgColor theme="0"/>
          <bgColor theme="8" tint="0.79995117038483843"/>
        </patternFill>
      </fill>
      <border>
        <bottom style="double">
          <color auto="1"/>
        </bottom>
      </border>
    </dxf>
    <dxf>
      <font>
        <b val="0"/>
        <i val="0"/>
        <color theme="1"/>
      </font>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style="thin">
          <color theme="0" tint="-0.14996795556505021"/>
        </horizontal>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fill>
        <patternFill>
          <bgColor rgb="FFEFFFEF"/>
        </patternFill>
      </fill>
    </dxf>
    <dxf>
      <font>
        <b/>
        <color theme="1"/>
      </font>
      <fill>
        <patternFill>
          <bgColor rgb="FFFFC000"/>
        </patternFill>
      </fill>
    </dxf>
    <dxf>
      <font>
        <b/>
        <color theme="1"/>
      </font>
      <fill>
        <patternFill patternType="solid">
          <fgColor theme="4" tint="0.59999389629810485"/>
          <bgColor rgb="FF00B050"/>
        </patternFill>
      </fill>
    </dxf>
    <dxf>
      <font>
        <b/>
        <color theme="1"/>
      </font>
      <border>
        <left style="medium">
          <color theme="4" tint="0.59999389629810485"/>
        </left>
        <right style="medium">
          <color theme="4" tint="0.59999389629810485"/>
        </right>
        <top style="medium">
          <color theme="4" tint="0.59999389629810485"/>
        </top>
        <bottom style="medium">
          <color theme="4" tint="0.59999389629810485"/>
        </bottom>
      </border>
    </dxf>
    <dxf>
      <font>
        <b val="0"/>
        <i val="0"/>
        <color theme="1"/>
      </font>
      <fill>
        <patternFill>
          <bgColor theme="0" tint="-4.9989318521683403E-2"/>
        </patternFill>
      </fill>
    </dxf>
    <dxf>
      <border>
        <left style="thin">
          <color theme="4" tint="0.39997558519241921"/>
        </left>
        <right style="thin">
          <color theme="4" tint="0.39997558519241921"/>
        </right>
      </border>
    </dxf>
    <dxf>
      <font>
        <b/>
        <color theme="1"/>
      </font>
      <fill>
        <patternFill>
          <bgColor theme="0" tint="-4.9989318521683403E-2"/>
        </patternFill>
      </fill>
      <border>
        <top style="double">
          <color theme="1"/>
        </top>
        <bottom/>
      </border>
    </dxf>
    <dxf>
      <font>
        <b/>
        <i val="0"/>
        <color theme="1"/>
      </font>
      <fill>
        <patternFill patternType="solid">
          <fgColor theme="4"/>
          <bgColor theme="0" tint="-0.14996795556505021"/>
        </patternFill>
      </fill>
      <border>
        <top/>
        <bottom style="double">
          <color theme="1"/>
        </bottom>
      </border>
    </dxf>
    <dxf>
      <font>
        <color theme="1"/>
      </font>
    </dxf>
  </dxfs>
  <tableStyles count="2" defaultTableStyle="Biegert Table Standard" defaultPivotStyle="PivotStyleLight16">
    <tableStyle name="Biegert Standard Pivot Table" table="0" count="12" xr9:uid="{94886349-6B4A-4300-89B0-9F83C8B5183A}">
      <tableStyleElement type="wholeTable" dxfId="18"/>
      <tableStyleElement type="headerRow" dxfId="17"/>
      <tableStyleElement type="totalRow" dxfId="16"/>
      <tableStyleElement type="firstColumnStripe" dxfId="15"/>
      <tableStyleElement type="firstHeaderCell" dxfId="14"/>
      <tableStyleElement type="firstSubtotalColumn"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 name="Biegert Table Standard" pivot="0" count="7" xr9:uid="{95B43237-2845-4068-A415-A5A3E7804959}">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CCFFCC"/>
      <color rgb="FFEBFFEB"/>
      <color rgb="FFFF9999"/>
      <color rgb="FF99CCFF"/>
      <color rgb="FFEFFF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0</xdr:col>
      <xdr:colOff>1</xdr:colOff>
      <xdr:row>0</xdr:row>
      <xdr:rowOff>0</xdr:rowOff>
    </xdr:from>
    <xdr:to>
      <xdr:col>3</xdr:col>
      <xdr:colOff>371473</xdr:colOff>
      <xdr:row>2</xdr:row>
      <xdr:rowOff>149352</xdr:rowOff>
    </xdr:to>
    <xdr:grpSp>
      <xdr:nvGrpSpPr>
        <xdr:cNvPr id="2" name="Group 1">
          <a:extLst>
            <a:ext uri="{FF2B5EF4-FFF2-40B4-BE49-F238E27FC236}">
              <a16:creationId xmlns:a16="http://schemas.microsoft.com/office/drawing/2014/main" id="{7074C19F-1C88-4662-A063-212074E77271}"/>
            </a:ext>
          </a:extLst>
        </xdr:cNvPr>
        <xdr:cNvGrpSpPr/>
      </xdr:nvGrpSpPr>
      <xdr:grpSpPr>
        <a:xfrm>
          <a:off x="1" y="0"/>
          <a:ext cx="2200272" cy="484632"/>
          <a:chOff x="3162303" y="274265"/>
          <a:chExt cx="2198368" cy="489383"/>
        </a:xfrm>
      </xdr:grpSpPr>
      <xdr:sp macro="" textlink="">
        <xdr:nvSpPr>
          <xdr:cNvPr id="3" name="TextBox 2">
            <a:extLst>
              <a:ext uri="{FF2B5EF4-FFF2-40B4-BE49-F238E27FC236}">
                <a16:creationId xmlns:a16="http://schemas.microsoft.com/office/drawing/2014/main" id="{C46B960B-5C14-BEA0-E3CA-E19AF4A61D37}"/>
              </a:ext>
            </a:extLst>
          </xdr:cNvPr>
          <xdr:cNvSpPr txBox="1"/>
        </xdr:nvSpPr>
        <xdr:spPr>
          <a:xfrm>
            <a:off x="3162303" y="274265"/>
            <a:ext cx="776564" cy="489383"/>
          </a:xfrm>
          <a:prstGeom prst="rect">
            <a:avLst/>
          </a:prstGeom>
          <a:solidFill>
            <a:schemeClr val="accent3">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0" bIns="0" rtlCol="0" anchor="t"/>
          <a:lstStyle/>
          <a:p>
            <a:r>
              <a:rPr lang="en-US" sz="1000" b="1"/>
              <a:t>FROM:</a:t>
            </a:r>
          </a:p>
          <a:p>
            <a:r>
              <a:rPr lang="en-US" sz="1000" b="1"/>
              <a:t>SUBJECT:</a:t>
            </a:r>
          </a:p>
          <a:p>
            <a:r>
              <a:rPr lang="en-US" sz="1000" b="1"/>
              <a:t>DATE:</a:t>
            </a:r>
          </a:p>
        </xdr:txBody>
      </xdr:sp>
      <xdr:sp macro="" textlink="">
        <xdr:nvSpPr>
          <xdr:cNvPr id="4" name="TextBox 3">
            <a:extLst>
              <a:ext uri="{FF2B5EF4-FFF2-40B4-BE49-F238E27FC236}">
                <a16:creationId xmlns:a16="http://schemas.microsoft.com/office/drawing/2014/main" id="{EBEB5BD1-9CE5-8027-61D0-8DD022719111}"/>
              </a:ext>
            </a:extLst>
          </xdr:cNvPr>
          <xdr:cNvSpPr txBox="1"/>
        </xdr:nvSpPr>
        <xdr:spPr>
          <a:xfrm>
            <a:off x="3908004" y="274265"/>
            <a:ext cx="1452667" cy="489383"/>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91440" tIns="0" rIns="0" bIns="0" rtlCol="0" anchor="t"/>
          <a:lstStyle/>
          <a:p>
            <a:r>
              <a:rPr lang="en-US" sz="1000" b="0"/>
              <a:t>Mark Biegert</a:t>
            </a:r>
          </a:p>
          <a:p>
            <a:r>
              <a:rPr lang="en-US" sz="1000" b="0"/>
              <a:t>Placeholder</a:t>
            </a:r>
          </a:p>
          <a:p>
            <a:r>
              <a:rPr lang="en-US" sz="1000" b="0"/>
              <a:t>1-Jan-2024</a:t>
            </a:r>
          </a:p>
        </xdr:txBody>
      </xdr:sp>
    </xdr:grpSp>
    <xdr:clientData/>
  </xdr:twoCellAnchor>
  <xdr:twoCellAnchor editAs="oneCell">
    <xdr:from>
      <xdr:col>16</xdr:col>
      <xdr:colOff>0</xdr:colOff>
      <xdr:row>7</xdr:row>
      <xdr:rowOff>0</xdr:rowOff>
    </xdr:from>
    <xdr:to>
      <xdr:col>28</xdr:col>
      <xdr:colOff>326823</xdr:colOff>
      <xdr:row>28</xdr:row>
      <xdr:rowOff>503</xdr:rowOff>
    </xdr:to>
    <xdr:pic>
      <xdr:nvPicPr>
        <xdr:cNvPr id="5" name="Picture 4">
          <a:extLst>
            <a:ext uri="{FF2B5EF4-FFF2-40B4-BE49-F238E27FC236}">
              <a16:creationId xmlns:a16="http://schemas.microsoft.com/office/drawing/2014/main" id="{7528ADD8-582F-3B1A-9AE9-032478281DBC}"/>
            </a:ext>
          </a:extLst>
        </xdr:cNvPr>
        <xdr:cNvPicPr>
          <a:picLocks noChangeAspect="1"/>
        </xdr:cNvPicPr>
      </xdr:nvPicPr>
      <xdr:blipFill>
        <a:blip xmlns:r="http://schemas.openxmlformats.org/officeDocument/2006/relationships" r:embed="rId1"/>
        <a:stretch>
          <a:fillRect/>
        </a:stretch>
      </xdr:blipFill>
      <xdr:spPr>
        <a:xfrm>
          <a:off x="9753600" y="1200150"/>
          <a:ext cx="7649643" cy="360095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0</xdr:colOff>
      <xdr:row>2</xdr:row>
      <xdr:rowOff>0</xdr:rowOff>
    </xdr:from>
    <xdr:to>
      <xdr:col>34</xdr:col>
      <xdr:colOff>34554</xdr:colOff>
      <xdr:row>23</xdr:row>
      <xdr:rowOff>114800</xdr:rowOff>
    </xdr:to>
    <xdr:pic>
      <xdr:nvPicPr>
        <xdr:cNvPr id="2" name="Picture 1">
          <a:extLst>
            <a:ext uri="{FF2B5EF4-FFF2-40B4-BE49-F238E27FC236}">
              <a16:creationId xmlns:a16="http://schemas.microsoft.com/office/drawing/2014/main" id="{A112C50C-25DA-2C6C-7F62-1F845FA706A8}"/>
            </a:ext>
          </a:extLst>
        </xdr:cNvPr>
        <xdr:cNvPicPr>
          <a:picLocks noChangeAspect="1"/>
        </xdr:cNvPicPr>
      </xdr:nvPicPr>
      <xdr:blipFill>
        <a:blip xmlns:r="http://schemas.openxmlformats.org/officeDocument/2006/relationships" r:embed="rId1"/>
        <a:stretch>
          <a:fillRect/>
        </a:stretch>
      </xdr:blipFill>
      <xdr:spPr>
        <a:xfrm>
          <a:off x="9753600" y="330200"/>
          <a:ext cx="10993384" cy="3581900"/>
        </a:xfrm>
        <a:prstGeom prst="rect">
          <a:avLst/>
        </a:prstGeom>
      </xdr:spPr>
    </xdr:pic>
    <xdr:clientData/>
  </xdr:twoCellAnchor>
  <xdr:twoCellAnchor editAs="oneCell">
    <xdr:from>
      <xdr:col>0</xdr:col>
      <xdr:colOff>584200</xdr:colOff>
      <xdr:row>21</xdr:row>
      <xdr:rowOff>64770</xdr:rowOff>
    </xdr:from>
    <xdr:to>
      <xdr:col>16</xdr:col>
      <xdr:colOff>297447</xdr:colOff>
      <xdr:row>47</xdr:row>
      <xdr:rowOff>72991</xdr:rowOff>
    </xdr:to>
    <xdr:pic>
      <xdr:nvPicPr>
        <xdr:cNvPr id="3" name="Picture 2">
          <a:extLst>
            <a:ext uri="{FF2B5EF4-FFF2-40B4-BE49-F238E27FC236}">
              <a16:creationId xmlns:a16="http://schemas.microsoft.com/office/drawing/2014/main" id="{DC08C245-59EC-9573-C6D8-61726901A0B4}"/>
            </a:ext>
          </a:extLst>
        </xdr:cNvPr>
        <xdr:cNvPicPr>
          <a:picLocks noChangeAspect="1"/>
        </xdr:cNvPicPr>
      </xdr:nvPicPr>
      <xdr:blipFill>
        <a:blip xmlns:r="http://schemas.openxmlformats.org/officeDocument/2006/relationships" r:embed="rId2"/>
        <a:stretch>
          <a:fillRect/>
        </a:stretch>
      </xdr:blipFill>
      <xdr:spPr>
        <a:xfrm>
          <a:off x="584200" y="3531870"/>
          <a:ext cx="11009897" cy="4295741"/>
        </a:xfrm>
        <a:prstGeom prst="rect">
          <a:avLst/>
        </a:prstGeom>
      </xdr:spPr>
    </xdr:pic>
    <xdr:clientData/>
  </xdr:twoCellAnchor>
  <xdr:twoCellAnchor editAs="oneCell">
    <xdr:from>
      <xdr:col>7</xdr:col>
      <xdr:colOff>0</xdr:colOff>
      <xdr:row>15</xdr:row>
      <xdr:rowOff>0</xdr:rowOff>
    </xdr:from>
    <xdr:to>
      <xdr:col>17</xdr:col>
      <xdr:colOff>569369</xdr:colOff>
      <xdr:row>21</xdr:row>
      <xdr:rowOff>105562</xdr:rowOff>
    </xdr:to>
    <xdr:pic>
      <xdr:nvPicPr>
        <xdr:cNvPr id="4" name="Picture 3">
          <a:extLst>
            <a:ext uri="{FF2B5EF4-FFF2-40B4-BE49-F238E27FC236}">
              <a16:creationId xmlns:a16="http://schemas.microsoft.com/office/drawing/2014/main" id="{A5685DC6-F112-D7A7-0C3A-FCED3532284C}"/>
            </a:ext>
          </a:extLst>
        </xdr:cNvPr>
        <xdr:cNvPicPr>
          <a:picLocks noChangeAspect="1"/>
        </xdr:cNvPicPr>
      </xdr:nvPicPr>
      <xdr:blipFill>
        <a:blip xmlns:r="http://schemas.openxmlformats.org/officeDocument/2006/relationships" r:embed="rId3"/>
        <a:stretch>
          <a:fillRect/>
        </a:stretch>
      </xdr:blipFill>
      <xdr:spPr>
        <a:xfrm>
          <a:off x="5003800" y="2476500"/>
          <a:ext cx="7478169" cy="108600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16</xdr:col>
      <xdr:colOff>0</xdr:colOff>
      <xdr:row>2</xdr:row>
      <xdr:rowOff>0</xdr:rowOff>
    </xdr:from>
    <xdr:to>
      <xdr:col>34</xdr:col>
      <xdr:colOff>34554</xdr:colOff>
      <xdr:row>23</xdr:row>
      <xdr:rowOff>114800</xdr:rowOff>
    </xdr:to>
    <xdr:pic>
      <xdr:nvPicPr>
        <xdr:cNvPr id="2" name="Picture 1">
          <a:extLst>
            <a:ext uri="{FF2B5EF4-FFF2-40B4-BE49-F238E27FC236}">
              <a16:creationId xmlns:a16="http://schemas.microsoft.com/office/drawing/2014/main" id="{B6DD0711-54A8-49A4-B155-D2F0D4F33675}"/>
            </a:ext>
          </a:extLst>
        </xdr:cNvPr>
        <xdr:cNvPicPr>
          <a:picLocks noChangeAspect="1"/>
        </xdr:cNvPicPr>
      </xdr:nvPicPr>
      <xdr:blipFill>
        <a:blip xmlns:r="http://schemas.openxmlformats.org/officeDocument/2006/relationships" r:embed="rId1"/>
        <a:stretch>
          <a:fillRect/>
        </a:stretch>
      </xdr:blipFill>
      <xdr:spPr>
        <a:xfrm>
          <a:off x="11303000" y="330200"/>
          <a:ext cx="11007354" cy="3581900"/>
        </a:xfrm>
        <a:prstGeom prst="rect">
          <a:avLst/>
        </a:prstGeom>
      </xdr:spPr>
    </xdr:pic>
    <xdr:clientData/>
  </xdr:twoCellAnchor>
  <xdr:twoCellAnchor editAs="oneCell">
    <xdr:from>
      <xdr:col>0</xdr:col>
      <xdr:colOff>584200</xdr:colOff>
      <xdr:row>21</xdr:row>
      <xdr:rowOff>64770</xdr:rowOff>
    </xdr:from>
    <xdr:to>
      <xdr:col>16</xdr:col>
      <xdr:colOff>301257</xdr:colOff>
      <xdr:row>47</xdr:row>
      <xdr:rowOff>72991</xdr:rowOff>
    </xdr:to>
    <xdr:pic>
      <xdr:nvPicPr>
        <xdr:cNvPr id="3" name="Picture 2">
          <a:extLst>
            <a:ext uri="{FF2B5EF4-FFF2-40B4-BE49-F238E27FC236}">
              <a16:creationId xmlns:a16="http://schemas.microsoft.com/office/drawing/2014/main" id="{F5E1CD8D-D5C0-4E58-976A-140A5F5CB47D}"/>
            </a:ext>
          </a:extLst>
        </xdr:cNvPr>
        <xdr:cNvPicPr>
          <a:picLocks noChangeAspect="1"/>
        </xdr:cNvPicPr>
      </xdr:nvPicPr>
      <xdr:blipFill>
        <a:blip xmlns:r="http://schemas.openxmlformats.org/officeDocument/2006/relationships" r:embed="rId2"/>
        <a:stretch>
          <a:fillRect/>
        </a:stretch>
      </xdr:blipFill>
      <xdr:spPr>
        <a:xfrm>
          <a:off x="581660" y="3533140"/>
          <a:ext cx="11018787" cy="4299551"/>
        </a:xfrm>
        <a:prstGeom prst="rect">
          <a:avLst/>
        </a:prstGeom>
      </xdr:spPr>
    </xdr:pic>
    <xdr:clientData/>
  </xdr:twoCellAnchor>
  <xdr:twoCellAnchor editAs="oneCell">
    <xdr:from>
      <xdr:col>7</xdr:col>
      <xdr:colOff>0</xdr:colOff>
      <xdr:row>15</xdr:row>
      <xdr:rowOff>0</xdr:rowOff>
    </xdr:from>
    <xdr:to>
      <xdr:col>17</xdr:col>
      <xdr:colOff>569369</xdr:colOff>
      <xdr:row>21</xdr:row>
      <xdr:rowOff>110642</xdr:rowOff>
    </xdr:to>
    <xdr:pic>
      <xdr:nvPicPr>
        <xdr:cNvPr id="4" name="Picture 3">
          <a:extLst>
            <a:ext uri="{FF2B5EF4-FFF2-40B4-BE49-F238E27FC236}">
              <a16:creationId xmlns:a16="http://schemas.microsoft.com/office/drawing/2014/main" id="{04F8C34B-73C6-4A21-9065-565EAEBFADC7}"/>
            </a:ext>
          </a:extLst>
        </xdr:cNvPr>
        <xdr:cNvPicPr>
          <a:picLocks noChangeAspect="1"/>
        </xdr:cNvPicPr>
      </xdr:nvPicPr>
      <xdr:blipFill>
        <a:blip xmlns:r="http://schemas.openxmlformats.org/officeDocument/2006/relationships" r:embed="rId3"/>
        <a:stretch>
          <a:fillRect/>
        </a:stretch>
      </xdr:blipFill>
      <xdr:spPr>
        <a:xfrm>
          <a:off x="5003800" y="2476500"/>
          <a:ext cx="7478169" cy="109616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16</xdr:col>
      <xdr:colOff>0</xdr:colOff>
      <xdr:row>2</xdr:row>
      <xdr:rowOff>0</xdr:rowOff>
    </xdr:from>
    <xdr:to>
      <xdr:col>34</xdr:col>
      <xdr:colOff>34554</xdr:colOff>
      <xdr:row>23</xdr:row>
      <xdr:rowOff>114800</xdr:rowOff>
    </xdr:to>
    <xdr:pic>
      <xdr:nvPicPr>
        <xdr:cNvPr id="2" name="Picture 1">
          <a:extLst>
            <a:ext uri="{FF2B5EF4-FFF2-40B4-BE49-F238E27FC236}">
              <a16:creationId xmlns:a16="http://schemas.microsoft.com/office/drawing/2014/main" id="{90BBA8A7-86E0-4169-8428-BA43DD9F0B75}"/>
            </a:ext>
          </a:extLst>
        </xdr:cNvPr>
        <xdr:cNvPicPr>
          <a:picLocks noChangeAspect="1"/>
        </xdr:cNvPicPr>
      </xdr:nvPicPr>
      <xdr:blipFill>
        <a:blip xmlns:r="http://schemas.openxmlformats.org/officeDocument/2006/relationships" r:embed="rId1"/>
        <a:stretch>
          <a:fillRect/>
        </a:stretch>
      </xdr:blipFill>
      <xdr:spPr>
        <a:xfrm>
          <a:off x="11303000" y="330200"/>
          <a:ext cx="11007354" cy="3581900"/>
        </a:xfrm>
        <a:prstGeom prst="rect">
          <a:avLst/>
        </a:prstGeom>
      </xdr:spPr>
    </xdr:pic>
    <xdr:clientData/>
  </xdr:twoCellAnchor>
  <xdr:twoCellAnchor editAs="oneCell">
    <xdr:from>
      <xdr:col>2</xdr:col>
      <xdr:colOff>387985</xdr:colOff>
      <xdr:row>33</xdr:row>
      <xdr:rowOff>72390</xdr:rowOff>
    </xdr:from>
    <xdr:to>
      <xdr:col>18</xdr:col>
      <xdr:colOff>93612</xdr:colOff>
      <xdr:row>59</xdr:row>
      <xdr:rowOff>72991</xdr:rowOff>
    </xdr:to>
    <xdr:pic>
      <xdr:nvPicPr>
        <xdr:cNvPr id="3" name="Picture 2">
          <a:extLst>
            <a:ext uri="{FF2B5EF4-FFF2-40B4-BE49-F238E27FC236}">
              <a16:creationId xmlns:a16="http://schemas.microsoft.com/office/drawing/2014/main" id="{3E83E78E-9F7D-4C6B-B402-AFF1610C6A27}"/>
            </a:ext>
          </a:extLst>
        </xdr:cNvPr>
        <xdr:cNvPicPr>
          <a:picLocks noChangeAspect="1"/>
        </xdr:cNvPicPr>
      </xdr:nvPicPr>
      <xdr:blipFill>
        <a:blip xmlns:r="http://schemas.openxmlformats.org/officeDocument/2006/relationships" r:embed="rId2"/>
        <a:stretch>
          <a:fillRect/>
        </a:stretch>
      </xdr:blipFill>
      <xdr:spPr>
        <a:xfrm>
          <a:off x="1607185" y="5730240"/>
          <a:ext cx="10990847" cy="4458301"/>
        </a:xfrm>
        <a:prstGeom prst="rect">
          <a:avLst/>
        </a:prstGeom>
      </xdr:spPr>
    </xdr:pic>
    <xdr:clientData/>
  </xdr:twoCellAnchor>
  <xdr:twoCellAnchor editAs="oneCell">
    <xdr:from>
      <xdr:col>7</xdr:col>
      <xdr:colOff>0</xdr:colOff>
      <xdr:row>15</xdr:row>
      <xdr:rowOff>0</xdr:rowOff>
    </xdr:from>
    <xdr:to>
      <xdr:col>17</xdr:col>
      <xdr:colOff>569369</xdr:colOff>
      <xdr:row>21</xdr:row>
      <xdr:rowOff>110642</xdr:rowOff>
    </xdr:to>
    <xdr:pic>
      <xdr:nvPicPr>
        <xdr:cNvPr id="4" name="Picture 3">
          <a:extLst>
            <a:ext uri="{FF2B5EF4-FFF2-40B4-BE49-F238E27FC236}">
              <a16:creationId xmlns:a16="http://schemas.microsoft.com/office/drawing/2014/main" id="{DB37C871-440D-4EA7-B504-C97BDB0CC181}"/>
            </a:ext>
          </a:extLst>
        </xdr:cNvPr>
        <xdr:cNvPicPr>
          <a:picLocks noChangeAspect="1"/>
        </xdr:cNvPicPr>
      </xdr:nvPicPr>
      <xdr:blipFill>
        <a:blip xmlns:r="http://schemas.openxmlformats.org/officeDocument/2006/relationships" r:embed="rId3"/>
        <a:stretch>
          <a:fillRect/>
        </a:stretch>
      </xdr:blipFill>
      <xdr:spPr>
        <a:xfrm>
          <a:off x="5003800" y="2476500"/>
          <a:ext cx="7478169" cy="1101242"/>
        </a:xfrm>
        <a:prstGeom prst="rect">
          <a:avLst/>
        </a:prstGeom>
      </xdr:spPr>
    </xdr:pic>
    <xdr:clientData/>
  </xdr:twoCellAnchor>
  <xdr:twoCellAnchor editAs="oneCell">
    <xdr:from>
      <xdr:col>3</xdr:col>
      <xdr:colOff>480060</xdr:colOff>
      <xdr:row>53</xdr:row>
      <xdr:rowOff>53340</xdr:rowOff>
    </xdr:from>
    <xdr:to>
      <xdr:col>18</xdr:col>
      <xdr:colOff>3289</xdr:colOff>
      <xdr:row>85</xdr:row>
      <xdr:rowOff>55996</xdr:rowOff>
    </xdr:to>
    <xdr:pic>
      <xdr:nvPicPr>
        <xdr:cNvPr id="5" name="Picture 4">
          <a:extLst>
            <a:ext uri="{FF2B5EF4-FFF2-40B4-BE49-F238E27FC236}">
              <a16:creationId xmlns:a16="http://schemas.microsoft.com/office/drawing/2014/main" id="{C49DA531-0ABC-567C-CE6A-29865B3945B4}"/>
            </a:ext>
          </a:extLst>
        </xdr:cNvPr>
        <xdr:cNvPicPr>
          <a:picLocks noChangeAspect="1"/>
        </xdr:cNvPicPr>
      </xdr:nvPicPr>
      <xdr:blipFill>
        <a:blip xmlns:r="http://schemas.openxmlformats.org/officeDocument/2006/relationships" r:embed="rId4"/>
        <a:stretch>
          <a:fillRect/>
        </a:stretch>
      </xdr:blipFill>
      <xdr:spPr>
        <a:xfrm>
          <a:off x="2598420" y="8938260"/>
          <a:ext cx="9916909" cy="538237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16</xdr:col>
      <xdr:colOff>0</xdr:colOff>
      <xdr:row>2</xdr:row>
      <xdr:rowOff>0</xdr:rowOff>
    </xdr:from>
    <xdr:to>
      <xdr:col>34</xdr:col>
      <xdr:colOff>34554</xdr:colOff>
      <xdr:row>23</xdr:row>
      <xdr:rowOff>114800</xdr:rowOff>
    </xdr:to>
    <xdr:pic>
      <xdr:nvPicPr>
        <xdr:cNvPr id="2" name="Picture 1">
          <a:extLst>
            <a:ext uri="{FF2B5EF4-FFF2-40B4-BE49-F238E27FC236}">
              <a16:creationId xmlns:a16="http://schemas.microsoft.com/office/drawing/2014/main" id="{110D2269-2A1D-4FA7-B3BB-3BAEE0F3A4BC}"/>
            </a:ext>
          </a:extLst>
        </xdr:cNvPr>
        <xdr:cNvPicPr>
          <a:picLocks noChangeAspect="1"/>
        </xdr:cNvPicPr>
      </xdr:nvPicPr>
      <xdr:blipFill>
        <a:blip xmlns:r="http://schemas.openxmlformats.org/officeDocument/2006/relationships" r:embed="rId1"/>
        <a:stretch>
          <a:fillRect/>
        </a:stretch>
      </xdr:blipFill>
      <xdr:spPr>
        <a:xfrm>
          <a:off x="11292840" y="335280"/>
          <a:ext cx="11007354" cy="3635240"/>
        </a:xfrm>
        <a:prstGeom prst="rect">
          <a:avLst/>
        </a:prstGeom>
      </xdr:spPr>
    </xdr:pic>
    <xdr:clientData/>
  </xdr:twoCellAnchor>
  <xdr:twoCellAnchor editAs="oneCell">
    <xdr:from>
      <xdr:col>2</xdr:col>
      <xdr:colOff>387985</xdr:colOff>
      <xdr:row>33</xdr:row>
      <xdr:rowOff>72390</xdr:rowOff>
    </xdr:from>
    <xdr:to>
      <xdr:col>17</xdr:col>
      <xdr:colOff>360312</xdr:colOff>
      <xdr:row>59</xdr:row>
      <xdr:rowOff>72991</xdr:rowOff>
    </xdr:to>
    <xdr:pic>
      <xdr:nvPicPr>
        <xdr:cNvPr id="3" name="Picture 2">
          <a:extLst>
            <a:ext uri="{FF2B5EF4-FFF2-40B4-BE49-F238E27FC236}">
              <a16:creationId xmlns:a16="http://schemas.microsoft.com/office/drawing/2014/main" id="{E179798C-7800-46F6-A07C-D020C1713803}"/>
            </a:ext>
          </a:extLst>
        </xdr:cNvPr>
        <xdr:cNvPicPr>
          <a:picLocks noChangeAspect="1"/>
        </xdr:cNvPicPr>
      </xdr:nvPicPr>
      <xdr:blipFill>
        <a:blip xmlns:r="http://schemas.openxmlformats.org/officeDocument/2006/relationships" r:embed="rId2"/>
        <a:stretch>
          <a:fillRect/>
        </a:stretch>
      </xdr:blipFill>
      <xdr:spPr>
        <a:xfrm>
          <a:off x="1607185" y="5604510"/>
          <a:ext cx="10998467" cy="4359241"/>
        </a:xfrm>
        <a:prstGeom prst="rect">
          <a:avLst/>
        </a:prstGeom>
      </xdr:spPr>
    </xdr:pic>
    <xdr:clientData/>
  </xdr:twoCellAnchor>
  <xdr:twoCellAnchor editAs="oneCell">
    <xdr:from>
      <xdr:col>7</xdr:col>
      <xdr:colOff>0</xdr:colOff>
      <xdr:row>15</xdr:row>
      <xdr:rowOff>0</xdr:rowOff>
    </xdr:from>
    <xdr:to>
      <xdr:col>17</xdr:col>
      <xdr:colOff>569369</xdr:colOff>
      <xdr:row>21</xdr:row>
      <xdr:rowOff>110642</xdr:rowOff>
    </xdr:to>
    <xdr:pic>
      <xdr:nvPicPr>
        <xdr:cNvPr id="4" name="Picture 3">
          <a:extLst>
            <a:ext uri="{FF2B5EF4-FFF2-40B4-BE49-F238E27FC236}">
              <a16:creationId xmlns:a16="http://schemas.microsoft.com/office/drawing/2014/main" id="{A50AEEE8-8A74-4BE5-881A-7E8A875345EF}"/>
            </a:ext>
          </a:extLst>
        </xdr:cNvPr>
        <xdr:cNvPicPr>
          <a:picLocks noChangeAspect="1"/>
        </xdr:cNvPicPr>
      </xdr:nvPicPr>
      <xdr:blipFill>
        <a:blip xmlns:r="http://schemas.openxmlformats.org/officeDocument/2006/relationships" r:embed="rId3"/>
        <a:stretch>
          <a:fillRect/>
        </a:stretch>
      </xdr:blipFill>
      <xdr:spPr>
        <a:xfrm>
          <a:off x="4998720" y="2514600"/>
          <a:ext cx="7473089" cy="1116482"/>
        </a:xfrm>
        <a:prstGeom prst="rect">
          <a:avLst/>
        </a:prstGeom>
      </xdr:spPr>
    </xdr:pic>
    <xdr:clientData/>
  </xdr:twoCellAnchor>
  <xdr:twoCellAnchor editAs="oneCell">
    <xdr:from>
      <xdr:col>3</xdr:col>
      <xdr:colOff>480060</xdr:colOff>
      <xdr:row>53</xdr:row>
      <xdr:rowOff>53340</xdr:rowOff>
    </xdr:from>
    <xdr:to>
      <xdr:col>17</xdr:col>
      <xdr:colOff>269989</xdr:colOff>
      <xdr:row>85</xdr:row>
      <xdr:rowOff>55996</xdr:rowOff>
    </xdr:to>
    <xdr:pic>
      <xdr:nvPicPr>
        <xdr:cNvPr id="5" name="Picture 4">
          <a:extLst>
            <a:ext uri="{FF2B5EF4-FFF2-40B4-BE49-F238E27FC236}">
              <a16:creationId xmlns:a16="http://schemas.microsoft.com/office/drawing/2014/main" id="{60BC7C89-CD98-427E-91D1-A0E554C4472C}"/>
            </a:ext>
          </a:extLst>
        </xdr:cNvPr>
        <xdr:cNvPicPr>
          <a:picLocks noChangeAspect="1"/>
        </xdr:cNvPicPr>
      </xdr:nvPicPr>
      <xdr:blipFill>
        <a:blip xmlns:r="http://schemas.openxmlformats.org/officeDocument/2006/relationships" r:embed="rId4"/>
        <a:stretch>
          <a:fillRect/>
        </a:stretch>
      </xdr:blipFill>
      <xdr:spPr>
        <a:xfrm>
          <a:off x="2598420" y="8938260"/>
          <a:ext cx="9916909" cy="5367136"/>
        </a:xfrm>
        <a:prstGeom prst="rect">
          <a:avLst/>
        </a:prstGeom>
      </xdr:spPr>
    </xdr:pic>
    <xdr:clientData/>
  </xdr:twoCellAnchor>
  <xdr:twoCellAnchor>
    <xdr:from>
      <xdr:col>2</xdr:col>
      <xdr:colOff>259080</xdr:colOff>
      <xdr:row>15</xdr:row>
      <xdr:rowOff>129540</xdr:rowOff>
    </xdr:from>
    <xdr:to>
      <xdr:col>7</xdr:col>
      <xdr:colOff>304800</xdr:colOff>
      <xdr:row>32</xdr:row>
      <xdr:rowOff>114300</xdr:rowOff>
    </xdr:to>
    <xdr:sp macro="" textlink="">
      <xdr:nvSpPr>
        <xdr:cNvPr id="6" name="TextBox 5">
          <a:extLst>
            <a:ext uri="{FF2B5EF4-FFF2-40B4-BE49-F238E27FC236}">
              <a16:creationId xmlns:a16="http://schemas.microsoft.com/office/drawing/2014/main" id="{77BCA63D-B396-52C8-DC4C-2924470E3C59}"/>
            </a:ext>
          </a:extLst>
        </xdr:cNvPr>
        <xdr:cNvSpPr txBox="1"/>
      </xdr:nvSpPr>
      <xdr:spPr>
        <a:xfrm>
          <a:off x="1478280" y="2644140"/>
          <a:ext cx="4168140" cy="283464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 have been so focused on understanding the paper</a:t>
          </a:r>
          <a:r>
            <a:rPr lang="en-US" sz="1100" baseline="0"/>
            <a:t> algorithm that I have not looked at the deeply at the problem. The LOP of position approach is simply a graphical approach for solving two nonlinear equations.</a:t>
          </a:r>
        </a:p>
        <a:p>
          <a:endParaRPr lang="en-US" sz="1100" baseline="0"/>
        </a:p>
        <a:p>
          <a:r>
            <a:rPr lang="en-US" sz="1100" baseline="0"/>
            <a:t>Another approach is to use either goal seek or solver to find the LHA value gives the measured altitude of the celestial object. Once you have the LHA value that gives you the measured altitude, you can then compute the azimuth.</a:t>
          </a:r>
        </a:p>
        <a:p>
          <a:endParaRPr lang="en-US" sz="1100" baseline="0"/>
        </a:p>
        <a:p>
          <a:r>
            <a:rPr lang="en-US" sz="1100" baseline="0"/>
            <a:t>LHA and azimuth allow me to plot my LOP. I need to understand LOP plotting better. It is time for some practice on a chart. </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24</xdr:col>
      <xdr:colOff>16943</xdr:colOff>
      <xdr:row>17</xdr:row>
      <xdr:rowOff>55637</xdr:rowOff>
    </xdr:to>
    <xdr:pic>
      <xdr:nvPicPr>
        <xdr:cNvPr id="2" name="Picture 1">
          <a:extLst>
            <a:ext uri="{FF2B5EF4-FFF2-40B4-BE49-F238E27FC236}">
              <a16:creationId xmlns:a16="http://schemas.microsoft.com/office/drawing/2014/main" id="{11B03231-F7A5-5C6E-77CB-C632E1303B5E}"/>
            </a:ext>
          </a:extLst>
        </xdr:cNvPr>
        <xdr:cNvPicPr>
          <a:picLocks noChangeAspect="1"/>
        </xdr:cNvPicPr>
      </xdr:nvPicPr>
      <xdr:blipFill>
        <a:blip xmlns:r="http://schemas.openxmlformats.org/officeDocument/2006/relationships" r:embed="rId1"/>
        <a:stretch>
          <a:fillRect/>
        </a:stretch>
      </xdr:blipFill>
      <xdr:spPr>
        <a:xfrm>
          <a:off x="2438400" y="171450"/>
          <a:ext cx="12203228" cy="281026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10</xdr:col>
      <xdr:colOff>600075</xdr:colOff>
      <xdr:row>1</xdr:row>
      <xdr:rowOff>142875</xdr:rowOff>
    </xdr:from>
    <xdr:to>
      <xdr:col>27</xdr:col>
      <xdr:colOff>511974</xdr:colOff>
      <xdr:row>38</xdr:row>
      <xdr:rowOff>117088</xdr:rowOff>
    </xdr:to>
    <xdr:pic>
      <xdr:nvPicPr>
        <xdr:cNvPr id="2" name="Picture 1" descr="A screenshot of a computer&#10;&#10;Description automatically generated">
          <a:extLst>
            <a:ext uri="{FF2B5EF4-FFF2-40B4-BE49-F238E27FC236}">
              <a16:creationId xmlns:a16="http://schemas.microsoft.com/office/drawing/2014/main" id="{94B3A76A-AD87-A2F0-F0E9-6A004CA461AC}"/>
            </a:ext>
          </a:extLst>
        </xdr:cNvPr>
        <xdr:cNvPicPr>
          <a:picLocks noChangeAspect="1"/>
        </xdr:cNvPicPr>
      </xdr:nvPicPr>
      <xdr:blipFill>
        <a:blip xmlns:r="http://schemas.openxmlformats.org/officeDocument/2006/relationships" r:embed="rId1"/>
        <a:stretch>
          <a:fillRect/>
        </a:stretch>
      </xdr:blipFill>
      <xdr:spPr>
        <a:xfrm>
          <a:off x="6696075" y="314325"/>
          <a:ext cx="10275099" cy="6325483"/>
        </a:xfrm>
        <a:prstGeom prst="rect">
          <a:avLst/>
        </a:prstGeom>
      </xdr:spPr>
    </xdr:pic>
    <xdr:clientData/>
  </xdr:twoCellAnchor>
  <xdr:twoCellAnchor>
    <xdr:from>
      <xdr:col>3</xdr:col>
      <xdr:colOff>819151</xdr:colOff>
      <xdr:row>1</xdr:row>
      <xdr:rowOff>95195</xdr:rowOff>
    </xdr:from>
    <xdr:to>
      <xdr:col>7</xdr:col>
      <xdr:colOff>321946</xdr:colOff>
      <xdr:row>4</xdr:row>
      <xdr:rowOff>47625</xdr:rowOff>
    </xdr:to>
    <xdr:grpSp>
      <xdr:nvGrpSpPr>
        <xdr:cNvPr id="6" name="Group 5">
          <a:extLst>
            <a:ext uri="{FF2B5EF4-FFF2-40B4-BE49-F238E27FC236}">
              <a16:creationId xmlns:a16="http://schemas.microsoft.com/office/drawing/2014/main" id="{C152DCAB-1278-82E3-CFEB-6F87AEC44F74}"/>
            </a:ext>
          </a:extLst>
        </xdr:cNvPr>
        <xdr:cNvGrpSpPr/>
      </xdr:nvGrpSpPr>
      <xdr:grpSpPr>
        <a:xfrm>
          <a:off x="3166111" y="262835"/>
          <a:ext cx="2200275" cy="455350"/>
          <a:chOff x="3162301" y="274265"/>
          <a:chExt cx="2198370" cy="459814"/>
        </a:xfrm>
      </xdr:grpSpPr>
      <xdr:sp macro="" textlink="">
        <xdr:nvSpPr>
          <xdr:cNvPr id="3" name="TextBox 2">
            <a:extLst>
              <a:ext uri="{FF2B5EF4-FFF2-40B4-BE49-F238E27FC236}">
                <a16:creationId xmlns:a16="http://schemas.microsoft.com/office/drawing/2014/main" id="{5418FC71-57C1-F5D7-BE08-370D83484521}"/>
              </a:ext>
            </a:extLst>
          </xdr:cNvPr>
          <xdr:cNvSpPr txBox="1"/>
        </xdr:nvSpPr>
        <xdr:spPr>
          <a:xfrm>
            <a:off x="3162301" y="274265"/>
            <a:ext cx="809778" cy="446678"/>
          </a:xfrm>
          <a:prstGeom prst="rect">
            <a:avLst/>
          </a:prstGeom>
          <a:solidFill>
            <a:schemeClr val="accent3">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91440" tIns="0" rIns="0" bIns="0" rtlCol="0" anchor="t"/>
          <a:lstStyle/>
          <a:p>
            <a:r>
              <a:rPr lang="en-US" sz="1000" b="1"/>
              <a:t>FROM:</a:t>
            </a:r>
          </a:p>
          <a:p>
            <a:r>
              <a:rPr lang="en-US" sz="1000" b="1"/>
              <a:t>SUBJECT:</a:t>
            </a:r>
          </a:p>
          <a:p>
            <a:r>
              <a:rPr lang="en-US" sz="1000" b="1"/>
              <a:t>DATE:</a:t>
            </a:r>
          </a:p>
        </xdr:txBody>
      </xdr:sp>
      <xdr:sp macro="" textlink="">
        <xdr:nvSpPr>
          <xdr:cNvPr id="4" name="TextBox 3">
            <a:extLst>
              <a:ext uri="{FF2B5EF4-FFF2-40B4-BE49-F238E27FC236}">
                <a16:creationId xmlns:a16="http://schemas.microsoft.com/office/drawing/2014/main" id="{26264A4F-00E9-4727-AA3D-59D97AF5D346}"/>
              </a:ext>
            </a:extLst>
          </xdr:cNvPr>
          <xdr:cNvSpPr txBox="1"/>
        </xdr:nvSpPr>
        <xdr:spPr>
          <a:xfrm>
            <a:off x="3908004" y="274265"/>
            <a:ext cx="1452667" cy="459814"/>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91440" tIns="0" rIns="0" bIns="0" rtlCol="0" anchor="t"/>
          <a:lstStyle/>
          <a:p>
            <a:r>
              <a:rPr lang="en-US" sz="1000" b="0"/>
              <a:t>Mark Biegert</a:t>
            </a:r>
          </a:p>
          <a:p>
            <a:r>
              <a:rPr lang="en-US" sz="1000" b="0"/>
              <a:t>Placeholder</a:t>
            </a:r>
          </a:p>
          <a:p>
            <a:r>
              <a:rPr lang="en-US" sz="1000" b="0"/>
              <a:t>1-Jan-2024</a:t>
            </a: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bieg" refreshedDate="45627.941439236114" createdVersion="8" refreshedVersion="8" minRefreshableVersion="3" recordCount="6" xr:uid="{5BA04B22-7455-4FEB-9C74-146E8376D702}">
  <cacheSource type="worksheet">
    <worksheetSource name="_tSample"/>
  </cacheSource>
  <cacheFields count="4">
    <cacheField name="Category A" numFmtId="0">
      <sharedItems count="3">
        <s v="A"/>
        <s v="B"/>
        <s v="C"/>
      </sharedItems>
    </cacheField>
    <cacheField name="Category B" numFmtId="0">
      <sharedItems containsSemiMixedTypes="0" containsString="0" containsNumber="1" containsInteger="1" minValue="1" maxValue="2" count="2">
        <n v="1"/>
        <n v="2"/>
      </sharedItems>
    </cacheField>
    <cacheField name="Category C" numFmtId="0">
      <sharedItems count="2">
        <s v="a"/>
        <s v="b"/>
      </sharedItems>
    </cacheField>
    <cacheField name="Value" numFmtId="0">
      <sharedItems containsSemiMixedTypes="0" containsString="0" containsNumber="1" containsInteger="1" minValue="1" maxValue="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x v="0"/>
    <x v="0"/>
    <n v="1"/>
  </r>
  <r>
    <x v="0"/>
    <x v="1"/>
    <x v="1"/>
    <n v="2"/>
  </r>
  <r>
    <x v="1"/>
    <x v="0"/>
    <x v="0"/>
    <n v="3"/>
  </r>
  <r>
    <x v="1"/>
    <x v="1"/>
    <x v="1"/>
    <n v="4"/>
  </r>
  <r>
    <x v="2"/>
    <x v="0"/>
    <x v="0"/>
    <n v="5"/>
  </r>
  <r>
    <x v="2"/>
    <x v="1"/>
    <x v="1"/>
    <n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4C8824-5739-49B7-BCFF-9C42983375DF}" name="PivotTable1" cacheId="2" applyNumberFormats="0" applyBorderFormats="0" applyFontFormats="0" applyPatternFormats="0" applyAlignmentFormats="0" applyWidthHeightFormats="1" dataCaption="Values" updatedVersion="8" minRefreshableVersion="3" itemPrintTitles="1" createdVersion="8" indent="0" compact="0" outline="1" outlineData="1" compactData="0" multipleFieldFilters="0">
  <location ref="B17:F28" firstHeaderRow="1" firstDataRow="2" firstDataCol="2"/>
  <pivotFields count="4">
    <pivotField axis="axisRow" compact="0" showAll="0" defaultSubtotal="0">
      <items count="3">
        <item x="0"/>
        <item x="1"/>
        <item x="2"/>
      </items>
    </pivotField>
    <pivotField axis="axisRow" compact="0" showAll="0" defaultSubtotal="0">
      <items count="2">
        <item x="0"/>
        <item x="1"/>
      </items>
    </pivotField>
    <pivotField axis="axisCol" compact="0" showAll="0" defaultSubtotal="0">
      <items count="2">
        <item x="0"/>
        <item x="1"/>
      </items>
    </pivotField>
    <pivotField dataField="1" compact="0" showAll="0" defaultSubtotal="0"/>
  </pivotFields>
  <rowFields count="2">
    <field x="0"/>
    <field x="1"/>
  </rowFields>
  <rowItems count="10">
    <i>
      <x/>
    </i>
    <i r="1">
      <x/>
    </i>
    <i r="1">
      <x v="1"/>
    </i>
    <i>
      <x v="1"/>
    </i>
    <i r="1">
      <x/>
    </i>
    <i r="1">
      <x v="1"/>
    </i>
    <i>
      <x v="2"/>
    </i>
    <i r="1">
      <x/>
    </i>
    <i r="1">
      <x v="1"/>
    </i>
    <i t="grand">
      <x/>
    </i>
  </rowItems>
  <colFields count="1">
    <field x="2"/>
  </colFields>
  <colItems count="3">
    <i>
      <x/>
    </i>
    <i>
      <x v="1"/>
    </i>
    <i t="grand">
      <x/>
    </i>
  </colItems>
  <dataFields count="1">
    <dataField name="Sum of Value" fld="3" baseField="0" baseItem="0"/>
  </dataFields>
  <pivotTableStyleInfo name="Biegert Standard Pivot Tabl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EBBF0F-200B-49A7-BE86-E02A26DD1F32}" name="_tSample" displayName="_tSample" ref="B7:E13" totalsRowShown="0">
  <autoFilter ref="B7:E13" xr:uid="{33EBBF0F-200B-49A7-BE86-E02A26DD1F32}"/>
  <tableColumns count="4">
    <tableColumn id="1" xr3:uid="{EAB90AB9-4DF0-4D28-92FF-E92E2FB5C4B8}" name="Category A"/>
    <tableColumn id="2" xr3:uid="{A84F4913-BB7E-445E-9D72-1273969F005C}" name="Category B"/>
    <tableColumn id="3" xr3:uid="{530D0831-FD68-42CB-A157-472F1AD1DA2D}" name="Category C"/>
    <tableColumn id="4" xr3:uid="{8E3678D5-6F31-40B1-AEA1-B9917C6282B5}" name="Value"/>
  </tableColumns>
  <tableStyleInfo name="Biegert Table Standard" showFirstColumn="0" showLastColumn="0" showRowStripes="1" showColumnStripes="0"/>
</table>
</file>

<file path=xl/theme/theme1.xml><?xml version="1.0" encoding="utf-8"?>
<a:theme xmlns:a="http://schemas.openxmlformats.org/drawingml/2006/main" name="Biegert_Standard">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Biegert Standard">
      <a:majorFont>
        <a:latin typeface="Consolas"/>
        <a:ea typeface=""/>
        <a:cs typeface=""/>
      </a:majorFont>
      <a:minorFont>
        <a:latin typeface="Consolas"/>
        <a:ea typeface=""/>
        <a:cs typeface=""/>
      </a:minorFont>
    </a:fontScheme>
    <a:fmtScheme name="Riblet">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7145" cap="flat" cmpd="sng" algn="ctr">
          <a:solidFill>
            <a:schemeClr val="phClr"/>
          </a:solidFill>
          <a:prstDash val="solid"/>
        </a:ln>
        <a:ln w="58420" cap="flat" cmpd="thickThin" algn="ctr">
          <a:solidFill>
            <a:schemeClr val="phClr">
              <a:shade val="95000"/>
              <a:alpha val="50000"/>
              <a:satMod val="150000"/>
            </a:schemeClr>
          </a:solidFill>
          <a:prstDash val="solid"/>
        </a:ln>
      </a:lnStyleLst>
      <a:effectStyleLst>
        <a:effectStyle>
          <a:effectLst/>
        </a:effectStyle>
        <a:effectStyle>
          <a:effectLst>
            <a:outerShdw blurRad="50800" dist="38100" dir="2700000" rotWithShape="0">
              <a:srgbClr val="000000">
                <a:alpha val="60000"/>
              </a:srgbClr>
            </a:outerShdw>
          </a:effectLst>
          <a:scene3d>
            <a:camera prst="orthographicFront">
              <a:rot lat="0" lon="0" rev="0"/>
            </a:camera>
            <a:lightRig rig="flat" dir="tl"/>
          </a:scene3d>
          <a:sp3d prstMaterial="flat">
            <a:bevelT w="31750" h="63500" prst="riblet"/>
          </a:sp3d>
        </a:effectStyle>
        <a:effectStyle>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62" row="8">
    <wetp:webextensionref xmlns:r="http://schemas.openxmlformats.org/officeDocument/2006/relationships" r:id="rId1"/>
  </wetp:taskpane>
  <wetp:taskpane dockstate="right" visibility="0" width="974" row="9">
    <wetp:webextensionref xmlns:r="http://schemas.openxmlformats.org/officeDocument/2006/relationships" r:id="rId2"/>
  </wetp:taskpane>
</wetp:taskpanes>
</file>

<file path=xl/webextensions/webextension1.xml><?xml version="1.0" encoding="utf-8"?>
<we:webextension xmlns:we="http://schemas.microsoft.com/office/webextensions/webextension/2010/11" id="{C610B3D2-9FDC-4B5F-B02D-6D2CE6D75A26}">
  <we:reference id="wa200003696" version="1.3.0.0" store="en-US" storeType="OMEX"/>
  <we:alternateReferences>
    <we:reference id="WA200003696" version="1.3.0.0" store="WA200003696" storeType="OMEX"/>
  </we:alternateReferences>
  <we:properties>
    <we:property name="projectV0_1-56c6e055-265e-4713-816e-a646dbb708de" value="{&quot;kind&quot;:&quot;AFEJSONBlobNode&quot;,&quot;id&quot;:&quot;{CE3DB59B-49FD-4195-9271-1E20C81680B6}&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ebextensions/webextension2.xml><?xml version="1.0" encoding="utf-8"?>
<we:webextension xmlns:we="http://schemas.microsoft.com/office/webextensions/webextension/2010/11" id="{BD814D2B-B43D-4A0E-A2E2-A69725B415D9}">
  <we:reference id="wa200006385" version="1.0.0.0" store="en-US" storeType="OMEX"/>
  <we:alternateReferences>
    <we:reference id="wa200006385" version="1.0.0.0" store="WA200006385"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7.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4D2F-F620-446A-92CE-0CB3C9FD0F74}">
  <sheetPr codeName="Sheet1">
    <tabColor rgb="FFCCFFCC"/>
  </sheetPr>
  <dimension ref="C2:N28"/>
  <sheetViews>
    <sheetView workbookViewId="0">
      <selection activeCell="C28" sqref="C28"/>
    </sheetView>
  </sheetViews>
  <sheetFormatPr defaultRowHeight="13.2" x14ac:dyDescent="0.25"/>
  <sheetData>
    <row r="2" spans="3:14" x14ac:dyDescent="0.25">
      <c r="F2" t="s">
        <v>26</v>
      </c>
    </row>
    <row r="5" spans="3:14" x14ac:dyDescent="0.25">
      <c r="H5" t="s">
        <v>33</v>
      </c>
    </row>
    <row r="7" spans="3:14" x14ac:dyDescent="0.25">
      <c r="C7" t="s">
        <v>21</v>
      </c>
      <c r="D7">
        <v>-20</v>
      </c>
      <c r="I7" s="9">
        <v>49</v>
      </c>
      <c r="J7" s="9">
        <v>49</v>
      </c>
      <c r="K7" s="9">
        <v>49</v>
      </c>
      <c r="L7" s="9">
        <v>68</v>
      </c>
      <c r="M7" s="9">
        <v>-20</v>
      </c>
      <c r="N7">
        <v>36</v>
      </c>
    </row>
    <row r="8" spans="3:14" x14ac:dyDescent="0.25">
      <c r="C8" t="s">
        <v>22</v>
      </c>
      <c r="D8">
        <v>22.05</v>
      </c>
      <c r="I8" s="9">
        <v>12.1</v>
      </c>
      <c r="J8" s="9">
        <v>45.18333333333333</v>
      </c>
      <c r="K8" s="9">
        <f>74+16/60</f>
        <v>74.266666666666666</v>
      </c>
      <c r="L8" s="9">
        <f>21+8/60</f>
        <v>21.133333333333333</v>
      </c>
      <c r="M8" s="9">
        <f>22+3/60</f>
        <v>22.05</v>
      </c>
      <c r="N8">
        <v>28.091666666666665</v>
      </c>
    </row>
    <row r="9" spans="3:14" x14ac:dyDescent="0.25">
      <c r="C9" t="s">
        <v>23</v>
      </c>
      <c r="D9">
        <v>63</v>
      </c>
      <c r="I9" s="9">
        <v>58</v>
      </c>
      <c r="J9" s="9">
        <v>259</v>
      </c>
      <c r="K9" s="9">
        <v>347</v>
      </c>
      <c r="L9" s="9">
        <v>329</v>
      </c>
      <c r="M9" s="9">
        <v>63</v>
      </c>
      <c r="N9">
        <v>68</v>
      </c>
    </row>
    <row r="11" spans="3:14" x14ac:dyDescent="0.25">
      <c r="C11" t="s">
        <v>24</v>
      </c>
      <c r="D11">
        <f>_xlfn.LET(
_xlpm.L,_L*PI()/180,
_xlpm.t,_t*PI()/180,
_xlpm.d,_d*PI()/180,
ASIN(COS(_xlpm.L)*COS(_xlpm.d)*COS(_xlpm.t)+SIN(_xlpm.L)*SIN(_xlpm.d))*180/PI())</f>
        <v>15.486303643338168</v>
      </c>
      <c r="E11" t="str">
        <f>INT(_h)&amp;"° "&amp;TEXT(ROUND(MOD(_h,1)*60,1),"0.0")</f>
        <v>15° 29.2</v>
      </c>
      <c r="I11">
        <v>29.87672961514842</v>
      </c>
      <c r="J11">
        <v>26.55981084518049</v>
      </c>
      <c r="K11">
        <v>64.128051808531652</v>
      </c>
      <c r="L11">
        <v>39.330371718485488</v>
      </c>
      <c r="N11">
        <f>32+58/60</f>
        <v>32.966666666666669</v>
      </c>
    </row>
    <row r="12" spans="3:14" x14ac:dyDescent="0.25">
      <c r="C12" t="s">
        <v>25</v>
      </c>
      <c r="D12">
        <f>_xlfn.LET(
_xlpm.d,_d*PI()/180,
_xlpm.t,_t*PI()/180,
_xlpm.h,_h*PI()/180,
ASIN(COS(_xlpm.d)*SIN(_xlpm.t)/COS(_xlpm.h))*180/PI())</f>
        <v>58.975538982785935</v>
      </c>
      <c r="I12">
        <v>72.999137827422672</v>
      </c>
      <c r="J12">
        <v>-50.671216761659181</v>
      </c>
      <c r="K12">
        <v>-8.0355468673109627</v>
      </c>
      <c r="L12">
        <v>-38.394152431161189</v>
      </c>
      <c r="N12">
        <v>77.099999999999994</v>
      </c>
    </row>
    <row r="14" spans="3:14" x14ac:dyDescent="0.25">
      <c r="C14">
        <f>_xlfn.LET(
_xlpm.t,_t*PI()/180,
_xlpm.L,_L*PI()/180,
_xlpm.d,_d*PI()/180,
180/PI()*ATAN2(-SIN(_xlpm.t),COS(_xlpm.L)*TAN(_xlpm.d)-SIN(_xlpm.L)*COS(_xlpm.t)))</f>
        <v>148.97553898278593</v>
      </c>
    </row>
    <row r="15" spans="3:14" x14ac:dyDescent="0.25">
      <c r="C15">
        <f>180+C14</f>
        <v>328.97553898278591</v>
      </c>
    </row>
    <row r="18" spans="3:4" x14ac:dyDescent="0.25">
      <c r="C18" t="s">
        <v>27</v>
      </c>
    </row>
    <row r="20" spans="3:4" x14ac:dyDescent="0.25">
      <c r="C20" t="s">
        <v>28</v>
      </c>
      <c r="D20">
        <f>90-_d</f>
        <v>67.95</v>
      </c>
    </row>
    <row r="21" spans="3:4" x14ac:dyDescent="0.25">
      <c r="C21" t="s">
        <v>29</v>
      </c>
      <c r="D21">
        <f>90-_L</f>
        <v>110</v>
      </c>
    </row>
    <row r="22" spans="3:4" x14ac:dyDescent="0.25">
      <c r="C22" t="s">
        <v>30</v>
      </c>
      <c r="D22">
        <f>90-_h</f>
        <v>74.513696356661825</v>
      </c>
    </row>
    <row r="23" spans="3:4" x14ac:dyDescent="0.25">
      <c r="C23" t="s">
        <v>31</v>
      </c>
      <c r="D23">
        <f>90-_ZX</f>
        <v>15.486303643338175</v>
      </c>
    </row>
    <row r="24" spans="3:4" x14ac:dyDescent="0.25">
      <c r="C24" t="s">
        <v>32</v>
      </c>
      <c r="D24">
        <f>_t</f>
        <v>63</v>
      </c>
    </row>
    <row r="26" spans="3:4" x14ac:dyDescent="0.25">
      <c r="C26">
        <f>(COS(_PX*PI()/180)-COS(_ZX*PI()/180)*COS(_PZ*PI()/180))/(SIN(_ZX*PI()/180)*SIN(_PZ*PI()/180))</f>
        <v>0.51540397435955743</v>
      </c>
    </row>
    <row r="27" spans="3:4" x14ac:dyDescent="0.25">
      <c r="C27">
        <f>ACOS(C26)*180/PI()</f>
        <v>58.975538982785935</v>
      </c>
      <c r="D27" t="str">
        <f>INT(C27)&amp;"° "&amp;TEXT(ROUND(MOD(C27,1)*60,1),"0.0")</f>
        <v>58° 58.5</v>
      </c>
    </row>
    <row r="28" spans="3:4" x14ac:dyDescent="0.25">
      <c r="C28">
        <f>180-C27</f>
        <v>121.02446101721407</v>
      </c>
      <c r="D28" t="str">
        <f>INT(C28)&amp;"° "&amp;TEXT(ROUND(MOD(C28,1)*60,1),"0.0")</f>
        <v>121° 1.5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9B084-70EE-4F78-B076-1D78244F5ECF}">
  <dimension ref="B2:M14"/>
  <sheetViews>
    <sheetView workbookViewId="0">
      <selection activeCell="C12" sqref="C12"/>
    </sheetView>
  </sheetViews>
  <sheetFormatPr defaultRowHeight="13.2" x14ac:dyDescent="0.25"/>
  <cols>
    <col min="3" max="3" width="13.109375" bestFit="1" customWidth="1"/>
    <col min="6" max="6" width="11" bestFit="1" customWidth="1"/>
    <col min="7" max="7" width="13.21875" bestFit="1" customWidth="1"/>
    <col min="8" max="8" width="12.109375" bestFit="1" customWidth="1"/>
    <col min="9" max="9" width="11" bestFit="1" customWidth="1"/>
    <col min="10" max="11" width="12.109375" bestFit="1" customWidth="1"/>
  </cols>
  <sheetData>
    <row r="2" spans="2:13" x14ac:dyDescent="0.25">
      <c r="F2" s="10" t="s">
        <v>61</v>
      </c>
      <c r="G2" s="10"/>
      <c r="H2" s="10"/>
      <c r="I2" s="12" t="s">
        <v>60</v>
      </c>
      <c r="J2" s="12"/>
      <c r="K2" s="12"/>
    </row>
    <row r="3" spans="2:13" x14ac:dyDescent="0.25">
      <c r="F3" s="11"/>
      <c r="G3" s="11"/>
      <c r="H3" s="11"/>
      <c r="I3" s="12" t="s">
        <v>59</v>
      </c>
      <c r="J3" s="12"/>
      <c r="K3" s="12"/>
    </row>
    <row r="4" spans="2:13" x14ac:dyDescent="0.25">
      <c r="F4" t="s">
        <v>44</v>
      </c>
      <c r="G4" t="s">
        <v>45</v>
      </c>
      <c r="H4" t="s">
        <v>46</v>
      </c>
      <c r="I4" t="s">
        <v>47</v>
      </c>
      <c r="J4" t="s">
        <v>48</v>
      </c>
      <c r="K4" t="s">
        <v>49</v>
      </c>
      <c r="M4" s="9"/>
    </row>
    <row r="5" spans="2:13" x14ac:dyDescent="0.25">
      <c r="B5" t="s">
        <v>21</v>
      </c>
      <c r="C5">
        <v>15</v>
      </c>
      <c r="F5">
        <v>15</v>
      </c>
      <c r="G5">
        <v>15</v>
      </c>
      <c r="H5">
        <v>15</v>
      </c>
      <c r="I5">
        <v>49</v>
      </c>
      <c r="J5">
        <v>49</v>
      </c>
      <c r="K5">
        <v>49</v>
      </c>
    </row>
    <row r="6" spans="2:13" x14ac:dyDescent="0.25">
      <c r="B6" t="s">
        <v>22</v>
      </c>
      <c r="C6">
        <v>-26.378333333333334</v>
      </c>
      <c r="F6">
        <v>19.315000000000001</v>
      </c>
      <c r="G6">
        <v>-26.378333333333334</v>
      </c>
      <c r="H6">
        <v>12.581666666666667</v>
      </c>
      <c r="I6">
        <f>12+6/60</f>
        <v>12.1</v>
      </c>
      <c r="J6">
        <f>45+11/60</f>
        <v>45.18333333333333</v>
      </c>
      <c r="K6">
        <f>74+16/60</f>
        <v>74.266666666666666</v>
      </c>
    </row>
    <row r="7" spans="2:13" x14ac:dyDescent="0.25">
      <c r="B7" t="s">
        <v>23</v>
      </c>
      <c r="C7">
        <v>33</v>
      </c>
      <c r="F7">
        <v>65</v>
      </c>
      <c r="G7">
        <v>33</v>
      </c>
      <c r="H7">
        <v>18</v>
      </c>
      <c r="I7">
        <v>58</v>
      </c>
      <c r="J7">
        <v>259</v>
      </c>
      <c r="K7">
        <v>347</v>
      </c>
    </row>
    <row r="8" spans="2:13" x14ac:dyDescent="0.25">
      <c r="F8" t="s">
        <v>35</v>
      </c>
      <c r="G8" t="s">
        <v>37</v>
      </c>
      <c r="H8" t="s">
        <v>39</v>
      </c>
      <c r="I8" t="s">
        <v>50</v>
      </c>
      <c r="J8" t="s">
        <v>53</v>
      </c>
      <c r="K8" t="s">
        <v>56</v>
      </c>
    </row>
    <row r="9" spans="2:13" x14ac:dyDescent="0.25">
      <c r="F9" s="9" t="s">
        <v>36</v>
      </c>
      <c r="G9" t="s">
        <v>38</v>
      </c>
      <c r="H9" t="s">
        <v>40</v>
      </c>
      <c r="I9" t="s">
        <v>51</v>
      </c>
      <c r="J9" s="9" t="s">
        <v>54</v>
      </c>
      <c r="K9" s="9" t="s">
        <v>57</v>
      </c>
    </row>
    <row r="10" spans="2:13" x14ac:dyDescent="0.25">
      <c r="F10" t="s">
        <v>41</v>
      </c>
      <c r="G10" s="9" t="s">
        <v>42</v>
      </c>
      <c r="H10" s="9" t="s">
        <v>43</v>
      </c>
      <c r="I10" s="9" t="s">
        <v>52</v>
      </c>
      <c r="J10" t="s">
        <v>55</v>
      </c>
      <c r="K10" t="s">
        <v>58</v>
      </c>
    </row>
    <row r="11" spans="2:13" x14ac:dyDescent="0.25">
      <c r="B11" t="s">
        <v>34</v>
      </c>
      <c r="C11">
        <f>_xlfn.LET(_xlpm.L, PI() / 180 * _L, _xlpm.d, PI() / 180 * _d, _xlpm.t, PI() / 180 * _t, ASIN(SIN(_xlpm.L) * SIN(_xlpm.d) + COS(_xlpm.L) * COS(_xlpm.d) * COS(_xlpm.t)) * 180 / PI())</f>
        <v>37.644050023822807</v>
      </c>
      <c r="D11" t="str" cm="1">
        <f t="array" ref="D11">_fHM(C11)</f>
        <v>37° 38.6'</v>
      </c>
    </row>
    <row r="12" spans="2:13" x14ac:dyDescent="0.25">
      <c r="B12" t="s">
        <v>25</v>
      </c>
      <c r="C12">
        <f>_xlfn.LET(
_xlpm.d,PI()/180*_d,
_xlpm.L,PI()/180*_L,
_xlpm.t,PI()/180*_t,
_xlpm._z,MOD(DEGREES(ATAN2(COS(_xlpm.d)*SIN(_xlpm.t),(COS(_xlpm.L)*SIN(_xlpm.d)-SIN(_xlpm.L)*COS(_xlpm.d)*COS(_xlpm.t)))),360),
MOD(_xlpm._z-90,360)
)</f>
        <v>218.0402181944944</v>
      </c>
      <c r="D12" t="str" cm="1">
        <f t="array" ref="D12">_fHM(ABS(C12))</f>
        <v>218° 2.4'</v>
      </c>
    </row>
    <row r="13" spans="2:13" x14ac:dyDescent="0.25">
      <c r="C13">
        <f>360-C12</f>
        <v>141.9597818055056</v>
      </c>
      <c r="D13" t="str" cm="1">
        <f t="array" ref="D13">_fHM(ABS(C13))</f>
        <v>141° 57.6'</v>
      </c>
    </row>
    <row r="14" spans="2:13" x14ac:dyDescent="0.25">
      <c r="C14">
        <f>_xlfn.LET(
_xlpm.d,PI()/180*_d,
_xlpm.L,PI()/180*_L,
_xlpm.t,PI()/180*_t,
_xlpm._z,MOD(DEGREES(ATAN2(COS(_xlpm.d)*SIN(_xlpm.t),(COS(_xlpm.L)*SIN(_xlpm.d)-SIN(_xlpm.L)*COS(_xlpm.d)*COS(_xlpm.t)))),360),
MOD(_xlpm._z,360)
)</f>
        <v>308.0402181944944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FFC01-0787-4116-93FD-519DFE4BC403}">
  <dimension ref="B2:M14"/>
  <sheetViews>
    <sheetView topLeftCell="A31" workbookViewId="0">
      <selection activeCell="C50" sqref="C50"/>
    </sheetView>
  </sheetViews>
  <sheetFormatPr defaultRowHeight="13.2" x14ac:dyDescent="0.25"/>
  <cols>
    <col min="3" max="3" width="13.109375" bestFit="1" customWidth="1"/>
    <col min="6" max="6" width="11" bestFit="1" customWidth="1"/>
    <col min="7" max="7" width="13.21875" bestFit="1" customWidth="1"/>
    <col min="8" max="8" width="12.109375" bestFit="1" customWidth="1"/>
    <col min="9" max="9" width="11" bestFit="1" customWidth="1"/>
    <col min="10" max="11" width="12.109375" bestFit="1" customWidth="1"/>
  </cols>
  <sheetData>
    <row r="2" spans="2:13" x14ac:dyDescent="0.25">
      <c r="F2" s="10" t="s">
        <v>61</v>
      </c>
      <c r="G2" s="10"/>
      <c r="H2" s="10"/>
      <c r="I2" s="12" t="s">
        <v>60</v>
      </c>
      <c r="J2" s="12"/>
      <c r="K2" s="12"/>
    </row>
    <row r="3" spans="2:13" x14ac:dyDescent="0.25">
      <c r="F3" s="11"/>
      <c r="G3" s="11"/>
      <c r="H3" s="11"/>
      <c r="I3" s="12" t="s">
        <v>59</v>
      </c>
      <c r="J3" s="12"/>
      <c r="K3" s="12"/>
      <c r="L3" t="s">
        <v>64</v>
      </c>
    </row>
    <row r="4" spans="2:13" x14ac:dyDescent="0.25">
      <c r="F4" t="s">
        <v>44</v>
      </c>
      <c r="G4" t="s">
        <v>45</v>
      </c>
      <c r="H4" t="s">
        <v>46</v>
      </c>
      <c r="I4" t="s">
        <v>47</v>
      </c>
      <c r="J4" t="s">
        <v>48</v>
      </c>
      <c r="K4" t="s">
        <v>49</v>
      </c>
      <c r="M4" s="9"/>
    </row>
    <row r="5" spans="2:13" x14ac:dyDescent="0.25">
      <c r="B5" t="s">
        <v>21</v>
      </c>
      <c r="C5">
        <v>15</v>
      </c>
      <c r="F5">
        <v>15</v>
      </c>
      <c r="G5">
        <v>15</v>
      </c>
      <c r="H5">
        <v>15</v>
      </c>
      <c r="I5">
        <v>49</v>
      </c>
      <c r="J5">
        <v>49</v>
      </c>
      <c r="K5">
        <v>49</v>
      </c>
      <c r="L5" s="13">
        <v>-1</v>
      </c>
    </row>
    <row r="6" spans="2:13" x14ac:dyDescent="0.25">
      <c r="B6" t="s">
        <v>22</v>
      </c>
      <c r="C6">
        <v>-26.378333333333334</v>
      </c>
      <c r="F6">
        <v>19.315000000000001</v>
      </c>
      <c r="G6">
        <v>-26.378333333333334</v>
      </c>
      <c r="H6">
        <v>12.581666666666667</v>
      </c>
      <c r="I6">
        <f>12+6/60</f>
        <v>12.1</v>
      </c>
      <c r="J6">
        <f>45+11/60</f>
        <v>45.18333333333333</v>
      </c>
      <c r="K6">
        <f>74+16/60</f>
        <v>74.266666666666666</v>
      </c>
      <c r="L6" s="13">
        <v>21.156666666666666</v>
      </c>
    </row>
    <row r="7" spans="2:13" x14ac:dyDescent="0.25">
      <c r="B7" t="s">
        <v>23</v>
      </c>
      <c r="C7">
        <v>33</v>
      </c>
      <c r="F7">
        <v>65</v>
      </c>
      <c r="G7">
        <v>33</v>
      </c>
      <c r="H7">
        <v>18</v>
      </c>
      <c r="I7">
        <v>58</v>
      </c>
      <c r="J7">
        <v>259</v>
      </c>
      <c r="K7">
        <v>347</v>
      </c>
      <c r="L7" s="13">
        <v>284</v>
      </c>
    </row>
    <row r="8" spans="2:13" x14ac:dyDescent="0.25">
      <c r="F8" t="s">
        <v>35</v>
      </c>
      <c r="G8" t="s">
        <v>37</v>
      </c>
      <c r="H8" t="s">
        <v>39</v>
      </c>
      <c r="I8" t="s">
        <v>50</v>
      </c>
      <c r="J8" t="s">
        <v>53</v>
      </c>
      <c r="K8" t="s">
        <v>56</v>
      </c>
      <c r="L8" s="13" t="s">
        <v>65</v>
      </c>
    </row>
    <row r="9" spans="2:13" x14ac:dyDescent="0.25">
      <c r="F9" s="9" t="s">
        <v>36</v>
      </c>
      <c r="G9" s="9" t="s">
        <v>42</v>
      </c>
      <c r="H9" s="9" t="s">
        <v>43</v>
      </c>
      <c r="I9" s="9" t="s">
        <v>52</v>
      </c>
      <c r="J9" t="s">
        <v>55</v>
      </c>
      <c r="K9" t="s">
        <v>58</v>
      </c>
      <c r="L9" s="13" t="s">
        <v>62</v>
      </c>
    </row>
    <row r="10" spans="2:13" x14ac:dyDescent="0.25">
      <c r="F10" t="s">
        <v>41</v>
      </c>
      <c r="G10" t="s">
        <v>38</v>
      </c>
      <c r="H10" t="s">
        <v>40</v>
      </c>
      <c r="I10" t="s">
        <v>51</v>
      </c>
      <c r="J10" s="9" t="s">
        <v>54</v>
      </c>
      <c r="K10" s="9" t="s">
        <v>57</v>
      </c>
      <c r="L10" s="13" t="s">
        <v>63</v>
      </c>
    </row>
    <row r="11" spans="2:13" x14ac:dyDescent="0.25">
      <c r="B11" t="s">
        <v>34</v>
      </c>
      <c r="C11">
        <f>_xlfn.LET(_xlpm.L, PI() / 180 * _L, _xlpm.d, PI() / 180 * _d, _xlpm.t, PI() / 180 * _t, ASIN(SIN(_xlpm.L) * SIN(_xlpm.d) + COS(_xlpm.L) * COS(_xlpm.d) * COS(_xlpm.t)) * 180 / PI())</f>
        <v>37.644050023822807</v>
      </c>
      <c r="D11" t="str" cm="1">
        <f t="array" ref="D11">_fHM(C11)</f>
        <v>37° 38.6'</v>
      </c>
      <c r="L11" s="9" t="s">
        <v>66</v>
      </c>
    </row>
    <row r="12" spans="2:13" x14ac:dyDescent="0.25">
      <c r="B12" t="s">
        <v>25</v>
      </c>
      <c r="C12">
        <f>_xlfn.LET(
_xlpm.d,PI()/180*_d,
_xlpm.L,PI()/180*_L,
_xlpm.t,PI()/180*_t,
_xlpm._z,MOD(DEGREES(ATAN2(COS(_xlpm.d)*SIN(_xlpm.t),(COS(_xlpm.L)*SIN(_xlpm.d)-SIN(_xlpm.L)*COS(_xlpm.d)*COS(_xlpm.t)))),360),
_xlpm._y,MOD(_xlpm._z-90,360),
_xlpm._x,IF(SIGN(_xlpm.L)&lt;&gt;SIGN(_xlpm.d),180-_xlpm._y,_xlpm._y),360-_xlpm._x)</f>
        <v>398.0402181944944</v>
      </c>
      <c r="D12" t="str" cm="1">
        <f t="array" ref="D12">_fHM(ABS(C12))</f>
        <v>398° 2.4'</v>
      </c>
    </row>
    <row r="13" spans="2:13" x14ac:dyDescent="0.25">
      <c r="C13">
        <f>360-C12</f>
        <v>-38.0402181944944</v>
      </c>
      <c r="D13" t="str" cm="1">
        <f t="array" ref="D13">_fHM(ABS(C13))</f>
        <v>38° 2.4'</v>
      </c>
    </row>
    <row r="14" spans="2:13" x14ac:dyDescent="0.25">
      <c r="C14">
        <f>_xlfn.LET(
_xlpm.d,PI()/180*_d,
_xlpm.L,PI()/180*_L,
_xlpm.t,PI()/180*_t,
_xlpm._z,MOD(DEGREES(ATAN2(COS(_xlpm.d)*SIN(_xlpm.t),(COS(_xlpm.L)*SIN(_xlpm.d)-SIN(_xlpm.L)*COS(_xlpm.d)*COS(_xlpm.t)))),360),
_xlpm._z
)</f>
        <v>308.0402181944944</v>
      </c>
      <c r="D14" t="str" cm="1">
        <f t="array" ref="D14">_fHM(ABS(C14))</f>
        <v>308° 2.4'</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6FCC6-3E31-4FC6-8F07-E8D73C1C42B1}">
  <dimension ref="B2:M17"/>
  <sheetViews>
    <sheetView topLeftCell="C1" workbookViewId="0">
      <pane xSplit="2" topLeftCell="E1" activePane="topRight" state="frozen"/>
      <selection activeCell="C1" sqref="C1"/>
      <selection pane="topRight" activeCell="C11" sqref="C11"/>
    </sheetView>
  </sheetViews>
  <sheetFormatPr defaultRowHeight="13.2" x14ac:dyDescent="0.25"/>
  <cols>
    <col min="3" max="3" width="13.109375" bestFit="1" customWidth="1"/>
    <col min="6" max="6" width="11" bestFit="1" customWidth="1"/>
    <col min="7" max="7" width="13.21875" bestFit="1" customWidth="1"/>
    <col min="8" max="8" width="12.109375" bestFit="1" customWidth="1"/>
    <col min="9" max="9" width="11" bestFit="1" customWidth="1"/>
    <col min="10" max="11" width="12.109375" bestFit="1" customWidth="1"/>
  </cols>
  <sheetData>
    <row r="2" spans="2:13" x14ac:dyDescent="0.25">
      <c r="F2" s="10" t="s">
        <v>61</v>
      </c>
      <c r="G2" s="10"/>
      <c r="H2" s="10"/>
      <c r="I2" s="12" t="s">
        <v>60</v>
      </c>
      <c r="J2" s="12"/>
      <c r="K2" s="12"/>
    </row>
    <row r="3" spans="2:13" x14ac:dyDescent="0.25">
      <c r="F3" s="11"/>
      <c r="G3" s="11"/>
      <c r="H3" s="11"/>
      <c r="I3" s="12" t="s">
        <v>59</v>
      </c>
      <c r="J3" s="12"/>
      <c r="K3" s="12"/>
      <c r="L3" t="s">
        <v>64</v>
      </c>
    </row>
    <row r="4" spans="2:13" x14ac:dyDescent="0.25">
      <c r="F4" t="s">
        <v>44</v>
      </c>
      <c r="G4" t="s">
        <v>45</v>
      </c>
      <c r="H4" t="s">
        <v>46</v>
      </c>
      <c r="I4" t="s">
        <v>47</v>
      </c>
      <c r="J4" t="s">
        <v>48</v>
      </c>
      <c r="K4" t="s">
        <v>49</v>
      </c>
      <c r="M4" s="9"/>
    </row>
    <row r="5" spans="2:13" x14ac:dyDescent="0.25">
      <c r="B5" t="s">
        <v>21</v>
      </c>
      <c r="C5" s="13">
        <v>-1</v>
      </c>
      <c r="D5" t="s">
        <v>68</v>
      </c>
      <c r="F5">
        <v>15</v>
      </c>
      <c r="G5">
        <v>15</v>
      </c>
      <c r="H5">
        <v>15</v>
      </c>
      <c r="I5">
        <v>49</v>
      </c>
      <c r="J5">
        <v>49</v>
      </c>
      <c r="K5">
        <v>49</v>
      </c>
      <c r="L5" s="14">
        <v>-1</v>
      </c>
    </row>
    <row r="6" spans="2:13" x14ac:dyDescent="0.25">
      <c r="B6" t="s">
        <v>22</v>
      </c>
      <c r="C6" s="13">
        <v>21.156666666666666</v>
      </c>
      <c r="D6" t="s">
        <v>70</v>
      </c>
      <c r="F6">
        <v>19.315000000000001</v>
      </c>
      <c r="G6">
        <v>-26.378333333333334</v>
      </c>
      <c r="H6">
        <v>12.581666666666667</v>
      </c>
      <c r="I6">
        <f>12+6/60</f>
        <v>12.1</v>
      </c>
      <c r="J6">
        <f>45+11/60</f>
        <v>45.18333333333333</v>
      </c>
      <c r="K6">
        <f>74+16/60</f>
        <v>74.266666666666666</v>
      </c>
      <c r="L6" s="14">
        <v>21.156666666666666</v>
      </c>
    </row>
    <row r="7" spans="2:13" x14ac:dyDescent="0.25">
      <c r="B7" t="s">
        <v>23</v>
      </c>
      <c r="C7" s="13">
        <v>284</v>
      </c>
      <c r="D7" t="s">
        <v>69</v>
      </c>
      <c r="F7">
        <v>65</v>
      </c>
      <c r="G7">
        <v>33</v>
      </c>
      <c r="H7">
        <v>18</v>
      </c>
      <c r="I7">
        <v>58</v>
      </c>
      <c r="J7">
        <v>259</v>
      </c>
      <c r="K7">
        <v>347</v>
      </c>
      <c r="L7" s="14">
        <v>284</v>
      </c>
    </row>
    <row r="8" spans="2:13" x14ac:dyDescent="0.25">
      <c r="F8" t="s">
        <v>35</v>
      </c>
      <c r="G8" t="s">
        <v>37</v>
      </c>
      <c r="H8" t="s">
        <v>39</v>
      </c>
      <c r="I8" t="s">
        <v>50</v>
      </c>
      <c r="J8" t="s">
        <v>53</v>
      </c>
      <c r="K8" t="s">
        <v>56</v>
      </c>
      <c r="L8" s="14" t="s">
        <v>65</v>
      </c>
    </row>
    <row r="9" spans="2:13" x14ac:dyDescent="0.25">
      <c r="F9" s="9" t="s">
        <v>36</v>
      </c>
      <c r="G9" s="9" t="s">
        <v>42</v>
      </c>
      <c r="H9" s="9" t="s">
        <v>43</v>
      </c>
      <c r="I9" s="9" t="s">
        <v>52</v>
      </c>
      <c r="J9" s="9" t="s">
        <v>54</v>
      </c>
      <c r="K9" s="9" t="s">
        <v>57</v>
      </c>
      <c r="L9" s="9" t="s">
        <v>66</v>
      </c>
    </row>
    <row r="10" spans="2:13" x14ac:dyDescent="0.25">
      <c r="F10" t="s">
        <v>41</v>
      </c>
      <c r="G10" t="s">
        <v>38</v>
      </c>
      <c r="H10" t="s">
        <v>40</v>
      </c>
      <c r="I10" t="s">
        <v>51</v>
      </c>
      <c r="J10" t="s">
        <v>55</v>
      </c>
      <c r="K10" t="s">
        <v>58</v>
      </c>
      <c r="L10" s="13"/>
    </row>
    <row r="11" spans="2:13" x14ac:dyDescent="0.25">
      <c r="B11" t="s">
        <v>34</v>
      </c>
      <c r="C11">
        <f>_xlfn.LET(_xlpm.L, PI() / 180 * _L, _xlpm.d, PI() / 180 * _d, _xlpm.t, PI() / 180 * _t, ASIN(SIN(_xlpm.L) * SIN(_xlpm.d) + COS(_xlpm.L) * COS(_xlpm.d) * COS(_xlpm.t)) * 180 / PI())</f>
        <v>12.666886583405681</v>
      </c>
      <c r="D11" t="str" cm="1">
        <f t="array" ref="D11">_fHM(C11)</f>
        <v>12° 40.0'</v>
      </c>
    </row>
    <row r="12" spans="2:13" x14ac:dyDescent="0.25">
      <c r="B12" t="s">
        <v>25</v>
      </c>
      <c r="C12" cm="1">
        <f t="array" ref="C12">_xlfn.LAMBDA(_xlpm.dec,_xlpm.Lat,_xlpm.LHA,
_xlfn.LET(_xlpm.f, IF(SIGN(_xlpm.dec)&lt;&gt;SIGN(_xlpm.Lat),-1,1),
    _xlpm.d, PI() / 180 * ABS(_xlpm.dec),
    _xlpm.L, PI() / 180 * ABS(_xlpm.Lat) * _xlpm.f,
    _xlpm.t, PI() / 180 * _xlpm.LHA,
    _xlpm.s, SIN(_xlpm.d),
    _xlpm.c, COS(_xlpm.d) * COS(_xlpm.t),
    _xlpm.res, ASIN(SIN(_xlpm.L) * SIN(_xlpm.d) + COS(_xlpm.L) * COS(_xlpm.d) * COS(_xlpm.t)),
    _xlpm.x, DEGREES(ACOS((_xlpm.s * COS(_xlpm.L) - _xlpm.c * SIN(_xlpm.L)) / COS(_xlpm.res))),
    IF(_xlpm.f=-1,180-_xlpm.x,_xlpm.x)
))(_d,_L,_t)</f>
        <v>111.95647513034474</v>
      </c>
      <c r="D12" t="str" cm="1">
        <f t="array" ref="D12">_fHM(ABS(C12))</f>
        <v>111° 57.4'</v>
      </c>
      <c r="K12">
        <f>(L6-21)*60</f>
        <v>9.3999999999999773</v>
      </c>
    </row>
    <row r="13" spans="2:13" x14ac:dyDescent="0.25">
      <c r="F13">
        <f>21+9.4/60</f>
        <v>21.156666666666666</v>
      </c>
    </row>
    <row r="14" spans="2:13" x14ac:dyDescent="0.25">
      <c r="G14" t="s">
        <v>67</v>
      </c>
    </row>
    <row r="17" spans="3:3" x14ac:dyDescent="0.25">
      <c r="C17" t="b">
        <f>SIGN(_L)&lt;&gt;SIGN(_d)</f>
        <v>1</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A46DE-C8B5-46AB-B5C3-3D9A24AAEFAD}">
  <dimension ref="B2:M14"/>
  <sheetViews>
    <sheetView tabSelected="1" topLeftCell="C1" workbookViewId="0">
      <pane xSplit="2" topLeftCell="E1" activePane="topRight" state="frozen"/>
      <selection activeCell="C1" sqref="C1"/>
      <selection pane="topRight" activeCell="I24" sqref="I24"/>
    </sheetView>
  </sheetViews>
  <sheetFormatPr defaultRowHeight="13.2" x14ac:dyDescent="0.25"/>
  <cols>
    <col min="3" max="3" width="13.109375" bestFit="1" customWidth="1"/>
    <col min="4" max="4" width="13.88671875" customWidth="1"/>
    <col min="6" max="6" width="11" bestFit="1" customWidth="1"/>
    <col min="7" max="7" width="13.21875" bestFit="1" customWidth="1"/>
    <col min="8" max="8" width="12.109375" bestFit="1" customWidth="1"/>
    <col min="9" max="9" width="11" bestFit="1" customWidth="1"/>
    <col min="10" max="11" width="12.109375" bestFit="1" customWidth="1"/>
  </cols>
  <sheetData>
    <row r="2" spans="2:13" x14ac:dyDescent="0.25">
      <c r="F2" s="10" t="s">
        <v>61</v>
      </c>
      <c r="G2" s="10"/>
      <c r="H2" s="10"/>
      <c r="I2" s="12" t="s">
        <v>60</v>
      </c>
      <c r="J2" s="12"/>
      <c r="K2" s="12"/>
    </row>
    <row r="3" spans="2:13" x14ac:dyDescent="0.25">
      <c r="F3" s="11"/>
      <c r="G3" s="11"/>
      <c r="H3" s="11"/>
      <c r="I3" s="12" t="s">
        <v>59</v>
      </c>
      <c r="J3" s="12"/>
      <c r="K3" s="12"/>
      <c r="L3" t="s">
        <v>64</v>
      </c>
    </row>
    <row r="4" spans="2:13" x14ac:dyDescent="0.25">
      <c r="C4" s="15" t="s">
        <v>72</v>
      </c>
      <c r="F4" t="s">
        <v>44</v>
      </c>
      <c r="G4" t="s">
        <v>45</v>
      </c>
      <c r="H4" t="s">
        <v>46</v>
      </c>
      <c r="I4" t="s">
        <v>47</v>
      </c>
      <c r="J4" t="s">
        <v>48</v>
      </c>
      <c r="K4" t="s">
        <v>49</v>
      </c>
      <c r="M4" s="9"/>
    </row>
    <row r="5" spans="2:13" x14ac:dyDescent="0.25">
      <c r="B5" t="s">
        <v>21</v>
      </c>
      <c r="C5" s="13">
        <v>-1</v>
      </c>
      <c r="D5" t="s">
        <v>68</v>
      </c>
      <c r="F5">
        <v>15</v>
      </c>
      <c r="G5">
        <v>15</v>
      </c>
      <c r="H5">
        <v>15</v>
      </c>
      <c r="I5">
        <v>49</v>
      </c>
      <c r="J5">
        <v>49</v>
      </c>
      <c r="K5">
        <v>49</v>
      </c>
      <c r="L5" s="14">
        <v>-1</v>
      </c>
    </row>
    <row r="6" spans="2:13" x14ac:dyDescent="0.25">
      <c r="B6" t="s">
        <v>22</v>
      </c>
      <c r="C6" s="13">
        <v>21.156666666666666</v>
      </c>
      <c r="D6" t="s">
        <v>70</v>
      </c>
      <c r="F6">
        <v>19.315000000000001</v>
      </c>
      <c r="G6">
        <v>-26.378333333333334</v>
      </c>
      <c r="H6">
        <v>12.581666666666667</v>
      </c>
      <c r="I6">
        <f>12+6/60</f>
        <v>12.1</v>
      </c>
      <c r="J6">
        <f>45+11/60</f>
        <v>45.18333333333333</v>
      </c>
      <c r="K6">
        <f>74+16/60</f>
        <v>74.266666666666666</v>
      </c>
      <c r="L6" s="14">
        <v>21.156666666666666</v>
      </c>
    </row>
    <row r="7" spans="2:13" x14ac:dyDescent="0.25">
      <c r="B7" t="s">
        <v>23</v>
      </c>
      <c r="C7" s="13">
        <v>283.99999974070147</v>
      </c>
      <c r="D7" t="s">
        <v>69</v>
      </c>
      <c r="F7">
        <v>65</v>
      </c>
      <c r="G7">
        <v>33</v>
      </c>
      <c r="H7">
        <v>18</v>
      </c>
      <c r="I7">
        <v>58</v>
      </c>
      <c r="J7">
        <v>259</v>
      </c>
      <c r="K7">
        <v>347</v>
      </c>
      <c r="L7" s="14">
        <v>284</v>
      </c>
    </row>
    <row r="8" spans="2:13" x14ac:dyDescent="0.25">
      <c r="F8" t="s">
        <v>35</v>
      </c>
      <c r="G8" t="s">
        <v>37</v>
      </c>
      <c r="H8" t="s">
        <v>39</v>
      </c>
      <c r="I8" t="s">
        <v>50</v>
      </c>
      <c r="J8" t="s">
        <v>53</v>
      </c>
      <c r="K8" t="s">
        <v>56</v>
      </c>
      <c r="L8" s="14" t="s">
        <v>65</v>
      </c>
    </row>
    <row r="9" spans="2:13" x14ac:dyDescent="0.25">
      <c r="F9" s="9" t="s">
        <v>36</v>
      </c>
      <c r="G9" s="9" t="s">
        <v>42</v>
      </c>
      <c r="H9" s="9" t="s">
        <v>43</v>
      </c>
      <c r="I9" s="9" t="s">
        <v>52</v>
      </c>
      <c r="J9" s="9" t="s">
        <v>54</v>
      </c>
      <c r="K9" s="9" t="s">
        <v>57</v>
      </c>
      <c r="L9" s="9" t="s">
        <v>66</v>
      </c>
    </row>
    <row r="10" spans="2:13" x14ac:dyDescent="0.25">
      <c r="F10" t="s">
        <v>41</v>
      </c>
      <c r="G10" t="s">
        <v>38</v>
      </c>
      <c r="H10" t="s">
        <v>40</v>
      </c>
      <c r="I10" t="s">
        <v>51</v>
      </c>
      <c r="J10" t="s">
        <v>55</v>
      </c>
      <c r="K10" t="s">
        <v>58</v>
      </c>
      <c r="L10" s="13"/>
    </row>
    <row r="11" spans="2:13" x14ac:dyDescent="0.25">
      <c r="B11" t="s">
        <v>34</v>
      </c>
      <c r="C11">
        <f>_xlfn.LET(_xlpm.L, PI() / 180 * _L, _xlpm.d, PI() / 180 * _d, _xlpm.t, PI() / 180 * _t, ASIN(SIN(_xlpm.L) * SIN(_xlpm.d) + COS(_xlpm.L) * COS(_xlpm.d) * COS(_xlpm.t)) * 180 / PI())</f>
        <v>12.666886342951196</v>
      </c>
      <c r="D11" t="str" cm="1">
        <f t="array" ref="D11">_fHM(C11)</f>
        <v>12° 40.0'</v>
      </c>
      <c r="E11" t="s">
        <v>71</v>
      </c>
      <c r="F11" s="9">
        <v>12.666886597987773</v>
      </c>
    </row>
    <row r="12" spans="2:13" x14ac:dyDescent="0.25">
      <c r="B12" t="s">
        <v>25</v>
      </c>
      <c r="C12" cm="1">
        <f t="array" ref="C12">_xlfn.LAMBDA(_xlpm.dec,_xlpm.Lat,_xlpm.LHA,
_xlfn.LET(_xlpm.f, IF(SIGN(_xlpm.dec)&lt;&gt;SIGN(_xlpm.Lat),-1,1),
    _xlpm.d, PI() / 180 * ABS(_xlpm.dec),
    _xlpm.L, PI() / 180 * ABS(_xlpm.Lat) * _xlpm.f,
    _xlpm.t, PI() / 180 * _xlpm.LHA,
    _xlpm.s, SIN(_xlpm.d),
    _xlpm.c, COS(_xlpm.d) * COS(_xlpm.t),
    _xlpm.res, ASIN(SIN(_xlpm.L) * SIN(_xlpm.d) + COS(_xlpm.L) * COS(_xlpm.d) * COS(_xlpm.t)),
    _xlpm.x, DEGREES(ACOS((_xlpm.s * COS(_xlpm.L) - _xlpm.c * SIN(_xlpm.L)) / COS(_xlpm.res))),
    IF(_xlpm.f=-1,180-_xlpm.x,_xlpm.x)
))(_d,_L,_t)</f>
        <v>111.95647510403241</v>
      </c>
      <c r="D12" t="str" cm="1">
        <f t="array" ref="D12">_fHM(ABS(C12))</f>
        <v>111° 57.4'</v>
      </c>
      <c r="K12">
        <f>(L6-21)*60</f>
        <v>9.3999999999999773</v>
      </c>
    </row>
    <row r="13" spans="2:13" x14ac:dyDescent="0.25">
      <c r="F13">
        <f>21+9.4/60</f>
        <v>21.156666666666666</v>
      </c>
    </row>
    <row r="14" spans="2:13" x14ac:dyDescent="0.25">
      <c r="G14" t="s">
        <v>67</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74FBC-AF29-42D0-B973-6A56AE2E1348}">
  <dimension ref="A1:I25"/>
  <sheetViews>
    <sheetView workbookViewId="0">
      <selection activeCell="I26" sqref="I26"/>
    </sheetView>
  </sheetViews>
  <sheetFormatPr defaultRowHeight="13.2" x14ac:dyDescent="0.25"/>
  <sheetData>
    <row r="1" spans="1:3" x14ac:dyDescent="0.25">
      <c r="A1" s="1" t="s">
        <v>0</v>
      </c>
      <c r="B1" s="2" t="s">
        <v>1</v>
      </c>
      <c r="C1" s="2"/>
    </row>
    <row r="2" spans="1:3" x14ac:dyDescent="0.25">
      <c r="A2" s="1" t="s">
        <v>2</v>
      </c>
      <c r="B2" s="2"/>
      <c r="C2" s="2"/>
    </row>
    <row r="3" spans="1:3" x14ac:dyDescent="0.25">
      <c r="A3" s="1" t="s">
        <v>3</v>
      </c>
      <c r="B3" s="2" t="str" cm="1">
        <f t="array" aca="1" ref="B3" ca="1">HD_Date</f>
        <v>04-Jun-2025</v>
      </c>
      <c r="C3" s="2"/>
    </row>
    <row r="24" spans="7:9" x14ac:dyDescent="0.25">
      <c r="G24">
        <f>19+10/60</f>
        <v>19.166666666666668</v>
      </c>
      <c r="H24">
        <f>G24/60</f>
        <v>0.31944444444444448</v>
      </c>
      <c r="I24">
        <f>12.1*H24</f>
        <v>3.865277777777778</v>
      </c>
    </row>
    <row r="25" spans="7:9" x14ac:dyDescent="0.25">
      <c r="I25">
        <f>H24*-8.9</f>
        <v>-2.8430555555555559</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E8867-A2D1-43A4-9ACC-7AB2760F7CD8}">
  <sheetPr>
    <tabColor theme="0" tint="-0.249977111117893"/>
  </sheetPr>
  <dimension ref="A1:F37"/>
  <sheetViews>
    <sheetView workbookViewId="0">
      <selection activeCell="H10" sqref="H10"/>
    </sheetView>
  </sheetViews>
  <sheetFormatPr defaultRowHeight="13.2" x14ac:dyDescent="0.25"/>
  <cols>
    <col min="2" max="4" width="12.6640625" customWidth="1"/>
  </cols>
  <sheetData>
    <row r="1" spans="1:5" x14ac:dyDescent="0.25">
      <c r="A1" s="1" t="s">
        <v>0</v>
      </c>
      <c r="B1" s="2" t="s">
        <v>1</v>
      </c>
      <c r="C1" s="2"/>
    </row>
    <row r="2" spans="1:5" x14ac:dyDescent="0.25">
      <c r="A2" s="1" t="s">
        <v>2</v>
      </c>
      <c r="B2" s="2"/>
      <c r="C2" s="2"/>
    </row>
    <row r="3" spans="1:5" x14ac:dyDescent="0.25">
      <c r="A3" s="1" t="s">
        <v>3</v>
      </c>
      <c r="B3" s="2" t="str" cm="1">
        <f t="array" aca="1" ref="B3" ca="1">HD_Date</f>
        <v>04-Jun-2025</v>
      </c>
      <c r="C3" s="2"/>
    </row>
    <row r="5" spans="1:5" ht="14.4" x14ac:dyDescent="0.3">
      <c r="A5" s="4" t="s">
        <v>15</v>
      </c>
    </row>
    <row r="7" spans="1:5" x14ac:dyDescent="0.25">
      <c r="B7" t="s">
        <v>4</v>
      </c>
      <c r="C7" t="s">
        <v>5</v>
      </c>
      <c r="D7" t="s">
        <v>6</v>
      </c>
      <c r="E7" t="s">
        <v>7</v>
      </c>
    </row>
    <row r="8" spans="1:5" x14ac:dyDescent="0.25">
      <c r="B8" t="s">
        <v>8</v>
      </c>
      <c r="C8">
        <v>1</v>
      </c>
      <c r="D8" t="s">
        <v>11</v>
      </c>
      <c r="E8">
        <v>1</v>
      </c>
    </row>
    <row r="9" spans="1:5" x14ac:dyDescent="0.25">
      <c r="B9" t="s">
        <v>8</v>
      </c>
      <c r="C9">
        <v>2</v>
      </c>
      <c r="D9" t="s">
        <v>12</v>
      </c>
      <c r="E9">
        <v>2</v>
      </c>
    </row>
    <row r="10" spans="1:5" x14ac:dyDescent="0.25">
      <c r="B10" t="s">
        <v>9</v>
      </c>
      <c r="C10">
        <v>1</v>
      </c>
      <c r="D10" t="s">
        <v>11</v>
      </c>
      <c r="E10">
        <v>3</v>
      </c>
    </row>
    <row r="11" spans="1:5" x14ac:dyDescent="0.25">
      <c r="B11" t="s">
        <v>9</v>
      </c>
      <c r="C11">
        <v>2</v>
      </c>
      <c r="D11" t="s">
        <v>12</v>
      </c>
      <c r="E11">
        <v>4</v>
      </c>
    </row>
    <row r="12" spans="1:5" x14ac:dyDescent="0.25">
      <c r="B12" t="s">
        <v>10</v>
      </c>
      <c r="C12">
        <v>1</v>
      </c>
      <c r="D12" t="s">
        <v>11</v>
      </c>
      <c r="E12">
        <v>5</v>
      </c>
    </row>
    <row r="13" spans="1:5" x14ac:dyDescent="0.25">
      <c r="B13" t="s">
        <v>10</v>
      </c>
      <c r="C13">
        <v>2</v>
      </c>
      <c r="D13" t="s">
        <v>12</v>
      </c>
      <c r="E13">
        <v>6</v>
      </c>
    </row>
    <row r="17" spans="1:6" x14ac:dyDescent="0.25">
      <c r="B17" s="3" t="s">
        <v>14</v>
      </c>
      <c r="D17" s="3" t="s">
        <v>6</v>
      </c>
    </row>
    <row r="18" spans="1:6" x14ac:dyDescent="0.25">
      <c r="B18" s="3" t="s">
        <v>4</v>
      </c>
      <c r="C18" s="3" t="s">
        <v>5</v>
      </c>
      <c r="D18" t="s">
        <v>11</v>
      </c>
      <c r="E18" t="s">
        <v>12</v>
      </c>
      <c r="F18" t="s">
        <v>13</v>
      </c>
    </row>
    <row r="19" spans="1:6" x14ac:dyDescent="0.25">
      <c r="B19" t="s">
        <v>8</v>
      </c>
    </row>
    <row r="20" spans="1:6" x14ac:dyDescent="0.25">
      <c r="C20">
        <v>1</v>
      </c>
      <c r="D20">
        <v>1</v>
      </c>
      <c r="F20">
        <v>1</v>
      </c>
    </row>
    <row r="21" spans="1:6" x14ac:dyDescent="0.25">
      <c r="C21">
        <v>2</v>
      </c>
      <c r="E21">
        <v>2</v>
      </c>
      <c r="F21">
        <v>2</v>
      </c>
    </row>
    <row r="22" spans="1:6" x14ac:dyDescent="0.25">
      <c r="B22" t="s">
        <v>9</v>
      </c>
    </row>
    <row r="23" spans="1:6" x14ac:dyDescent="0.25">
      <c r="C23">
        <v>1</v>
      </c>
      <c r="D23">
        <v>3</v>
      </c>
      <c r="F23">
        <v>3</v>
      </c>
    </row>
    <row r="24" spans="1:6" x14ac:dyDescent="0.25">
      <c r="C24">
        <v>2</v>
      </c>
      <c r="E24">
        <v>4</v>
      </c>
      <c r="F24">
        <v>4</v>
      </c>
    </row>
    <row r="25" spans="1:6" x14ac:dyDescent="0.25">
      <c r="B25" t="s">
        <v>10</v>
      </c>
    </row>
    <row r="26" spans="1:6" x14ac:dyDescent="0.25">
      <c r="C26">
        <v>1</v>
      </c>
      <c r="D26">
        <v>5</v>
      </c>
      <c r="F26">
        <v>5</v>
      </c>
    </row>
    <row r="27" spans="1:6" x14ac:dyDescent="0.25">
      <c r="C27">
        <v>2</v>
      </c>
      <c r="E27">
        <v>6</v>
      </c>
      <c r="F27">
        <v>6</v>
      </c>
    </row>
    <row r="28" spans="1:6" x14ac:dyDescent="0.25">
      <c r="B28" t="s">
        <v>13</v>
      </c>
      <c r="D28">
        <v>9</v>
      </c>
      <c r="E28">
        <v>12</v>
      </c>
      <c r="F28">
        <v>21</v>
      </c>
    </row>
    <row r="32" spans="1:6" ht="14.4" x14ac:dyDescent="0.3">
      <c r="A32" s="4" t="s">
        <v>16</v>
      </c>
    </row>
    <row r="34" spans="2:2" x14ac:dyDescent="0.25">
      <c r="B34" s="8" t="s">
        <v>17</v>
      </c>
    </row>
    <row r="35" spans="2:2" x14ac:dyDescent="0.25">
      <c r="B35" s="7" t="s">
        <v>18</v>
      </c>
    </row>
    <row r="36" spans="2:2" x14ac:dyDescent="0.25">
      <c r="B36" s="6" t="s">
        <v>19</v>
      </c>
    </row>
    <row r="37" spans="2:2" x14ac:dyDescent="0.25">
      <c r="B37" s="5" t="s">
        <v>20</v>
      </c>
    </row>
  </sheetData>
  <pageMargins left="0.7" right="0.7" top="0.75" bottom="0.75" header="0.3" footer="0.3"/>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436D-CE0C-4639-B951-C1B98556791F}">
  <sheetPr>
    <tabColor theme="0" tint="-0.249977111117893"/>
  </sheetPr>
  <dimension ref="A1:C3"/>
  <sheetViews>
    <sheetView workbookViewId="0">
      <selection activeCell="J42" sqref="J42"/>
    </sheetView>
  </sheetViews>
  <sheetFormatPr defaultRowHeight="13.2" x14ac:dyDescent="0.25"/>
  <sheetData>
    <row r="1" spans="1:3" x14ac:dyDescent="0.25">
      <c r="A1" s="1" t="s">
        <v>0</v>
      </c>
      <c r="B1" s="2" t="s">
        <v>1</v>
      </c>
      <c r="C1" s="2"/>
    </row>
    <row r="2" spans="1:3" x14ac:dyDescent="0.25">
      <c r="A2" s="1" t="s">
        <v>2</v>
      </c>
      <c r="B2" s="2"/>
      <c r="C2" s="2"/>
    </row>
    <row r="3" spans="1:3" x14ac:dyDescent="0.25">
      <c r="A3" s="1" t="s">
        <v>3</v>
      </c>
      <c r="B3" s="2" t="str" cm="1">
        <f t="array" aca="1" ref="B3" ca="1">HD_Date</f>
        <v>04-Jun-2025</v>
      </c>
      <c r="C3"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CE3DB59B-49FD-4195-9271-1E20C81680B6}">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26</vt:i4>
      </vt:variant>
    </vt:vector>
  </HeadingPairs>
  <TitlesOfParts>
    <vt:vector size="34" baseType="lpstr">
      <vt:lpstr>Formula208</vt:lpstr>
      <vt:lpstr>Formula229</vt:lpstr>
      <vt:lpstr>Formula229 (2)</vt:lpstr>
      <vt:lpstr>Working</vt:lpstr>
      <vt:lpstr>NumMethod</vt:lpstr>
      <vt:lpstr>vCorrection</vt:lpstr>
      <vt:lpstr>Formats</vt:lpstr>
      <vt:lpstr>Lists</vt:lpstr>
      <vt:lpstr>_Alt</vt:lpstr>
      <vt:lpstr>Formula229!_d</vt:lpstr>
      <vt:lpstr>'Formula229 (2)'!_d</vt:lpstr>
      <vt:lpstr>NumMethod!_d</vt:lpstr>
      <vt:lpstr>Working!_d</vt:lpstr>
      <vt:lpstr>_d</vt:lpstr>
      <vt:lpstr>_h</vt:lpstr>
      <vt:lpstr>Formula229!_HC</vt:lpstr>
      <vt:lpstr>'Formula229 (2)'!_HC</vt:lpstr>
      <vt:lpstr>NumMethod!_HC</vt:lpstr>
      <vt:lpstr>Working!_HC</vt:lpstr>
      <vt:lpstr>Formula229!_L</vt:lpstr>
      <vt:lpstr>'Formula229 (2)'!_L</vt:lpstr>
      <vt:lpstr>NumMethod!_L</vt:lpstr>
      <vt:lpstr>Working!_L</vt:lpstr>
      <vt:lpstr>_L</vt:lpstr>
      <vt:lpstr>_PX</vt:lpstr>
      <vt:lpstr>_PZ</vt:lpstr>
      <vt:lpstr>Formula229!_t</vt:lpstr>
      <vt:lpstr>'Formula229 (2)'!_t</vt:lpstr>
      <vt:lpstr>NumMethod!_t</vt:lpstr>
      <vt:lpstr>Working!_t</vt:lpstr>
      <vt:lpstr>_t</vt:lpstr>
      <vt:lpstr>_Z</vt:lpstr>
      <vt:lpstr>_ZPA</vt:lpstr>
      <vt:lpstr>_ZX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Biegert</dc:creator>
  <cp:lastModifiedBy>Mark Biegert</cp:lastModifiedBy>
  <dcterms:created xsi:type="dcterms:W3CDTF">2021-09-27T12:19:57Z</dcterms:created>
  <dcterms:modified xsi:type="dcterms:W3CDTF">2025-06-04T21:45:12Z</dcterms:modified>
</cp:coreProperties>
</file>