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48DD49C7-F3C4-44A8-869D-55725E8AA40C}" xr6:coauthVersionLast="47" xr6:coauthVersionMax="47" xr10:uidLastSave="{00000000-0000-0000-0000-000000000000}"/>
  <bookViews>
    <workbookView xWindow="-289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1" i="29" l="1"/>
  <c r="P72" i="29"/>
  <c r="P71" i="29"/>
  <c r="P69" i="29"/>
  <c r="P68" i="29"/>
  <c r="P67" i="29"/>
  <c r="P63" i="29"/>
  <c r="P61" i="29"/>
  <c r="E86" i="29"/>
  <c r="E85" i="29"/>
  <c r="D39"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<sst xmlns="http://schemas.openxmlformats.org/spreadsheetml/2006/main" count="6566" uniqueCount="2976">
  <si>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</si>
  <si>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</si>
  <si>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</si>
  <si>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</si>
  <si>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</si>
  <si>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</si>
  <si>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</si>
  <si>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</si>
  <si>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</si>
  <si>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</si>
  <si>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</si>
  <si>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</si>
  <si>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</si>
  <si>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</si>
  <si>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</si>
  <si>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</si>
  <si>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</si>
  <si>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</si>
  <si>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</si>
  <si>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</si>
  <si>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</si>
  <si>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</si>
  <si>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</si>
  <si>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</si>
  <si>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</si>
  <si>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</si>
  <si>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</si>
  <si>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</si>
  <si>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</si>
  <si>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</si>
  <si>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</si>
  <si>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</si>
  <si>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</si>
  <si>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</si>
  <si>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</si>
  <si>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</si>
  <si>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</si>
  <si>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</si>
  <si>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</si>
  <si>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</si>
  <si>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</si>
  <si>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</si>
  <si>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</si>
  <si>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</si>
  <si>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</si>
  <si>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</si>
  <si>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</si>
  <si>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</si>
  <si>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</si>
  <si>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</si>
  <si>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</si>
  <si>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</si>
  <si>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</si>
  <si>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</si>
  <si>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</si>
  <si>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</si>
  <si>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</si>
  <si>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</si>
  <si>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</si>
  <si>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</si>
  <si>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</si>
  <si>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</si>
  <si>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</si>
  <si>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</si>
  <si>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</si>
  <si>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</si>
  <si>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</si>
  <si>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</si>
  <si>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</si>
  <si>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</si>
  <si>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</si>
  <si>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</si>
  <si>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</si>
  <si>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</si>
  <si>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</si>
  <si>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</si>
  <si>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</si>
  <si>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</si>
  <si>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</si>
  <si>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</si>
  <si>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</si>
  <si>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</si>
  <si>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</si>
  <si>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</si>
  <si>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</si>
  <si>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</si>
  <si>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</si>
  <si>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</si>
  <si>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</si>
  <si>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</si>
  <si>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</si>
  <si>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</si>
  <si>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</si>
  <si>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</si>
  <si>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</si>
  <si>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</si>
  <si>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</si>
  <si>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</si>
  <si>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</si>
  <si>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</si>
  <si>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</si>
  <si>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</si>
  <si>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</si>
  <si>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</si>
  <si>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</si>
  <si>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</si>
  <si>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</si>
  <si>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</si>
  <si>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</si>
  <si>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</si>
  <si>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</si>
  <si>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</si>
  <si>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</si>
  <si>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</si>
  <si>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</si>
  <si>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</si>
  <si>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</si>
  <si>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</si>
  <si>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</si>
  <si>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</si>
  <si>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</si>
  <si>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</si>
  <si>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</si>
  <si>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</si>
  <si>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</si>
  <si>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</si>
  <si>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</si>
  <si>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</si>
  <si>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</si>
  <si>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</si>
  <si>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</si>
  <si>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</si>
  <si>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</si>
  <si>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</si>
  <si>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</si>
  <si>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</si>
  <si>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</si>
  <si>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</si>
  <si>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</si>
  <si>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</si>
  <si>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</si>
  <si>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</si>
  <si>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</si>
  <si>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</si>
  <si>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</si>
  <si>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</si>
  <si>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</si>
  <si>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</si>
  <si>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</si>
  <si>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</si>
  <si>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</si>
  <si>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</si>
  <si>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</si>
  <si>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</si>
  <si>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</si>
  <si>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</si>
  <si>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</si>
  <si>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</si>
  <si>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</si>
  <si>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</si>
  <si>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</si>
  <si>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</si>
  <si>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</si>
  <si>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</si>
  <si>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</si>
  <si>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</si>
  <si>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</si>
  <si>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</si>
  <si>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</si>
  <si>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</si>
  <si>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</si>
  <si>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</si>
  <si>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</si>
  <si>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</si>
  <si>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</si>
  <si>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</si>
  <si>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</si>
  <si>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</si>
  <si>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</si>
  <si>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</si>
  <si>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</si>
  <si>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</si>
  <si>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</si>
  <si>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</si>
  <si>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</si>
  <si>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</si>
  <si>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</si>
  <si>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</si>
  <si>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</si>
  <si>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</si>
  <si>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</si>
  <si>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</si>
  <si>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</si>
  <si>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</si>
  <si>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</si>
  <si>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</si>
  <si>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</si>
  <si>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</si>
  <si>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</si>
  <si>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</si>
  <si>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</si>
  <si>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</si>
  <si>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</si>
  <si>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</si>
  <si>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</si>
  <si>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</si>
  <si>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</si>
  <si>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</si>
  <si>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</si>
  <si>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</si>
  <si>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</si>
  <si>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</si>
  <si>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</si>
  <si>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</si>
  <si>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</si>
  <si>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</si>
  <si>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</si>
  <si>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</si>
  <si>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</si>
  <si>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</si>
  <si>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</si>
  <si>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</si>
  <si>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</si>
  <si>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</si>
  <si>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</si>
  <si>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</si>
  <si>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</si>
  <si>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</si>
  <si>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</si>
  <si>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</si>
  <si>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</si>
  <si>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</si>
  <si>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</si>
  <si>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</si>
  <si>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</si>
  <si>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</si>
  <si>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</si>
  <si>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</si>
  <si>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</si>
  <si>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</si>
  <si>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</si>
  <si>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</si>
  <si>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</si>
  <si>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</si>
  <si>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</si>
  <si>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</si>
  <si>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</si>
  <si>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</si>
  <si>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</si>
  <si>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</si>
  <si>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</si>
  <si>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</si>
  <si>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</si>
  <si>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</si>
  <si>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</si>
  <si>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</si>
  <si>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</si>
  <si>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</si>
  <si>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</si>
  <si>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</si>
  <si>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</si>
  <si>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</si>
  <si>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</si>
  <si>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</si>
  <si>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</si>
  <si>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</si>
  <si>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</si>
  <si>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</si>
  <si>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</si>
  <si>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</si>
  <si>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</si>
  <si>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</si>
  <si>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</si>
  <si>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</si>
  <si>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</si>
  <si>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</si>
  <si>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</si>
  <si>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</si>
  <si>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</si>
  <si>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</si>
  <si>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</si>
  <si>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</si>
  <si>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</si>
  <si>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</si>
  <si>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</si>
  <si>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</si>
  <si>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</si>
  <si>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</si>
  <si>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</si>
  <si>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</si>
  <si>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</si>
  <si>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</si>
  <si>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</si>
  <si>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</si>
  <si>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</si>
  <si>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</si>
  <si>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</si>
  <si>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</si>
  <si>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</si>
  <si>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</si>
  <si>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</si>
  <si>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</si>
  <si>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</si>
  <si>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</si>
  <si>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</si>
  <si>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</si>
  <si>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</si>
  <si>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</si>
  <si>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</si>
  <si>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</si>
  <si>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</si>
  <si>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</si>
  <si>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</si>
  <si>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</si>
  <si>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</si>
  <si>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</si>
  <si>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</si>
  <si>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</si>
  <si>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</si>
  <si>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</si>
  <si>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</si>
  <si>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</si>
  <si>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</si>
  <si>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</si>
  <si>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</si>
  <si>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</si>
  <si>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</si>
  <si>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</si>
  <si>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</si>
  <si>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</si>
  <si>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</si>
  <si>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</si>
  <si>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</si>
  <si>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</si>
  <si>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</si>
  <si>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</si>
  <si>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</si>
  <si>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</si>
  <si>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</si>
  <si>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</si>
  <si>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</si>
  <si>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</si>
  <si>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</si>
  <si>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</si>
  <si>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</si>
  <si>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</si>
  <si>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</si>
  <si>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</si>
  <si>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</si>
  <si>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</si>
  <si>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</si>
  <si>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</si>
  <si>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</si>
  <si>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</si>
  <si>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</si>
  <si>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</si>
  <si>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</si>
  <si>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</si>
  <si>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</si>
  <si>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</si>
  <si>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</si>
  <si>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</si>
  <si>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</si>
  <si>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</si>
  <si>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</si>
  <si>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</si>
  <si>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</si>
  <si>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</si>
  <si>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</si>
  <si>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</si>
  <si>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</si>
  <si>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</si>
  <si>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</si>
  <si>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</si>
  <si>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</si>
  <si>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</si>
  <si>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</si>
  <si>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</si>
  <si>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</si>
  <si>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</si>
  <si>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</si>
  <si>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</si>
  <si>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</si>
  <si>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</si>
  <si>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</si>
  <si>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</si>
  <si>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</si>
  <si>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</si>
  <si>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</si>
  <si>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</si>
  <si>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</si>
  <si>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</si>
  <si>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</si>
  <si>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</si>
  <si>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</si>
  <si>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</si>
  <si>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</si>
  <si>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</si>
  <si>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</si>
  <si>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</si>
  <si>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</si>
  <si>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</si>
  <si>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</si>
  <si>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</si>
  <si>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</si>
  <si>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</si>
  <si>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</si>
  <si>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</si>
  <si>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</si>
  <si>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</si>
  <si>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</si>
  <si>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</si>
  <si>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</si>
  <si>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</si>
  <si>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</si>
  <si>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</si>
  <si>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</si>
  <si>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</si>
  <si>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</si>
  <si>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</si>
  <si>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</si>
  <si>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</si>
  <si>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</si>
  <si>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</si>
  <si>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</si>
  <si>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</si>
  <si>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</si>
  <si>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</si>
  <si>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</si>
  <si>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</si>
  <si>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</si>
  <si>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</si>
  <si>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</si>
  <si>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</si>
  <si>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</si>
  <si>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</si>
  <si>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</si>
  <si>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</si>
  <si>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</si>
  <si>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</si>
  <si>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</si>
  <si>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</si>
  <si>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</si>
  <si>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</si>
  <si>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</si>
  <si>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</si>
  <si>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</si>
  <si>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</si>
  <si>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</si>
  <si>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</si>
  <si>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</si>
  <si>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</si>
  <si>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</si>
  <si>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</si>
  <si>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</si>
  <si>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</si>
  <si>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</si>
  <si>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</si>
  <si>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</si>
  <si>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</si>
  <si>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</si>
  <si>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</si>
  <si>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</si>
  <si>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</si>
  <si>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</si>
  <si>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</si>
  <si>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</si>
  <si>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</si>
  <si>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</si>
  <si>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</si>
  <si>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</si>
  <si>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</si>
  <si>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</si>
  <si>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</si>
  <si>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</si>
  <si>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</si>
  <si>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</si>
  <si>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</si>
  <si>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</si>
  <si>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</si>
  <si>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</si>
  <si>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</si>
  <si>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</si>
  <si>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</si>
  <si>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</si>
  <si>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</si>
  <si>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</si>
  <si>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</si>
  <si>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</si>
  <si>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</si>
  <si>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</si>
  <si>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</si>
  <si>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</si>
  <si>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</si>
  <si>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</si>
  <si>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</si>
  <si>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</si>
  <si>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</si>
  <si>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</si>
  <si>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</si>
  <si>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</si>
  <si>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</si>
  <si>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</si>
  <si>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</si>
  <si>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</si>
  <si>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</si>
  <si>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</si>
  <si>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</si>
  <si>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</si>
  <si>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</si>
  <si>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</si>
  <si>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</si>
  <si>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</si>
  <si>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</si>
  <si>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</si>
  <si>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</si>
  <si>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</si>
  <si>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</si>
  <si>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</si>
  <si>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</si>
  <si>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</si>
  <si>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</si>
  <si>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</si>
  <si>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</si>
  <si>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</si>
  <si>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</si>
  <si>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</si>
  <si>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</si>
  <si>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</si>
  <si>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</si>
  <si>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</si>
  <si>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</si>
  <si>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</si>
  <si>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</si>
  <si>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</si>
  <si>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</si>
  <si>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</si>
  <si>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</si>
  <si>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</si>
  <si>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</si>
  <si>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</si>
  <si>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</si>
  <si>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</si>
  <si>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</si>
  <si>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</si>
  <si>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</si>
  <si>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</si>
  <si>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</si>
  <si>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</si>
  <si>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</si>
  <si>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</si>
  <si>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</si>
  <si>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</si>
  <si>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</si>
  <si>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</si>
  <si>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</si>
  <si>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</si>
  <si>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</si>
  <si>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</si>
  <si>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</si>
  <si>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</si>
  <si>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</si>
  <si>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</si>
  <si>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</si>
  <si>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</si>
  <si>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</si>
  <si>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</si>
  <si>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</si>
  <si>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</si>
  <si>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</si>
  <si>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</si>
  <si>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</si>
  <si>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</si>
  <si>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</si>
  <si>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</si>
  <si>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</si>
  <si>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</si>
  <si>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</si>
  <si>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</si>
  <si>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</si>
  <si>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</si>
  <si>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</si>
  <si>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</si>
  <si>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</si>
  <si>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</si>
  <si>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</si>
  <si>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</si>
  <si>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</si>
  <si>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</si>
  <si>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</si>
  <si>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</si>
  <si>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</si>
  <si>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</si>
  <si>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</si>
  <si>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</si>
  <si>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</si>
  <si>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</si>
  <si>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</si>
  <si>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</si>
  <si>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</si>
  <si>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</si>
  <si>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</si>
  <si>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</si>
  <si>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</si>
  <si>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</si>
  <si>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</si>
  <si>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</si>
  <si>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</si>
  <si>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</si>
  <si>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</si>
  <si>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</si>
  <si>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</si>
  <si>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</si>
  <si>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</si>
  <si>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</si>
  <si>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</si>
  <si>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</si>
  <si>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</si>
  <si>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</si>
  <si>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</si>
  <si>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</si>
  <si>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</si>
  <si>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</si>
  <si>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</si>
  <si>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</si>
  <si>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</si>
  <si>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</si>
  <si>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</si>
  <si>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</si>
  <si>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</si>
  <si>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</si>
  <si>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</si>
  <si>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</si>
  <si>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</si>
  <si>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</si>
  <si>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</si>
  <si>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</si>
  <si>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</si>
  <si>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</si>
  <si>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</si>
  <si>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</si>
  <si>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</si>
  <si>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</si>
  <si>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</si>
  <si>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</si>
  <si>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</si>
  <si>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</si>
  <si>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</si>
  <si>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</si>
  <si>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</si>
  <si>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</si>
  <si>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</si>
  <si>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</si>
  <si>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</si>
  <si>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</si>
  <si>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</si>
  <si>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</si>
  <si>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</si>
  <si>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</si>
  <si>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</si>
  <si>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</si>
  <si>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</si>
  <si>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</si>
  <si>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</si>
  <si>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</si>
  <si>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</si>
  <si>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</si>
  <si>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</si>
  <si>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</si>
  <si>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</si>
  <si>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</si>
  <si>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</si>
  <si>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</si>
  <si>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</si>
  <si>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</si>
  <si>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</si>
  <si>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</si>
  <si>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</si>
  <si>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</si>
  <si>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</si>
  <si>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</si>
  <si>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</si>
  <si>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</si>
  <si>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</si>
  <si>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</si>
  <si>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</si>
  <si>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</si>
  <si>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</si>
  <si>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</si>
  <si>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</si>
  <si>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</si>
  <si>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</si>
  <si>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</si>
  <si>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</si>
  <si>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</si>
  <si>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</si>
  <si>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</si>
  <si>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</si>
  <si>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</si>
  <si>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</si>
  <si>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</si>
  <si>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</si>
  <si>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</si>
  <si>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</si>
  <si>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</si>
  <si>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</si>
  <si>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</si>
  <si>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</si>
  <si>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</si>
  <si>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</si>
  <si>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</si>
  <si>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</si>
  <si>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</si>
  <si>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</si>
  <si>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</si>
  <si>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</si>
  <si>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</si>
  <si>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</si>
  <si>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</si>
  <si>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</si>
  <si>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</si>
  <si>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</si>
  <si>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</si>
  <si>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</si>
  <si>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</si>
  <si>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</si>
  <si>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</si>
  <si>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</si>
  <si>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</si>
  <si>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</si>
  <si>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</si>
  <si>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</si>
  <si>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</si>
  <si>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</si>
  <si>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</si>
  <si>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</si>
  <si>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</si>
  <si>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</si>
  <si>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</si>
  <si>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</si>
  <si>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</si>
  <si>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</si>
  <si>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</si>
  <si>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</si>
  <si>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</si>
  <si>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</si>
  <si>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</si>
  <si>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</si>
  <si>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</si>
  <si>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</si>
  <si>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</si>
  <si>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</si>
  <si>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</si>
  <si>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</si>
  <si>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</si>
  <si>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</si>
  <si>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</si>
  <si>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</si>
  <si>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</si>
  <si>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</si>
  <si>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</si>
  <si>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</si>
  <si>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</si>
  <si>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</si>
  <si>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</si>
  <si>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</si>
  <si>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</si>
  <si>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</si>
  <si>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</si>
  <si>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</si>
  <si>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</si>
  <si>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</si>
  <si>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</si>
  <si>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</si>
  <si>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</si>
  <si>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</si>
  <si>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</si>
  <si>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</si>
  <si>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</si>
  <si>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</si>
  <si>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</si>
  <si>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</si>
  <si>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</si>
  <si>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</si>
  <si>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</si>
  <si>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</si>
  <si>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</si>
  <si>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</si>
  <si>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</si>
  <si>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</si>
  <si>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</si>
  <si>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</si>
  <si>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</si>
  <si>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</si>
  <si>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</si>
  <si>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</si>
  <si>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</si>
  <si>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</si>
  <si>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</si>
  <si>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</si>
  <si>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</si>
  <si>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</si>
  <si>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</si>
  <si>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</si>
  <si>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</si>
  <si>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</si>
  <si>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</si>
  <si>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</si>
  <si>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</si>
  <si>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</si>
  <si>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</si>
  <si>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</si>
  <si>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</si>
  <si>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</si>
  <si>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</si>
  <si>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</si>
  <si>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</si>
  <si>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</si>
  <si>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</si>
  <si>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</si>
  <si>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</si>
  <si>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</si>
  <si>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</si>
  <si>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</si>
  <si>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</si>
  <si>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</si>
  <si>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</si>
  <si>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</si>
  <si>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</si>
  <si>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</si>
  <si>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</si>
  <si>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</si>
  <si>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</si>
  <si>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</si>
  <si>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</si>
  <si>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</si>
  <si>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</si>
  <si>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</si>
  <si>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</si>
  <si>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</si>
  <si>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</si>
  <si>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</si>
  <si>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</si>
  <si>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</si>
  <si>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</si>
  <si>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</si>
  <si>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</si>
  <si>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</si>
  <si>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</si>
  <si>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</si>
  <si>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</si>
  <si>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</si>
  <si>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</si>
  <si>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</si>
  <si>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</si>
  <si>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</si>
  <si>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</si>
  <si>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</si>
  <si>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</si>
  <si>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</si>
  <si>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</si>
  <si>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</si>
  <si>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</si>
  <si>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</si>
  <si>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</si>
  <si>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</si>
  <si>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</si>
  <si>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</si>
  <si>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</si>
  <si>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</si>
  <si>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</si>
  <si>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</si>
  <si>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</si>
  <si>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</si>
  <si>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</si>
  <si>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</si>
  <si>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</si>
  <si>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</si>
  <si>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</si>
  <si>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</si>
  <si>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</si>
  <si>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</si>
  <si>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</si>
  <si>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</si>
  <si>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</si>
  <si>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</si>
  <si>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</si>
  <si>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</si>
  <si>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</si>
  <si>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</si>
  <si>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</si>
  <si>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</si>
  <si>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</si>
  <si>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</si>
  <si>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</si>
  <si>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</si>
  <si>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</si>
  <si>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</si>
  <si>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</si>
  <si>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</si>
  <si>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</si>
  <si>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</si>
  <si>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</si>
  <si>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</si>
  <si>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</si>
  <si>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</si>
  <si>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</si>
  <si>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</si>
  <si>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</si>
  <si>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</si>
  <si>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</si>
  <si>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</si>
  <si>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</si>
  <si>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</si>
  <si>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</si>
  <si>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</si>
  <si>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</si>
  <si>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</si>
  <si>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</si>
  <si>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</si>
  <si>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</si>
  <si>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</si>
  <si>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</si>
  <si>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</si>
  <si>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</si>
  <si>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</si>
  <si>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</si>
  <si>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</si>
  <si>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</si>
  <si>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</si>
  <si>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</si>
  <si>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</si>
  <si>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</si>
  <si>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</si>
  <si>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</si>
  <si>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</si>
  <si>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</si>
  <si>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</si>
  <si>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</si>
  <si>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</si>
  <si>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</si>
  <si>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</si>
  <si>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</si>
  <si>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</si>
  <si>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</si>
  <si>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</si>
  <si>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</si>
  <si>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</si>
  <si>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</si>
  <si>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</si>
  <si>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</si>
  <si>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</si>
  <si>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</si>
  <si>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</si>
  <si>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</si>
  <si>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</si>
  <si>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</si>
  <si>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</si>
  <si>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</si>
  <si>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</si>
  <si>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</si>
  <si>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</si>
  <si>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</si>
  <si>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</si>
  <si>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</si>
  <si>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</si>
  <si>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</si>
  <si>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</si>
  <si>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</si>
  <si>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</si>
  <si>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</si>
  <si>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</si>
  <si>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</si>
  <si>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</si>
  <si>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</si>
  <si>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</si>
  <si>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</si>
  <si>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</si>
  <si>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</si>
  <si>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</si>
  <si>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</si>
  <si>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</si>
  <si>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</si>
  <si>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</si>
  <si>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</si>
  <si>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</si>
  <si>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</si>
  <si>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</si>
  <si>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</si>
  <si>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</si>
  <si>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</si>
  <si>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</si>
  <si>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</si>
  <si>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</si>
  <si>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</si>
  <si>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</si>
  <si>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</si>
  <si>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</si>
  <si>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</si>
  <si>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</si>
  <si>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</si>
  <si>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</si>
  <si>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</si>
  <si>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</si>
  <si>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</si>
  <si>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</si>
  <si>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</si>
  <si>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</si>
  <si>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</si>
  <si>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</si>
  <si>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</si>
  <si>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</si>
  <si>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</si>
  <si>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</si>
  <si>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</si>
  <si>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</si>
  <si>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</si>
  <si>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</si>
  <si>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</si>
  <si>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</si>
  <si>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</si>
  <si>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</si>
  <si>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</si>
  <si>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</si>
  <si>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</si>
  <si>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</si>
  <si>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</si>
  <si>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</si>
  <si>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</si>
  <si>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</si>
  <si>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</si>
  <si>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</si>
  <si>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</si>
  <si>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</si>
  <si>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</si>
  <si>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</si>
  <si>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</si>
  <si>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</si>
  <si>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</si>
  <si>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</si>
  <si>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</si>
  <si>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</si>
  <si>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</si>
  <si>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</si>
  <si>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</si>
  <si>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</si>
  <si>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</si>
  <si>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</si>
  <si>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</si>
  <si>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</si>
  <si>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</si>
  <si>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</si>
  <si>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</si>
  <si>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</si>
  <si>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</si>
  <si>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</si>
  <si>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</si>
  <si>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</si>
  <si>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</si>
  <si>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</si>
  <si>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</si>
  <si>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</si>
  <si>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</si>
  <si>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</si>
  <si>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</si>
  <si>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</si>
  <si>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</si>
  <si>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</si>
  <si>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</si>
  <si>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</si>
  <si>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</si>
  <si>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</si>
  <si>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</si>
  <si>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</si>
  <si>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</si>
  <si>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</si>
  <si>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</si>
  <si>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</si>
  <si>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</si>
  <si>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</si>
  <si>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</si>
  <si>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</si>
  <si>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</si>
  <si>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</si>
  <si>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</si>
  <si>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</si>
  <si>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</si>
  <si>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</si>
  <si>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</si>
  <si>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</si>
  <si>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</si>
  <si>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</si>
  <si>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</si>
  <si>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</si>
  <si>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</si>
  <si>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</si>
  <si>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</si>
  <si>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</si>
  <si>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</si>
  <si>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</si>
  <si>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</si>
  <si>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</si>
  <si>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</si>
  <si>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</si>
  <si>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</si>
  <si>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</si>
  <si>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</si>
  <si>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</si>
  <si>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</si>
  <si>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</si>
  <si>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</si>
  <si>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</si>
  <si>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</si>
  <si>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</si>
  <si>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</si>
  <si>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</si>
  <si>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</si>
  <si>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</si>
  <si>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</si>
  <si>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</si>
  <si>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</si>
  <si>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</si>
  <si>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</si>
  <si>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</si>
  <si>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</si>
  <si>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</si>
  <si>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</si>
  <si>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</si>
  <si>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</si>
  <si>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</si>
  <si>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</si>
  <si>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</si>
  <si>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</si>
  <si>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</si>
  <si>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</si>
  <si>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</si>
  <si>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</si>
  <si>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</si>
  <si>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</si>
  <si>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</si>
  <si>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</si>
  <si>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</si>
  <si>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</si>
  <si>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</si>
  <si>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</si>
  <si>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</si>
  <si>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</si>
  <si>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</si>
  <si>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</si>
  <si>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</si>
  <si>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</si>
  <si>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</si>
  <si>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</si>
  <si>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</si>
  <si>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</si>
  <si>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</si>
  <si>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</si>
  <si>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</si>
  <si>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</si>
  <si>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</si>
  <si>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</si>
  <si>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</si>
  <si>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</si>
  <si>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</si>
  <si>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</si>
  <si>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</si>
  <si>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</si>
  <si>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</si>
  <si>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</si>
  <si>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</si>
  <si>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</si>
  <si>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</si>
  <si>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</si>
  <si>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</si>
  <si>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</si>
  <si>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</si>
  <si>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</si>
  <si>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</si>
  <si>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</si>
  <si>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</si>
  <si>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</si>
  <si>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</si>
  <si>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</si>
  <si>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</si>
  <si>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</si>
  <si>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</si>
  <si>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</si>
  <si>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</si>
  <si>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</si>
  <si>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</si>
  <si>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</si>
  <si>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</si>
  <si>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</si>
  <si>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</si>
  <si>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</si>
  <si>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</si>
  <si>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</si>
  <si>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</si>
  <si>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</si>
  <si>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</si>
  <si>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</si>
  <si>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</si>
  <si>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</si>
  <si>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</si>
  <si>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</si>
  <si>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</si>
  <si>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</si>
  <si>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</si>
  <si>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</si>
  <si>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</si>
  <si>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</si>
  <si>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</si>
  <si>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</si>
  <si>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</si>
  <si>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</si>
  <si>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</si>
  <si>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</si>
  <si>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</si>
  <si>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</si>
  <si>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</si>
  <si>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</si>
  <si>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</si>
  <si>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</si>
  <si>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</si>
  <si>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</si>
  <si>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</si>
  <si>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</si>
  <si>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</si>
  <si>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</si>
  <si>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</si>
  <si>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</si>
  <si>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</si>
  <si>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</si>
  <si>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</si>
  <si>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</si>
  <si>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</si>
  <si>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</si>
  <si>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</si>
  <si>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</si>
  <si>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</si>
  <si>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</si>
  <si>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</si>
  <si>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</si>
  <si>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</si>
  <si>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</si>
  <si>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</si>
  <si>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</si>
  <si>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</si>
  <si>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</si>
  <si>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</si>
  <si>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</si>
  <si>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</si>
  <si>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</si>
  <si>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</si>
  <si>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</si>
  <si>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</si>
  <si>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</si>
  <si>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</si>
  <si>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</si>
  <si>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</si>
  <si>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</si>
  <si>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</si>
  <si>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</si>
  <si>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</si>
  <si>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</si>
  <si>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</si>
  <si>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</si>
  <si>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</si>
  <si>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</si>
  <si>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</si>
  <si>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</si>
  <si>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</si>
  <si>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</si>
  <si>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</si>
  <si>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</si>
  <si>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</si>
  <si>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</si>
  <si>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</si>
  <si>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</si>
  <si>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</si>
  <si>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</si>
  <si>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</si>
  <si>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</si>
  <si>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</si>
  <si>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</si>
  <si>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</si>
  <si>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</si>
  <si>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</si>
  <si>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</si>
  <si>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</si>
  <si>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</si>
  <si>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</si>
  <si>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</si>
  <si>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</si>
  <si>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</si>
  <si>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</si>
  <si>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</si>
  <si>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</si>
  <si>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</si>
  <si>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</si>
  <si>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</si>
  <si>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</si>
  <si>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</si>
  <si>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</si>
  <si>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</si>
  <si>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</si>
  <si>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</si>
  <si>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</si>
  <si>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</si>
  <si>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</si>
  <si>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</si>
  <si>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</si>
  <si>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</si>
  <si>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</si>
  <si>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</si>
  <si>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</si>
  <si>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</si>
  <si>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</si>
  <si>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</si>
  <si>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</si>
  <si>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</si>
  <si>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</si>
  <si>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</si>
  <si>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</si>
  <si>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</si>
  <si>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</si>
  <si>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</si>
  <si>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</si>
  <si>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</si>
  <si>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</si>
  <si>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</si>
  <si>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</si>
  <si>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</si>
  <si>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</si>
  <si>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</si>
  <si>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</si>
  <si>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</si>
  <si>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</si>
  <si>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</si>
  <si>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</si>
  <si>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</si>
  <si>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</si>
  <si>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</si>
  <si>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</si>
  <si>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</si>
  <si>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</si>
  <si>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</si>
  <si>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</si>
  <si>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</si>
  <si>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</si>
  <si>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</si>
  <si>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</si>
  <si>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</si>
  <si>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</si>
  <si>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</si>
  <si>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</si>
  <si>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</si>
  <si>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</si>
  <si>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</si>
  <si>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</si>
  <si>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</si>
  <si>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</si>
  <si>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</si>
  <si>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</si>
  <si>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</si>
  <si>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</si>
  <si>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</si>
  <si>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</si>
  <si>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</si>
  <si>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</si>
  <si>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</si>
  <si>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</si>
  <si>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</si>
  <si>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</si>
  <si>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</si>
  <si>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</si>
  <si>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</si>
  <si>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</si>
  <si>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</si>
  <si>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</si>
  <si>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</si>
  <si>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</si>
  <si>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</si>
  <si>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</si>
  <si>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</si>
  <si>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</si>
  <si>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</si>
  <si>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</si>
  <si>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</si>
  <si>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</si>
  <si>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</si>
  <si>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</si>
  <si>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</si>
  <si>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</si>
  <si>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</si>
  <si>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</si>
  <si>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</si>
  <si>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</si>
  <si>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</si>
  <si>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</si>
  <si>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</si>
  <si>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</si>
  <si>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</si>
  <si>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</si>
  <si>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</si>
  <si>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</si>
  <si>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</si>
  <si>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</si>
  <si>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</si>
  <si>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</si>
  <si>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</si>
  <si>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</si>
  <si>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</si>
  <si>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</si>
  <si>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</si>
  <si>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</si>
  <si>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</si>
  <si>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</si>
  <si>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</si>
  <si>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</si>
  <si>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</si>
  <si>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</si>
  <si>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</si>
  <si>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</si>
  <si>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</si>
  <si>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</si>
  <si>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</si>
  <si>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</si>
  <si>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</si>
  <si>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</si>
  <si>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</si>
  <si>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</si>
  <si>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</si>
  <si>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</si>
  <si>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</si>
  <si>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</si>
  <si>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</si>
  <si>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</si>
  <si>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</si>
  <si>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</si>
  <si>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</si>
  <si>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</si>
  <si>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</si>
  <si>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</si>
  <si>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</si>
  <si>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</si>
  <si>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</si>
  <si>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</si>
  <si>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</si>
  <si>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</si>
  <si>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</si>
  <si>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</si>
  <si>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</si>
  <si>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</si>
  <si>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</si>
  <si>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</si>
  <si>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</si>
  <si>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</si>
  <si>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</si>
  <si>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</si>
  <si>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</si>
  <si>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</si>
  <si>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</si>
  <si>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</si>
  <si>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</si>
  <si>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</si>
  <si>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</si>
  <si>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</si>
  <si>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</si>
  <si>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</si>
  <si>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</si>
  <si>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</si>
  <si>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</si>
  <si>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</si>
  <si>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</si>
  <si>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</si>
  <si>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</si>
  <si>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</si>
  <si>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</si>
  <si>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</si>
  <si>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</si>
  <si>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</si>
  <si>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</si>
  <si>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</si>
  <si>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</si>
  <si>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</si>
  <si>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</si>
  <si>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</si>
  <si>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</si>
  <si>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</si>
  <si>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</si>
  <si>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</si>
  <si>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</si>
  <si>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</si>
  <si>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</si>
  <si>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</si>
  <si>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</si>
  <si>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</si>
  <si>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</si>
  <si>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</si>
  <si>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</si>
  <si>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</si>
  <si>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</si>
  <si>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</si>
  <si>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</si>
  <si>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</si>
  <si>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</si>
  <si>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</si>
  <si>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</si>
  <si>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</si>
  <si>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</si>
  <si>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</si>
  <si>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</si>
  <si>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</si>
  <si>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</si>
  <si>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</si>
  <si>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</si>
  <si>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</si>
  <si>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</si>
  <si>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</si>
  <si>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</si>
  <si>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</si>
  <si>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</si>
  <si>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</si>
  <si>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</si>
  <si>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</si>
  <si>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</si>
  <si>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</si>
  <si>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</si>
  <si>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</si>
  <si>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</si>
  <si>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</si>
  <si>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</si>
  <si>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</si>
  <si>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</si>
  <si>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</si>
  <si>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</si>
  <si>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</si>
  <si>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</si>
  <si>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</si>
  <si>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</si>
  <si>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</si>
  <si>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</si>
  <si>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</si>
  <si>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</si>
  <si>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</si>
  <si>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</si>
  <si>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</si>
  <si>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</si>
  <si>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</si>
  <si>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</si>
  <si>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</si>
  <si>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</si>
  <si>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</si>
  <si>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</si>
  <si>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</si>
  <si>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</si>
  <si>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</si>
  <si>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</si>
  <si>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</si>
  <si>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</si>
  <si>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</si>
  <si>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</si>
  <si>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</si>
  <si>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</si>
  <si>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</si>
  <si>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</si>
  <si>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</si>
  <si>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</si>
  <si>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</si>
  <si>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</si>
  <si>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</si>
  <si>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</si>
  <si>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</si>
  <si>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</si>
  <si>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</si>
  <si>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</si>
  <si>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</si>
  <si>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</si>
  <si>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</si>
  <si>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</si>
  <si>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</si>
  <si>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</si>
  <si>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</si>
  <si>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</si>
  <si>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</si>
  <si>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</si>
  <si>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</si>
  <si>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</si>
  <si>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</si>
  <si>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</si>
  <si>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</si>
  <si>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</si>
  <si>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</si>
  <si>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</si>
  <si>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</si>
  <si>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</si>
  <si>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</si>
  <si>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</si>
  <si>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</si>
  <si>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</si>
  <si>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</si>
  <si>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</si>
  <si>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</si>
  <si>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</si>
  <si>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</si>
  <si>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</si>
  <si>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</si>
  <si>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</si>
  <si>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</si>
  <si>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</si>
  <si>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</si>
  <si>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</si>
  <si>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</si>
  <si>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</si>
  <si>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</si>
  <si>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</si>
  <si>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</si>
  <si>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</si>
  <si>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</si>
  <si>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</si>
  <si>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</si>
  <si>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</si>
  <si>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</si>
  <si>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</si>
  <si>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</si>
  <si>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</si>
  <si>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</si>
  <si>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</si>
  <si>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</si>
  <si>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</si>
  <si>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</si>
  <si>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</si>
  <si>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</si>
  <si>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</si>
  <si>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</si>
  <si>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</si>
  <si>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</si>
  <si>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</si>
  <si>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</si>
  <si>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</si>
  <si>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</si>
  <si>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</si>
  <si>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</si>
  <si>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</si>
  <si>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</si>
  <si>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</si>
  <si>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</si>
  <si>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</si>
  <si>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</si>
  <si>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</si>
  <si>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</si>
  <si>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</si>
  <si>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</si>
  <si>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</si>
  <si>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</si>
  <si>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</si>
  <si>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</si>
  <si>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</si>
  <si>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</si>
  <si>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</si>
  <si>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</si>
  <si>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</si>
  <si>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</si>
  <si>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</si>
  <si>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</si>
  <si>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</si>
  <si>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</si>
  <si>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</si>
  <si>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</si>
  <si>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</si>
  <si>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</si>
  <si>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</si>
  <si>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</si>
  <si>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</si>
  <si>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</si>
  <si>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</si>
  <si>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</si>
  <si>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</si>
  <si>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</si>
  <si>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</si>
  <si>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</si>
  <si>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</si>
  <si>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</si>
  <si>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</si>
  <si>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</si>
  <si>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</si>
  <si>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</si>
  <si>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</si>
  <si>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</si>
  <si>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</si>
  <si>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</si>
  <si>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</si>
  <si>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</si>
  <si>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</si>
  <si>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</si>
  <si>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</si>
  <si>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</si>
  <si>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</si>
  <si>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</si>
  <si>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</si>
  <si>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</si>
  <si>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</si>
  <si>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</si>
  <si>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</si>
  <si>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</si>
  <si>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</si>
  <si>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</si>
  <si>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</si>
  <si>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</si>
  <si>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</si>
  <si>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</si>
  <si>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</si>
  <si>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</si>
  <si>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</si>
  <si>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</si>
  <si>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</si>
  <si>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</si>
  <si>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</si>
  <si>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</si>
  <si>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</si>
  <si>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</si>
  <si>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</si>
  <si>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</si>
  <si>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</si>
  <si>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</si>
  <si>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</si>
  <si>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</si>
  <si>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</si>
  <si>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</si>
  <si>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</si>
  <si>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</si>
  <si>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</si>
  <si>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</si>
  <si>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</si>
  <si>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</si>
  <si>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</si>
  <si>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</si>
  <si>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</si>
  <si>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</si>
  <si>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</si>
  <si>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</si>
  <si>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</si>
  <si>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</si>
  <si>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</si>
  <si>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</si>
  <si>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</si>
  <si>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</si>
  <si>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</si>
  <si>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</si>
  <si>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</si>
  <si>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</si>
  <si>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</si>
  <si>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</si>
  <si>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</si>
  <si>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</si>
  <si>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</si>
  <si>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</si>
  <si>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</si>
  <si>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</si>
  <si>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</si>
  <si>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</si>
  <si>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</si>
  <si>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</si>
  <si>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</si>
  <si>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</si>
  <si>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</si>
  <si>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</si>
  <si>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</si>
  <si>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</si>
  <si>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</si>
  <si>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</si>
  <si>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</si>
  <si>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</si>
  <si>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</si>
  <si>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</si>
  <si>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</si>
  <si>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</si>
  <si>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</si>
  <si>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</si>
  <si>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</si>
  <si>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</si>
  <si>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</si>
  <si>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</si>
  <si>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</si>
  <si>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</si>
  <si>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</si>
  <si>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</si>
  <si>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</si>
  <si>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</si>
  <si>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</si>
  <si>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</si>
  <si>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</si>
  <si>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</si>
  <si>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</si>
  <si>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</si>
  <si>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</si>
  <si>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</si>
  <si>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</si>
  <si>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</si>
  <si>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</si>
  <si>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</si>
  <si>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</si>
  <si>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</si>
  <si>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</si>
  <si>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</si>
  <si>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</si>
  <si>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</si>
  <si>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</si>
  <si>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</si>
  <si>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</si>
  <si>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</si>
  <si>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</si>
  <si>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</si>
  <si>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</si>
  <si>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</si>
  <si>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</si>
  <si>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</si>
  <si>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</si>
  <si>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</si>
  <si>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</si>
  <si>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</si>
  <si>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</si>
  <si>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</si>
  <si>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</si>
  <si>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</si>
  <si>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</si>
  <si>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</si>
  <si>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</si>
  <si>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</si>
  <si>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</si>
  <si>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</si>
  <si>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</si>
  <si>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</si>
  <si>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</si>
  <si>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</si>
  <si>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</si>
  <si>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</si>
  <si>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</si>
  <si>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</si>
  <si>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</si>
  <si>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</si>
  <si>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</si>
  <si>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</si>
  <si>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</si>
  <si>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</si>
  <si>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</si>
  <si>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</si>
  <si>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</si>
  <si>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</si>
  <si>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</si>
  <si>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</si>
  <si>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</si>
  <si>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</si>
  <si>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</si>
  <si>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</si>
  <si>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</si>
  <si>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</si>
  <si>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</si>
  <si>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</si>
  <si>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</si>
  <si>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</si>
  <si>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</si>
  <si>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</si>
  <si>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</si>
  <si>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</si>
  <si>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</si>
  <si>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</si>
  <si>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</si>
  <si>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</si>
  <si>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</si>
  <si>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</si>
  <si>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</si>
  <si>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</si>
  <si>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</si>
  <si>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</si>
  <si>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</si>
  <si>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</si>
  <si>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</si>
  <si>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</si>
  <si>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</si>
  <si>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</si>
  <si>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</si>
  <si>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</si>
  <si>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</si>
  <si>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</si>
  <si>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</si>
  <si>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</si>
  <si>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</si>
  <si>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</si>
  <si>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</si>
  <si>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</si>
  <si>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</si>
  <si>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</si>
  <si>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</si>
  <si>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</si>
  <si>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</si>
  <si>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</si>
  <si>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</si>
  <si>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</si>
  <si>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</si>
  <si>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</si>
  <si>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</si>
  <si>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</si>
  <si>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</si>
  <si>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</si>
  <si>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</si>
  <si>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</si>
  <si>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</si>
  <si>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</si>
  <si>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</si>
  <si>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</si>
  <si>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</si>
  <si>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</si>
  <si>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</si>
  <si>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</si>
  <si>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</si>
  <si>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</si>
  <si>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</si>
  <si>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</si>
  <si>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</si>
  <si>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</si>
  <si>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</si>
  <si>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</si>
  <si>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</si>
  <si>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</si>
  <si>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</si>
  <si>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</si>
  <si>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</si>
  <si>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</si>
  <si>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</si>
  <si>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</si>
  <si>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</si>
  <si>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</si>
  <si>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</si>
  <si>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</si>
  <si>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</si>
  <si>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</si>
  <si>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</si>
  <si>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</si>
  <si>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</si>
  <si>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</si>
  <si>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</si>
  <si>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</si>
  <si>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</si>
  <si>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</si>
  <si>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</si>
  <si>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</si>
  <si>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</si>
  <si>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</si>
  <si>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</si>
  <si>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</si>
  <si>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</si>
  <si>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</si>
  <si>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</si>
  <si>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</si>
  <si>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</si>
  <si>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</si>
  <si>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</si>
  <si>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</si>
  <si>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</si>
  <si>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</si>
  <si>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</si>
  <si>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</si>
  <si>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</si>
  <si>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</si>
  <si>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</si>
  <si>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</si>
  <si>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</si>
  <si>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</si>
  <si>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</si>
  <si>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</si>
  <si>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</si>
  <si>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</si>
  <si>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</si>
  <si>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</si>
  <si>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</si>
  <si>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</si>
  <si>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</si>
  <si>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</si>
  <si>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</si>
  <si>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</si>
  <si>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</si>
  <si>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</si>
  <si>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</si>
  <si>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</si>
  <si>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</si>
  <si>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</si>
  <si>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</si>
  <si>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</si>
  <si>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</si>
  <si>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</si>
  <si>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</si>
  <si>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</si>
  <si>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</si>
  <si>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</si>
  <si>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</si>
  <si>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</si>
  <si>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</si>
  <si>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</si>
  <si>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</si>
  <si>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</si>
  <si>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</si>
  <si>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</si>
  <si>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</si>
  <si>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</si>
  <si>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</si>
  <si>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</si>
  <si>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</si>
  <si>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</si>
  <si>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</si>
  <si>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</si>
  <si>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</si>
  <si>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</si>
  <si>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</si>
  <si>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</si>
  <si>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</si>
  <si>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</si>
  <si>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</si>
  <si>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</si>
  <si>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</si>
  <si>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</si>
  <si>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</si>
  <si>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</si>
  <si>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</si>
  <si>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</si>
  <si>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</si>
  <si>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</si>
  <si>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</si>
  <si>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</si>
  <si>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</si>
  <si>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</si>
  <si>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</si>
  <si>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</si>
  <si>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</si>
  <si>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</si>
  <si>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</si>
  <si>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</si>
  <si>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</si>
  <si>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</si>
  <si>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</si>
  <si>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</si>
  <si>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</si>
  <si>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</si>
  <si>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</si>
  <si>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</si>
  <si>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</si>
  <si>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</si>
  <si>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</si>
  <si>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</si>
  <si>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</si>
  <si>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</si>
  <si>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</si>
  <si>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</si>
  <si>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</si>
  <si>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</si>
  <si>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</si>
  <si>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</si>
  <si>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</si>
  <si>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</si>
  <si>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</si>
  <si>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</si>
  <si>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</si>
  <si>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</si>
  <si>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</si>
  <si>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</si>
  <si>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</si>
  <si>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</si>
  <si>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</si>
  <si>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</si>
  <si>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</si>
  <si>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</si>
  <si>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</si>
  <si>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</si>
  <si>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</si>
  <si>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</si>
  <si>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</si>
  <si>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</si>
  <si>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</si>
  <si>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</si>
  <si>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</si>
  <si>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</si>
  <si>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</si>
  <si>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</si>
  <si>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</si>
  <si>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</si>
  <si>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</si>
  <si>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</si>
  <si>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</si>
  <si>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</si>
  <si>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</si>
  <si>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</si>
  <si>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</si>
  <si>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</si>
  <si>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</si>
  <si>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</si>
  <si>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</si>
  <si>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</si>
  <si>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</si>
  <si>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</si>
  <si>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</si>
  <si>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</si>
  <si>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</si>
  <si>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</si>
  <si>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</si>
  <si>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</si>
  <si>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</si>
  <si>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</si>
  <si>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</si>
  <si>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</si>
  <si>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</si>
  <si>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</si>
  <si>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</si>
  <si>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</si>
  <si>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</si>
  <si>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</si>
  <si>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</si>
  <si>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</si>
  <si>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</si>
  <si>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</si>
  <si>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</si>
  <si>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</si>
  <si>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</si>
  <si>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</si>
  <si>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</si>
  <si>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</si>
  <si>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</si>
  <si>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</si>
  <si>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</si>
  <si>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</si>
  <si>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</si>
  <si>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</si>
  <si>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</si>
  <si>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</si>
  <si>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</si>
  <si>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</si>
  <si>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</si>
  <si>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</si>
  <si>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</si>
  <si>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</si>
  <si>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</si>
  <si>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</si>
  <si>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</si>
  <si>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</si>
  <si>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</si>
  <si>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</si>
  <si>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</si>
  <si>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</si>
  <si>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</si>
  <si>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</si>
  <si>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</si>
  <si>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</si>
  <si>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</si>
  <si>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</si>
  <si>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</si>
  <si>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</si>
  <si>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</si>
  <si>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</si>
  <si>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</si>
  <si>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</si>
  <si>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</si>
  <si>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</si>
  <si>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</si>
  <si>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</si>
  <si>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</si>
  <si>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</si>
  <si>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</si>
  <si>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</si>
  <si>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</si>
  <si>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</si>
  <si>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</si>
  <si>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</si>
  <si>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</si>
  <si>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</si>
  <si>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</si>
  <si>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</si>
  <si>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</si>
  <si>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</si>
  <si>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</si>
  <si>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</si>
  <si>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</si>
  <si>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</si>
  <si>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</si>
  <si>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</si>
  <si>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</si>
  <si>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</si>
  <si>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</si>
  <si>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</si>
  <si>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</si>
  <si>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</si>
  <si>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</si>
  <si>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</si>
  <si>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</si>
  <si>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</si>
  <si>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</si>
  <si>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</si>
  <si>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</si>
  <si>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</si>
  <si>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</si>
  <si>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</si>
  <si>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</si>
  <si>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</si>
  <si>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</si>
  <si>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</si>
  <si>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</si>
  <si>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</si>
  <si>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</si>
  <si>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</si>
  <si>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</si>
  <si>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</si>
  <si>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</si>
  <si>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</si>
  <si>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</si>
  <si>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</si>
  <si>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</si>
  <si>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</si>
  <si>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</si>
  <si>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</si>
  <si>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</si>
  <si>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</si>
  <si>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</si>
  <si>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</si>
  <si>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</si>
  <si>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</si>
  <si>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</si>
  <si>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</si>
  <si>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</si>
  <si>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</si>
  <si>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</si>
  <si>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</si>
  <si>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</si>
  <si>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</si>
  <si>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</si>
  <si>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</si>
  <si>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</si>
  <si>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</si>
  <si>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</si>
  <si>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</si>
  <si>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</si>
  <si>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</si>
  <si>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</si>
  <si>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</si>
  <si>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</si>
  <si>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</si>
  <si>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</si>
  <si>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</si>
  <si>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</si>
  <si>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</si>
  <si>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</si>
  <si>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</si>
  <si>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</si>
  <si>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</si>
  <si>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</si>
  <si>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</si>
  <si>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</si>
  <si>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</si>
  <si>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</si>
  <si>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</si>
  <si>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</si>
  <si>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</si>
  <si>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</si>
  <si>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</si>
  <si>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</si>
  <si>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</si>
  <si>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</si>
  <si>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</si>
  <si>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</si>
  <si>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</si>
  <si>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</si>
  <si>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</si>
  <si>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</si>
  <si>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</si>
  <si>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</si>
  <si>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</si>
  <si>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</si>
  <si>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</si>
  <si>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</si>
  <si>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</si>
  <si>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</si>
  <si>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</si>
  <si>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</si>
  <si>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</si>
  <si>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</si>
  <si>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</si>
  <si>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</si>
  <si>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</si>
  <si>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</si>
  <si>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</si>
  <si>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</si>
  <si>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</si>
  <si>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</si>
  <si>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</si>
  <si>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</si>
  <si>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</si>
  <si>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</si>
  <si>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</si>
  <si>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</si>
  <si>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</si>
  <si>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</si>
  <si>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</si>
  <si>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</si>
  <si>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</si>
  <si>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</si>
  <si>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</si>
  <si>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</si>
  <si>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</si>
  <si>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</si>
  <si>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</si>
  <si>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</si>
  <si>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</si>
  <si>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</si>
  <si>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</si>
  <si>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</si>
  <si>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</si>
  <si>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</si>
  <si>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</si>
  <si>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</si>
  <si>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</si>
  <si>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</si>
  <si>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</si>
  <si>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</si>
  <si>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</si>
  <si>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</si>
  <si>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</si>
  <si>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</si>
  <si>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</si>
  <si>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</si>
  <si>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</si>
  <si>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</si>
  <si>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</si>
  <si>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</si>
  <si>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</si>
  <si>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</si>
  <si>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</si>
  <si>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</si>
  <si>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</si>
  <si>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</si>
  <si>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</si>
  <si>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</si>
  <si>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</si>
  <si>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</si>
  <si>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</si>
  <si>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</si>
  <si>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</si>
  <si>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</si>
  <si>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</si>
  <si>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</si>
  <si>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</si>
  <si>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</si>
  <si>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</si>
  <si>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</si>
  <si>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</si>
  <si>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</si>
  <si>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</si>
  <si>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</si>
  <si>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</si>
  <si>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</si>
  <si>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</si>
  <si>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</si>
  <si>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</si>
  <si>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</si>
  <si>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</si>
  <si>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</si>
  <si>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</si>
  <si>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</si>
  <si>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</si>
  <si>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</si>
  <si>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</si>
  <si>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</si>
  <si>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</si>
  <si>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</si>
  <si>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</si>
  <si>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</si>
  <si>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</si>
  <si>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</si>
  <si>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</si>
  <si>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</si>
  <si>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</si>
  <si>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</si>
  <si>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</si>
  <si>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</si>
  <si>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</si>
  <si>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</si>
  <si>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</si>
  <si>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</si>
  <si>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</si>
  <si>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</si>
  <si>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</si>
  <si>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</si>
  <si>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</si>
  <si>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</si>
  <si>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</si>
  <si>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</si>
  <si>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</si>
  <si>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</si>
  <si>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</si>
  <si>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</si>
  <si>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</si>
  <si>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</si>
  <si>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</si>
  <si>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</si>
  <si>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</si>
  <si>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</si>
  <si>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</si>
  <si>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</si>
  <si>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</si>
  <si>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</si>
  <si>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</si>
  <si>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</si>
  <si>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</si>
  <si>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</si>
  <si>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</si>
  <si>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</si>
  <si>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</si>
  <si>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</si>
  <si>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</si>
  <si>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</si>
  <si>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</si>
  <si>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</si>
  <si>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</si>
  <si>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</si>
  <si>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</si>
  <si>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</si>
  <si>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</si>
  <si>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</si>
  <si>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</si>
  <si>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</si>
  <si>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</si>
  <si>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</si>
  <si>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</si>
  <si>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</si>
  <si>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</si>
  <si>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</si>
  <si>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</si>
  <si>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</si>
  <si>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</si>
  <si>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</si>
  <si>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</si>
  <si>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</si>
  <si>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</si>
  <si>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</si>
  <si>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</si>
  <si>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</si>
  <si>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</si>
  <si>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</si>
  <si>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</si>
  <si>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</si>
  <si>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</si>
  <si>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</si>
  <si>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</si>
  <si>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</si>
  <si>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</si>
  <si>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</si>
  <si>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</si>
  <si>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</si>
  <si>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</si>
  <si>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</si>
  <si>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</si>
  <si>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</si>
  <si>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</si>
  <si>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</si>
  <si>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</si>
  <si>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</si>
  <si>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</si>
  <si>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</si>
  <si>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</si>
  <si>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</si>
  <si>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</si>
  <si>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</si>
  <si>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</si>
  <si>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</si>
  <si>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</si>
  <si>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</si>
  <si>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</si>
  <si>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</si>
  <si>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</si>
  <si>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</si>
  <si>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</si>
  <si>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</si>
  <si>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</si>
  <si>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</si>
  <si>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</si>
  <si>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</si>
  <si>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</si>
  <si>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</si>
  <si>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</si>
  <si>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</si>
  <si>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</si>
  <si>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</si>
  <si>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</si>
  <si>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</si>
  <si>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</si>
  <si>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</si>
  <si>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</si>
  <si>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</si>
  <si>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</si>
  <si>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</si>
  <si>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</si>
  <si>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</si>
  <si>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</si>
  <si>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</si>
  <si>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</si>
  <si>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</si>
  <si>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</si>
  <si>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</si>
  <si>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</si>
  <si>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</si>
  <si>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</si>
  <si>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</si>
  <si>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</si>
  <si>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</si>
  <si>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</si>
  <si>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</si>
  <si>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</si>
  <si>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</si>
  <si>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</si>
  <si>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</si>
  <si>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</si>
  <si>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</si>
  <si>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</si>
  <si>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</si>
  <si>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</si>
  <si>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</si>
  <si>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</si>
  <si>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</si>
  <si>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</si>
  <si>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</si>
  <si>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</si>
  <si>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</si>
  <si>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</si>
  <si>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</si>
  <si>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</si>
  <si>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</si>
  <si>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</si>
  <si>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</si>
  <si>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</si>
  <si>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</si>
  <si>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</si>
  <si>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</si>
  <si>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</si>
  <si>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</si>
  <si>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</si>
  <si>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</si>
  <si>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</si>
  <si>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</si>
  <si>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</si>
  <si>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</si>
  <si>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</si>
  <si>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</si>
  <si>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</si>
  <si>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</si>
  <si>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</si>
  <si>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</si>
  <si>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</si>
  <si>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</si>
  <si>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</si>
  <si>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</si>
  <si>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</si>
  <si>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</si>
  <si>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</si>
  <si>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</si>
  <si>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</si>
  <si>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</si>
  <si>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</si>
  <si>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</si>
  <si>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</si>
  <si>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</si>
  <si>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</si>
  <si>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</si>
  <si>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</si>
  <si>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</si>
  <si>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</si>
  <si>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</si>
  <si>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</si>
  <si>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</si>
  <si>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</si>
  <si>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</si>
  <si>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</si>
  <si>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</si>
  <si>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</si>
  <si>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</si>
  <si>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</si>
  <si>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</si>
  <si>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</si>
  <si>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</si>
  <si>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</si>
  <si>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</si>
  <si>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</si>
  <si>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</si>
  <si>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</si>
  <si>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</si>
  <si>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</si>
  <si>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</si>
  <si>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</si>
  <si>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</si>
  <si>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</si>
  <si>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</si>
  <si>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</si>
  <si>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</si>
  <si>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</si>
  <si>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</si>
  <si>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</si>
  <si>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</si>
  <si>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</si>
  <si>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</si>
  <si>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</si>
  <si>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</si>
  <si>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</si>
  <si>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</si>
  <si>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</si>
  <si>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</si>
  <si>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</si>
  <si>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</si>
  <si>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</si>
  <si>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</si>
  <si>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</si>
  <si>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</si>
  <si>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</si>
  <si>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</si>
  <si>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</si>
  <si>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</si>
  <si>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</si>
  <si>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</si>
  <si>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</si>
  <si>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</si>
  <si>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</si>
  <si>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</si>
  <si>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</si>
  <si>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</si>
  <si>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</si>
  <si>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</si>
  <si>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</si>
  <si>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</si>
  <si>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</si>
  <si>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</si>
  <si>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</si>
  <si>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</si>
  <si>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</si>
  <si>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</si>
  <si>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</si>
  <si>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</si>
  <si>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</si>
  <si>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</si>
  <si>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</si>
  <si>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</si>
  <si>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</si>
  <si>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</si>
  <si>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</si>
  <si>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</si>
  <si>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</si>
  <si>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</si>
  <si>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</si>
  <si>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</si>
  <si>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</si>
  <si>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</si>
  <si>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</si>
  <si>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</si>
  <si>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</si>
  <si>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</si>
  <si>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</si>
  <si>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</si>
  <si>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</si>
  <si>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</si>
  <si>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</si>
  <si>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</si>
  <si>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</si>
  <si>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</si>
  <si>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</si>
  <si>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</si>
  <si>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</si>
  <si>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</si>
  <si>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</si>
  <si>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</si>
  <si>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</si>
  <si>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</si>
  <si>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</si>
  <si>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</si>
  <si>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</si>
  <si>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</si>
  <si>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</si>
  <si>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</si>
  <si>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</si>
  <si>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</si>
  <si>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</si>
  <si>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</si>
  <si>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</si>
  <si>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</si>
  <si>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</si>
  <si>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</si>
  <si>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</si>
  <si>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</si>
  <si>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</si>
  <si>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</si>
  <si>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</si>
  <si>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</si>
  <si>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</si>
  <si>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</si>
  <si>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</si>
  <si>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</si>
  <si>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</si>
  <si>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</si>
  <si>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</si>
  <si>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</si>
  <si>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</si>
  <si>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</si>
  <si>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</si>
  <si>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</si>
  <si>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</si>
  <si>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</si>
  <si>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</si>
  <si>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</si>
  <si>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</si>
  <si>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</si>
  <si>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</si>
  <si>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</si>
  <si>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</si>
  <si>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</si>
  <si>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</si>
  <si>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</si>
  <si>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</si>
  <si>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</si>
  <si>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</si>
  <si>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</si>
  <si>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</si>
  <si>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</si>
  <si>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</si>
  <si>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</si>
  <si>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</si>
  <si>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</si>
  <si>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</si>
  <si>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</si>
  <si>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</si>
  <si>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</si>
  <si>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</si>
  <si>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</si>
  <si>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</si>
  <si>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</si>
  <si>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</si>
  <si>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</si>
  <si>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</si>
  <si>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</si>
  <si>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</si>
  <si>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</si>
  <si>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</si>
  <si>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</si>
  <si>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</si>
  <si>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</si>
  <si>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</si>
  <si>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</si>
  <si>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</si>
  <si>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</si>
  <si>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</si>
  <si>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</si>
  <si>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</si>
  <si>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</si>
  <si>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</si>
  <si>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</si>
  <si>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</si>
  <si>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</si>
  <si>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</si>
  <si>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</si>
  <si>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</si>
  <si>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</si>
  <si>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</si>
  <si>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</si>
  <si>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</si>
  <si>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</si>
  <si>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</si>
  <si>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</si>
  <si>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</si>
  <si>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</si>
  <si>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</si>
  <si>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</si>
  <si>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</si>
  <si>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</si>
  <si>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</si>
  <si>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</si>
  <si>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</si>
  <si>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</si>
  <si>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</si>
  <si>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</si>
  <si>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</si>
  <si>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</si>
  <si>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</si>
  <si>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</si>
  <si>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</si>
  <si>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</si>
  <si>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</si>
  <si>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</si>
  <si>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</si>
  <si>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</si>
  <si>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</si>
  <si>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</si>
  <si>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</si>
  <si>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</si>
  <si>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</si>
  <si>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</si>
  <si>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</si>
  <si>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</si>
  <si>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</si>
  <si>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</si>
  <si>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</si>
  <si>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</si>
  <si>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</si>
  <si>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</si>
  <si>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</si>
  <si>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</si>
  <si>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</si>
  <si>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</si>
  <si>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</si>
  <si>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</si>
  <si>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</si>
  <si>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</si>
  <si>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</si>
  <si>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</si>
  <si>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</si>
  <si>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</si>
  <si>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</si>
  <si>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</si>
  <si>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</si>
  <si>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</si>
  <si>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</si>
  <si>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</si>
  <si>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</si>
  <si>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</si>
  <si>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</si>
  <si>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</si>
  <si>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</si>
  <si>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</si>
  <si>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</si>
  <si>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</si>
  <si>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</si>
  <si>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</si>
  <si>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</si>
  <si>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</si>
  <si>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</si>
  <si>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</si>
  <si>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</si>
  <si>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</si>
  <si>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</si>
  <si>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</si>
  <si>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</si>
  <si>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</si>
  <si>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</si>
  <si>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</si>
  <si>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</si>
  <si>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</si>
  <si>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</si>
  <si>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</si>
  <si>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</si>
  <si>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</si>
  <si>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</si>
  <si>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</si>
  <si>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</si>
  <si>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</si>
  <si>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</si>
  <si>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</si>
  <si>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</si>
  <si>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</si>
  <si>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</si>
  <si>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</si>
  <si>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</si>
  <si>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</si>
  <si>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</si>
  <si>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</si>
  <si>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</si>
  <si>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</si>
  <si>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</si>
  <si>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</si>
  <si>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</si>
  <si>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</si>
  <si>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</si>
  <si>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</si>
  <si>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</si>
  <si>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</si>
  <si>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</si>
  <si>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</si>
  <si>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</si>
  <si>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</si>
  <si>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</si>
  <si>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</si>
  <si>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</si>
  <si>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</si>
  <si>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</si>
  <si>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</si>
  <si>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</si>
  <si>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</si>
  <si>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</si>
  <si>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</si>
  <si>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</si>
  <si>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</si>
  <si>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</si>
  <si>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</si>
  <si>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</si>
  <si>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</si>
  <si>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</si>
  <si>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</si>
  <si>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</si>
  <si>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</si>
  <si>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</si>
  <si>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</si>
  <si>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</si>
  <si>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</si>
  <si>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</si>
  <si>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</si>
  <si>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</si>
  <si>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</si>
  <si>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</si>
  <si>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</si>
  <si>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</si>
  <si>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</si>
  <si>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</si>
  <si>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</si>
  <si>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</si>
  <si>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</si>
  <si>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</si>
  <si>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</si>
  <si>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</si>
  <si>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</si>
  <si>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</si>
  <si>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</si>
  <si>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</si>
  <si>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</si>
  <si>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</si>
  <si>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</si>
  <si>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</si>
  <si>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</si>
  <si>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</si>
  <si>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</si>
  <si>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</si>
  <si>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</si>
  <si>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</si>
  <si>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</si>
  <si>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</si>
  <si>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</si>
  <si>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</si>
  <si>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</si>
  <si>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</si>
  <si>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</si>
  <si>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</si>
  <si>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</si>
  <si>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</si>
  <si>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</si>
  <si>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</si>
  <si>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</si>
  <si>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</si>
  <si>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</si>
  <si>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</si>
  <si>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</si>
  <si>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</si>
  <si>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</si>
  <si>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</si>
  <si>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</si>
  <si>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</si>
  <si>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</si>
  <si>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</si>
  <si>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</si>
  <si>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</si>
  <si>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</si>
  <si>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</si>
  <si>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</si>
  <si>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</si>
  <si>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</si>
  <si>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</si>
  <si>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</si>
  <si>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</si>
  <si>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</si>
  <si>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</si>
  <si>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</si>
  <si>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</si>
  <si>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</si>
  <si>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</si>
  <si>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</si>
  <si>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</si>
  <si>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</si>
  <si>
    <t>Milk, 283.5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</si>
</sst>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5">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0" fontId="0" fillId="0" borderId="0" xfId="0" applyFill="1"/>
    <xf numFmtId="2" fontId="0" fillId="19" borderId="0" xfId="0" applyNumberFormat="1"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592"/>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178</xdr:row>
          <xdr:rowOff>76347</xdr:rowOff>
        </xdr:from>
        <xdr:to>
          <xdr:col>24</xdr:col>
          <xdr:colOff>2345</xdr:colOff>
          <xdr:row>218</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6" spid="_x0000_s230098"/>
                </a:ext>
              </a:extLst>
            </xdr:cNvPicPr>
          </xdr:nvPicPr>
          <xdr:blipFill>
            <a:blip xmlns:r="http://schemas.openxmlformats.org/officeDocument/2006/relationships" r:embed="rId1"/>
            <a:srcRect/>
            <a:stretch>
              <a:fillRect/>
            </a:stretch>
          </xdr:blipFill>
          <xdr:spPr bwMode="auto">
            <a:xfrm>
              <a:off x="4425462" y="30175347"/>
              <a:ext cx="2412902" cy="637134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82">
      <pivotArea fieldPosition="0">
        <references count="2">
          <reference field="4294967294" count="1" selected="0">
            <x v="1"/>
          </reference>
          <reference field="9" count="0"/>
        </references>
      </pivotArea>
    </format>
    <format dxfId="8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0x7F4BF47A46E0&gt;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95"/>
    <tableColumn id="7" xr3:uid="{DF9F3537-4724-4AF7-9517-5C23DD02FB18}" uniqueName="7" name=" Address" queryTableFieldId="7" dataDxfId="94"/>
    <tableColumn id="8" xr3:uid="{B9E95B21-454B-4F5B-8D43-8FC5EE4A1CDC}" uniqueName="8" name=" Phone" queryTableFieldId="8" dataDxfId="93"/>
    <tableColumn id="9" xr3:uid="{2623A064-FAB1-42E3-BD17-881D6B64E5DE}" uniqueName="9" name=" Email" queryTableFieldId="9" dataDxfId="92"/>
    <tableColumn id="10" xr3:uid="{AE1F144F-CA52-4104-A242-CC26512B6A4D}" uniqueName="10" name=" Kids" queryTableFieldId="10" dataDxfId="9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90" headerRowBorderDxfId="89" headerRowCellStyle="Normal 2" dataCellStyle="Normal 2">
  <autoFilter ref="A5:E370" xr:uid="{373A30EB-BD66-4EA3-BBBC-CF90A5BC047F}"/>
  <tableColumns count="5">
    <tableColumn id="1" xr3:uid="{155F25D9-C692-4D1A-A4FE-37CB75F0F064}" name="Date" dataDxfId="88" dataCellStyle="Normal 2"/>
    <tableColumn id="2" xr3:uid="{1FCAFB6D-CCCB-40DD-9529-EF0C57255B24}" name="Coral Coast" dataDxfId="87" dataCellStyle="Normal 2"/>
    <tableColumn id="3" xr3:uid="{4DA4AF32-EFCC-4A32-BAED-3881A66149E9}" name="Red Desert" dataDxfId="86" dataCellStyle="Normal 2"/>
    <tableColumn id="4" xr3:uid="{B153EF18-4F4D-42F7-BBFF-421CB4833695}" name="Silver Plains" dataDxfId="85" dataCellStyle="Normal 2"/>
    <tableColumn id="5" xr3:uid="{D59945C8-F13D-4F0D-A21F-BD81028FC476}" name="Sapphire Range" dataDxfId="8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8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80"/>
    <tableColumn id="3" xr3:uid="{9C3FFCBB-91DD-4642-A90F-B17302A1D5AF}" uniqueName="3" name="Last Name" queryTableFieldId="3" dataDxfId="79"/>
    <tableColumn id="4" xr3:uid="{D873C24D-C1C0-423B-BC40-B9C74A44B50A}" uniqueName="4" name="Pos" queryTableFieldId="4" dataDxfId="78"/>
    <tableColumn id="5" xr3:uid="{4E457B49-3368-4F12-A5BB-E51B57CFAC79}" uniqueName="5" name="Ht (cm)" queryTableFieldId="5" dataDxfId="77"/>
    <tableColumn id="6" xr3:uid="{07AF9F17-B627-4405-AC09-43CF7E505721}" uniqueName="6" name="Wt (kg)" queryTableFieldId="6" dataDxfId="76"/>
    <tableColumn id="7" xr3:uid="{F940E2C8-94D6-4BDA-8743-6ECC39D754C0}" uniqueName="7" name="Birthdate" queryTableFieldId="7" dataDxfId="75"/>
    <tableColumn id="8" xr3:uid="{3BA1FDD2-BDF6-49B4-87BC-FB70CB339729}" uniqueName="8" name="S/C" queryTableFieldId="8" dataDxfId="74"/>
    <tableColumn id="9" xr3:uid="{88445FE4-62A9-4DAC-B4B5-3180E13E08C8}" uniqueName="9" name="Hometown.1" queryTableFieldId="9" dataDxfId="73"/>
    <tableColumn id="10" xr3:uid="{FDC6576F-CB3E-426A-8E72-6DCE0A95AFC5}" uniqueName="10" name="Hometown.2" queryTableFieldId="10" dataDxfId="72"/>
    <tableColumn id="11" xr3:uid="{EF296E25-3CB0-4E01-8F2C-87FD6E528D5C}" uniqueName="11" name="Most Recent Team (League)" queryTableFieldId="11" dataDxfId="71"/>
    <tableColumn id="12" xr3:uid="{FFED3C66-7BEF-402E-8362-4E5409FCCA38}" uniqueName="12" name="U.S. College (League) (if applicable)" queryTableFieldId="12" dataDxfId="7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6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68"/>
    <tableColumn id="4" xr3:uid="{1CD539A2-F0EE-48D3-BDA1-7377B0CF1910}" uniqueName="4" name="DATUM_ADJ" queryTableFieldId="4" dataDxfId="6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66"/>
    <tableColumn id="3" xr3:uid="{1097BE4B-5C43-4118-B021-E84ADEB8CE10}" uniqueName="3" name="Position" queryTableFieldId="3" dataDxfId="65"/>
    <tableColumn id="4" xr3:uid="{77A79E0E-9969-48C1-926D-1F42EF3A3DA3}" uniqueName="4" name="Height (CM)" queryTableFieldId="4" dataDxfId="64"/>
    <tableColumn id="5" xr3:uid="{6BB94BCF-6F27-4AF3-B638-7F5C516868D9}" uniqueName="5" name="Weight (KG)" queryTableFieldId="5" dataDxfId="63"/>
    <tableColumn id="6" xr3:uid="{345B8CC2-12AE-4907-9724-4AD009824330}" uniqueName="6" name="D.O.B." queryTableFieldId="6" dataDxfId="62"/>
    <tableColumn id="7" xr3:uid="{53C4E96A-1695-47C6-85DB-1B03702B0647}" uniqueName="7" name="Shoots/Catches" queryTableFieldId="7" dataDxfId="61"/>
    <tableColumn id="8" xr3:uid="{BF29C712-7C5A-4232-A45A-129CE56D523C}" uniqueName="8" name="Hometown.1" queryTableFieldId="8" dataDxfId="60"/>
    <tableColumn id="9" xr3:uid="{21040255-7D76-4E9F-8DDB-589B99E1EBDA}" uniqueName="9" name="Hometown.2" queryTableFieldId="9" dataDxfId="59"/>
    <tableColumn id="10" xr3:uid="{37C12A8A-B3E3-4093-A6E9-2099D8889FB7}" uniqueName="10" name="Most Recent Team (League)" queryTableFieldId="10" dataDxfId="58"/>
    <tableColumn id="11" xr3:uid="{E92E2B08-9477-4072-9CE8-80049DC44518}" uniqueName="11" name="College Team (League)" queryTableFieldId="11" dataDxfId="5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56"/>
    <tableColumn id="3" xr3:uid="{DEDF3196-9505-4D7E-A51B-D81AEFB82521}" uniqueName="3" name="Position" queryTableFieldId="3" dataDxfId="55"/>
    <tableColumn id="4" xr3:uid="{7729D8E5-1137-4380-8B85-B615D037AB8E}" uniqueName="4" name="Height (CM)" queryTableFieldId="4" dataDxfId="54"/>
    <tableColumn id="5" xr3:uid="{7B734501-6C16-4182-B005-D068BDDECC82}" uniqueName="5" name="Weight (KG)" queryTableFieldId="5" dataDxfId="53"/>
    <tableColumn id="6" xr3:uid="{AF2DB2A1-E43F-4650-A6FF-6745665E190B}" uniqueName="6" name="D.O.B." queryTableFieldId="6" dataDxfId="52"/>
    <tableColumn id="7" xr3:uid="{0B8E4C58-096F-4E98-B96B-AA2B344F6D06}" uniqueName="7" name="Shoots/Catches" queryTableFieldId="7" dataDxfId="51"/>
    <tableColumn id="8" xr3:uid="{ACEA76FA-BD5E-41F4-924A-7A32E1D70F1D}" uniqueName="8" name="Hometown" queryTableFieldId="8" dataDxfId="50"/>
    <tableColumn id="9" xr3:uid="{9650733E-DB21-402C-AB52-EE16AFBAA2A3}" uniqueName="9" name="Most Recent Team (League)" queryTableFieldId="9" dataDxfId="49"/>
    <tableColumn id="10" xr3:uid="{59F91B36-F099-41C5-8BAC-FFFD76F6788E}" uniqueName="10" name="College Team (League)" queryTableFieldId="10" dataDxfId="4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47"/>
    <tableColumn id="3" xr3:uid="{7945FB26-3E0B-431D-ADD5-7C48535C361B}" uniqueName="3" name="Position" queryTableFieldId="3" dataDxfId="46"/>
    <tableColumn id="4" xr3:uid="{63CD2A89-580C-4BE8-B668-48A4ACD77E31}" uniqueName="4" name="Height (CM)" queryTableFieldId="4" dataDxfId="45"/>
    <tableColumn id="5" xr3:uid="{FCD1A316-D228-45ED-9D1F-C9D43FDDF824}" uniqueName="5" name="Weight (KG)" queryTableFieldId="5" dataDxfId="44"/>
    <tableColumn id="6" xr3:uid="{9DFA98B2-9BE6-4CBA-8043-415E7A555E72}" uniqueName="6" name="D.O.B." queryTableFieldId="6" dataDxfId="43"/>
    <tableColumn id="7" xr3:uid="{773C1AFE-F3DE-46B9-9E3E-0CB4BB754A9E}" uniqueName="7" name="Shoots/Catches" queryTableFieldId="7" dataDxfId="42"/>
    <tableColumn id="8" xr3:uid="{40F3430D-4829-4CF7-AD53-48B090D658A9}" uniqueName="8" name="Hometown" queryTableFieldId="8" dataDxfId="41"/>
    <tableColumn id="9" xr3:uid="{08D87531-572B-430C-A196-0F7000F9E15E}" uniqueName="9" name="Most Recent Team (League)" queryTableFieldId="9" dataDxfId="40"/>
    <tableColumn id="10" xr3:uid="{873CB82D-D3CE-4DFA-8D4B-8AD72C1EE353}" uniqueName="10" name="College Team (League)" queryTableFieldId="10" dataDxfId="3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38"/>
    <tableColumn id="3" xr3:uid="{9BB03E49-2FFA-4625-BDEA-CEEDBDA987BC}" uniqueName="3" name="Position" queryTableFieldId="3" dataDxfId="37"/>
    <tableColumn id="4" xr3:uid="{D9E0CA2C-B30E-4C81-825D-0133CA487804}" uniqueName="4" name="Height (CM)" queryTableFieldId="4" dataDxfId="36"/>
    <tableColumn id="5" xr3:uid="{D078A6BE-5B92-44EE-BE85-7FE5594ECC22}" uniqueName="5" name="Weight (KG)" queryTableFieldId="5" dataDxfId="35"/>
    <tableColumn id="6" xr3:uid="{6FCC2632-AFDC-4A96-9F6B-EDFC4ABD13BB}" uniqueName="6" name="D.O.B." queryTableFieldId="6" dataDxfId="34"/>
    <tableColumn id="7" xr3:uid="{17EC0189-C979-4E24-AA6D-721963A40816}" uniqueName="7" name="Shoots/Catches" queryTableFieldId="7" dataDxfId="33"/>
    <tableColumn id="8" xr3:uid="{DA7FCD24-68D6-42E2-9224-ECD7B5EFE98C}" uniqueName="8" name="Hometown" queryTableFieldId="8" dataDxfId="32"/>
    <tableColumn id="9" xr3:uid="{9AC8AE6D-86FD-464F-A1BF-FCD36F7BB723}" uniqueName="9" name="Most Recent Team (League)" queryTableFieldId="9" dataDxfId="31"/>
    <tableColumn id="10" xr3:uid="{3E6B8E69-CDC2-4206-98DC-8A08EFD4C8C9}" uniqueName="10" name="College Team (League)" queryTableFieldId="10" dataDxfId="3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29" priority="25" stopIfTrue="1">
      <formula>MOD(ROW(N9)-ROW($B$9),2)</formula>
    </cfRule>
  </conditionalFormatting>
  <conditionalFormatting sqref="O10:X60">
    <cfRule type="expression" dxfId="28" priority="64">
      <formula>MOD(ROW(O10)-ROW($O$258),2)</formula>
    </cfRule>
  </conditionalFormatting>
  <conditionalFormatting sqref="O45">
    <cfRule type="expression" dxfId="27" priority="20">
      <formula>MOD(ROW(O45)-ROW($O$258),2)</formula>
    </cfRule>
  </conditionalFormatting>
  <conditionalFormatting sqref="O46:O52">
    <cfRule type="expression" dxfId="26" priority="19">
      <formula>MOD(ROW(O46)-ROW($O$258),2)</formula>
    </cfRule>
  </conditionalFormatting>
  <conditionalFormatting sqref="P46:X46">
    <cfRule type="expression" dxfId="25" priority="18">
      <formula>MOD(ROW(P46)-ROW($O$258),2)</formula>
    </cfRule>
  </conditionalFormatting>
  <conditionalFormatting sqref="O48:X48">
    <cfRule type="expression" dxfId="24" priority="17">
      <formula>MOD(ROW(O48)-ROW($O$258),2)</formula>
    </cfRule>
  </conditionalFormatting>
  <conditionalFormatting sqref="P48:X48">
    <cfRule type="expression" dxfId="23" priority="16">
      <formula>MOD(ROW(P48)-ROW($O$258),2)</formula>
    </cfRule>
  </conditionalFormatting>
  <conditionalFormatting sqref="O49:X49">
    <cfRule type="expression" dxfId="22" priority="14">
      <formula>MOD(ROW(O49)-ROW($O$258),2)</formula>
    </cfRule>
  </conditionalFormatting>
  <conditionalFormatting sqref="O50:X50">
    <cfRule type="expression" dxfId="21" priority="13">
      <formula>MOD(ROW(O50)-ROW($O$258),2)</formula>
    </cfRule>
  </conditionalFormatting>
  <conditionalFormatting sqref="P50:X50">
    <cfRule type="expression" dxfId="20" priority="12">
      <formula>MOD(ROW(P50)-ROW($O$258),2)</formula>
    </cfRule>
  </conditionalFormatting>
  <conditionalFormatting sqref="O51:X51">
    <cfRule type="expression" dxfId="19" priority="10">
      <formula>MOD(ROW(O51)-ROW($O$258),2)</formula>
    </cfRule>
  </conditionalFormatting>
  <conditionalFormatting sqref="O52:X52">
    <cfRule type="expression" dxfId="18" priority="9">
      <formula>MOD(ROW(O52)-ROW($O$258),2)</formula>
    </cfRule>
  </conditionalFormatting>
  <conditionalFormatting sqref="O52:X52">
    <cfRule type="expression" dxfId="17" priority="8">
      <formula>MOD(ROW(O52)-ROW($O$258),2)</formula>
    </cfRule>
  </conditionalFormatting>
  <conditionalFormatting sqref="P52:X52">
    <cfRule type="expression" dxfId="16" priority="7">
      <formula>MOD(ROW(P52)-ROW($O$258),2)</formula>
    </cfRule>
  </conditionalFormatting>
  <conditionalFormatting sqref="P54:X54">
    <cfRule type="expression" dxfId="15" priority="2">
      <formula>MOD(ROW(P54)-ROW($O$258),2)</formula>
    </cfRule>
  </conditionalFormatting>
  <conditionalFormatting sqref="P53:X53">
    <cfRule type="expression" dxfId="14" priority="1">
      <formula>MOD(ROW(P53)-ROW($O$258),2)</formula>
    </cfRule>
  </conditionalFormatting>
  <conditionalFormatting sqref="J375">
    <cfRule type="expression" dxfId="13" priority="65" stopIfTrue="1">
      <formula>MOD(ROW(J375)-ROW($B$9),2)</formula>
    </cfRule>
  </conditionalFormatting>
  <conditionalFormatting sqref="B10:K374">
    <cfRule type="expression" dxfId="12"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09" activePane="bottomLeft" state="frozen"/>
      <selection activeCell="P541" sqref="P541"/>
      <selection pane="bottomLeft" activeCell="Q222" sqref="Q222"/>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18" ca="1">TEXT(DATE(2026,1,_xlfn.SEQUENCE(1+_xlfn.DAYS(TODAY(),DATE(2026,1,1)))),"dd-mmm")</f>
        <v>01-Jan</v>
      </c>
      <c r="C5" s="5">
        <v>1</v>
      </c>
      <c r="D5" s="5">
        <v>1</v>
      </c>
      <c r="E5" s="5">
        <v>0</v>
      </c>
      <c r="F5" s="5">
        <v>0</v>
      </c>
      <c r="G5" s="5">
        <v>1</v>
      </c>
      <c r="H5" s="5">
        <v>1</v>
      </c>
      <c r="I5" s="5">
        <v>1</v>
      </c>
      <c r="J5" s="5">
        <v>1</v>
      </c>
      <c r="K5" s="5">
        <v>1</v>
      </c>
      <c r="L5" cm="1">
        <f t="array" aca="1" ref="L5:L218" ca="1">_xlfn.BYROW(_xlfn.TAKE(Banded,,1),_xleta.WEEKNUM)</f>
        <v>1</v>
      </c>
      <c r="M5" cm="1">
        <f t="array" ref="M5:M218">_xlfn.BYROW(_xlfn.DROP(Banded,,1),_xleta.SUM)</f>
        <v>7</v>
      </c>
      <c r="O5" s="38" cm="1">
        <f t="array" aca="1" ref="O5:X36"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0</v>
      </c>
      <c r="Q36" s="5">
        <f ca="1"/>
        <v>1</v>
      </c>
      <c r="R36" s="5">
        <f ca="1"/>
        <v>0</v>
      </c>
      <c r="S36" s="5">
        <f ca="1"/>
        <v>0</v>
      </c>
      <c r="T36" s="5">
        <f ca="1"/>
        <v>1</v>
      </c>
      <c r="U36" s="5">
        <f ca="1"/>
        <v>1</v>
      </c>
      <c r="V36" s="5">
        <f ca="1"/>
        <v>0</v>
      </c>
      <c r="W36" s="5">
        <f ca="1"/>
        <v>0</v>
      </c>
      <c r="X36" s="5">
        <f ca="1"/>
        <v>1</v>
      </c>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0</v>
      </c>
      <c r="D218" s="5">
        <v>1</v>
      </c>
      <c r="E218" s="5">
        <v>0</v>
      </c>
      <c r="F218" s="5">
        <v>0</v>
      </c>
      <c r="G218" s="5">
        <v>1</v>
      </c>
      <c r="H218" s="5">
        <v>1</v>
      </c>
      <c r="I218" s="5">
        <v>0</v>
      </c>
      <c r="J218" s="5">
        <v>0</v>
      </c>
      <c r="K218" s="5">
        <v>1</v>
      </c>
      <c r="L218">
        <f ca="1"/>
        <v>32</v>
      </c>
      <c r="M218">
        <v>4</v>
      </c>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11" priority="7">
      <formula>AND(LEN($O5)&gt;0,MOD(ROW(O5)-ROW($O$4),2))</formula>
    </cfRule>
  </conditionalFormatting>
  <conditionalFormatting sqref="O5:O95">
    <cfRule type="expression" dxfId="10" priority="6">
      <formula>LEN(O5)=0</formula>
    </cfRule>
  </conditionalFormatting>
  <conditionalFormatting sqref="B5:K65 B66:G67 I66:K67 B68:K369">
    <cfRule type="expression" dxfId="9" priority="4" stopIfTrue="1">
      <formula>LEN($B5)=0</formula>
    </cfRule>
    <cfRule type="expression" dxfId="8" priority="5" stopIfTrue="1">
      <formula>(LEN($B5)&gt;0)*(MOD(ROW(B5)-ROW(B$4),2)=0)</formula>
    </cfRule>
    <cfRule type="expression" dxfId="7" priority="8" stopIfTrue="1">
      <formula>AND(LEN($B5)&gt;0,MOD(ROW(B5)-ROW(B$4),2)=1)</formula>
    </cfRule>
  </conditionalFormatting>
  <conditionalFormatting sqref="H66">
    <cfRule type="expression" dxfId="6" priority="73" stopIfTrue="1">
      <formula>LEN($B67)=0</formula>
    </cfRule>
    <cfRule type="expression" dxfId="5" priority="74" stopIfTrue="1">
      <formula>(LEN($B67)&gt;0)*(MOD(ROW(H66)-ROW(H$4),2)=0)</formula>
    </cfRule>
    <cfRule type="expression" dxfId="4" priority="75" stopIfTrue="1">
      <formula>AND(LEN($B67)&gt;0,MOD(ROW(H66)-ROW(H$4),2)=1)</formula>
    </cfRule>
  </conditionalFormatting>
  <conditionalFormatting sqref="H67">
    <cfRule type="expression" dxfId="3" priority="1" stopIfTrue="1">
      <formula>LEN($B67)=0</formula>
    </cfRule>
    <cfRule type="expression" dxfId="2" priority="2" stopIfTrue="1">
      <formula>(LEN($B67)&gt;0)*(MOD(ROW(H67)-ROW(H$4),2)=0)</formula>
    </cfRule>
    <cfRule type="expression" dxfId="1"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87"/>
  <sheetViews>
    <sheetView topLeftCell="A4" workbookViewId="0">
      <pane ySplit="5" topLeftCell="A569" activePane="bottomLeft" state="frozen"/>
      <selection activeCell="Y145" sqref="Y145"/>
      <selection pane="bottomLeft" activeCell="D599" sqref="D599:H600"/>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87"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87">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sheetData>
  <conditionalFormatting sqref="E9:Y587">
    <cfRule type="expression" dxfId="0"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P86"/>
  <sheetViews>
    <sheetView topLeftCell="A33" workbookViewId="0">
      <selection activeCell="O48" sqref="O48"/>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2629</v>
      </c>
    </row>
    <row r="2" spans="1:7" ht="15">
      <c r="A2" s="74"/>
      <c r="F2" t="s">
        <v>2648</v>
      </c>
      <c r="G2" t="s">
        <v>2649</v>
      </c>
    </row>
    <row r="3" spans="1:7">
      <c r="A3" s="82" t="s">
        <v>2634</v>
      </c>
      <c r="C3" s="82"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2" t="s">
        <v>2635</v>
      </c>
    </row>
    <row r="9" spans="1:7">
      <c r="B9" t="s">
        <v>2643</v>
      </c>
      <c r="C9" t="s">
        <v>2644</v>
      </c>
      <c r="D9" s="73">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2" t="s">
        <v>2636</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2642</v>
      </c>
    </row>
    <row r="19" spans="1:12">
      <c r="B19" t="s">
        <v>2646</v>
      </c>
      <c r="C19" s="71">
        <v>1</v>
      </c>
      <c r="D19" s="69">
        <f>450</f>
        <v>450</v>
      </c>
      <c r="E19" t="s">
        <v>2650</v>
      </c>
      <c r="I19">
        <f>(_nT-70)/_nT*D19</f>
        <v>409.61538461538458</v>
      </c>
      <c r="L19">
        <v>456.14035087719299</v>
      </c>
    </row>
    <row r="20" spans="1:12">
      <c r="B20" t="s">
        <v>2557</v>
      </c>
      <c r="C20" s="71">
        <f>_nH</f>
        <v>0.65</v>
      </c>
      <c r="D20" s="69">
        <f>_nT*C20/_BP</f>
        <v>277.55474452554745</v>
      </c>
      <c r="E20" t="s">
        <v>2650</v>
      </c>
      <c r="I20">
        <f>(_nT-70)/_nT*D20</f>
        <v>252.64598540145985</v>
      </c>
      <c r="L20">
        <v>296.49122807017545</v>
      </c>
    </row>
    <row r="21" spans="1:12">
      <c r="B21" t="s">
        <v>2561</v>
      </c>
      <c r="C21" s="71">
        <v>0.02</v>
      </c>
      <c r="D21" s="69">
        <f>_nT*C21/_BP</f>
        <v>8.540145985401459</v>
      </c>
      <c r="E21" t="s">
        <v>2650</v>
      </c>
      <c r="F21" s="81"/>
      <c r="I21">
        <f>(_nT-70)/_nT*D21</f>
        <v>7.7737226277372251</v>
      </c>
      <c r="L21">
        <v>9.1228070175438596</v>
      </c>
    </row>
    <row r="22" spans="1:12">
      <c r="B22" t="s">
        <v>2558</v>
      </c>
      <c r="C22" s="71">
        <v>0.02</v>
      </c>
      <c r="D22" s="69">
        <f>_nT*C22/_BP</f>
        <v>8.540145985401459</v>
      </c>
      <c r="E22" t="s">
        <v>2650</v>
      </c>
      <c r="I22">
        <f>(_nT-70)/_nT*D22</f>
        <v>7.7737226277372251</v>
      </c>
      <c r="L22">
        <v>9.1228070175438596</v>
      </c>
    </row>
    <row r="23" spans="1:12">
      <c r="B23" t="s">
        <v>2567</v>
      </c>
      <c r="C23" s="71">
        <v>0.02</v>
      </c>
      <c r="D23" s="69">
        <f>_nT*C23/_BP</f>
        <v>8.540145985401459</v>
      </c>
      <c r="E23" t="s">
        <v>2650</v>
      </c>
      <c r="F23" s="72"/>
      <c r="I23">
        <f>(_nT-70)/_nT*D23</f>
        <v>7.7737226277372251</v>
      </c>
      <c r="L23">
        <v>9.1228070175438596</v>
      </c>
    </row>
    <row r="24" spans="1:12">
      <c r="B24" t="s">
        <v>2653</v>
      </c>
      <c r="C24" s="71">
        <f>(20+32.5)/D19</f>
        <v>0.11666666666666667</v>
      </c>
      <c r="D24" s="69">
        <v>70</v>
      </c>
      <c r="E24" t="s">
        <v>2650</v>
      </c>
      <c r="F24" s="72"/>
      <c r="G24">
        <v>70</v>
      </c>
      <c r="I24">
        <f>70/I19</f>
        <v>0.17089201877934274</v>
      </c>
      <c r="L24">
        <v>70</v>
      </c>
    </row>
    <row r="25" spans="1:12">
      <c r="C25" s="72">
        <f>SUM(C19:C24)</f>
        <v>1.8266666666666667</v>
      </c>
    </row>
    <row r="28" spans="1:12">
      <c r="A28" t="s">
        <v>2647</v>
      </c>
    </row>
    <row r="29" spans="1:12">
      <c r="A29" t="s">
        <v>2652</v>
      </c>
    </row>
    <row r="34" spans="1:11">
      <c r="B34" t="s">
        <v>2572</v>
      </c>
      <c r="F34" t="s">
        <v>2573</v>
      </c>
    </row>
    <row r="35" spans="1:11">
      <c r="F35" t="s">
        <v>2574</v>
      </c>
      <c r="G35">
        <v>624</v>
      </c>
    </row>
    <row r="36" spans="1:11" ht="15">
      <c r="B36" s="74" t="s">
        <v>2565</v>
      </c>
      <c r="C36" s="75" t="s">
        <v>2566</v>
      </c>
      <c r="D36" s="75" t="s">
        <v>734</v>
      </c>
      <c r="F36" s="74" t="s">
        <v>2565</v>
      </c>
      <c r="G36" s="75" t="s">
        <v>734</v>
      </c>
      <c r="H36" s="75" t="s">
        <v>2566</v>
      </c>
      <c r="K36" t="s">
        <v>2622</v>
      </c>
    </row>
    <row r="37" spans="1:11">
      <c r="B37" t="s">
        <v>2556</v>
      </c>
      <c r="C37" s="85">
        <v>450</v>
      </c>
      <c r="D37" s="71">
        <f>C37/$C$37</f>
        <v>1</v>
      </c>
      <c r="F37" t="s">
        <v>2556</v>
      </c>
      <c r="G37" s="71">
        <v>1</v>
      </c>
      <c r="H37">
        <f>(G37/$G$47)*$G$35</f>
        <v>399.99999999999994</v>
      </c>
      <c r="K37" t="s">
        <v>2623</v>
      </c>
    </row>
    <row r="38" spans="1:11">
      <c r="B38" t="s">
        <v>2560</v>
      </c>
      <c r="C38" s="85">
        <v>0</v>
      </c>
      <c r="D38" s="71">
        <f t="shared" ref="D38:D46" si="0">C38/$C$37</f>
        <v>0</v>
      </c>
      <c r="F38" t="s">
        <v>2560</v>
      </c>
      <c r="G38" s="71">
        <v>0</v>
      </c>
      <c r="H38">
        <f t="shared" ref="H38:H46" si="1">(G38/$G$47)*$G$35</f>
        <v>0</v>
      </c>
      <c r="K38" t="s">
        <v>2624</v>
      </c>
    </row>
    <row r="39" spans="1:11">
      <c r="B39" s="93" t="s">
        <v>2557</v>
      </c>
      <c r="C39" s="94">
        <v>247.5</v>
      </c>
      <c r="D39" s="71">
        <f t="shared" si="0"/>
        <v>0.55000000000000004</v>
      </c>
      <c r="F39" t="s">
        <v>2557</v>
      </c>
      <c r="G39" s="71">
        <v>0.5</v>
      </c>
      <c r="H39">
        <f t="shared" si="1"/>
        <v>199.99999999999997</v>
      </c>
      <c r="K39" t="s">
        <v>2625</v>
      </c>
    </row>
    <row r="40" spans="1:11">
      <c r="A40" s="85"/>
      <c r="B40" s="93" t="s">
        <v>2975</v>
      </c>
      <c r="C40" s="94">
        <v>36</v>
      </c>
      <c r="D40" s="71">
        <f t="shared" si="0"/>
        <v>0.08</v>
      </c>
      <c r="F40" t="s">
        <v>2564</v>
      </c>
      <c r="G40" s="71">
        <v>0</v>
      </c>
      <c r="H40">
        <f t="shared" si="1"/>
        <v>0</v>
      </c>
    </row>
    <row r="41" spans="1:11">
      <c r="B41" s="93" t="s">
        <v>2561</v>
      </c>
      <c r="C41" s="85">
        <v>9</v>
      </c>
      <c r="D41" s="71">
        <f t="shared" si="0"/>
        <v>0.02</v>
      </c>
      <c r="F41" t="s">
        <v>2561</v>
      </c>
      <c r="G41" s="71">
        <v>0.02</v>
      </c>
      <c r="H41">
        <f t="shared" si="1"/>
        <v>8</v>
      </c>
    </row>
    <row r="42" spans="1:11">
      <c r="B42" t="s">
        <v>2558</v>
      </c>
      <c r="C42" s="85">
        <v>9</v>
      </c>
      <c r="D42" s="71">
        <f t="shared" si="0"/>
        <v>0.02</v>
      </c>
      <c r="F42" t="s">
        <v>2558</v>
      </c>
      <c r="G42" s="71">
        <v>0.02</v>
      </c>
      <c r="H42">
        <f t="shared" si="1"/>
        <v>8</v>
      </c>
    </row>
    <row r="43" spans="1:11">
      <c r="B43" t="s">
        <v>2562</v>
      </c>
      <c r="C43" s="85">
        <v>18</v>
      </c>
      <c r="D43" s="71">
        <f t="shared" si="0"/>
        <v>0.04</v>
      </c>
      <c r="F43" t="s">
        <v>2562</v>
      </c>
      <c r="G43" s="71">
        <v>0</v>
      </c>
      <c r="H43">
        <f t="shared" si="1"/>
        <v>0</v>
      </c>
    </row>
    <row r="44" spans="1:11">
      <c r="B44" t="s">
        <v>2563</v>
      </c>
      <c r="C44" s="85">
        <v>0</v>
      </c>
      <c r="D44" s="71">
        <f t="shared" si="0"/>
        <v>0</v>
      </c>
      <c r="F44" t="s">
        <v>2563</v>
      </c>
      <c r="G44" s="71">
        <v>0</v>
      </c>
      <c r="H44">
        <f t="shared" si="1"/>
        <v>0</v>
      </c>
    </row>
    <row r="45" spans="1:11">
      <c r="B45" t="s">
        <v>2567</v>
      </c>
      <c r="C45" s="85">
        <v>8</v>
      </c>
      <c r="D45" s="71">
        <f t="shared" si="0"/>
        <v>1.7777777777777778E-2</v>
      </c>
      <c r="F45" t="s">
        <v>2567</v>
      </c>
      <c r="G45" s="71">
        <v>0.02</v>
      </c>
      <c r="H45">
        <f t="shared" si="1"/>
        <v>8</v>
      </c>
    </row>
    <row r="46" spans="1:11">
      <c r="B46" t="s">
        <v>2559</v>
      </c>
      <c r="C46" s="85">
        <v>4</v>
      </c>
      <c r="D46" s="71">
        <f t="shared" si="0"/>
        <v>8.8888888888888889E-3</v>
      </c>
      <c r="F46" t="s">
        <v>2559</v>
      </c>
      <c r="G46" s="71">
        <v>0</v>
      </c>
      <c r="H46">
        <f t="shared" si="1"/>
        <v>0</v>
      </c>
    </row>
    <row r="47" spans="1:11">
      <c r="D47" s="72">
        <f>SUM(D37:D46)</f>
        <v>1.7366666666666668</v>
      </c>
      <c r="G47" s="72">
        <f>SUM(G37:G46)</f>
        <v>1.56</v>
      </c>
    </row>
    <row r="49" spans="2:16">
      <c r="B49" t="s">
        <v>2570</v>
      </c>
    </row>
    <row r="50" spans="2:16">
      <c r="B50" t="s">
        <v>2569</v>
      </c>
      <c r="D50">
        <f>C37*D47</f>
        <v>781.50000000000011</v>
      </c>
    </row>
    <row r="51" spans="2:16">
      <c r="B51" t="s">
        <v>2568</v>
      </c>
      <c r="D51" s="70">
        <f>C39/C37</f>
        <v>0.55000000000000004</v>
      </c>
    </row>
    <row r="52" spans="2:16">
      <c r="B52" t="s">
        <v>2571</v>
      </c>
    </row>
    <row r="56" spans="2:16" ht="15">
      <c r="B56" s="60" t="s">
        <v>2621</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2630</v>
      </c>
      <c r="P61">
        <f>236*1.022</f>
        <v>241.19200000000001</v>
      </c>
    </row>
    <row r="63" spans="2:16">
      <c r="G63" t="s">
        <v>2628</v>
      </c>
      <c r="O63" t="s">
        <v>2970</v>
      </c>
      <c r="P63">
        <f>0.7%*P61</f>
        <v>1.6883439999999998</v>
      </c>
    </row>
    <row r="64" spans="2:16" ht="15">
      <c r="B64" s="60" t="s">
        <v>2626</v>
      </c>
      <c r="D64" s="81" t="s">
        <v>2627</v>
      </c>
      <c r="O64" t="s">
        <v>2967</v>
      </c>
      <c r="P64">
        <v>8</v>
      </c>
    </row>
    <row r="65" spans="2:16">
      <c r="O65" t="s">
        <v>2968</v>
      </c>
      <c r="P65">
        <v>8</v>
      </c>
    </row>
    <row r="66" spans="2:16">
      <c r="B66" s="76">
        <v>0.11700000000000001</v>
      </c>
      <c r="C66" s="77">
        <v>0.8</v>
      </c>
      <c r="D66" s="79">
        <v>0.14000000000000001</v>
      </c>
      <c r="E66" s="85">
        <f>C37</f>
        <v>450</v>
      </c>
      <c r="G66" s="91" cm="1">
        <f t="array" ref="G66:G67">MMULT(MINVERSE(B66:C67),D66:D67)*E66</f>
        <v>434.8462664714495</v>
      </c>
      <c r="O66" t="s">
        <v>2969</v>
      </c>
      <c r="P66">
        <v>13</v>
      </c>
    </row>
    <row r="67" spans="2:16">
      <c r="B67" s="78">
        <v>1</v>
      </c>
      <c r="C67" s="78">
        <v>1</v>
      </c>
      <c r="D67" s="80">
        <v>1</v>
      </c>
      <c r="G67" s="91">
        <v>15.153733528550513</v>
      </c>
      <c r="O67" t="s">
        <v>2971</v>
      </c>
      <c r="P67">
        <f>SUM(P63:P66)</f>
        <v>30.688344000000001</v>
      </c>
    </row>
    <row r="68" spans="2:16">
      <c r="P68" s="71">
        <f>P67/P61</f>
        <v>0.12723616040333013</v>
      </c>
    </row>
    <row r="69" spans="2:16">
      <c r="B69" s="90" t="s">
        <v>2964</v>
      </c>
      <c r="O69" t="s">
        <v>2972</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2973</v>
      </c>
      <c r="P71">
        <f>C39/P69</f>
        <v>283.58186805078577</v>
      </c>
    </row>
    <row r="72" spans="2:16">
      <c r="B72">
        <v>0</v>
      </c>
      <c r="C72">
        <v>1</v>
      </c>
      <c r="D72">
        <v>0</v>
      </c>
      <c r="E72" s="89">
        <v>0.1</v>
      </c>
      <c r="F72" s="91">
        <v>14.824304538799415</v>
      </c>
      <c r="O72" t="s">
        <v>2974</v>
      </c>
      <c r="P72">
        <f>P71*P68</f>
        <v>36.081868050785779</v>
      </c>
    </row>
    <row r="85" spans="2:5">
      <c r="B85" t="s">
        <v>2965</v>
      </c>
      <c r="C85">
        <v>28</v>
      </c>
      <c r="D85">
        <v>3</v>
      </c>
      <c r="E85">
        <f>D85/C85</f>
        <v>0.10714285714285714</v>
      </c>
    </row>
    <row r="86" spans="2:5">
      <c r="B86" t="s">
        <v>2966</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02-Aug-2026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7" t="s">
        <v>2878</v>
      </c>
      <c r="C27" t="str" cm="1">
        <f t="array" ref="C27:C31">B27:B31</f>
        <v>"Ich erinnere an Berlin."</v>
      </c>
    </row>
    <row r="28" spans="2:4">
      <c r="B28" s="87" t="s">
        <v>2879</v>
      </c>
      <c r="C28" t="str">
        <v>"Ich wasche mich das Auto."</v>
      </c>
    </row>
    <row r="29" spans="2:4">
      <c r="B29" s="87" t="s">
        <v>2880</v>
      </c>
      <c r="C29" t="str">
        <v>"CJ freut über seinen Kuchen."</v>
      </c>
    </row>
    <row r="30" spans="2:4">
      <c r="B30" s="87" t="s">
        <v>2881</v>
      </c>
      <c r="C30" t="str">
        <v>"Ich sorge um meine Gesundheit."</v>
      </c>
    </row>
    <row r="31" spans="2:4">
      <c r="B31" s="87"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8" t="s">
        <v>2892</v>
      </c>
      <c r="C51" t="str">
        <f t="shared" si="3"/>
        <v>I worry about my health.</v>
      </c>
    </row>
    <row r="52" spans="2:3">
      <c r="B52" s="88" t="s">
        <v>2893</v>
      </c>
      <c r="C52" t="str">
        <f t="shared" si="3"/>
        <v>I fell in love with mathematics.</v>
      </c>
    </row>
    <row r="53" spans="2:3">
      <c r="B53" s="88"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02-Aug-2026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02-Aug-2026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2026-08-02T15:51:17Z</cp:lastPrinted>
  <dcterms:created xsi:type="dcterms:W3CDTF">2021-09-27T12:19:57Z</dcterms:created>
  <dcterms:modified xsi:type="dcterms:W3CDTF">2026-08-02T19:04:56Z</dcterms:modified>
</cp:coreProperties>
</file>