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50" documentId="8_{1CE009F8-B825-4926-9E85-1E361AABE077}" xr6:coauthVersionLast="47" xr6:coauthVersionMax="47" xr10:uidLastSave="{A51280DB-812D-441D-B141-EF4DFDF5ACB0}"/>
  <bookViews>
    <workbookView xWindow="-120" yWindow="-120" windowWidth="29040" windowHeight="15840" activeTab="3" xr2:uid="{AD5FE48E-9CE6-4EDE-8F69-E8FD3B4EAF42}"/>
  </bookViews>
  <sheets>
    <sheet name="Propane-Use-Day-1" sheetId="1" r:id="rId1"/>
    <sheet name="Propane-Use-Day-2" sheetId="3" r:id="rId2"/>
    <sheet name="Propane-Use-Day-3" sheetId="4" r:id="rId3"/>
    <sheet name="Propane-Use-Day-4" sheetId="5" r:id="rId4"/>
  </sheets>
  <definedNames>
    <definedName name="_nInt" localSheetId="1">'Propane-Use-Day-2'!$H$8</definedName>
    <definedName name="_nInt" localSheetId="2">'Propane-Use-Day-3'!$H$8</definedName>
    <definedName name="_nInt" localSheetId="3">'Propane-Use-Day-4'!$H$8</definedName>
    <definedName name="_nInt">'Propane-Use-Day-1'!$H$8</definedName>
    <definedName name="_nSlope" localSheetId="1">'Propane-Use-Day-2'!$G$8</definedName>
    <definedName name="_nSlope" localSheetId="2">'Propane-Use-Day-3'!$G$8</definedName>
    <definedName name="_nSlope" localSheetId="3">'Propane-Use-Day-4'!$G$8</definedName>
    <definedName name="_nSlope">'Propane-Use-Day-1'!$G$8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5" l="1"/>
  <c r="L41" i="5"/>
  <c r="C12" i="5"/>
  <c r="M8" i="5"/>
  <c r="C9" i="5"/>
  <c r="C10" i="5"/>
  <c r="C11" i="5"/>
  <c r="C8" i="5"/>
  <c r="G8" i="5" s="1" a="1"/>
  <c r="G8" i="5" s="1"/>
  <c r="B3" i="4"/>
  <c r="B3" i="5"/>
  <c r="K50" i="5" a="1"/>
  <c r="K50" i="5" s="1"/>
  <c r="L44" i="5"/>
  <c r="L43" i="5"/>
  <c r="K47" i="5" s="1" a="1"/>
  <c r="K47" i="5" s="1"/>
  <c r="L42" i="5"/>
  <c r="G16" i="5"/>
  <c r="K8" i="5" a="1"/>
  <c r="K8" i="5" s="1"/>
  <c r="C15" i="4"/>
  <c r="L42" i="4"/>
  <c r="L43" i="4"/>
  <c r="L41" i="4"/>
  <c r="C14" i="4"/>
  <c r="C13" i="4"/>
  <c r="C12" i="4"/>
  <c r="C11" i="4"/>
  <c r="C10" i="4"/>
  <c r="D9" i="4"/>
  <c r="C8" i="3"/>
  <c r="C9" i="3"/>
  <c r="C10" i="3"/>
  <c r="C11" i="3"/>
  <c r="C12" i="3"/>
  <c r="C13" i="3"/>
  <c r="C14" i="3"/>
  <c r="C15" i="3"/>
  <c r="C16" i="3"/>
  <c r="C17" i="3"/>
  <c r="C18" i="3"/>
  <c r="K8" i="4" a="1"/>
  <c r="K8" i="4" s="1"/>
  <c r="C9" i="4"/>
  <c r="C8" i="4"/>
  <c r="G16" i="4"/>
  <c r="K8" i="3" a="1"/>
  <c r="K8" i="3" s="1"/>
  <c r="M8" i="3" s="1"/>
  <c r="G16" i="3"/>
  <c r="I12" i="4"/>
  <c r="I12" i="5"/>
  <c r="L52" i="5" l="1"/>
  <c r="L60" i="5"/>
  <c r="L58" i="5"/>
  <c r="L53" i="5"/>
  <c r="L61" i="5"/>
  <c r="L57" i="5"/>
  <c r="L59" i="5"/>
  <c r="L54" i="5"/>
  <c r="L51" i="5"/>
  <c r="L55" i="5"/>
  <c r="L56" i="5"/>
  <c r="L50" i="5"/>
  <c r="G12" i="5"/>
  <c r="M29" i="5"/>
  <c r="M15" i="5"/>
  <c r="M18" i="5"/>
  <c r="M22" i="5"/>
  <c r="M31" i="5"/>
  <c r="M20" i="5"/>
  <c r="M24" i="5"/>
  <c r="M14" i="5"/>
  <c r="M28" i="5"/>
  <c r="M26" i="5"/>
  <c r="M30" i="5"/>
  <c r="M11" i="5"/>
  <c r="M13" i="5"/>
  <c r="M19" i="5"/>
  <c r="M23" i="5"/>
  <c r="M27" i="5"/>
  <c r="M9" i="5"/>
  <c r="M16" i="5"/>
  <c r="M17" i="5"/>
  <c r="M21" i="5"/>
  <c r="M25" i="5"/>
  <c r="M10" i="5"/>
  <c r="M12" i="5"/>
  <c r="G8" i="4" a="1"/>
  <c r="G8" i="4" s="1"/>
  <c r="L8" i="4" s="1"/>
  <c r="M26" i="4"/>
  <c r="M14" i="4"/>
  <c r="M23" i="4"/>
  <c r="M27" i="4"/>
  <c r="M20" i="4"/>
  <c r="M31" i="4"/>
  <c r="M8" i="4"/>
  <c r="M10" i="4"/>
  <c r="M12" i="4"/>
  <c r="M17" i="4"/>
  <c r="M24" i="4"/>
  <c r="M28" i="4"/>
  <c r="M15" i="4"/>
  <c r="M21" i="4"/>
  <c r="M25" i="4"/>
  <c r="M29" i="4"/>
  <c r="M11" i="4"/>
  <c r="M13" i="4"/>
  <c r="M18" i="4"/>
  <c r="M22" i="4"/>
  <c r="M9" i="4"/>
  <c r="M16" i="4"/>
  <c r="M19" i="4"/>
  <c r="M30" i="4"/>
  <c r="M10" i="3"/>
  <c r="M38" i="3"/>
  <c r="M24" i="3"/>
  <c r="M31" i="3"/>
  <c r="M15" i="3"/>
  <c r="M37" i="3"/>
  <c r="M23" i="3"/>
  <c r="M30" i="3"/>
  <c r="M22" i="3"/>
  <c r="M14" i="3"/>
  <c r="M36" i="3"/>
  <c r="M29" i="3"/>
  <c r="M21" i="3"/>
  <c r="M13" i="3"/>
  <c r="M35" i="3"/>
  <c r="M17" i="3"/>
  <c r="M32" i="3"/>
  <c r="M20" i="3"/>
  <c r="M12" i="3"/>
  <c r="M34" i="3"/>
  <c r="M25" i="3"/>
  <c r="M16" i="3"/>
  <c r="M19" i="3"/>
  <c r="M11" i="3"/>
  <c r="M33" i="3"/>
  <c r="M9" i="3"/>
  <c r="M28" i="3"/>
  <c r="M27" i="3"/>
  <c r="M26" i="3"/>
  <c r="M18" i="3"/>
  <c r="B3" i="3"/>
  <c r="C22" i="1"/>
  <c r="C21" i="1"/>
  <c r="I12" i="3"/>
  <c r="L25" i="5" l="1"/>
  <c r="L13" i="5"/>
  <c r="L10" i="5"/>
  <c r="L14" i="5"/>
  <c r="L23" i="5"/>
  <c r="L8" i="5"/>
  <c r="L30" i="5"/>
  <c r="L29" i="5"/>
  <c r="L12" i="5"/>
  <c r="L28" i="5"/>
  <c r="L27" i="5"/>
  <c r="L15" i="5"/>
  <c r="L11" i="5"/>
  <c r="L17" i="5"/>
  <c r="L31" i="5"/>
  <c r="L18" i="5"/>
  <c r="G26" i="5"/>
  <c r="H34" i="5"/>
  <c r="L9" i="5"/>
  <c r="L16" i="5"/>
  <c r="L24" i="5"/>
  <c r="L19" i="5"/>
  <c r="L26" i="5"/>
  <c r="L21" i="5"/>
  <c r="L20" i="5"/>
  <c r="L22" i="5"/>
  <c r="G12" i="4"/>
  <c r="H34" i="4" s="1"/>
  <c r="L24" i="4"/>
  <c r="L16" i="4"/>
  <c r="L17" i="4"/>
  <c r="L29" i="4"/>
  <c r="L9" i="4"/>
  <c r="L14" i="4"/>
  <c r="L25" i="4"/>
  <c r="L31" i="4"/>
  <c r="L26" i="4"/>
  <c r="L23" i="4"/>
  <c r="L22" i="4"/>
  <c r="L30" i="4"/>
  <c r="L19" i="4"/>
  <c r="L11" i="4"/>
  <c r="L28" i="4"/>
  <c r="L15" i="4"/>
  <c r="L18" i="4"/>
  <c r="L21" i="4"/>
  <c r="L12" i="4"/>
  <c r="L27" i="4"/>
  <c r="L13" i="4"/>
  <c r="L10" i="4"/>
  <c r="L20" i="4"/>
  <c r="G8" i="3" a="1"/>
  <c r="C20" i="1"/>
  <c r="C19" i="1"/>
  <c r="C18" i="1"/>
  <c r="C17" i="1"/>
  <c r="C16" i="1"/>
  <c r="C15" i="1"/>
  <c r="C14" i="1"/>
  <c r="K8" i="1" a="1"/>
  <c r="K8" i="1" s="1"/>
  <c r="C13" i="1"/>
  <c r="C12" i="1"/>
  <c r="B3" i="1"/>
  <c r="C11" i="1"/>
  <c r="C8" i="1"/>
  <c r="C10" i="1"/>
  <c r="I12" i="1"/>
  <c r="G26" i="4" l="1"/>
  <c r="G8" i="3"/>
  <c r="L33" i="3" s="1"/>
  <c r="G8" i="1" a="1"/>
  <c r="G8" i="1" s="1"/>
  <c r="L38" i="3" l="1"/>
  <c r="L9" i="3"/>
  <c r="L15" i="3"/>
  <c r="L28" i="3"/>
  <c r="L27" i="3"/>
  <c r="L23" i="3"/>
  <c r="L32" i="3"/>
  <c r="L25" i="3"/>
  <c r="G12" i="3"/>
  <c r="L12" i="3"/>
  <c r="L31" i="3"/>
  <c r="L29" i="3"/>
  <c r="L36" i="3"/>
  <c r="L35" i="3"/>
  <c r="L21" i="3"/>
  <c r="L10" i="3"/>
  <c r="L14" i="3"/>
  <c r="L24" i="3"/>
  <c r="L34" i="3"/>
  <c r="L8" i="3"/>
  <c r="L19" i="3"/>
  <c r="L18" i="3"/>
  <c r="L37" i="3"/>
  <c r="L11" i="3"/>
  <c r="L20" i="3"/>
  <c r="L13" i="3"/>
  <c r="L26" i="3"/>
  <c r="L30" i="3"/>
  <c r="L22" i="3"/>
  <c r="L17" i="3"/>
  <c r="L16" i="3"/>
  <c r="G12" i="1"/>
  <c r="H29" i="1" s="1"/>
  <c r="L32" i="1"/>
  <c r="L31" i="1"/>
  <c r="L8" i="1"/>
  <c r="L15" i="1"/>
  <c r="L26" i="1"/>
  <c r="L23" i="1"/>
  <c r="L22" i="1"/>
  <c r="L18" i="1"/>
  <c r="L30" i="1"/>
  <c r="L28" i="1"/>
  <c r="L10" i="1"/>
  <c r="L25" i="1"/>
  <c r="L20" i="1"/>
  <c r="L17" i="1"/>
  <c r="L21" i="1"/>
  <c r="L11" i="1"/>
  <c r="L9" i="1"/>
  <c r="L14" i="1"/>
  <c r="L29" i="1"/>
  <c r="L12" i="1"/>
  <c r="L13" i="1"/>
  <c r="L27" i="1"/>
  <c r="L24" i="1"/>
  <c r="L19" i="1"/>
  <c r="L16" i="1"/>
  <c r="H30" i="3" l="1"/>
  <c r="G2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8" authorId="0" shapeId="0" xr:uid="{EF058726-1A43-4D59-8681-6DCF8A807CA2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29" authorId="0" shapeId="0" xr:uid="{37CA3984-311B-4082-974E-33113DB63516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D9FAC42-22A4-4FF1-B146-F2C42D0545F9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Biegert</author>
  </authors>
  <commentList>
    <comment ref="H33" authorId="0" shapeId="0" xr:uid="{B50380CC-A4BE-432C-93D7-875574C490FA}">
      <text>
        <r>
          <rPr>
            <b/>
            <sz val="9"/>
            <color indexed="81"/>
            <rFont val="Tahoma"/>
            <family val="2"/>
          </rPr>
          <t>Mark Biegert:</t>
        </r>
        <r>
          <rPr>
            <sz val="9"/>
            <color indexed="81"/>
            <rFont val="Tahoma"/>
            <family val="2"/>
          </rPr>
          <t xml:space="preserve">
I measured the difference between full and empty tanks after filling the tank at my local propane filling station. The amount of propane fill varies by station.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<sst xmlns="http://schemas.openxmlformats.org/spreadsheetml/2006/main" count="168" uniqueCount="47">
  <si>
    <t>FROM:</t>
  </si>
  <si>
    <t>Mark Biegert</t>
  </si>
  <si>
    <t>SUBJECT:</t>
  </si>
  <si>
    <t>DATE:</t>
  </si>
  <si>
    <t>X</t>
  </si>
  <si>
    <t>Y</t>
  </si>
  <si>
    <t>Time (hours)</t>
  </si>
  <si>
    <t>Weight (lbs)</t>
  </si>
  <si>
    <t>lbs/hour</t>
  </si>
  <si>
    <t>Cht Ttl</t>
  </si>
  <si>
    <t>Xaxis</t>
  </si>
  <si>
    <t>Yaxis</t>
  </si>
  <si>
    <t>Slope</t>
  </si>
  <si>
    <t>Intercept</t>
  </si>
  <si>
    <t>Empirical Data</t>
  </si>
  <si>
    <t>Graphical Analysis</t>
  </si>
  <si>
    <t>Mosquito Magnet Performance</t>
  </si>
  <si>
    <t>Propane Use Per Day</t>
  </si>
  <si>
    <t>Estimated Run Time Per Tank</t>
  </si>
  <si>
    <t>lbs</t>
  </si>
  <si>
    <t>Projected Operating Time</t>
  </si>
  <si>
    <t>days</t>
  </si>
  <si>
    <t>lbs/day</t>
  </si>
  <si>
    <t>Linear Projection</t>
  </si>
  <si>
    <t>Units</t>
  </si>
  <si>
    <t>Tank Weight (lbs)</t>
  </si>
  <si>
    <t>Propane Use Rate (lbs per hour)</t>
  </si>
  <si>
    <t>the tank. I am assuming the rate of fuel use is independent</t>
  </si>
  <si>
    <t>of the fill level of the tank.</t>
  </si>
  <si>
    <t>Nominal "20 lbs" Propane tank contents</t>
  </si>
  <si>
    <t>tare weight</t>
  </si>
  <si>
    <t xml:space="preserve">Note that I started my test with only 11 lbs of propane in </t>
  </si>
  <si>
    <t xml:space="preserve">Note that I started my test with only 7 lbs of propane in </t>
  </si>
  <si>
    <t>Yexpected</t>
  </si>
  <si>
    <t>Expected Use</t>
  </si>
  <si>
    <t>Propane Use</t>
  </si>
  <si>
    <t>Mosquito Magnetic Test Plans</t>
  </si>
  <si>
    <t>Checkout hair dryer to kill remaining mosquitos</t>
  </si>
  <si>
    <t>Attempt to measure number of mosquitos</t>
  </si>
  <si>
    <t xml:space="preserve">Note that I started my test with only 5 lbs of propane in </t>
  </si>
  <si>
    <t>Rate</t>
  </si>
  <si>
    <t>Fuel</t>
  </si>
  <si>
    <t xml:space="preserve">Note that I started my test with only 4 lbs of propane in </t>
  </si>
  <si>
    <t>Curve Fit</t>
  </si>
  <si>
    <t>Propane Burn Rate vs Propane Weight</t>
  </si>
  <si>
    <t>Propane Weight (lbs)</t>
  </si>
  <si>
    <t>Burn Rate (lbs/day)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</si>
</sst>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;\-0.0;0.0;@"/>
    <numFmt numFmtId="166" formatCode="0.000;\-0.000;0.000;@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b/>
      <sz val="10"/>
      <color rgb="FF3F3F3F"/>
      <name val="Consolas"/>
      <family val="2"/>
      <scheme val="minor"/>
    </font>
    <font>
      <i/>
      <sz val="10"/>
      <color rgb="FF7F7F7F"/>
      <name val="Consolas"/>
      <family val="2"/>
      <scheme val="minor"/>
    </font>
    <font>
      <sz val="10"/>
      <color rgb="FF3F3F76"/>
      <name val="Consola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5117038483843"/>
        <bgColor theme="0"/>
      </patternFill>
    </fill>
    <fill>
      <patternFill patternType="solid">
        <fgColor rgb="FF99FF99"/>
        <bgColor indexed="64"/>
      </patternFill>
    </fill>
    <fill>
      <patternFill patternType="solid">
        <fgColor rgb="FFFFCC99"/>
      </patternFill>
    </fill>
    <fill>
      <patternFill patternType="solid">
        <fgColor rgb="FFFDF5E9"/>
        <bgColor theme="4" tint="0.79995117038483843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 style="double">
        <color auto="1"/>
      </bottom>
      <diagonal/>
    </border>
    <border>
      <left style="thin">
        <color theme="1"/>
      </left>
      <right style="thin">
        <color theme="0" tint="-0.14996795556505021"/>
      </right>
      <top style="thin">
        <color theme="0" tint="-0.14996795556505021"/>
      </top>
      <bottom style="double">
        <color auto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6" borderId="0" applyNumberFormat="0" applyAlignment="0" applyProtection="0"/>
    <xf numFmtId="0" fontId="14" fillId="7" borderId="0" applyNumberFormat="0" applyAlignment="0" applyProtection="0"/>
    <xf numFmtId="0" fontId="13" fillId="0" borderId="0" applyNumberFormat="0" applyFill="0" applyBorder="0" applyAlignment="0" applyProtection="0"/>
  </cellStyleXfs>
  <cellXfs count="28">
    <xf numFmtId="0" fontId="0" fillId="0" borderId="0" xfId="0"/>
    <xf numFmtId="0" fontId="5" fillId="3" borderId="0" xfId="7"/>
    <xf numFmtId="0" fontId="6" fillId="4" borderId="0" xfId="8"/>
    <xf numFmtId="0" fontId="3" fillId="2" borderId="0" xfId="2"/>
    <xf numFmtId="0" fontId="11" fillId="0" borderId="0" xfId="0" applyFont="1"/>
    <xf numFmtId="165" fontId="0" fillId="0" borderId="0" xfId="0" applyNumberFormat="1"/>
    <xf numFmtId="165" fontId="12" fillId="6" borderId="0" xfId="14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3" xfId="0" applyNumberFormat="1" applyBorder="1"/>
    <xf numFmtId="2" fontId="0" fillId="0" borderId="4" xfId="0" applyNumberFormat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0" borderId="8" xfId="0" applyBorder="1"/>
    <xf numFmtId="164" fontId="0" fillId="0" borderId="9" xfId="0" applyNumberFormat="1" applyBorder="1"/>
    <xf numFmtId="0" fontId="12" fillId="6" borderId="0" xfId="14"/>
    <xf numFmtId="166" fontId="14" fillId="7" borderId="0" xfId="15" applyNumberFormat="1"/>
    <xf numFmtId="0" fontId="0" fillId="0" borderId="0" xfId="0" applyAlignment="1">
      <alignment horizontal="center"/>
    </xf>
    <xf numFmtId="164" fontId="0" fillId="0" borderId="5" xfId="0" applyNumberFormat="1" applyBorder="1"/>
    <xf numFmtId="22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5" xfId="0" applyBorder="1"/>
    <xf numFmtId="0" fontId="13" fillId="0" borderId="0" xfId="16"/>
    <xf numFmtId="22" fontId="0" fillId="0" borderId="3" xfId="0" applyNumberFormat="1" applyBorder="1"/>
    <xf numFmtId="166" fontId="0" fillId="0" borderId="0" xfId="0" applyNumberFormat="1"/>
    <xf numFmtId="164" fontId="0" fillId="8" borderId="10" xfId="0" applyNumberFormat="1" applyFont="1" applyFill="1" applyBorder="1"/>
  </cellXfs>
  <cellStyles count="17">
    <cellStyle name="Comment" xfId="9" xr:uid="{C4DDEBC2-DCD2-4316-AAE7-A5F6C47DBA99}"/>
    <cellStyle name="Explanatory Text" xfId="16" builtinId="53" customBuiltin="1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5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4" builtinId="21" customBuiltin="1"/>
    <cellStyle name="Title" xfId="1" builtinId="15" hidden="1"/>
    <cellStyle name="Total" xfId="6" builtinId="25" customBuiltin="1"/>
  </cellStyles>
  <dxfs count="31"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numFmt numFmtId="164" formatCode="0.00;\-0.00;0.00;@"/>
      <border diagonalUp="0" diagonalDown="0" outline="0">
        <left style="thin">
          <color auto="1"/>
        </left>
        <right/>
        <top/>
        <bottom/>
      </border>
    </dxf>
    <dxf>
      <numFmt numFmtId="2" formatCode="0.0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numFmt numFmtId="2" formatCode="0.0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numFmt numFmtId="27" formatCode="dd/mm/yy\ h:mm"/>
      <border diagonalUp="0" diagonalDown="0">
        <left/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/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fill>
        <patternFill>
          <bgColor rgb="FFFDF5E9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firstColumnStripe" dxfId="24"/>
    </tableStyle>
  </tableStyles>
  <colors>
    <mruColors>
      <color rgb="FF99FF99"/>
      <color rgb="FFFDF5E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'Propane-Use-Day-1'!$C$26</c:f>
          <c:strCache>
            <c:ptCount val="1"/>
            <c:pt idx="0">
              <c:v>Propane Use Rate (lbs per hour)</c:v>
            </c:pt>
          </c:strCache>
        </c:strRef>
      </c:tx>
      <c:layout>
        <c:manualLayout>
          <c:xMode val="edge"/>
          <c:yMode val="edge"/>
          <c:x val="6.934711286089240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'Propane-Use-Day-1'!$C$8:$C$22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11.516666666662786</c:v>
                </c:pt>
                <c:pt idx="3">
                  <c:v>13.083333333372138</c:v>
                </c:pt>
                <c:pt idx="4">
                  <c:v>13.933333333348855</c:v>
                </c:pt>
                <c:pt idx="5">
                  <c:v>14.53333333338378</c:v>
                </c:pt>
                <c:pt idx="6">
                  <c:v>14.950000000011642</c:v>
                </c:pt>
                <c:pt idx="7">
                  <c:v>15.733333333453629</c:v>
                </c:pt>
                <c:pt idx="8">
                  <c:v>16.166666666627862</c:v>
                </c:pt>
                <c:pt idx="9">
                  <c:v>16.883333333360497</c:v>
                </c:pt>
                <c:pt idx="10">
                  <c:v>17.383333333418705</c:v>
                </c:pt>
                <c:pt idx="11">
                  <c:v>18.033333333441988</c:v>
                </c:pt>
                <c:pt idx="12">
                  <c:v>18.550000000046566</c:v>
                </c:pt>
                <c:pt idx="13">
                  <c:v>19.766666666662786</c:v>
                </c:pt>
                <c:pt idx="14">
                  <c:v>20.516666666662786</c:v>
                </c:pt>
              </c:numCache>
            </c:numRef>
          </c:xVal>
          <c:yVal>
            <c:numRef>
              <c:f>'Propane-Use-Day-1'!$D$8:$D$22</c:f>
              <c:numCache>
                <c:formatCode>0.00;\-0.00;0.00;@</c:formatCode>
                <c:ptCount val="15"/>
                <c:pt idx="0">
                  <c:v>28.11</c:v>
                </c:pt>
                <c:pt idx="1">
                  <c:v>28.31</c:v>
                </c:pt>
                <c:pt idx="2">
                  <c:v>27.95</c:v>
                </c:pt>
                <c:pt idx="3">
                  <c:v>27.82</c:v>
                </c:pt>
                <c:pt idx="4">
                  <c:v>27.64</c:v>
                </c:pt>
                <c:pt idx="5">
                  <c:v>27.7</c:v>
                </c:pt>
                <c:pt idx="6">
                  <c:v>27.68</c:v>
                </c:pt>
                <c:pt idx="7">
                  <c:v>27.8</c:v>
                </c:pt>
                <c:pt idx="8">
                  <c:v>27.69</c:v>
                </c:pt>
                <c:pt idx="9" formatCode="General">
                  <c:v>27.61</c:v>
                </c:pt>
                <c:pt idx="10" formatCode="General">
                  <c:v>27.69</c:v>
                </c:pt>
                <c:pt idx="11" formatCode="General">
                  <c:v>27.68</c:v>
                </c:pt>
                <c:pt idx="12" formatCode="General">
                  <c:v>27.51</c:v>
                </c:pt>
                <c:pt idx="13" formatCode="General">
                  <c:v>27.67</c:v>
                </c:pt>
                <c:pt idx="14" formatCode="General">
                  <c:v>27.57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84-4FE6-855F-69AB7EF2D036}"/>
            </c:ext>
          </c:extLst>
        </c:ser>
        <c:ser>
          <c:idx val="1"/>
          <c:order val="1"/>
          <c:tx>
            <c:strRef>
              <c:f>'Propane-Use-Day-1'!$L$7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'Propane-Use-Day-1'!$K$8:$K$32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</c:numCache>
            </c:numRef>
          </c:xVal>
          <c:yVal>
            <c:numRef>
              <c:f>'Propane-Use-Day-1'!$L$8:$L$32</c:f>
              <c:numCache>
                <c:formatCode>0.00;\-0.00;0.00;@</c:formatCode>
                <c:ptCount val="25"/>
                <c:pt idx="0">
                  <c:v>28.209872610430022</c:v>
                </c:pt>
                <c:pt idx="1">
                  <c:v>28.178040868395264</c:v>
                </c:pt>
                <c:pt idx="2">
                  <c:v>28.146209126360503</c:v>
                </c:pt>
                <c:pt idx="3">
                  <c:v>28.114377384325746</c:v>
                </c:pt>
                <c:pt idx="4">
                  <c:v>28.082545642290984</c:v>
                </c:pt>
                <c:pt idx="5">
                  <c:v>28.050713900256227</c:v>
                </c:pt>
                <c:pt idx="6">
                  <c:v>28.018882158221469</c:v>
                </c:pt>
                <c:pt idx="7">
                  <c:v>27.987050416186708</c:v>
                </c:pt>
                <c:pt idx="8">
                  <c:v>27.955218674151951</c:v>
                </c:pt>
                <c:pt idx="9">
                  <c:v>27.923386932117193</c:v>
                </c:pt>
                <c:pt idx="10">
                  <c:v>27.891555190082432</c:v>
                </c:pt>
                <c:pt idx="11">
                  <c:v>27.859723448047674</c:v>
                </c:pt>
                <c:pt idx="12">
                  <c:v>27.827891706012913</c:v>
                </c:pt>
                <c:pt idx="13">
                  <c:v>27.796059963978156</c:v>
                </c:pt>
                <c:pt idx="14">
                  <c:v>27.764228221943398</c:v>
                </c:pt>
                <c:pt idx="15">
                  <c:v>27.732396479908637</c:v>
                </c:pt>
                <c:pt idx="16">
                  <c:v>27.700564737873879</c:v>
                </c:pt>
                <c:pt idx="17">
                  <c:v>27.668732995839122</c:v>
                </c:pt>
                <c:pt idx="18">
                  <c:v>27.636901253804361</c:v>
                </c:pt>
                <c:pt idx="19">
                  <c:v>27.605069511769603</c:v>
                </c:pt>
                <c:pt idx="20">
                  <c:v>27.573237769734842</c:v>
                </c:pt>
                <c:pt idx="21">
                  <c:v>27.541406027700084</c:v>
                </c:pt>
                <c:pt idx="22">
                  <c:v>27.509574285665327</c:v>
                </c:pt>
                <c:pt idx="23">
                  <c:v>27.477742543630566</c:v>
                </c:pt>
                <c:pt idx="24">
                  <c:v>27.445910801595808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84-4FE6-855F-69AB7EF2D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'Propane-Use-Day-1'!$C$27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in val="27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'Propane-Use-Day-1'!$C$28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'Propane-Use-Day-2'!$C$21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'Propane-Use-Day-2'!$C$8:$C$19</c:f>
              <c:numCache>
                <c:formatCode>0.00</c:formatCode>
                <c:ptCount val="12"/>
                <c:pt idx="0">
                  <c:v>0</c:v>
                </c:pt>
                <c:pt idx="1">
                  <c:v>1.3500000000349246</c:v>
                </c:pt>
                <c:pt idx="2">
                  <c:v>2.0500000000465661</c:v>
                </c:pt>
                <c:pt idx="3">
                  <c:v>3.6166666667559184</c:v>
                </c:pt>
                <c:pt idx="4">
                  <c:v>5.433333333407063</c:v>
                </c:pt>
                <c:pt idx="5">
                  <c:v>5.9833333334536292</c:v>
                </c:pt>
                <c:pt idx="6">
                  <c:v>7.7666666666627862</c:v>
                </c:pt>
                <c:pt idx="7">
                  <c:v>23.866666666755918</c:v>
                </c:pt>
                <c:pt idx="8">
                  <c:v>25.516666666720994</c:v>
                </c:pt>
                <c:pt idx="9">
                  <c:v>27.116666666697711</c:v>
                </c:pt>
                <c:pt idx="10">
                  <c:v>29.216666666732635</c:v>
                </c:pt>
              </c:numCache>
            </c:numRef>
          </c:xVal>
          <c:yVal>
            <c:numRef>
              <c:f>'Propane-Use-Day-2'!$D$8:$D$19</c:f>
              <c:numCache>
                <c:formatCode>0.00;\-0.00;0.00;@</c:formatCode>
                <c:ptCount val="12"/>
                <c:pt idx="0">
                  <c:v>24.67</c:v>
                </c:pt>
                <c:pt idx="1">
                  <c:v>24.63</c:v>
                </c:pt>
                <c:pt idx="2">
                  <c:v>24.6</c:v>
                </c:pt>
                <c:pt idx="3" formatCode="General">
                  <c:v>24.58</c:v>
                </c:pt>
                <c:pt idx="4" formatCode="General">
                  <c:v>24.51</c:v>
                </c:pt>
                <c:pt idx="5" formatCode="General">
                  <c:v>24.55</c:v>
                </c:pt>
                <c:pt idx="6" formatCode="General">
                  <c:v>24.42</c:v>
                </c:pt>
                <c:pt idx="7" formatCode="General">
                  <c:v>23.96</c:v>
                </c:pt>
                <c:pt idx="8" formatCode="General">
                  <c:v>23.97</c:v>
                </c:pt>
                <c:pt idx="9" formatCode="General">
                  <c:v>23.89</c:v>
                </c:pt>
                <c:pt idx="10" formatCode="General">
                  <c:v>23.79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2-45FB-9A3D-27708D390E69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'Propane-Use-Day-2'!$L$8:$L$38</c:f>
              <c:numCache>
                <c:formatCode>0.00;\-0.00;0.00;@</c:formatCode>
                <c:ptCount val="31"/>
                <c:pt idx="0">
                  <c:v>24.675384823451715</c:v>
                </c:pt>
                <c:pt idx="1">
                  <c:v>24.64612974025815</c:v>
                </c:pt>
                <c:pt idx="2">
                  <c:v>24.616874657064582</c:v>
                </c:pt>
                <c:pt idx="3">
                  <c:v>24.587619573871017</c:v>
                </c:pt>
                <c:pt idx="4">
                  <c:v>24.558364490677452</c:v>
                </c:pt>
                <c:pt idx="5">
                  <c:v>24.529109407483887</c:v>
                </c:pt>
                <c:pt idx="6">
                  <c:v>24.499854324290318</c:v>
                </c:pt>
                <c:pt idx="7">
                  <c:v>24.470599241096753</c:v>
                </c:pt>
                <c:pt idx="8">
                  <c:v>24.441344157903188</c:v>
                </c:pt>
                <c:pt idx="9">
                  <c:v>24.412089074709623</c:v>
                </c:pt>
                <c:pt idx="10">
                  <c:v>24.382833991516055</c:v>
                </c:pt>
                <c:pt idx="11">
                  <c:v>24.35357890832249</c:v>
                </c:pt>
                <c:pt idx="12">
                  <c:v>24.324323825128925</c:v>
                </c:pt>
                <c:pt idx="13">
                  <c:v>24.29506874193536</c:v>
                </c:pt>
                <c:pt idx="14">
                  <c:v>24.265813658741791</c:v>
                </c:pt>
                <c:pt idx="15">
                  <c:v>24.236558575548226</c:v>
                </c:pt>
                <c:pt idx="16">
                  <c:v>24.207303492354662</c:v>
                </c:pt>
                <c:pt idx="17">
                  <c:v>24.178048409161097</c:v>
                </c:pt>
                <c:pt idx="18">
                  <c:v>24.148793325967528</c:v>
                </c:pt>
                <c:pt idx="19">
                  <c:v>24.119538242773963</c:v>
                </c:pt>
                <c:pt idx="20">
                  <c:v>24.090283159580398</c:v>
                </c:pt>
                <c:pt idx="21">
                  <c:v>24.061028076386833</c:v>
                </c:pt>
                <c:pt idx="22">
                  <c:v>24.031772993193265</c:v>
                </c:pt>
                <c:pt idx="23">
                  <c:v>24.0025179099997</c:v>
                </c:pt>
                <c:pt idx="24">
                  <c:v>23.973262826806135</c:v>
                </c:pt>
                <c:pt idx="25">
                  <c:v>23.94400774361257</c:v>
                </c:pt>
                <c:pt idx="26">
                  <c:v>23.914752660419001</c:v>
                </c:pt>
                <c:pt idx="27">
                  <c:v>23.885497577225436</c:v>
                </c:pt>
                <c:pt idx="28">
                  <c:v>23.856242494031871</c:v>
                </c:pt>
                <c:pt idx="29">
                  <c:v>23.826987410838306</c:v>
                </c:pt>
                <c:pt idx="30">
                  <c:v>23.797732327644738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2-45FB-9A3D-27708D390E69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'Propane-Use-Day-2'!$K$8:$K$38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'Propane-Use-Day-2'!$M$8:$M$38</c:f>
              <c:numCache>
                <c:formatCode>0.00;\-0.00;0.00;@</c:formatCode>
                <c:ptCount val="31"/>
                <c:pt idx="0">
                  <c:v>24.67</c:v>
                </c:pt>
                <c:pt idx="1">
                  <c:v>24.636269841269844</c:v>
                </c:pt>
                <c:pt idx="2">
                  <c:v>24.602539682539685</c:v>
                </c:pt>
                <c:pt idx="3">
                  <c:v>24.568809523809527</c:v>
                </c:pt>
                <c:pt idx="4">
                  <c:v>24.535079365079365</c:v>
                </c:pt>
                <c:pt idx="5">
                  <c:v>24.501349206349207</c:v>
                </c:pt>
                <c:pt idx="6">
                  <c:v>24.467619047619049</c:v>
                </c:pt>
                <c:pt idx="7">
                  <c:v>24.433888888888891</c:v>
                </c:pt>
                <c:pt idx="8">
                  <c:v>24.400158730158733</c:v>
                </c:pt>
                <c:pt idx="9">
                  <c:v>24.366428571428575</c:v>
                </c:pt>
                <c:pt idx="10">
                  <c:v>24.332698412698413</c:v>
                </c:pt>
                <c:pt idx="11">
                  <c:v>24.298968253968255</c:v>
                </c:pt>
                <c:pt idx="12">
                  <c:v>24.265238095238097</c:v>
                </c:pt>
                <c:pt idx="13">
                  <c:v>24.231507936507938</c:v>
                </c:pt>
                <c:pt idx="14">
                  <c:v>24.19777777777778</c:v>
                </c:pt>
                <c:pt idx="15">
                  <c:v>24.164047619047622</c:v>
                </c:pt>
                <c:pt idx="16">
                  <c:v>24.13031746031746</c:v>
                </c:pt>
                <c:pt idx="17">
                  <c:v>24.096587301587302</c:v>
                </c:pt>
                <c:pt idx="18">
                  <c:v>24.062857142857144</c:v>
                </c:pt>
                <c:pt idx="19">
                  <c:v>24.029126984126986</c:v>
                </c:pt>
                <c:pt idx="20">
                  <c:v>23.995396825396828</c:v>
                </c:pt>
                <c:pt idx="21">
                  <c:v>23.96166666666667</c:v>
                </c:pt>
                <c:pt idx="22">
                  <c:v>23.927936507936511</c:v>
                </c:pt>
                <c:pt idx="23">
                  <c:v>23.89420634920635</c:v>
                </c:pt>
                <c:pt idx="24">
                  <c:v>23.860476190476192</c:v>
                </c:pt>
                <c:pt idx="25">
                  <c:v>23.826746031746033</c:v>
                </c:pt>
                <c:pt idx="26">
                  <c:v>23.793015873015875</c:v>
                </c:pt>
                <c:pt idx="27">
                  <c:v>23.759285714285717</c:v>
                </c:pt>
                <c:pt idx="28">
                  <c:v>23.725555555555559</c:v>
                </c:pt>
                <c:pt idx="29">
                  <c:v>23.691825396825397</c:v>
                </c:pt>
                <c:pt idx="30">
                  <c:v>23.658095238095239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96-47BF-82E9-C2C867EAA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'Propane-Use-Day-2'!$C$22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5.1"/>
          <c:min val="2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'Propane-Use-Day-2'!$C$23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55184534270642"/>
          <c:y val="0.19928550597841937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'Propane-Use-Day-3'!$C$33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'Propane-Use-Day-3'!$C$8:$C$15</c:f>
              <c:numCache>
                <c:formatCode>0.00</c:formatCode>
                <c:ptCount val="8"/>
                <c:pt idx="0">
                  <c:v>0</c:v>
                </c:pt>
                <c:pt idx="1">
                  <c:v>1.0833333333721384</c:v>
                </c:pt>
                <c:pt idx="2">
                  <c:v>2.0166666666045785</c:v>
                </c:pt>
                <c:pt idx="3">
                  <c:v>3.28333333338378</c:v>
                </c:pt>
                <c:pt idx="4">
                  <c:v>4.3000000000465661</c:v>
                </c:pt>
                <c:pt idx="5">
                  <c:v>5.3666666666977108</c:v>
                </c:pt>
                <c:pt idx="6">
                  <c:v>6.3833333333604969</c:v>
                </c:pt>
                <c:pt idx="7">
                  <c:v>10.649999999965075</c:v>
                </c:pt>
              </c:numCache>
            </c:numRef>
          </c:xVal>
          <c:yVal>
            <c:numRef>
              <c:f>'Propane-Use-Day-3'!$D$8:$D$15</c:f>
              <c:numCache>
                <c:formatCode>0.00;\-0.00;0.00;@</c:formatCode>
                <c:ptCount val="8"/>
                <c:pt idx="0">
                  <c:v>21.882999999999999</c:v>
                </c:pt>
                <c:pt idx="1">
                  <c:v>21.83</c:v>
                </c:pt>
                <c:pt idx="2">
                  <c:v>21.736666670000002</c:v>
                </c:pt>
                <c:pt idx="3">
                  <c:v>21.72</c:v>
                </c:pt>
                <c:pt idx="4">
                  <c:v>21.79</c:v>
                </c:pt>
                <c:pt idx="5">
                  <c:v>21.725000000000001</c:v>
                </c:pt>
                <c:pt idx="6">
                  <c:v>21.704999999999998</c:v>
                </c:pt>
                <c:pt idx="7">
                  <c:v>21.552499999999998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DA-46B1-A799-581615440ECB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'Propane-Use-Day-3'!$L$8:$L$38</c:f>
              <c:numCache>
                <c:formatCode>0.00;\-0.00;0.00;@</c:formatCode>
                <c:ptCount val="31"/>
                <c:pt idx="0">
                  <c:v>21.853110218453502</c:v>
                </c:pt>
                <c:pt idx="1">
                  <c:v>21.826428654394295</c:v>
                </c:pt>
                <c:pt idx="2">
                  <c:v>21.799747090335089</c:v>
                </c:pt>
                <c:pt idx="3">
                  <c:v>21.773065526275882</c:v>
                </c:pt>
                <c:pt idx="4">
                  <c:v>21.746383962216676</c:v>
                </c:pt>
                <c:pt idx="5">
                  <c:v>21.71970239815747</c:v>
                </c:pt>
                <c:pt idx="6">
                  <c:v>21.693020834098263</c:v>
                </c:pt>
                <c:pt idx="7">
                  <c:v>21.666339270039057</c:v>
                </c:pt>
                <c:pt idx="8">
                  <c:v>21.63965770597985</c:v>
                </c:pt>
                <c:pt idx="9">
                  <c:v>21.612976141920644</c:v>
                </c:pt>
                <c:pt idx="10">
                  <c:v>21.586294577861437</c:v>
                </c:pt>
                <c:pt idx="11">
                  <c:v>21.559613013802231</c:v>
                </c:pt>
                <c:pt idx="12">
                  <c:v>21.532931449743025</c:v>
                </c:pt>
                <c:pt idx="13">
                  <c:v>21.506249885683818</c:v>
                </c:pt>
                <c:pt idx="14">
                  <c:v>21.479568321624612</c:v>
                </c:pt>
                <c:pt idx="15">
                  <c:v>21.452886757565405</c:v>
                </c:pt>
                <c:pt idx="16">
                  <c:v>21.426205193506199</c:v>
                </c:pt>
                <c:pt idx="17">
                  <c:v>21.399523629446993</c:v>
                </c:pt>
                <c:pt idx="18">
                  <c:v>21.372842065387786</c:v>
                </c:pt>
                <c:pt idx="19">
                  <c:v>21.34616050132858</c:v>
                </c:pt>
                <c:pt idx="20">
                  <c:v>21.319478937269373</c:v>
                </c:pt>
                <c:pt idx="21">
                  <c:v>21.292797373210167</c:v>
                </c:pt>
                <c:pt idx="22">
                  <c:v>21.266115809150961</c:v>
                </c:pt>
                <c:pt idx="23">
                  <c:v>21.239434245091754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DA-46B1-A799-581615440ECB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'Propane-Use-Day-3'!$K$8:$K$38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'Propane-Use-Day-3'!$M$8:$M$38</c:f>
              <c:numCache>
                <c:formatCode>0.00;\-0.00;0.00;@</c:formatCode>
                <c:ptCount val="31"/>
                <c:pt idx="0">
                  <c:v>21.882999999999999</c:v>
                </c:pt>
                <c:pt idx="1">
                  <c:v>21.849269841269841</c:v>
                </c:pt>
                <c:pt idx="2">
                  <c:v>21.815539682539683</c:v>
                </c:pt>
                <c:pt idx="3">
                  <c:v>21.781809523809525</c:v>
                </c:pt>
                <c:pt idx="4">
                  <c:v>21.748079365079363</c:v>
                </c:pt>
                <c:pt idx="5">
                  <c:v>21.714349206349205</c:v>
                </c:pt>
                <c:pt idx="6">
                  <c:v>21.680619047619047</c:v>
                </c:pt>
                <c:pt idx="7">
                  <c:v>21.646888888888888</c:v>
                </c:pt>
                <c:pt idx="8">
                  <c:v>21.61315873015873</c:v>
                </c:pt>
                <c:pt idx="9">
                  <c:v>21.579428571428572</c:v>
                </c:pt>
                <c:pt idx="10">
                  <c:v>21.54569841269841</c:v>
                </c:pt>
                <c:pt idx="11">
                  <c:v>21.511968253968252</c:v>
                </c:pt>
                <c:pt idx="12">
                  <c:v>21.478238095238094</c:v>
                </c:pt>
                <c:pt idx="13">
                  <c:v>21.444507936507936</c:v>
                </c:pt>
                <c:pt idx="14">
                  <c:v>21.410777777777778</c:v>
                </c:pt>
                <c:pt idx="15">
                  <c:v>21.37704761904762</c:v>
                </c:pt>
                <c:pt idx="16">
                  <c:v>21.343317460317458</c:v>
                </c:pt>
                <c:pt idx="17">
                  <c:v>21.3095873015873</c:v>
                </c:pt>
                <c:pt idx="18">
                  <c:v>21.275857142857141</c:v>
                </c:pt>
                <c:pt idx="19">
                  <c:v>21.242126984126983</c:v>
                </c:pt>
                <c:pt idx="20">
                  <c:v>21.208396825396825</c:v>
                </c:pt>
                <c:pt idx="21">
                  <c:v>21.174666666666667</c:v>
                </c:pt>
                <c:pt idx="22">
                  <c:v>21.140936507936509</c:v>
                </c:pt>
                <c:pt idx="23">
                  <c:v>21.107206349206347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DA-46B1-A799-58161544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2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'Propane-Use-Day-3'!$C$35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5741066198"/>
          <c:y val="0.41687809857101193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'Propane-Use-Day-3'!$M$40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'Propane-Use-Day-3'!$L$41:$L$43</c:f>
              <c:numCache>
                <c:formatCode>General</c:formatCode>
                <c:ptCount val="3"/>
                <c:pt idx="0">
                  <c:v>4.5</c:v>
                </c:pt>
                <c:pt idx="1">
                  <c:v>7.5500000000000007</c:v>
                </c:pt>
                <c:pt idx="2">
                  <c:v>10.850000000000001</c:v>
                </c:pt>
              </c:numCache>
            </c:numRef>
          </c:xVal>
          <c:yVal>
            <c:numRef>
              <c:f>'Propane-Use-Day-3'!$M$41:$M$43</c:f>
              <c:numCache>
                <c:formatCode>0.00;\-0.00;0.00;@</c:formatCode>
                <c:ptCount val="3"/>
                <c:pt idx="0">
                  <c:v>0.64</c:v>
                </c:pt>
                <c:pt idx="1">
                  <c:v>0.7</c:v>
                </c:pt>
                <c:pt idx="2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B4-42BF-B093-D69BBC128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\-0.00;0.00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'Propane-Use-Day-4'!$C$33</c:f>
          <c:strCache>
            <c:ptCount val="1"/>
            <c:pt idx="0">
              <c:v>Propane Use</c:v>
            </c:pt>
          </c:strCache>
        </c:strRef>
      </c:tx>
      <c:layout>
        <c:manualLayout>
          <c:xMode val="edge"/>
          <c:yMode val="edge"/>
          <c:x val="9.7466568875727091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63888888888889"/>
          <c:y val="0.16849555263925342"/>
          <c:w val="0.76843066491688539"/>
          <c:h val="0.64506926217556138"/>
        </c:manualLayout>
      </c:layout>
      <c:scatterChart>
        <c:scatterStyle val="lineMarker"/>
        <c:varyColors val="0"/>
        <c:ser>
          <c:idx val="0"/>
          <c:order val="0"/>
          <c:tx>
            <c:v>Measurements</c:v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'Propane-Use-Day-4'!$C$8:$C$13</c:f>
              <c:numCache>
                <c:formatCode>0.00</c:formatCode>
                <c:ptCount val="6"/>
                <c:pt idx="0">
                  <c:v>0</c:v>
                </c:pt>
                <c:pt idx="1">
                  <c:v>2.5166666666627862</c:v>
                </c:pt>
                <c:pt idx="2">
                  <c:v>5.3166666667093523</c:v>
                </c:pt>
                <c:pt idx="3">
                  <c:v>5.9166666667442769</c:v>
                </c:pt>
                <c:pt idx="4">
                  <c:v>6.933333333407063</c:v>
                </c:pt>
                <c:pt idx="5">
                  <c:v>7.9000000000814907</c:v>
                </c:pt>
              </c:numCache>
            </c:numRef>
          </c:xVal>
          <c:yVal>
            <c:numRef>
              <c:f>'Propane-Use-Day-4'!$D$8:$D$13</c:f>
              <c:numCache>
                <c:formatCode>0.00;\-0.00;0.00;@</c:formatCode>
                <c:ptCount val="6"/>
                <c:pt idx="0">
                  <c:v>21.13</c:v>
                </c:pt>
                <c:pt idx="1">
                  <c:v>21.05</c:v>
                </c:pt>
                <c:pt idx="2">
                  <c:v>20.99</c:v>
                </c:pt>
                <c:pt idx="3">
                  <c:v>20.97666667</c:v>
                </c:pt>
                <c:pt idx="4">
                  <c:v>21.016666669999999</c:v>
                </c:pt>
                <c:pt idx="5">
                  <c:v>20.963333330000001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D1-4C9B-AC3F-536AA4846B4F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'Propane-Use-Day-4'!$L$8:$L$38</c:f>
              <c:numCache>
                <c:formatCode>0.00;\-0.00;0.00;@</c:formatCode>
                <c:ptCount val="31"/>
                <c:pt idx="0">
                  <c:v>21.112539469868</c:v>
                </c:pt>
                <c:pt idx="1">
                  <c:v>21.09334751129531</c:v>
                </c:pt>
                <c:pt idx="2">
                  <c:v>21.074155552722615</c:v>
                </c:pt>
                <c:pt idx="3">
                  <c:v>21.054963594149925</c:v>
                </c:pt>
                <c:pt idx="4">
                  <c:v>21.03577163557723</c:v>
                </c:pt>
                <c:pt idx="5">
                  <c:v>21.01657967700454</c:v>
                </c:pt>
                <c:pt idx="6">
                  <c:v>20.997387718431845</c:v>
                </c:pt>
                <c:pt idx="7">
                  <c:v>20.978195759859155</c:v>
                </c:pt>
                <c:pt idx="8">
                  <c:v>20.959003801286464</c:v>
                </c:pt>
                <c:pt idx="9">
                  <c:v>20.93981184271377</c:v>
                </c:pt>
                <c:pt idx="10">
                  <c:v>20.920619884141079</c:v>
                </c:pt>
                <c:pt idx="11">
                  <c:v>20.901427925568385</c:v>
                </c:pt>
                <c:pt idx="12">
                  <c:v>20.882235966995694</c:v>
                </c:pt>
                <c:pt idx="13">
                  <c:v>20.863044008423003</c:v>
                </c:pt>
                <c:pt idx="14">
                  <c:v>20.843852049850309</c:v>
                </c:pt>
                <c:pt idx="15">
                  <c:v>20.824660091277618</c:v>
                </c:pt>
                <c:pt idx="16">
                  <c:v>20.805468132704924</c:v>
                </c:pt>
                <c:pt idx="17">
                  <c:v>20.786276174132233</c:v>
                </c:pt>
                <c:pt idx="18">
                  <c:v>20.767084215559539</c:v>
                </c:pt>
                <c:pt idx="19">
                  <c:v>20.747892256986848</c:v>
                </c:pt>
                <c:pt idx="20">
                  <c:v>20.728700298414157</c:v>
                </c:pt>
                <c:pt idx="21">
                  <c:v>20.709508339841463</c:v>
                </c:pt>
                <c:pt idx="22">
                  <c:v>20.690316381268772</c:v>
                </c:pt>
                <c:pt idx="23">
                  <c:v>20.671124422696078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D1-4C9B-AC3F-536AA4846B4F}"/>
            </c:ext>
          </c:extLst>
        </c:ser>
        <c:ser>
          <c:idx val="2"/>
          <c:order val="2"/>
          <c:tx>
            <c:v>Specification</c:v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'Propane-Use-Day-4'!$K$8:$K$38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'Propane-Use-Day-4'!$M$8:$M$38</c:f>
              <c:numCache>
                <c:formatCode>0.00;\-0.00;0.00;@</c:formatCode>
                <c:ptCount val="31"/>
                <c:pt idx="0">
                  <c:v>21.13</c:v>
                </c:pt>
                <c:pt idx="1">
                  <c:v>21.096269841269841</c:v>
                </c:pt>
                <c:pt idx="2">
                  <c:v>21.062539682539683</c:v>
                </c:pt>
                <c:pt idx="3">
                  <c:v>21.028809523809525</c:v>
                </c:pt>
                <c:pt idx="4">
                  <c:v>20.995079365079363</c:v>
                </c:pt>
                <c:pt idx="5">
                  <c:v>20.961349206349205</c:v>
                </c:pt>
                <c:pt idx="6">
                  <c:v>20.927619047619046</c:v>
                </c:pt>
                <c:pt idx="7">
                  <c:v>20.893888888888888</c:v>
                </c:pt>
                <c:pt idx="8">
                  <c:v>20.86015873015873</c:v>
                </c:pt>
                <c:pt idx="9">
                  <c:v>20.826428571428572</c:v>
                </c:pt>
                <c:pt idx="10">
                  <c:v>20.79269841269841</c:v>
                </c:pt>
                <c:pt idx="11">
                  <c:v>20.758968253968252</c:v>
                </c:pt>
                <c:pt idx="12">
                  <c:v>20.725238095238094</c:v>
                </c:pt>
                <c:pt idx="13">
                  <c:v>20.691507936507936</c:v>
                </c:pt>
                <c:pt idx="14">
                  <c:v>20.657777777777778</c:v>
                </c:pt>
                <c:pt idx="15">
                  <c:v>20.624047619047619</c:v>
                </c:pt>
                <c:pt idx="16">
                  <c:v>20.590317460317458</c:v>
                </c:pt>
                <c:pt idx="17">
                  <c:v>20.5565873015873</c:v>
                </c:pt>
                <c:pt idx="18">
                  <c:v>20.522857142857141</c:v>
                </c:pt>
                <c:pt idx="19">
                  <c:v>20.489126984126983</c:v>
                </c:pt>
                <c:pt idx="20">
                  <c:v>20.455396825396825</c:v>
                </c:pt>
                <c:pt idx="21">
                  <c:v>20.421666666666667</c:v>
                </c:pt>
                <c:pt idx="22">
                  <c:v>20.387936507936509</c:v>
                </c:pt>
                <c:pt idx="23">
                  <c:v>20.354206349206347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D1-4C9B-AC3F-536AA4846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9859120"/>
        <c:axId val="1689860784"/>
      </c:scatterChart>
      <c:valAx>
        <c:axId val="1689859120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'Propane-Use-Day-4'!$C$34</c:f>
              <c:strCache>
                <c:ptCount val="1"/>
                <c:pt idx="0">
                  <c:v>Time (hours)</c:v>
                </c:pt>
              </c:strCache>
            </c:strRef>
          </c:tx>
          <c:layout>
            <c:manualLayout>
              <c:xMode val="edge"/>
              <c:yMode val="edge"/>
              <c:x val="0.44252077865266842"/>
              <c:y val="0.904120370370370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60784"/>
        <c:crosses val="autoZero"/>
        <c:crossBetween val="midCat"/>
        <c:majorUnit val="2"/>
        <c:minorUnit val="1"/>
      </c:valAx>
      <c:valAx>
        <c:axId val="1689860784"/>
        <c:scaling>
          <c:orientation val="minMax"/>
          <c:max val="21.4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'Propane-Use-Day-4'!$C$35</c:f>
              <c:strCache>
                <c:ptCount val="1"/>
                <c:pt idx="0">
                  <c:v>Tank Weight (lbs)</c:v>
                </c:pt>
              </c:strCache>
            </c:strRef>
          </c:tx>
          <c:layout>
            <c:manualLayout>
              <c:xMode val="edge"/>
              <c:yMode val="edge"/>
              <c:x val="1.9444444444444445E-2"/>
              <c:y val="0.253761665208515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220855301698891"/>
          <c:y val="0.22243365412656751"/>
          <c:w val="0.2210896309314587"/>
          <c:h val="0.22825787401574804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'Propane-Use-Day-4'!$P$56</c:f>
          <c:strCache>
            <c:ptCount val="1"/>
            <c:pt idx="0">
              <c:v>Propane Burn Rate vs Propane Weight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'Propane-Use-Day-4'!$M$40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2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'Propane-Use-Day-4'!$L$41:$L$44</c:f>
              <c:numCache>
                <c:formatCode>General</c:formatCode>
                <c:ptCount val="4"/>
                <c:pt idx="0">
                  <c:v>4.129999999999999</c:v>
                </c:pt>
                <c:pt idx="1">
                  <c:v>4.879999999999999</c:v>
                </c:pt>
                <c:pt idx="2">
                  <c:v>7.6700000000000017</c:v>
                </c:pt>
                <c:pt idx="3">
                  <c:v>11.11</c:v>
                </c:pt>
              </c:numCache>
            </c:numRef>
          </c:xVal>
          <c:yVal>
            <c:numRef>
              <c:f>'Propane-Use-Day-4'!$M$41:$M$44</c:f>
              <c:numCache>
                <c:formatCode>0.00;\-0.00;0.00;@</c:formatCode>
                <c:ptCount val="4"/>
                <c:pt idx="0" formatCode="General">
                  <c:v>0.46</c:v>
                </c:pt>
                <c:pt idx="1">
                  <c:v>0.64</c:v>
                </c:pt>
                <c:pt idx="2">
                  <c:v>0.7</c:v>
                </c:pt>
                <c:pt idx="3">
                  <c:v>0.76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8-4046-92F9-856623D97D58}"/>
            </c:ext>
          </c:extLst>
        </c:ser>
        <c:ser>
          <c:idx val="1"/>
          <c:order val="1"/>
          <c:tx>
            <c:v>Curve Fit</c:v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'Propane-Use-Day-4'!$K$50:$K$61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'Propane-Use-Day-4'!$L$50:$L$61</c:f>
              <c:numCache>
                <c:formatCode>0.000;\-0.000;0.000;@</c:formatCode>
                <c:ptCount val="12"/>
                <c:pt idx="0">
                  <c:v>0.39733314704715617</c:v>
                </c:pt>
                <c:pt idx="1">
                  <c:v>0.43226180526275082</c:v>
                </c:pt>
                <c:pt idx="2">
                  <c:v>0.46719046347834547</c:v>
                </c:pt>
                <c:pt idx="3">
                  <c:v>0.50211912169394013</c:v>
                </c:pt>
                <c:pt idx="4">
                  <c:v>0.53704777990953478</c:v>
                </c:pt>
                <c:pt idx="5">
                  <c:v>0.57197643812512944</c:v>
                </c:pt>
                <c:pt idx="6">
                  <c:v>0.60690509634072409</c:v>
                </c:pt>
                <c:pt idx="7">
                  <c:v>0.64183375455631864</c:v>
                </c:pt>
                <c:pt idx="8">
                  <c:v>0.6767624127719134</c:v>
                </c:pt>
                <c:pt idx="9">
                  <c:v>0.71169107098750795</c:v>
                </c:pt>
                <c:pt idx="10">
                  <c:v>0.74661972920310271</c:v>
                </c:pt>
                <c:pt idx="11">
                  <c:v>0.78154838741869725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8-4046-92F9-856623D97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05519"/>
        <c:axId val="1424607183"/>
      </c:scatterChart>
      <c:valAx>
        <c:axId val="142460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'Propane-Use-Day-4'!$P$57</c:f>
              <c:strCache>
                <c:ptCount val="1"/>
                <c:pt idx="0">
                  <c:v>Propane Weight (lbs)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7183"/>
        <c:crosses val="autoZero"/>
        <c:crossBetween val="midCat"/>
      </c:valAx>
      <c:valAx>
        <c:axId val="14246071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'Propane-Use-Day-4'!$P$58</c:f>
              <c:strCache>
                <c:ptCount val="1"/>
                <c:pt idx="0">
                  <c:v>Burn Rate (lbs/day)</c:v>
                </c:pt>
              </c:strCache>
            </c:strRef>
          </c:tx>
          <c:layout>
            <c:manualLayout>
              <c:xMode val="edge"/>
              <c:yMode val="edge"/>
              <c:x val="2.2222222222222223E-2"/>
              <c:y val="0.23109956616247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05519"/>
        <c:crosses val="autoZero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6</xdr:col>
      <xdr:colOff>285750</xdr:colOff>
      <xdr:row>47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BC063-0793-6D62-16F3-CF885228D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6</xdr:col>
      <xdr:colOff>285750</xdr:colOff>
      <xdr:row>48</xdr:row>
      <xdr:rowOff>152400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EBE58D1-3C15-DAE3-A2F7-34C567961973}"/>
            </a:ext>
          </a:extLst>
        </xdr:cNvPr>
        <xdr:cNvGrpSpPr/>
      </xdr:nvGrpSpPr>
      <xdr:grpSpPr>
        <a:xfrm>
          <a:off x="609600" y="5257800"/>
          <a:ext cx="5419725" cy="2743200"/>
          <a:chOff x="609600" y="5095875"/>
          <a:chExt cx="5419725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48C808-15CE-4973-83EF-97D9B458B822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1">
        <xdr:nvSpPr>
          <xdr:cNvPr id="3" name="TextBox 2">
            <a:extLst>
              <a:ext uri="{FF2B5EF4-FFF2-40B4-BE49-F238E27FC236}">
                <a16:creationId xmlns:a16="http://schemas.microsoft.com/office/drawing/2014/main" id="{75E8BD3B-8141-29D2-4323-D280494BEF7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0.70 lbs/day</a:t>
            </a:fld>
            <a:endParaRPr lang="en-US" sz="11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CD62075-FF7F-4476-95E2-D94784952108}"/>
            </a:ext>
          </a:extLst>
        </xdr:cNvPr>
        <xdr:cNvGrpSpPr/>
      </xdr:nvGrpSpPr>
      <xdr:grpSpPr>
        <a:xfrm>
          <a:off x="609600" y="6067425"/>
          <a:ext cx="5419725" cy="2743200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D4C94F9-EC2E-F48E-87C0-6A250853E20D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FB8B34EA-721C-C583-F5ED-17A035D7C2C4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A1859F44-2397-49EC-A253-DFB0636E0576}" type="TxLink">
              <a:rPr lang="en-US" sz="1000" b="1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0.64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BBE5B3-C1BA-7811-8496-BCF7A96B5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0</xdr:rowOff>
    </xdr:from>
    <xdr:to>
      <xdr:col>6</xdr:col>
      <xdr:colOff>285750</xdr:colOff>
      <xdr:row>53</xdr:row>
      <xdr:rowOff>152400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6017E48-843A-4A4B-9083-9547464CDA4C}"/>
            </a:ext>
          </a:extLst>
        </xdr:cNvPr>
        <xdr:cNvGrpSpPr/>
      </xdr:nvGrpSpPr>
      <xdr:grpSpPr>
        <a:xfrm>
          <a:off x="609600" y="6067425"/>
          <a:ext cx="5505450" cy="2771775"/>
          <a:chOff x="609600" y="5095875"/>
          <a:chExt cx="5419725" cy="2743200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2D8473CF-A288-6C52-5E15-DFA6D7E9BF90}"/>
              </a:ext>
            </a:extLst>
          </xdr:cNvPr>
          <xdr:cNvGraphicFramePr>
            <a:graphicFrameLocks/>
          </xdr:cNvGraphicFramePr>
        </xdr:nvGraphicFramePr>
        <xdr:xfrm>
          <a:off x="609600" y="5095875"/>
          <a:ext cx="54197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G$26">
        <xdr:nvSpPr>
          <xdr:cNvPr id="4" name="TextBox 3">
            <a:extLst>
              <a:ext uri="{FF2B5EF4-FFF2-40B4-BE49-F238E27FC236}">
                <a16:creationId xmlns:a16="http://schemas.microsoft.com/office/drawing/2014/main" id="{7853F847-F28C-3C77-3F48-B7F51F5980AB}"/>
              </a:ext>
            </a:extLst>
          </xdr:cNvPr>
          <xdr:cNvSpPr txBox="1"/>
        </xdr:nvSpPr>
        <xdr:spPr>
          <a:xfrm>
            <a:off x="1562100" y="7000876"/>
            <a:ext cx="3048000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0403D29-DCF7-44D4-AC93-7F8FA32CC39B}" type="TxLink">
              <a:rPr lang="en-US" sz="1000" b="0" i="0" u="none" strike="noStrike">
                <a:solidFill>
                  <a:srgbClr val="000000"/>
                </a:solidFill>
                <a:latin typeface="Consolas"/>
              </a:rPr>
              <a:pPr/>
              <a:t>Measured Propane Burn Rate = 0.46 lbs/day</a:t>
            </a:fld>
            <a:endParaRPr lang="en-US" sz="1100" b="1"/>
          </a:p>
        </xdr:txBody>
      </xdr:sp>
    </xdr:grpSp>
    <xdr:clientData/>
  </xdr:twoCellAnchor>
  <xdr:twoCellAnchor>
    <xdr:from>
      <xdr:col>13</xdr:col>
      <xdr:colOff>304800</xdr:colOff>
      <xdr:row>36</xdr:row>
      <xdr:rowOff>71437</xdr:rowOff>
    </xdr:from>
    <xdr:to>
      <xdr:col>21</xdr:col>
      <xdr:colOff>0</xdr:colOff>
      <xdr:row>53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77887-4C85-4153-8D4B-BDAD9B222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D38F27-53A3-4E24-9E84-90EF95A9A65D}" name="_tTankWeight" displayName="_tTankWeight" ref="B7:D22" totalsRowShown="0" headerRowDxfId="22" tableBorderDxfId="21">
  <autoFilter ref="B7:D22" xr:uid="{54D38F27-53A3-4E24-9E84-90EF95A9A65D}"/>
  <tableColumns count="3">
    <tableColumn id="1" xr3:uid="{50A0F3A2-E162-46C4-837A-DC05922AAF3E}" name="X" dataDxfId="20"/>
    <tableColumn id="2" xr3:uid="{B53705B3-471E-46FE-A5FC-E295D297C414}" name="Time (hours)" dataDxfId="19">
      <calculatedColumnFormula>(_tTankWeight[[#This Row],[X]]-INDEX($B$8,1,1))*24</calculatedColumnFormula>
    </tableColumn>
    <tableColumn id="3" xr3:uid="{B3B5534E-647A-4915-9C71-7D67E3F5C2DA}" name="Weight (lbs)" dataDxfId="18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D156C-AFEA-438B-95DD-0AB1A1F1719C}" name="_tTankWeight2" displayName="_tTankWeight2" ref="B7:D18" totalsRowShown="0" headerRowDxfId="16" tableBorderDxfId="15">
  <autoFilter ref="B7:D18" xr:uid="{54D38F27-53A3-4E24-9E84-90EF95A9A65D}"/>
  <tableColumns count="3">
    <tableColumn id="1" xr3:uid="{9E925115-B54F-4B4C-AF74-BCDF7C7A568F}" name="X" dataDxfId="14"/>
    <tableColumn id="2" xr3:uid="{496E99EF-94CF-4D0A-B048-1B2C0AE9F694}" name="Time (hours)" dataDxfId="13">
      <calculatedColumnFormula>(_tTankWeight2[[#This Row],[X]]-INDEX('Propane-Use-Day-2'!$B$8,1,1))*24</calculatedColumnFormula>
    </tableColumn>
    <tableColumn id="3" xr3:uid="{ECD2A7D4-374E-475D-AFEC-98EEA0B9C174}" name="Weight (lbs)" dataDxfId="12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0C3822-A090-49DA-BB24-C1136312D490}" name="_tTankWeight24" displayName="_tTankWeight24" ref="B7:D15" totalsRowShown="0" headerRowDxfId="10" tableBorderDxfId="9">
  <autoFilter ref="B7:D15" xr:uid="{54D38F27-53A3-4E24-9E84-90EF95A9A65D}"/>
  <tableColumns count="3">
    <tableColumn id="1" xr3:uid="{97B1BA55-1722-4D93-BB88-758CE5343A2A}" name="X" dataDxfId="8"/>
    <tableColumn id="2" xr3:uid="{4D171C35-268F-4B9D-80C9-888D0938537F}" name="Time (hours)" dataDxfId="7">
      <calculatedColumnFormula>(_tTankWeight24[[#This Row],[X]]-INDEX('Propane-Use-Day-3'!$B$8,1,1))*24</calculatedColumnFormula>
    </tableColumn>
    <tableColumn id="3" xr3:uid="{4D7DC68D-F1A9-4E70-A339-66AB49B8ACA6}" name="Weight (lbs)" dataDxfId="6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9E77B6-A77B-4862-A8B3-E12969205598}" name="_tTankWeight4" displayName="_tTankWeight4" ref="B7:D13" totalsRowShown="0" headerRowDxfId="4" tableBorderDxfId="3">
  <autoFilter ref="B7:D13" xr:uid="{54D38F27-53A3-4E24-9E84-90EF95A9A65D}"/>
  <tableColumns count="3">
    <tableColumn id="1" xr3:uid="{3B43DB70-94E1-459B-8FB3-761B425FC480}" name="X" dataDxfId="2"/>
    <tableColumn id="2" xr3:uid="{182F14ED-38CE-440A-A952-5B718E8962E5}" name="Time (hours)" dataDxfId="1">
      <calculatedColumnFormula>(_tTankWeight4[[#This Row],[X]]-INDEX('Propane-Use-Day-4'!$B$8,1,1))*24</calculatedColumnFormula>
    </tableColumn>
    <tableColumn id="3" xr3:uid="{CAF6B0C6-7671-4815-AA0F-C7EC06E66BB3}" name="Weight (lbs)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L32"/>
  <sheetViews>
    <sheetView showGridLines="0" workbookViewId="0">
      <selection activeCell="P18" sqref="P1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2" x14ac:dyDescent="0.2">
      <c r="A1" s="1" t="s">
        <v>0</v>
      </c>
      <c r="B1" s="2" t="s">
        <v>1</v>
      </c>
      <c r="C1" s="2"/>
      <c r="E1" t="s">
        <v>30</v>
      </c>
      <c r="F1">
        <v>17</v>
      </c>
      <c r="G1" t="s">
        <v>19</v>
      </c>
    </row>
    <row r="2" spans="1:12" x14ac:dyDescent="0.2">
      <c r="A2" s="1" t="s">
        <v>2</v>
      </c>
      <c r="B2" s="2" t="s">
        <v>16</v>
      </c>
      <c r="C2" s="2"/>
      <c r="E2" s="24" t="s">
        <v>31</v>
      </c>
      <c r="F2" s="24"/>
      <c r="G2" s="24"/>
      <c r="H2" s="24"/>
      <c r="I2" s="24"/>
      <c r="J2" s="24"/>
    </row>
    <row r="3" spans="1:12" x14ac:dyDescent="0.2">
      <c r="A3" s="1" t="s">
        <v>3</v>
      </c>
      <c r="B3" s="2" t="str">
        <f>TEXT(DATE(2023,7,12),"dd-mmm-yyyy")</f>
        <v>12-Jul-2023</v>
      </c>
      <c r="C3" s="2"/>
      <c r="E3" s="24" t="s">
        <v>27</v>
      </c>
      <c r="F3" s="24"/>
      <c r="G3" s="24"/>
      <c r="H3" s="24"/>
      <c r="I3" s="24"/>
      <c r="J3" s="24"/>
    </row>
    <row r="4" spans="1:12" x14ac:dyDescent="0.2">
      <c r="E4" s="24" t="s">
        <v>28</v>
      </c>
      <c r="F4" s="24"/>
      <c r="G4" s="24"/>
      <c r="H4" s="24"/>
      <c r="I4" s="24"/>
      <c r="J4" s="24"/>
    </row>
    <row r="5" spans="1:12" ht="15" x14ac:dyDescent="0.25">
      <c r="A5" s="3" t="s">
        <v>14</v>
      </c>
      <c r="J5" s="3" t="s">
        <v>23</v>
      </c>
    </row>
    <row r="7" spans="1:12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</row>
    <row r="8" spans="1:12" ht="13.5" thickTop="1" x14ac:dyDescent="0.2">
      <c r="B8" s="10">
        <v>45118.80972222222</v>
      </c>
      <c r="C8" s="11">
        <f>(_tTankWeight[[#This Row],[X]]-INDEX($B$8,1,1))*24</f>
        <v>0</v>
      </c>
      <c r="D8" s="19">
        <v>28.11</v>
      </c>
      <c r="G8" s="17" cm="1">
        <f t="array" ref="G8:H8">LINEST(_tTankWeight[Weight (lbs)],_tTankWeight[Time (hours)])</f>
        <v>-3.1831742034758935E-2</v>
      </c>
      <c r="H8" s="17">
        <v>28.209872610430022</v>
      </c>
      <c r="K8" s="14" cm="1">
        <f t="array" ref="K8:K32">_xlfn.SEQUENCE(25,1,0,1)</f>
        <v>0</v>
      </c>
      <c r="L8" s="15">
        <f t="shared" ref="L8:L32" si="0">_nInt+_nSlope*K8</f>
        <v>28.209872610430022</v>
      </c>
    </row>
    <row r="9" spans="1:12" x14ac:dyDescent="0.2">
      <c r="B9" s="10">
        <v>45118.810416666667</v>
      </c>
      <c r="C9" s="11">
        <v>0</v>
      </c>
      <c r="D9" s="19">
        <v>28.31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28.178040868395264</v>
      </c>
    </row>
    <row r="10" spans="1:12" x14ac:dyDescent="0.2">
      <c r="B10" s="10">
        <v>45119.289583333331</v>
      </c>
      <c r="C10" s="11">
        <f>(_tTankWeight[[#This Row],[X]]-INDEX($B$8,1,1))*24</f>
        <v>11.516666666662786</v>
      </c>
      <c r="D10" s="19">
        <v>27.95</v>
      </c>
      <c r="K10" s="14">
        <v>2</v>
      </c>
      <c r="L10" s="15">
        <f t="shared" si="0"/>
        <v>28.146209126360503</v>
      </c>
    </row>
    <row r="11" spans="1:12" x14ac:dyDescent="0.2">
      <c r="B11" s="10">
        <v>45119.354861111111</v>
      </c>
      <c r="C11" s="11">
        <f>(_tTankWeight[[#This Row],[X]]-INDEX($B$8,1,1))*24</f>
        <v>13.083333333372138</v>
      </c>
      <c r="D11" s="19">
        <v>27.82</v>
      </c>
      <c r="G11" s="4" t="s">
        <v>17</v>
      </c>
      <c r="K11" s="14">
        <v>3</v>
      </c>
      <c r="L11" s="15">
        <f t="shared" si="0"/>
        <v>28.114377384325746</v>
      </c>
    </row>
    <row r="12" spans="1:12" x14ac:dyDescent="0.2">
      <c r="B12" s="10">
        <v>45119.390277777777</v>
      </c>
      <c r="C12" s="11">
        <f>(_tTankWeight[[#This Row],[X]]-INDEX($B$8,1,1))*24</f>
        <v>13.933333333348855</v>
      </c>
      <c r="D12" s="19">
        <v>27.64</v>
      </c>
      <c r="G12" s="22">
        <f>ABS(24*_nSlope)</f>
        <v>0.76396180883421438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28.082545642290984</v>
      </c>
    </row>
    <row r="13" spans="1:12" x14ac:dyDescent="0.2">
      <c r="B13" s="10">
        <v>45119.415277777778</v>
      </c>
      <c r="C13" s="11">
        <f>(_tTankWeight[[#This Row],[X]]-INDEX($B$8,1,1))*24</f>
        <v>14.53333333338378</v>
      </c>
      <c r="D13" s="19">
        <v>27.7</v>
      </c>
      <c r="K13" s="14">
        <v>5</v>
      </c>
      <c r="L13" s="15">
        <f t="shared" si="0"/>
        <v>28.050713900256227</v>
      </c>
    </row>
    <row r="14" spans="1:12" x14ac:dyDescent="0.2">
      <c r="B14" s="10">
        <v>45119.432638888888</v>
      </c>
      <c r="C14" s="11">
        <f>(_tTankWeight[[#This Row],[X]]-INDEX($B$8,1,1))*24</f>
        <v>14.950000000011642</v>
      </c>
      <c r="D14" s="19">
        <v>27.68</v>
      </c>
      <c r="K14" s="14">
        <v>6</v>
      </c>
      <c r="L14" s="15">
        <f t="shared" si="0"/>
        <v>28.018882158221469</v>
      </c>
    </row>
    <row r="15" spans="1:12" x14ac:dyDescent="0.2">
      <c r="B15" s="10">
        <v>45119.465277777781</v>
      </c>
      <c r="C15" s="11">
        <f>(_tTankWeight[[#This Row],[X]]-INDEX($B$8,1,1))*24</f>
        <v>15.733333333453629</v>
      </c>
      <c r="D15" s="19">
        <v>27.8</v>
      </c>
      <c r="F15" s="20"/>
      <c r="K15" s="14">
        <v>7</v>
      </c>
      <c r="L15" s="15">
        <f t="shared" si="0"/>
        <v>27.987050416186708</v>
      </c>
    </row>
    <row r="16" spans="1:12" x14ac:dyDescent="0.2">
      <c r="B16" s="10">
        <v>45119.48333333333</v>
      </c>
      <c r="C16" s="11">
        <f>(_tTankWeight[[#This Row],[X]]-INDEX($B$8,1,1))*24</f>
        <v>16.166666666627862</v>
      </c>
      <c r="D16" s="19">
        <v>27.69</v>
      </c>
      <c r="K16" s="14">
        <v>8</v>
      </c>
      <c r="L16" s="15">
        <f t="shared" si="0"/>
        <v>27.955218674151951</v>
      </c>
    </row>
    <row r="17" spans="1:12" x14ac:dyDescent="0.2">
      <c r="B17" s="10">
        <v>45119.513194444444</v>
      </c>
      <c r="C17" s="11">
        <f>(_tTankWeight[[#This Row],[X]]-INDEX($B$8,1,1))*24</f>
        <v>16.883333333360497</v>
      </c>
      <c r="D17" s="23">
        <v>27.61</v>
      </c>
      <c r="K17" s="14">
        <v>9</v>
      </c>
      <c r="L17" s="15">
        <f t="shared" si="0"/>
        <v>27.923386932117193</v>
      </c>
    </row>
    <row r="18" spans="1:12" x14ac:dyDescent="0.2">
      <c r="B18" s="10">
        <v>45119.53402777778</v>
      </c>
      <c r="C18" s="11">
        <f>(_tTankWeight[[#This Row],[X]]-INDEX($B$8,1,1))*24</f>
        <v>17.383333333418705</v>
      </c>
      <c r="D18" s="23">
        <v>27.69</v>
      </c>
      <c r="K18" s="14">
        <v>10</v>
      </c>
      <c r="L18" s="15">
        <f t="shared" si="0"/>
        <v>27.891555190082432</v>
      </c>
    </row>
    <row r="19" spans="1:12" x14ac:dyDescent="0.2">
      <c r="B19" s="10">
        <v>45119.561111111114</v>
      </c>
      <c r="C19" s="11">
        <f>(_tTankWeight[[#This Row],[X]]-INDEX($B$8,1,1))*24</f>
        <v>18.033333333441988</v>
      </c>
      <c r="D19" s="23">
        <v>27.68</v>
      </c>
      <c r="K19" s="14">
        <v>11</v>
      </c>
      <c r="L19" s="15">
        <f t="shared" si="0"/>
        <v>27.859723448047674</v>
      </c>
    </row>
    <row r="20" spans="1:12" x14ac:dyDescent="0.2">
      <c r="B20" s="10">
        <v>45119.582638888889</v>
      </c>
      <c r="C20" s="11">
        <f>(_tTankWeight[[#This Row],[X]]-INDEX($B$8,1,1))*24</f>
        <v>18.550000000046566</v>
      </c>
      <c r="D20" s="23">
        <v>27.51</v>
      </c>
      <c r="K20" s="14">
        <v>12</v>
      </c>
      <c r="L20" s="15">
        <f t="shared" si="0"/>
        <v>27.827891706012913</v>
      </c>
    </row>
    <row r="21" spans="1:12" x14ac:dyDescent="0.2">
      <c r="B21" s="10">
        <v>45119.633333333331</v>
      </c>
      <c r="C21" s="11">
        <f>(_tTankWeight[[#This Row],[X]]-INDEX($B$8,1,1))*24</f>
        <v>19.766666666662786</v>
      </c>
      <c r="D21" s="23">
        <v>27.67</v>
      </c>
      <c r="K21" s="14">
        <v>13</v>
      </c>
      <c r="L21" s="15">
        <f t="shared" si="0"/>
        <v>27.796059963978156</v>
      </c>
    </row>
    <row r="22" spans="1:12" x14ac:dyDescent="0.2">
      <c r="B22" s="10">
        <v>45119.664583333331</v>
      </c>
      <c r="C22" s="11">
        <f>(_tTankWeight[[#This Row],[X]]-INDEX($B$8,1,1))*24</f>
        <v>20.516666666662786</v>
      </c>
      <c r="D22" s="23">
        <v>27.57</v>
      </c>
      <c r="K22" s="14">
        <v>14</v>
      </c>
      <c r="L22" s="15">
        <f t="shared" si="0"/>
        <v>27.764228221943398</v>
      </c>
    </row>
    <row r="23" spans="1:12" x14ac:dyDescent="0.2">
      <c r="B23" s="20"/>
      <c r="C23" s="21"/>
      <c r="K23" s="14">
        <v>15</v>
      </c>
      <c r="L23" s="15">
        <f t="shared" si="0"/>
        <v>27.732396479908637</v>
      </c>
    </row>
    <row r="24" spans="1:12" x14ac:dyDescent="0.2">
      <c r="K24" s="14">
        <v>16</v>
      </c>
      <c r="L24" s="15">
        <f t="shared" si="0"/>
        <v>27.700564737873879</v>
      </c>
    </row>
    <row r="25" spans="1:12" x14ac:dyDescent="0.2">
      <c r="K25" s="14">
        <v>17</v>
      </c>
      <c r="L25" s="15">
        <f t="shared" si="0"/>
        <v>27.668732995839122</v>
      </c>
    </row>
    <row r="26" spans="1:12" ht="15" x14ac:dyDescent="0.25">
      <c r="A26" s="3" t="s">
        <v>15</v>
      </c>
      <c r="B26" s="4" t="s">
        <v>9</v>
      </c>
      <c r="C26" t="s">
        <v>26</v>
      </c>
      <c r="E26" s="3" t="s">
        <v>18</v>
      </c>
      <c r="K26" s="14">
        <v>18</v>
      </c>
      <c r="L26" s="15">
        <f t="shared" si="0"/>
        <v>27.636901253804361</v>
      </c>
    </row>
    <row r="27" spans="1:12" x14ac:dyDescent="0.2">
      <c r="B27" s="4" t="s">
        <v>10</v>
      </c>
      <c r="C27" t="s">
        <v>6</v>
      </c>
      <c r="K27" s="14">
        <v>19</v>
      </c>
      <c r="L27" s="15">
        <f t="shared" si="0"/>
        <v>27.605069511769603</v>
      </c>
    </row>
    <row r="28" spans="1:12" x14ac:dyDescent="0.2">
      <c r="B28" s="4" t="s">
        <v>11</v>
      </c>
      <c r="C28" t="s">
        <v>25</v>
      </c>
      <c r="E28" t="s">
        <v>29</v>
      </c>
      <c r="H28" s="5">
        <v>18</v>
      </c>
      <c r="I28" t="s">
        <v>19</v>
      </c>
      <c r="K28" s="14">
        <v>20</v>
      </c>
      <c r="L28" s="15">
        <f t="shared" si="0"/>
        <v>27.573237769734842</v>
      </c>
    </row>
    <row r="29" spans="1:12" x14ac:dyDescent="0.2">
      <c r="E29" t="s">
        <v>20</v>
      </c>
      <c r="H29" s="6">
        <f>H28/ABS(G12)</f>
        <v>23.561387221001958</v>
      </c>
      <c r="I29" s="16" t="s">
        <v>21</v>
      </c>
      <c r="K29" s="14">
        <v>21</v>
      </c>
      <c r="L29" s="15">
        <f t="shared" si="0"/>
        <v>27.541406027700084</v>
      </c>
    </row>
    <row r="30" spans="1:12" x14ac:dyDescent="0.2">
      <c r="K30" s="14">
        <v>22</v>
      </c>
      <c r="L30" s="15">
        <f t="shared" si="0"/>
        <v>27.509574285665327</v>
      </c>
    </row>
    <row r="31" spans="1:12" x14ac:dyDescent="0.2">
      <c r="K31" s="14">
        <v>23</v>
      </c>
      <c r="L31" s="15">
        <f t="shared" si="0"/>
        <v>27.477742543630566</v>
      </c>
    </row>
    <row r="32" spans="1:12" x14ac:dyDescent="0.2">
      <c r="K32" s="14">
        <v>24</v>
      </c>
      <c r="L32" s="15">
        <f t="shared" si="0"/>
        <v>27.445910801595808</v>
      </c>
    </row>
  </sheetData>
  <conditionalFormatting sqref="K8:L32">
    <cfRule type="expression" dxfId="23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25A4-07B8-4BBE-AD53-051224E82545}">
  <dimension ref="A1:M54"/>
  <sheetViews>
    <sheetView showGridLines="0" workbookViewId="0">
      <selection activeCell="G12" sqref="G12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TEXT(DATE(2023,7,13),"dd-mmm-yyyy")</f>
        <v>13-Jul-2023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45120.291666666664</v>
      </c>
      <c r="C8" s="11">
        <f>(_tTankWeight2[[#This Row],[X]]-INDEX('Propane-Use-Day-2'!$B$8,1,1))*24</f>
        <v>0</v>
      </c>
      <c r="D8" s="19">
        <v>24.67</v>
      </c>
      <c r="G8" s="17" cm="1">
        <f t="array" ref="G8:H8">LINEST(_tTankWeight2[Weight (lbs)],_tTankWeight2[Time (hours)])</f>
        <v>-2.9255083193565876E-2</v>
      </c>
      <c r="H8" s="17">
        <v>24.675384823451715</v>
      </c>
      <c r="K8" s="14" cm="1">
        <f t="array" ref="K8:K38">_xlfn.SEQUENCE(31,1,0,1)</f>
        <v>0</v>
      </c>
      <c r="L8" s="15">
        <f t="shared" ref="L8:L32" si="0">_nInt+_nSlope*K8</f>
        <v>24.675384823451715</v>
      </c>
      <c r="M8" s="15">
        <f>INDEX(_tTankWeight2[Weight (lbs)],1,1)-$G$16/24*K8</f>
        <v>24.67</v>
      </c>
    </row>
    <row r="9" spans="1:13" x14ac:dyDescent="0.2">
      <c r="B9" s="10">
        <v>45120.347916666666</v>
      </c>
      <c r="C9" s="11">
        <f>(_tTankWeight2[[#This Row],[X]]-INDEX('Propane-Use-Day-2'!$B$8,1,1))*24</f>
        <v>1.3500000000349246</v>
      </c>
      <c r="D9" s="19">
        <v>24.63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si="0"/>
        <v>24.64612974025815</v>
      </c>
      <c r="M9" s="15">
        <f>INDEX(_tTankWeight2[Weight (lbs)],1,1)-$G$16/24*K9</f>
        <v>24.636269841269844</v>
      </c>
    </row>
    <row r="10" spans="1:13" x14ac:dyDescent="0.2">
      <c r="B10" s="10">
        <v>45120.377083333333</v>
      </c>
      <c r="C10" s="11">
        <f>(_tTankWeight2[[#This Row],[X]]-INDEX('Propane-Use-Day-2'!$B$8,1,1))*24</f>
        <v>2.0500000000465661</v>
      </c>
      <c r="D10" s="19">
        <v>24.6</v>
      </c>
      <c r="K10" s="14">
        <v>2</v>
      </c>
      <c r="L10" s="15">
        <f t="shared" si="0"/>
        <v>24.616874657064582</v>
      </c>
      <c r="M10" s="15">
        <f>INDEX(_tTankWeight2[Weight (lbs)],1,1)-$G$16/24*K10</f>
        <v>24.602539682539685</v>
      </c>
    </row>
    <row r="11" spans="1:13" x14ac:dyDescent="0.2">
      <c r="B11" s="10">
        <v>45120.442361111112</v>
      </c>
      <c r="C11" s="11">
        <f>(_tTankWeight2[[#This Row],[X]]-INDEX('Propane-Use-Day-2'!$B$8,1,1))*24</f>
        <v>3.6166666667559184</v>
      </c>
      <c r="D11" s="23">
        <v>24.58</v>
      </c>
      <c r="G11" s="4" t="s">
        <v>17</v>
      </c>
      <c r="K11" s="14">
        <v>3</v>
      </c>
      <c r="L11" s="15">
        <f t="shared" si="0"/>
        <v>24.587619573871017</v>
      </c>
      <c r="M11" s="15">
        <f>INDEX(_tTankWeight2[Weight (lbs)],1,1)-$G$16/24*K11</f>
        <v>24.568809523809527</v>
      </c>
    </row>
    <row r="12" spans="1:13" x14ac:dyDescent="0.2">
      <c r="B12" s="10">
        <v>45120.518055555556</v>
      </c>
      <c r="C12" s="11">
        <f>(_tTankWeight2[[#This Row],[X]]-INDEX('Propane-Use-Day-2'!$B$8,1,1))*24</f>
        <v>5.433333333407063</v>
      </c>
      <c r="D12" s="23">
        <v>24.51</v>
      </c>
      <c r="G12" s="22">
        <f>ABS(24*_nSlope)</f>
        <v>0.70212199664558106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24.558364490677452</v>
      </c>
      <c r="M12" s="15">
        <f>INDEX(_tTankWeight2[Weight (lbs)],1,1)-$G$16/24*K12</f>
        <v>24.535079365079365</v>
      </c>
    </row>
    <row r="13" spans="1:13" x14ac:dyDescent="0.2">
      <c r="B13" s="10">
        <v>45120.540972222225</v>
      </c>
      <c r="C13" s="11">
        <f>(_tTankWeight2[[#This Row],[X]]-INDEX('Propane-Use-Day-2'!$B$8,1,1))*24</f>
        <v>5.9833333334536292</v>
      </c>
      <c r="D13" s="23">
        <v>24.55</v>
      </c>
      <c r="K13" s="14">
        <v>5</v>
      </c>
      <c r="L13" s="15">
        <f t="shared" si="0"/>
        <v>24.529109407483887</v>
      </c>
      <c r="M13" s="15">
        <f>INDEX(_tTankWeight2[Weight (lbs)],1,1)-$G$16/24*K13</f>
        <v>24.501349206349207</v>
      </c>
    </row>
    <row r="14" spans="1:13" x14ac:dyDescent="0.2">
      <c r="B14" s="10">
        <v>45120.615277777775</v>
      </c>
      <c r="C14" s="11">
        <f>(_tTankWeight2[[#This Row],[X]]-INDEX('Propane-Use-Day-2'!$B$8,1,1))*24</f>
        <v>7.7666666666627862</v>
      </c>
      <c r="D14" s="23">
        <v>24.42</v>
      </c>
      <c r="K14" s="14">
        <v>6</v>
      </c>
      <c r="L14" s="15">
        <f t="shared" si="0"/>
        <v>24.499854324290318</v>
      </c>
      <c r="M14" s="15">
        <f>INDEX(_tTankWeight2[Weight (lbs)],1,1)-$G$16/24*K14</f>
        <v>24.467619047619049</v>
      </c>
    </row>
    <row r="15" spans="1:13" x14ac:dyDescent="0.2">
      <c r="B15" s="10">
        <v>45121.286111111112</v>
      </c>
      <c r="C15" s="11">
        <f>(_tTankWeight2[[#This Row],[X]]-INDEX('Propane-Use-Day-2'!$B$8,1,1))*24</f>
        <v>23.866666666755918</v>
      </c>
      <c r="D15" s="23">
        <v>23.96</v>
      </c>
      <c r="G15" s="4" t="s">
        <v>34</v>
      </c>
      <c r="K15" s="14">
        <v>7</v>
      </c>
      <c r="L15" s="15">
        <f t="shared" si="0"/>
        <v>24.470599241096753</v>
      </c>
      <c r="M15" s="15">
        <f>INDEX(_tTankWeight2[Weight (lbs)],1,1)-$G$16/24*K15</f>
        <v>24.433888888888891</v>
      </c>
    </row>
    <row r="16" spans="1:13" x14ac:dyDescent="0.2">
      <c r="B16" s="10">
        <v>45121.354861111111</v>
      </c>
      <c r="C16" s="11">
        <f>(_tTankWeight2[[#This Row],[X]]-INDEX('Propane-Use-Day-2'!$B$8,1,1))*24</f>
        <v>25.516666666720994</v>
      </c>
      <c r="D16" s="23">
        <v>23.97</v>
      </c>
      <c r="G16" s="22">
        <f>H29/21</f>
        <v>0.80952380952380953</v>
      </c>
      <c r="H16" t="s">
        <v>22</v>
      </c>
      <c r="K16" s="14">
        <v>8</v>
      </c>
      <c r="L16" s="15">
        <f t="shared" si="0"/>
        <v>24.441344157903188</v>
      </c>
      <c r="M16" s="15">
        <f>INDEX(_tTankWeight2[Weight (lbs)],1,1)-$G$16/24*K16</f>
        <v>24.400158730158733</v>
      </c>
    </row>
    <row r="17" spans="1:13" x14ac:dyDescent="0.2">
      <c r="B17" s="10">
        <v>45121.421527777777</v>
      </c>
      <c r="C17" s="11">
        <f>(_tTankWeight2[[#This Row],[X]]-INDEX('Propane-Use-Day-2'!$B$8,1,1))*24</f>
        <v>27.116666666697711</v>
      </c>
      <c r="D17" s="23">
        <v>23.89</v>
      </c>
      <c r="G17" s="22"/>
      <c r="K17" s="14">
        <v>9</v>
      </c>
      <c r="L17" s="15">
        <f t="shared" si="0"/>
        <v>24.412089074709623</v>
      </c>
      <c r="M17" s="15">
        <f>INDEX(_tTankWeight2[Weight (lbs)],1,1)-$G$16/24*K17</f>
        <v>24.366428571428575</v>
      </c>
    </row>
    <row r="18" spans="1:13" x14ac:dyDescent="0.2">
      <c r="B18" s="10">
        <v>45121.509027777778</v>
      </c>
      <c r="C18" s="11">
        <f>(_tTankWeight2[[#This Row],[X]]-INDEX('Propane-Use-Day-2'!$B$8,1,1))*24</f>
        <v>29.216666666732635</v>
      </c>
      <c r="D18" s="23">
        <v>23.79</v>
      </c>
      <c r="K18" s="14">
        <v>10</v>
      </c>
      <c r="L18" s="15">
        <f t="shared" si="0"/>
        <v>24.382833991516055</v>
      </c>
      <c r="M18" s="15">
        <f>INDEX(_tTankWeight2[Weight (lbs)],1,1)-$G$16/24*K18</f>
        <v>24.332698412698413</v>
      </c>
    </row>
    <row r="19" spans="1:13" x14ac:dyDescent="0.2">
      <c r="B19" s="20"/>
      <c r="C19" s="21"/>
      <c r="K19" s="14">
        <v>11</v>
      </c>
      <c r="L19" s="15">
        <f t="shared" si="0"/>
        <v>24.35357890832249</v>
      </c>
      <c r="M19" s="15">
        <f>INDEX(_tTankWeight2[Weight (lbs)],1,1)-$G$16/24*K19</f>
        <v>24.298968253968255</v>
      </c>
    </row>
    <row r="20" spans="1:13" x14ac:dyDescent="0.2">
      <c r="K20" s="14">
        <v>12</v>
      </c>
      <c r="L20" s="15">
        <f t="shared" si="0"/>
        <v>24.324323825128925</v>
      </c>
      <c r="M20" s="15">
        <f>INDEX(_tTankWeight2[Weight (lbs)],1,1)-$G$16/24*K20</f>
        <v>24.265238095238097</v>
      </c>
    </row>
    <row r="21" spans="1:13" x14ac:dyDescent="0.2">
      <c r="B21" s="4" t="s">
        <v>9</v>
      </c>
      <c r="C21" t="s">
        <v>35</v>
      </c>
      <c r="G21" t="str">
        <f>"Measured Propane Burn Rate = "&amp;TEXT($G$12,"0.00")&amp;" lbs/day"</f>
        <v>Measured Propane Burn Rate = 0.70 lbs/day</v>
      </c>
      <c r="K21" s="14">
        <v>13</v>
      </c>
      <c r="L21" s="15">
        <f t="shared" si="0"/>
        <v>24.29506874193536</v>
      </c>
      <c r="M21" s="15">
        <f>INDEX(_tTankWeight2[Weight (lbs)],1,1)-$G$16/24*K21</f>
        <v>24.231507936507938</v>
      </c>
    </row>
    <row r="22" spans="1:13" x14ac:dyDescent="0.2">
      <c r="B22" s="4" t="s">
        <v>10</v>
      </c>
      <c r="C22" t="s">
        <v>6</v>
      </c>
      <c r="K22" s="14">
        <v>14</v>
      </c>
      <c r="L22" s="15">
        <f t="shared" si="0"/>
        <v>24.265813658741791</v>
      </c>
      <c r="M22" s="15">
        <f>INDEX(_tTankWeight2[Weight (lbs)],1,1)-$G$16/24*K22</f>
        <v>24.19777777777778</v>
      </c>
    </row>
    <row r="23" spans="1:13" x14ac:dyDescent="0.2">
      <c r="B23" s="4" t="s">
        <v>11</v>
      </c>
      <c r="C23" t="s">
        <v>25</v>
      </c>
      <c r="K23" s="14">
        <v>15</v>
      </c>
      <c r="L23" s="15">
        <f t="shared" si="0"/>
        <v>24.236558575548226</v>
      </c>
      <c r="M23" s="15">
        <f>INDEX(_tTankWeight2[Weight (lbs)],1,1)-$G$16/24*K23</f>
        <v>24.164047619047622</v>
      </c>
    </row>
    <row r="24" spans="1:13" x14ac:dyDescent="0.2">
      <c r="F24" s="20"/>
      <c r="K24" s="14">
        <v>16</v>
      </c>
      <c r="L24" s="15">
        <f t="shared" si="0"/>
        <v>24.207303492354662</v>
      </c>
      <c r="M24" s="15">
        <f>INDEX(_tTankWeight2[Weight (lbs)],1,1)-$G$16/24*K24</f>
        <v>24.13031746031746</v>
      </c>
    </row>
    <row r="25" spans="1:13" x14ac:dyDescent="0.2">
      <c r="K25" s="14">
        <v>17</v>
      </c>
      <c r="L25" s="15">
        <f t="shared" si="0"/>
        <v>24.178048409161097</v>
      </c>
      <c r="M25" s="15">
        <f>INDEX(_tTankWeight2[Weight (lbs)],1,1)-$G$16/24*K25</f>
        <v>24.096587301587302</v>
      </c>
    </row>
    <row r="26" spans="1:13" x14ac:dyDescent="0.2">
      <c r="K26" s="14">
        <v>18</v>
      </c>
      <c r="L26" s="15">
        <f t="shared" si="0"/>
        <v>24.148793325967528</v>
      </c>
      <c r="M26" s="15">
        <f>INDEX(_tTankWeight2[Weight (lbs)],1,1)-$G$16/24*K26</f>
        <v>24.062857142857144</v>
      </c>
    </row>
    <row r="27" spans="1:13" ht="15" x14ac:dyDescent="0.25">
      <c r="A27" s="3" t="s">
        <v>15</v>
      </c>
      <c r="E27" s="3" t="s">
        <v>18</v>
      </c>
      <c r="K27" s="14">
        <v>19</v>
      </c>
      <c r="L27" s="15">
        <f t="shared" si="0"/>
        <v>24.119538242773963</v>
      </c>
      <c r="M27" s="15">
        <f>INDEX(_tTankWeight2[Weight (lbs)],1,1)-$G$16/24*K27</f>
        <v>24.029126984126986</v>
      </c>
    </row>
    <row r="28" spans="1:13" x14ac:dyDescent="0.2">
      <c r="K28" s="14">
        <v>20</v>
      </c>
      <c r="L28" s="15">
        <f t="shared" si="0"/>
        <v>24.090283159580398</v>
      </c>
      <c r="M28" s="15">
        <f>INDEX(_tTankWeight2[Weight (lbs)],1,1)-$G$16/24*K28</f>
        <v>23.995396825396828</v>
      </c>
    </row>
    <row r="29" spans="1:13" x14ac:dyDescent="0.2">
      <c r="E29" t="s">
        <v>29</v>
      </c>
      <c r="H29" s="5">
        <v>17</v>
      </c>
      <c r="I29" t="s">
        <v>19</v>
      </c>
      <c r="K29" s="14">
        <v>21</v>
      </c>
      <c r="L29" s="15">
        <f t="shared" si="0"/>
        <v>24.061028076386833</v>
      </c>
      <c r="M29" s="15">
        <f>INDEX(_tTankWeight2[Weight (lbs)],1,1)-$G$16/24*K29</f>
        <v>23.96166666666667</v>
      </c>
    </row>
    <row r="30" spans="1:13" x14ac:dyDescent="0.2">
      <c r="E30" t="s">
        <v>20</v>
      </c>
      <c r="H30" s="6">
        <f>H29/ABS(G12)</f>
        <v>24.212316493740765</v>
      </c>
      <c r="I30" s="16" t="s">
        <v>21</v>
      </c>
      <c r="K30" s="14">
        <v>22</v>
      </c>
      <c r="L30" s="15">
        <f t="shared" si="0"/>
        <v>24.031772993193265</v>
      </c>
      <c r="M30" s="15">
        <f>INDEX(_tTankWeight2[Weight (lbs)],1,1)-$G$16/24*K30</f>
        <v>23.927936507936511</v>
      </c>
    </row>
    <row r="31" spans="1:13" x14ac:dyDescent="0.2">
      <c r="K31" s="14">
        <v>23</v>
      </c>
      <c r="L31" s="15">
        <f t="shared" si="0"/>
        <v>24.0025179099997</v>
      </c>
      <c r="M31" s="15">
        <f>INDEX(_tTankWeight2[Weight (lbs)],1,1)-$G$16/24*K31</f>
        <v>23.89420634920635</v>
      </c>
    </row>
    <row r="32" spans="1:13" x14ac:dyDescent="0.2">
      <c r="K32" s="14">
        <v>24</v>
      </c>
      <c r="L32" s="15">
        <f t="shared" si="0"/>
        <v>23.973262826806135</v>
      </c>
      <c r="M32" s="15">
        <f>INDEX(_tTankWeight2[Weight (lbs)],1,1)-$G$16/24*K32</f>
        <v>23.860476190476192</v>
      </c>
    </row>
    <row r="33" spans="11:13" x14ac:dyDescent="0.2">
      <c r="K33" s="14">
        <v>25</v>
      </c>
      <c r="L33" s="15">
        <f t="shared" ref="L33:L37" si="1">_nInt+_nSlope*K33</f>
        <v>23.94400774361257</v>
      </c>
      <c r="M33" s="15">
        <f>INDEX(_tTankWeight2[Weight (lbs)],1,1)-$G$16/24*K33</f>
        <v>23.826746031746033</v>
      </c>
    </row>
    <row r="34" spans="11:13" x14ac:dyDescent="0.2">
      <c r="K34" s="14">
        <v>26</v>
      </c>
      <c r="L34" s="15">
        <f t="shared" si="1"/>
        <v>23.914752660419001</v>
      </c>
      <c r="M34" s="15">
        <f>INDEX(_tTankWeight2[Weight (lbs)],1,1)-$G$16/24*K34</f>
        <v>23.793015873015875</v>
      </c>
    </row>
    <row r="35" spans="11:13" x14ac:dyDescent="0.2">
      <c r="K35" s="14">
        <v>27</v>
      </c>
      <c r="L35" s="15">
        <f t="shared" si="1"/>
        <v>23.885497577225436</v>
      </c>
      <c r="M35" s="15">
        <f>INDEX(_tTankWeight2[Weight (lbs)],1,1)-$G$16/24*K35</f>
        <v>23.759285714285717</v>
      </c>
    </row>
    <row r="36" spans="11:13" x14ac:dyDescent="0.2">
      <c r="K36" s="14">
        <v>28</v>
      </c>
      <c r="L36" s="15">
        <f t="shared" si="1"/>
        <v>23.856242494031871</v>
      </c>
      <c r="M36" s="15">
        <f>INDEX(_tTankWeight2[Weight (lbs)],1,1)-$G$16/24*K36</f>
        <v>23.725555555555559</v>
      </c>
    </row>
    <row r="37" spans="11:13" x14ac:dyDescent="0.2">
      <c r="K37" s="14">
        <v>29</v>
      </c>
      <c r="L37" s="15">
        <f t="shared" si="1"/>
        <v>23.826987410838306</v>
      </c>
      <c r="M37" s="15">
        <f>INDEX(_tTankWeight2[Weight (lbs)],1,1)-$G$16/24*K37</f>
        <v>23.691825396825397</v>
      </c>
    </row>
    <row r="38" spans="11:13" x14ac:dyDescent="0.2">
      <c r="K38">
        <v>30</v>
      </c>
      <c r="L38" s="15">
        <f t="shared" ref="L38" si="2">_nInt+_nSlope*K38</f>
        <v>23.797732327644738</v>
      </c>
      <c r="M38" s="15">
        <f>INDEX(_tTankWeight2[Weight (lbs)],1,1)-$G$16/24*K38</f>
        <v>23.658095238095239</v>
      </c>
    </row>
    <row r="51" spans="1:1" ht="15" x14ac:dyDescent="0.25">
      <c r="A51" s="3" t="s">
        <v>36</v>
      </c>
    </row>
    <row r="53" spans="1:1" x14ac:dyDescent="0.2">
      <c r="A53" t="s">
        <v>37</v>
      </c>
    </row>
    <row r="54" spans="1:1" x14ac:dyDescent="0.2">
      <c r="A54" t="s">
        <v>38</v>
      </c>
    </row>
  </sheetData>
  <conditionalFormatting sqref="K8:M37 L38:M38">
    <cfRule type="expression" dxfId="17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ACF8F-163F-4FEE-A5DD-653E823CCE8B}">
  <dimension ref="A1:M59"/>
  <sheetViews>
    <sheetView showGridLines="0" workbookViewId="0">
      <selection activeCell="D8" sqref="D8"/>
    </sheetView>
  </sheetViews>
  <sheetFormatPr defaultRowHeight="12.75" x14ac:dyDescent="0.2"/>
  <cols>
    <col min="2" max="2" width="15.8554687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39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TEXT(DATE(2023,7,17),"dd-mmm-yyyy")</f>
        <v>17-Jul-2023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10">
        <v>45124.356944444444</v>
      </c>
      <c r="C8" s="11">
        <f>(_tTankWeight24[[#This Row],[X]]-INDEX('Propane-Use-Day-3'!$B$8,1,1))*24</f>
        <v>0</v>
      </c>
      <c r="D8" s="19">
        <v>21.882999999999999</v>
      </c>
      <c r="G8" s="17" cm="1">
        <f t="array" ref="G8:H8">LINEST(_tTankWeight24[Weight (lbs)],_tTankWeight24[Time (hours)])</f>
        <v>-2.6681564059206481E-2</v>
      </c>
      <c r="H8" s="17">
        <v>21.853110218453502</v>
      </c>
      <c r="K8" s="14" cm="1">
        <f t="array" ref="K8:K31">_xlfn.SEQUENCE(24,1,0,1)</f>
        <v>0</v>
      </c>
      <c r="L8" s="15">
        <f>_nInt+_nSlope*K8</f>
        <v>21.853110218453502</v>
      </c>
      <c r="M8" s="15">
        <f>INDEX(_tTankWeight24[Weight (lbs)],1,1)-$G$16/24*K8</f>
        <v>21.882999999999999</v>
      </c>
    </row>
    <row r="9" spans="1:13" x14ac:dyDescent="0.2">
      <c r="B9" s="10">
        <v>45124.402083333334</v>
      </c>
      <c r="C9" s="11">
        <f>(_tTankWeight24[[#This Row],[X]]-INDEX('Propane-Use-Day-3'!$B$8,1,1))*24</f>
        <v>1.0833333333721384</v>
      </c>
      <c r="D9" s="19">
        <f>21.83</f>
        <v>21.83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21.826428654394295</v>
      </c>
      <c r="M9" s="15">
        <f>INDEX(_tTankWeight24[Weight (lbs)],1,1)-$G$16/24*K9</f>
        <v>21.849269841269841</v>
      </c>
    </row>
    <row r="10" spans="1:13" x14ac:dyDescent="0.2">
      <c r="B10" s="10">
        <v>45124.440972222219</v>
      </c>
      <c r="C10" s="11">
        <f>(_tTankWeight24[[#This Row],[X]]-INDEX('Propane-Use-Day-3'!$B$8,1,1))*24</f>
        <v>2.0166666666045785</v>
      </c>
      <c r="D10" s="19">
        <v>21.736666670000002</v>
      </c>
      <c r="K10" s="14">
        <v>2</v>
      </c>
      <c r="L10" s="15">
        <f t="shared" si="0"/>
        <v>21.799747090335089</v>
      </c>
      <c r="M10" s="15">
        <f>INDEX(_tTankWeight24[Weight (lbs)],1,1)-$G$16/24*K10</f>
        <v>21.815539682539683</v>
      </c>
    </row>
    <row r="11" spans="1:13" x14ac:dyDescent="0.2">
      <c r="B11" s="10">
        <v>45124.493750000001</v>
      </c>
      <c r="C11" s="11">
        <f>(_tTankWeight24[[#This Row],[X]]-INDEX('Propane-Use-Day-3'!$B$8,1,1))*24</f>
        <v>3.28333333338378</v>
      </c>
      <c r="D11" s="19">
        <v>21.72</v>
      </c>
      <c r="G11" s="4" t="s">
        <v>17</v>
      </c>
      <c r="K11" s="14">
        <v>3</v>
      </c>
      <c r="L11" s="15">
        <f t="shared" si="0"/>
        <v>21.773065526275882</v>
      </c>
      <c r="M11" s="15">
        <f>INDEX(_tTankWeight24[Weight (lbs)],1,1)-$G$16/24*K11</f>
        <v>21.781809523809525</v>
      </c>
    </row>
    <row r="12" spans="1:13" x14ac:dyDescent="0.2">
      <c r="B12" s="10">
        <v>45124.536111111112</v>
      </c>
      <c r="C12" s="11">
        <f>(_tTankWeight24[[#This Row],[X]]-INDEX('Propane-Use-Day-3'!$B$8,1,1))*24</f>
        <v>4.3000000000465661</v>
      </c>
      <c r="D12" s="19">
        <v>21.79</v>
      </c>
      <c r="G12" s="22">
        <f>ABS(24*_nSlope)</f>
        <v>0.64035753742095558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21.746383962216676</v>
      </c>
      <c r="M12" s="15">
        <f>INDEX(_tTankWeight24[Weight (lbs)],1,1)-$G$16/24*K12</f>
        <v>21.748079365079363</v>
      </c>
    </row>
    <row r="13" spans="1:13" x14ac:dyDescent="0.2">
      <c r="B13" s="10">
        <v>45124.580555555556</v>
      </c>
      <c r="C13" s="11">
        <f>(_tTankWeight24[[#This Row],[X]]-INDEX('Propane-Use-Day-3'!$B$8,1,1))*24</f>
        <v>5.3666666666977108</v>
      </c>
      <c r="D13" s="19">
        <v>21.725000000000001</v>
      </c>
      <c r="K13" s="14">
        <v>5</v>
      </c>
      <c r="L13" s="15">
        <f t="shared" si="0"/>
        <v>21.71970239815747</v>
      </c>
      <c r="M13" s="15">
        <f>INDEX(_tTankWeight24[Weight (lbs)],1,1)-$G$16/24*K13</f>
        <v>21.714349206349205</v>
      </c>
    </row>
    <row r="14" spans="1:13" x14ac:dyDescent="0.2">
      <c r="B14" s="10">
        <v>45124.622916666667</v>
      </c>
      <c r="C14" s="11">
        <f>(_tTankWeight24[[#This Row],[X]]-INDEX('Propane-Use-Day-3'!$B$8,1,1))*24</f>
        <v>6.3833333333604969</v>
      </c>
      <c r="D14" s="19">
        <v>21.704999999999998</v>
      </c>
      <c r="K14" s="14">
        <v>6</v>
      </c>
      <c r="L14" s="15">
        <f t="shared" si="0"/>
        <v>21.693020834098263</v>
      </c>
      <c r="M14" s="15">
        <f>INDEX(_tTankWeight24[Weight (lbs)],1,1)-$G$16/24*K14</f>
        <v>21.680619047619047</v>
      </c>
    </row>
    <row r="15" spans="1:13" x14ac:dyDescent="0.2">
      <c r="B15" s="25">
        <v>45124.800694444442</v>
      </c>
      <c r="C15" s="11">
        <f>(_tTankWeight24[[#This Row],[X]]-INDEX('Propane-Use-Day-3'!$B$8,1,1))*24</f>
        <v>10.649999999965075</v>
      </c>
      <c r="D15" s="19">
        <v>21.552499999999998</v>
      </c>
      <c r="G15" s="4" t="s">
        <v>34</v>
      </c>
      <c r="K15" s="14">
        <v>7</v>
      </c>
      <c r="L15" s="15">
        <f t="shared" si="0"/>
        <v>21.666339270039057</v>
      </c>
      <c r="M15" s="15">
        <f>INDEX(_tTankWeight24[Weight (lbs)],1,1)-$G$16/24*K15</f>
        <v>21.646888888888888</v>
      </c>
    </row>
    <row r="16" spans="1:13" x14ac:dyDescent="0.2">
      <c r="G16" s="22">
        <f>H33/21</f>
        <v>0.80952380952380953</v>
      </c>
      <c r="H16" t="s">
        <v>22</v>
      </c>
      <c r="K16" s="14">
        <v>8</v>
      </c>
      <c r="L16" s="15">
        <f t="shared" si="0"/>
        <v>21.63965770597985</v>
      </c>
      <c r="M16" s="15">
        <f>INDEX(_tTankWeight24[Weight (lbs)],1,1)-$G$16/24*K16</f>
        <v>21.61315873015873</v>
      </c>
    </row>
    <row r="17" spans="1:13" x14ac:dyDescent="0.2">
      <c r="G17" s="22"/>
      <c r="K17" s="14">
        <v>9</v>
      </c>
      <c r="L17" s="15">
        <f t="shared" si="0"/>
        <v>21.612976141920644</v>
      </c>
      <c r="M17" s="15">
        <f>INDEX(_tTankWeight24[Weight (lbs)],1,1)-$G$16/24*K17</f>
        <v>21.579428571428572</v>
      </c>
    </row>
    <row r="18" spans="1:13" x14ac:dyDescent="0.2">
      <c r="K18" s="14">
        <v>10</v>
      </c>
      <c r="L18" s="15">
        <f t="shared" si="0"/>
        <v>21.586294577861437</v>
      </c>
      <c r="M18" s="15">
        <f>INDEX(_tTankWeight24[Weight (lbs)],1,1)-$G$16/24*K18</f>
        <v>21.54569841269841</v>
      </c>
    </row>
    <row r="19" spans="1:13" x14ac:dyDescent="0.2">
      <c r="K19" s="14">
        <v>11</v>
      </c>
      <c r="L19" s="15">
        <f t="shared" si="0"/>
        <v>21.559613013802231</v>
      </c>
      <c r="M19" s="15">
        <f>INDEX(_tTankWeight24[Weight (lbs)],1,1)-$G$16/24*K19</f>
        <v>21.511968253968252</v>
      </c>
    </row>
    <row r="20" spans="1:13" x14ac:dyDescent="0.2">
      <c r="K20" s="14">
        <v>12</v>
      </c>
      <c r="L20" s="15">
        <f t="shared" si="0"/>
        <v>21.532931449743025</v>
      </c>
      <c r="M20" s="15">
        <f>INDEX(_tTankWeight24[Weight (lbs)],1,1)-$G$16/24*K20</f>
        <v>21.478238095238094</v>
      </c>
    </row>
    <row r="21" spans="1:13" x14ac:dyDescent="0.2">
      <c r="K21" s="14">
        <v>13</v>
      </c>
      <c r="L21" s="15">
        <f t="shared" si="0"/>
        <v>21.506249885683818</v>
      </c>
      <c r="M21" s="15">
        <f>INDEX(_tTankWeight24[Weight (lbs)],1,1)-$G$16/24*K21</f>
        <v>21.444507936507936</v>
      </c>
    </row>
    <row r="22" spans="1:13" x14ac:dyDescent="0.2">
      <c r="K22" s="14">
        <v>14</v>
      </c>
      <c r="L22" s="15">
        <f t="shared" si="0"/>
        <v>21.479568321624612</v>
      </c>
      <c r="M22" s="15">
        <f>INDEX(_tTankWeight24[Weight (lbs)],1,1)-$G$16/24*K22</f>
        <v>21.410777777777778</v>
      </c>
    </row>
    <row r="23" spans="1:13" x14ac:dyDescent="0.2">
      <c r="K23" s="14">
        <v>15</v>
      </c>
      <c r="L23" s="15">
        <f t="shared" si="0"/>
        <v>21.452886757565405</v>
      </c>
      <c r="M23" s="15">
        <f>INDEX(_tTankWeight24[Weight (lbs)],1,1)-$G$16/24*K23</f>
        <v>21.37704761904762</v>
      </c>
    </row>
    <row r="24" spans="1:13" x14ac:dyDescent="0.2">
      <c r="K24" s="14">
        <v>16</v>
      </c>
      <c r="L24" s="15">
        <f t="shared" si="0"/>
        <v>21.426205193506199</v>
      </c>
      <c r="M24" s="15">
        <f>INDEX(_tTankWeight24[Weight (lbs)],1,1)-$G$16/24*K24</f>
        <v>21.343317460317458</v>
      </c>
    </row>
    <row r="25" spans="1:13" x14ac:dyDescent="0.2">
      <c r="K25" s="14">
        <v>17</v>
      </c>
      <c r="L25" s="15">
        <f t="shared" si="0"/>
        <v>21.399523629446993</v>
      </c>
      <c r="M25" s="15">
        <f>INDEX(_tTankWeight24[Weight (lbs)],1,1)-$G$16/24*K25</f>
        <v>21.3095873015873</v>
      </c>
    </row>
    <row r="26" spans="1:13" x14ac:dyDescent="0.2">
      <c r="G26" t="str">
        <f>"Measured Propane Burn Rate = "&amp;TEXT($G$12,"0.00")&amp;" lbs/day"</f>
        <v>Measured Propane Burn Rate = 0.64 lbs/day</v>
      </c>
      <c r="K26" s="14">
        <v>18</v>
      </c>
      <c r="L26" s="15">
        <f t="shared" si="0"/>
        <v>21.372842065387786</v>
      </c>
      <c r="M26" s="15">
        <f>INDEX(_tTankWeight24[Weight (lbs)],1,1)-$G$16/24*K26</f>
        <v>21.275857142857141</v>
      </c>
    </row>
    <row r="27" spans="1:13" x14ac:dyDescent="0.2">
      <c r="K27" s="14">
        <v>19</v>
      </c>
      <c r="L27" s="15">
        <f t="shared" si="0"/>
        <v>21.34616050132858</v>
      </c>
      <c r="M27" s="15">
        <f>INDEX(_tTankWeight24[Weight (lbs)],1,1)-$G$16/24*K27</f>
        <v>21.242126984126983</v>
      </c>
    </row>
    <row r="28" spans="1:13" x14ac:dyDescent="0.2">
      <c r="K28" s="14">
        <v>20</v>
      </c>
      <c r="L28" s="15">
        <f t="shared" si="0"/>
        <v>21.319478937269373</v>
      </c>
      <c r="M28" s="15">
        <f>INDEX(_tTankWeight24[Weight (lbs)],1,1)-$G$16/24*K28</f>
        <v>21.208396825396825</v>
      </c>
    </row>
    <row r="29" spans="1:13" x14ac:dyDescent="0.2">
      <c r="F29" s="20"/>
      <c r="K29" s="14">
        <v>21</v>
      </c>
      <c r="L29" s="15">
        <f t="shared" si="0"/>
        <v>21.292797373210167</v>
      </c>
      <c r="M29" s="15">
        <f>INDEX(_tTankWeight24[Weight (lbs)],1,1)-$G$16/24*K29</f>
        <v>21.174666666666667</v>
      </c>
    </row>
    <row r="30" spans="1:13" x14ac:dyDescent="0.2">
      <c r="K30" s="14">
        <v>22</v>
      </c>
      <c r="L30" s="15">
        <f t="shared" si="0"/>
        <v>21.266115809150961</v>
      </c>
      <c r="M30" s="15">
        <f>INDEX(_tTankWeight24[Weight (lbs)],1,1)-$G$16/24*K30</f>
        <v>21.140936507936509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21.239434245091754</v>
      </c>
      <c r="M31" s="15">
        <f>INDEX(_tTankWeight24[Weight (lbs)],1,1)-$G$16/24*K31</f>
        <v>21.107206349206347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26.547669085722983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21.5</v>
      </c>
      <c r="L41">
        <f>K41-17</f>
        <v>4.5</v>
      </c>
      <c r="M41" s="22">
        <v>0.64</v>
      </c>
    </row>
    <row r="42" spans="2:13" x14ac:dyDescent="0.2">
      <c r="K42">
        <v>24.55</v>
      </c>
      <c r="L42">
        <f t="shared" ref="L42:L43" si="1">K42-17</f>
        <v>7.5500000000000007</v>
      </c>
      <c r="M42" s="22">
        <v>0.7</v>
      </c>
    </row>
    <row r="43" spans="2:13" x14ac:dyDescent="0.2">
      <c r="K43">
        <v>27.85</v>
      </c>
      <c r="L43">
        <f t="shared" si="1"/>
        <v>10.850000000000001</v>
      </c>
      <c r="M43" s="22">
        <v>0.76</v>
      </c>
    </row>
    <row r="56" spans="1:1" ht="15" x14ac:dyDescent="0.25">
      <c r="A56" s="3" t="s">
        <v>36</v>
      </c>
    </row>
    <row r="58" spans="1:1" x14ac:dyDescent="0.2">
      <c r="A58" t="s">
        <v>37</v>
      </c>
    </row>
    <row r="59" spans="1:1" x14ac:dyDescent="0.2">
      <c r="A59" t="s">
        <v>38</v>
      </c>
    </row>
  </sheetData>
  <conditionalFormatting sqref="K8:M31">
    <cfRule type="expression" dxfId="11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757-7902-41C1-9127-0A0B0C181624}">
  <dimension ref="A1:P61"/>
  <sheetViews>
    <sheetView showGridLines="0" tabSelected="1" topLeftCell="A16" workbookViewId="0">
      <selection activeCell="F23" sqref="F23"/>
    </sheetView>
  </sheetViews>
  <sheetFormatPr defaultRowHeight="12.75" x14ac:dyDescent="0.2"/>
  <cols>
    <col min="2" max="2" width="17.140625" customWidth="1"/>
    <col min="3" max="3" width="15.140625" bestFit="1" customWidth="1"/>
    <col min="4" max="5" width="15.42578125" bestFit="1" customWidth="1"/>
    <col min="6" max="6" width="15.140625" bestFit="1" customWidth="1"/>
  </cols>
  <sheetData>
    <row r="1" spans="1:13" x14ac:dyDescent="0.2">
      <c r="A1" s="1" t="s">
        <v>0</v>
      </c>
      <c r="B1" s="2" t="s">
        <v>1</v>
      </c>
      <c r="C1" s="2"/>
    </row>
    <row r="2" spans="1:13" x14ac:dyDescent="0.2">
      <c r="A2" s="1" t="s">
        <v>2</v>
      </c>
      <c r="B2" s="2" t="s">
        <v>16</v>
      </c>
      <c r="C2" s="2"/>
      <c r="E2" s="24" t="s">
        <v>42</v>
      </c>
      <c r="F2" s="24"/>
      <c r="G2" s="24"/>
      <c r="H2" s="24"/>
      <c r="I2" s="24"/>
      <c r="J2" s="24"/>
    </row>
    <row r="3" spans="1:13" x14ac:dyDescent="0.2">
      <c r="A3" s="1" t="s">
        <v>3</v>
      </c>
      <c r="B3" s="2" t="str">
        <f>TEXT(DATE(2023,7,18),"dd-mmm-yyyy")</f>
        <v>18-Jul-2023</v>
      </c>
      <c r="C3" s="2"/>
      <c r="E3" s="24" t="s">
        <v>27</v>
      </c>
      <c r="F3" s="24"/>
      <c r="G3" s="24"/>
      <c r="H3" s="24"/>
      <c r="I3" s="24"/>
      <c r="J3" s="24"/>
    </row>
    <row r="4" spans="1:13" x14ac:dyDescent="0.2">
      <c r="E4" s="24" t="s">
        <v>28</v>
      </c>
      <c r="F4" s="24"/>
      <c r="G4" s="24"/>
      <c r="H4" s="24"/>
      <c r="I4" s="24"/>
      <c r="J4" s="24"/>
    </row>
    <row r="5" spans="1:13" ht="15" x14ac:dyDescent="0.25">
      <c r="A5" s="3" t="s">
        <v>14</v>
      </c>
      <c r="J5" s="3" t="s">
        <v>23</v>
      </c>
    </row>
    <row r="7" spans="1:13" ht="13.5" thickBot="1" x14ac:dyDescent="0.25">
      <c r="B7" s="7" t="s">
        <v>4</v>
      </c>
      <c r="C7" s="8" t="s">
        <v>6</v>
      </c>
      <c r="D7" s="9" t="s">
        <v>7</v>
      </c>
      <c r="G7" s="4" t="s">
        <v>12</v>
      </c>
      <c r="H7" s="4" t="s">
        <v>13</v>
      </c>
      <c r="K7" s="12" t="s">
        <v>4</v>
      </c>
      <c r="L7" s="13" t="s">
        <v>5</v>
      </c>
      <c r="M7" s="13" t="s">
        <v>33</v>
      </c>
    </row>
    <row r="8" spans="1:13" ht="13.5" thickTop="1" x14ac:dyDescent="0.2">
      <c r="B8" s="25">
        <v>45125.282638888886</v>
      </c>
      <c r="C8" s="11">
        <f>(_tTankWeight4[[#This Row],[X]]-INDEX('Propane-Use-Day-4'!$B$8,1,1))*24</f>
        <v>0</v>
      </c>
      <c r="D8" s="19">
        <v>21.13</v>
      </c>
      <c r="G8" s="17" cm="1">
        <f t="array" ref="G8:H8">LINEST(_tTankWeight4[Weight (lbs)],_tTankWeight4[Time (hours)])</f>
        <v>-1.9191958572692229E-2</v>
      </c>
      <c r="H8" s="17">
        <v>21.112539469868</v>
      </c>
      <c r="K8" s="14" cm="1">
        <f t="array" ref="K8:K31">_xlfn.SEQUENCE(24,1,0,1)</f>
        <v>0</v>
      </c>
      <c r="L8" s="15">
        <f>_nInt+_nSlope*K8</f>
        <v>21.112539469868</v>
      </c>
      <c r="M8" s="15">
        <f>INDEX(_tTankWeight4[Weight (lbs)],1,1)-$G$16/24*K8</f>
        <v>21.13</v>
      </c>
    </row>
    <row r="9" spans="1:13" x14ac:dyDescent="0.2">
      <c r="B9" s="25">
        <v>45125.387499999997</v>
      </c>
      <c r="C9" s="11">
        <f>(_tTankWeight4[[#This Row],[X]]-INDEX('Propane-Use-Day-4'!$B$8,1,1))*24</f>
        <v>2.5166666666627862</v>
      </c>
      <c r="D9" s="19">
        <v>21.05</v>
      </c>
      <c r="F9" s="18" t="s">
        <v>24</v>
      </c>
      <c r="G9" s="18" t="s">
        <v>8</v>
      </c>
      <c r="H9" s="18" t="s">
        <v>19</v>
      </c>
      <c r="K9" s="14">
        <v>1</v>
      </c>
      <c r="L9" s="15">
        <f t="shared" ref="L9:L31" si="0">_nInt+_nSlope*K9</f>
        <v>21.09334751129531</v>
      </c>
      <c r="M9" s="15">
        <f>INDEX(_tTankWeight4[Weight (lbs)],1,1)-$G$16/24*K9</f>
        <v>21.096269841269841</v>
      </c>
    </row>
    <row r="10" spans="1:13" x14ac:dyDescent="0.2">
      <c r="B10" s="25">
        <v>45125.504166666666</v>
      </c>
      <c r="C10" s="11">
        <f>(_tTankWeight4[[#This Row],[X]]-INDEX('Propane-Use-Day-4'!$B$8,1,1))*24</f>
        <v>5.3166666667093523</v>
      </c>
      <c r="D10" s="19">
        <v>20.99</v>
      </c>
      <c r="K10" s="14">
        <v>2</v>
      </c>
      <c r="L10" s="15">
        <f t="shared" si="0"/>
        <v>21.074155552722615</v>
      </c>
      <c r="M10" s="15">
        <f>INDEX(_tTankWeight4[Weight (lbs)],1,1)-$G$16/24*K10</f>
        <v>21.062539682539683</v>
      </c>
    </row>
    <row r="11" spans="1:13" x14ac:dyDescent="0.2">
      <c r="B11" s="25">
        <v>45125.529166666667</v>
      </c>
      <c r="C11" s="11">
        <f>(_tTankWeight4[[#This Row],[X]]-INDEX('Propane-Use-Day-4'!$B$8,1,1))*24</f>
        <v>5.9166666667442769</v>
      </c>
      <c r="D11" s="19">
        <v>20.97666667</v>
      </c>
      <c r="G11" s="4" t="s">
        <v>17</v>
      </c>
      <c r="K11" s="14">
        <v>3</v>
      </c>
      <c r="L11" s="15">
        <f t="shared" si="0"/>
        <v>21.054963594149925</v>
      </c>
      <c r="M11" s="15">
        <f>INDEX(_tTankWeight4[Weight (lbs)],1,1)-$G$16/24*K11</f>
        <v>21.028809523809525</v>
      </c>
    </row>
    <row r="12" spans="1:13" x14ac:dyDescent="0.2">
      <c r="B12" s="25">
        <v>45125.571527777778</v>
      </c>
      <c r="C12" s="11">
        <f>(_tTankWeight4[[#This Row],[X]]-INDEX('Propane-Use-Day-4'!$B$8,1,1))*24</f>
        <v>6.933333333407063</v>
      </c>
      <c r="D12" s="19">
        <v>21.016666669999999</v>
      </c>
      <c r="G12" s="22">
        <f>ABS(24*_nSlope)</f>
        <v>0.4606070057446135</v>
      </c>
      <c r="H12" t="s">
        <v>22</v>
      </c>
      <c r="I12" t="str">
        <f ca="1">_xlfn.FORMULATEXT(G12)</f>
        <v>=ABS(24*_nSlope)</v>
      </c>
      <c r="K12" s="14">
        <v>4</v>
      </c>
      <c r="L12" s="15">
        <f t="shared" si="0"/>
        <v>21.03577163557723</v>
      </c>
      <c r="M12" s="15">
        <f>INDEX(_tTankWeight4[Weight (lbs)],1,1)-$G$16/24*K12</f>
        <v>20.995079365079363</v>
      </c>
    </row>
    <row r="13" spans="1:13" x14ac:dyDescent="0.2">
      <c r="B13" s="25">
        <v>45125.611805555556</v>
      </c>
      <c r="C13" s="11">
        <f>(_tTankWeight4[[#This Row],[X]]-INDEX('Propane-Use-Day-4'!$B$8,1,1))*24</f>
        <v>7.9000000000814907</v>
      </c>
      <c r="D13" s="19">
        <v>20.963333330000001</v>
      </c>
      <c r="K13" s="14">
        <v>5</v>
      </c>
      <c r="L13" s="15">
        <f t="shared" si="0"/>
        <v>21.01657967700454</v>
      </c>
      <c r="M13" s="15">
        <f>INDEX(_tTankWeight4[Weight (lbs)],1,1)-$G$16/24*K13</f>
        <v>20.961349206349205</v>
      </c>
    </row>
    <row r="14" spans="1:13" x14ac:dyDescent="0.2">
      <c r="K14" s="14">
        <v>6</v>
      </c>
      <c r="L14" s="15">
        <f t="shared" si="0"/>
        <v>20.997387718431845</v>
      </c>
      <c r="M14" s="15">
        <f>INDEX(_tTankWeight4[Weight (lbs)],1,1)-$G$16/24*K14</f>
        <v>20.927619047619046</v>
      </c>
    </row>
    <row r="15" spans="1:13" x14ac:dyDescent="0.2">
      <c r="D15">
        <v>21.05</v>
      </c>
      <c r="G15" s="4" t="s">
        <v>34</v>
      </c>
      <c r="K15" s="14">
        <v>7</v>
      </c>
      <c r="L15" s="15">
        <f t="shared" si="0"/>
        <v>20.978195759859155</v>
      </c>
      <c r="M15" s="15">
        <f>INDEX(_tTankWeight4[Weight (lbs)],1,1)-$G$16/24*K15</f>
        <v>20.893888888888888</v>
      </c>
    </row>
    <row r="16" spans="1:13" x14ac:dyDescent="0.2">
      <c r="D16">
        <v>21.37</v>
      </c>
      <c r="G16" s="22">
        <f>H33/21</f>
        <v>0.80952380952380953</v>
      </c>
      <c r="H16" t="s">
        <v>22</v>
      </c>
      <c r="K16" s="14">
        <v>8</v>
      </c>
      <c r="L16" s="15">
        <f t="shared" si="0"/>
        <v>20.959003801286464</v>
      </c>
      <c r="M16" s="15">
        <f>INDEX(_tTankWeight4[Weight (lbs)],1,1)-$G$16/24*K16</f>
        <v>20.86015873015873</v>
      </c>
    </row>
    <row r="17" spans="1:13" x14ac:dyDescent="0.2">
      <c r="D17">
        <v>21.13</v>
      </c>
      <c r="G17" s="22"/>
      <c r="K17" s="14">
        <v>9</v>
      </c>
      <c r="L17" s="15">
        <f t="shared" si="0"/>
        <v>20.93981184271377</v>
      </c>
      <c r="M17" s="15">
        <f>INDEX(_tTankWeight4[Weight (lbs)],1,1)-$G$16/24*K17</f>
        <v>20.826428571428572</v>
      </c>
    </row>
    <row r="18" spans="1:13" x14ac:dyDescent="0.2">
      <c r="C18" s="27">
        <v>21.193333330000002</v>
      </c>
      <c r="D18">
        <v>21.13</v>
      </c>
      <c r="K18" s="14">
        <v>10</v>
      </c>
      <c r="L18" s="15">
        <f t="shared" si="0"/>
        <v>20.920619884141079</v>
      </c>
      <c r="M18" s="15">
        <f>INDEX(_tTankWeight4[Weight (lbs)],1,1)-$G$16/24*K18</f>
        <v>20.79269841269841</v>
      </c>
    </row>
    <row r="19" spans="1:13" x14ac:dyDescent="0.2">
      <c r="D19">
        <v>21.16</v>
      </c>
      <c r="K19" s="14">
        <v>11</v>
      </c>
      <c r="L19" s="15">
        <f t="shared" si="0"/>
        <v>20.901427925568385</v>
      </c>
      <c r="M19" s="15">
        <f>INDEX(_tTankWeight4[Weight (lbs)],1,1)-$G$16/24*K19</f>
        <v>20.758968253968252</v>
      </c>
    </row>
    <row r="20" spans="1:13" x14ac:dyDescent="0.2">
      <c r="K20" s="14">
        <v>12</v>
      </c>
      <c r="L20" s="15">
        <f t="shared" si="0"/>
        <v>20.882235966995694</v>
      </c>
      <c r="M20" s="15">
        <f>INDEX(_tTankWeight4[Weight (lbs)],1,1)-$G$16/24*K20</f>
        <v>20.725238095238094</v>
      </c>
    </row>
    <row r="21" spans="1:13" x14ac:dyDescent="0.2">
      <c r="B21">
        <v>20.96</v>
      </c>
      <c r="D21">
        <v>21.04</v>
      </c>
      <c r="K21" s="14">
        <v>13</v>
      </c>
      <c r="L21" s="15">
        <f t="shared" si="0"/>
        <v>20.863044008423003</v>
      </c>
      <c r="M21" s="15">
        <f>INDEX(_tTankWeight4[Weight (lbs)],1,1)-$G$16/24*K21</f>
        <v>20.691507936507936</v>
      </c>
    </row>
    <row r="22" spans="1:13" x14ac:dyDescent="0.2">
      <c r="B22">
        <v>20.99</v>
      </c>
      <c r="D22">
        <v>20.98</v>
      </c>
      <c r="K22" s="14">
        <v>14</v>
      </c>
      <c r="L22" s="15">
        <f t="shared" si="0"/>
        <v>20.843852049850309</v>
      </c>
      <c r="M22" s="15">
        <f>INDEX(_tTankWeight4[Weight (lbs)],1,1)-$G$16/24*K22</f>
        <v>20.657777777777778</v>
      </c>
    </row>
    <row r="23" spans="1:13" x14ac:dyDescent="0.2">
      <c r="B23">
        <v>20.94</v>
      </c>
      <c r="D23">
        <v>21.03</v>
      </c>
      <c r="K23" s="14">
        <v>15</v>
      </c>
      <c r="L23" s="15">
        <f t="shared" si="0"/>
        <v>20.824660091277618</v>
      </c>
      <c r="M23" s="15">
        <f>INDEX(_tTankWeight4[Weight (lbs)],1,1)-$G$16/24*K23</f>
        <v>20.624047619047619</v>
      </c>
    </row>
    <row r="24" spans="1:13" x14ac:dyDescent="0.2">
      <c r="B24">
        <v>20.963333330000001</v>
      </c>
      <c r="D24">
        <v>21.016666669999999</v>
      </c>
      <c r="K24" s="14">
        <v>16</v>
      </c>
      <c r="L24" s="15">
        <f t="shared" si="0"/>
        <v>20.805468132704924</v>
      </c>
      <c r="M24" s="15">
        <f>INDEX(_tTankWeight4[Weight (lbs)],1,1)-$G$16/24*K24</f>
        <v>20.590317460317458</v>
      </c>
    </row>
    <row r="25" spans="1:13" x14ac:dyDescent="0.2">
      <c r="K25" s="14">
        <v>17</v>
      </c>
      <c r="L25" s="15">
        <f t="shared" si="0"/>
        <v>20.786276174132233</v>
      </c>
      <c r="M25" s="15">
        <f>INDEX(_tTankWeight4[Weight (lbs)],1,1)-$G$16/24*K25</f>
        <v>20.5565873015873</v>
      </c>
    </row>
    <row r="26" spans="1:13" x14ac:dyDescent="0.2">
      <c r="G26" t="str">
        <f>"Measured Propane Burn Rate = "&amp;TEXT($G$12,"0.00")&amp;" lbs/day"</f>
        <v>Measured Propane Burn Rate = 0.46 lbs/day</v>
      </c>
      <c r="K26" s="14">
        <v>18</v>
      </c>
      <c r="L26" s="15">
        <f t="shared" si="0"/>
        <v>20.767084215559539</v>
      </c>
      <c r="M26" s="15">
        <f>INDEX(_tTankWeight4[Weight (lbs)],1,1)-$G$16/24*K26</f>
        <v>20.522857142857141</v>
      </c>
    </row>
    <row r="27" spans="1:13" x14ac:dyDescent="0.2">
      <c r="K27" s="14">
        <v>19</v>
      </c>
      <c r="L27" s="15">
        <f t="shared" si="0"/>
        <v>20.747892256986848</v>
      </c>
      <c r="M27" s="15">
        <f>INDEX(_tTankWeight4[Weight (lbs)],1,1)-$G$16/24*K27</f>
        <v>20.489126984126983</v>
      </c>
    </row>
    <row r="28" spans="1:13" x14ac:dyDescent="0.2">
      <c r="K28" s="14">
        <v>20</v>
      </c>
      <c r="L28" s="15">
        <f t="shared" si="0"/>
        <v>20.728700298414157</v>
      </c>
      <c r="M28" s="15">
        <f>INDEX(_tTankWeight4[Weight (lbs)],1,1)-$G$16/24*K28</f>
        <v>20.455396825396825</v>
      </c>
    </row>
    <row r="29" spans="1:13" x14ac:dyDescent="0.2">
      <c r="F29" s="20"/>
      <c r="K29" s="14">
        <v>21</v>
      </c>
      <c r="L29" s="15">
        <f t="shared" si="0"/>
        <v>20.709508339841463</v>
      </c>
      <c r="M29" s="15">
        <f>INDEX(_tTankWeight4[Weight (lbs)],1,1)-$G$16/24*K29</f>
        <v>20.421666666666667</v>
      </c>
    </row>
    <row r="30" spans="1:13" x14ac:dyDescent="0.2">
      <c r="K30" s="14">
        <v>22</v>
      </c>
      <c r="L30" s="15">
        <f t="shared" si="0"/>
        <v>20.690316381268772</v>
      </c>
      <c r="M30" s="15">
        <f>INDEX(_tTankWeight4[Weight (lbs)],1,1)-$G$16/24*K30</f>
        <v>20.387936507936509</v>
      </c>
    </row>
    <row r="31" spans="1:13" ht="15" x14ac:dyDescent="0.25">
      <c r="A31" s="3" t="s">
        <v>15</v>
      </c>
      <c r="E31" s="3" t="s">
        <v>18</v>
      </c>
      <c r="K31" s="14">
        <v>23</v>
      </c>
      <c r="L31" s="15">
        <f t="shared" si="0"/>
        <v>20.671124422696078</v>
      </c>
      <c r="M31" s="15">
        <f>INDEX(_tTankWeight4[Weight (lbs)],1,1)-$G$16/24*K31</f>
        <v>20.354206349206347</v>
      </c>
    </row>
    <row r="33" spans="2:13" x14ac:dyDescent="0.2">
      <c r="B33" s="4" t="s">
        <v>9</v>
      </c>
      <c r="C33" t="s">
        <v>35</v>
      </c>
      <c r="E33" t="s">
        <v>29</v>
      </c>
      <c r="H33" s="5">
        <v>17</v>
      </c>
      <c r="I33" t="s">
        <v>19</v>
      </c>
    </row>
    <row r="34" spans="2:13" x14ac:dyDescent="0.2">
      <c r="B34" s="4" t="s">
        <v>10</v>
      </c>
      <c r="C34" t="s">
        <v>6</v>
      </c>
      <c r="E34" t="s">
        <v>20</v>
      </c>
      <c r="H34" s="6">
        <f>H33/ABS(G12)</f>
        <v>36.907819004007415</v>
      </c>
      <c r="I34" s="16" t="s">
        <v>21</v>
      </c>
    </row>
    <row r="35" spans="2:13" x14ac:dyDescent="0.2">
      <c r="B35" s="4" t="s">
        <v>11</v>
      </c>
      <c r="C35" t="s">
        <v>25</v>
      </c>
    </row>
    <row r="40" spans="2:13" x14ac:dyDescent="0.2">
      <c r="L40" t="s">
        <v>41</v>
      </c>
      <c r="M40" t="s">
        <v>40</v>
      </c>
    </row>
    <row r="41" spans="2:13" x14ac:dyDescent="0.2">
      <c r="K41">
        <v>21.13</v>
      </c>
      <c r="L41">
        <f>K41-17</f>
        <v>4.129999999999999</v>
      </c>
      <c r="M41">
        <v>0.46</v>
      </c>
    </row>
    <row r="42" spans="2:13" x14ac:dyDescent="0.2">
      <c r="K42">
        <v>21.88</v>
      </c>
      <c r="L42">
        <f>K42-17</f>
        <v>4.879999999999999</v>
      </c>
      <c r="M42" s="22">
        <v>0.64</v>
      </c>
    </row>
    <row r="43" spans="2:13" x14ac:dyDescent="0.2">
      <c r="K43">
        <v>24.67</v>
      </c>
      <c r="L43">
        <f t="shared" ref="L43:L44" si="1">K43-17</f>
        <v>7.6700000000000017</v>
      </c>
      <c r="M43" s="22">
        <v>0.7</v>
      </c>
    </row>
    <row r="44" spans="2:13" x14ac:dyDescent="0.2">
      <c r="K44">
        <v>28.11</v>
      </c>
      <c r="L44">
        <f t="shared" si="1"/>
        <v>11.11</v>
      </c>
      <c r="M44" s="22">
        <v>0.76</v>
      </c>
    </row>
    <row r="45" spans="2:13" ht="15" x14ac:dyDescent="0.25">
      <c r="K45" s="3" t="s">
        <v>43</v>
      </c>
    </row>
    <row r="47" spans="2:13" x14ac:dyDescent="0.2">
      <c r="K47" cm="1">
        <f t="array" ref="K47:L47">LINEST(M41:M44,L41:L44)</f>
        <v>3.4928658215594648E-2</v>
      </c>
      <c r="L47">
        <v>0.39733314704715617</v>
      </c>
    </row>
    <row r="49" spans="1:16" x14ac:dyDescent="0.2">
      <c r="L49" t="s">
        <v>5</v>
      </c>
    </row>
    <row r="50" spans="1:16" x14ac:dyDescent="0.2">
      <c r="K50" cm="1">
        <f t="array" ref="K50:K61">_xlfn.SEQUENCE(12,1,0,1)</f>
        <v>0</v>
      </c>
      <c r="L50" s="26">
        <f>$L$47+K50*$K$47</f>
        <v>0.39733314704715617</v>
      </c>
    </row>
    <row r="51" spans="1:16" x14ac:dyDescent="0.2">
      <c r="K51">
        <v>1</v>
      </c>
      <c r="L51" s="26">
        <f t="shared" ref="L51:L61" si="2">$L$47+K51*$K$47</f>
        <v>0.43226180526275082</v>
      </c>
    </row>
    <row r="52" spans="1:16" x14ac:dyDescent="0.2">
      <c r="K52">
        <v>2</v>
      </c>
      <c r="L52" s="26">
        <f t="shared" si="2"/>
        <v>0.46719046347834547</v>
      </c>
    </row>
    <row r="53" spans="1:16" x14ac:dyDescent="0.2">
      <c r="K53">
        <v>3</v>
      </c>
      <c r="L53" s="26">
        <f t="shared" si="2"/>
        <v>0.50211912169394013</v>
      </c>
    </row>
    <row r="54" spans="1:16" x14ac:dyDescent="0.2">
      <c r="K54">
        <v>4</v>
      </c>
      <c r="L54" s="26">
        <f t="shared" si="2"/>
        <v>0.53704777990953478</v>
      </c>
    </row>
    <row r="55" spans="1:16" x14ac:dyDescent="0.2">
      <c r="K55">
        <v>5</v>
      </c>
      <c r="L55" s="26">
        <f t="shared" si="2"/>
        <v>0.57197643812512944</v>
      </c>
    </row>
    <row r="56" spans="1:16" ht="15" x14ac:dyDescent="0.25">
      <c r="A56" s="3" t="s">
        <v>36</v>
      </c>
      <c r="K56">
        <v>6</v>
      </c>
      <c r="L56" s="26">
        <f t="shared" si="2"/>
        <v>0.60690509634072409</v>
      </c>
      <c r="O56" t="s">
        <v>9</v>
      </c>
      <c r="P56" t="s">
        <v>44</v>
      </c>
    </row>
    <row r="57" spans="1:16" x14ac:dyDescent="0.2">
      <c r="K57">
        <v>7</v>
      </c>
      <c r="L57" s="26">
        <f t="shared" si="2"/>
        <v>0.64183375455631864</v>
      </c>
      <c r="O57" t="s">
        <v>10</v>
      </c>
      <c r="P57" t="s">
        <v>45</v>
      </c>
    </row>
    <row r="58" spans="1:16" x14ac:dyDescent="0.2">
      <c r="A58" t="s">
        <v>37</v>
      </c>
      <c r="K58">
        <v>8</v>
      </c>
      <c r="L58" s="26">
        <f t="shared" si="2"/>
        <v>0.6767624127719134</v>
      </c>
      <c r="O58" t="s">
        <v>11</v>
      </c>
      <c r="P58" t="s">
        <v>46</v>
      </c>
    </row>
    <row r="59" spans="1:16" x14ac:dyDescent="0.2">
      <c r="A59" t="s">
        <v>38</v>
      </c>
      <c r="K59">
        <v>9</v>
      </c>
      <c r="L59" s="26">
        <f t="shared" si="2"/>
        <v>0.71169107098750795</v>
      </c>
    </row>
    <row r="60" spans="1:16" x14ac:dyDescent="0.2">
      <c r="K60">
        <v>10</v>
      </c>
      <c r="L60" s="26">
        <f t="shared" si="2"/>
        <v>0.74661972920310271</v>
      </c>
    </row>
    <row r="61" spans="1:16" x14ac:dyDescent="0.2">
      <c r="K61">
        <v>11</v>
      </c>
      <c r="L61" s="26">
        <f t="shared" si="2"/>
        <v>0.78154838741869725</v>
      </c>
    </row>
  </sheetData>
  <conditionalFormatting sqref="K8:M31">
    <cfRule type="expression" dxfId="5" priority="1">
      <formula>MOD(ROW(K8)-ROW($K$7),2)</formula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Propane-Use-Day-1</vt:lpstr>
      <vt:lpstr>Propane-Use-Day-2</vt:lpstr>
      <vt:lpstr>Propane-Use-Day-3</vt:lpstr>
      <vt:lpstr>Propane-Use-Day-4</vt:lpstr>
      <vt:lpstr>'Propane-Use-Day-2'!_nInt</vt:lpstr>
      <vt:lpstr>'Propane-Use-Day-3'!_nInt</vt:lpstr>
      <vt:lpstr>'Propane-Use-Day-4'!_nInt</vt:lpstr>
      <vt:lpstr>_nInt</vt:lpstr>
      <vt:lpstr>'Propane-Use-Day-2'!_nSlope</vt:lpstr>
      <vt:lpstr>'Propane-Use-Day-3'!_nSlope</vt:lpstr>
      <vt:lpstr>'Propane-Use-Day-4'!_nSlope</vt:lpstr>
      <vt:lpstr>_nSlope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2023-07-18T19:45:25Z</dcterms:modified>
</cp:coreProperties>
</file>