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starkeyhearingtechnologies-my.sharepoint.com/personal/mark_biegert_starkey_com/Documents/Desktop/Toss/"/>
    </mc:Choice>
  </mc:AlternateContent>
  <xr:revisionPtr revIDLastSave="170" documentId="8_{BF44534F-910E-4EDC-B7CB-C8FFAAF33F62}" xr6:coauthVersionLast="47" xr6:coauthVersionMax="47" xr10:uidLastSave="{D0950B1F-80EE-4154-978F-7125477EAD76}"/>
  <bookViews>
    <workbookView xWindow="28680" yWindow="1665" windowWidth="29040" windowHeight="15720" activeTab="3" xr2:uid="{00000000-000D-0000-FFFF-FFFF00000000}"/>
  </bookViews>
  <sheets>
    <sheet name="Original" sheetId="1" r:id="rId1"/>
    <sheet name="EDA" sheetId="2" r:id="rId2"/>
    <sheet name="Alt1" sheetId="4" r:id="rId3"/>
    <sheet name="SingleFunction" sheetId="5" r:id="rId4"/>
  </sheets>
  <definedNames>
    <definedName name="HD_Date">_xlfn.LET(_xlpm.dt, TODAY(),      _xlpm.y,  YEAR(_xlpm.dt),      _xlpm.m,  MONTH(_xlpm.dt),      _xlpm.d,  DAY(_xlpm.dt),      TEXT(DATE(_xlpm.y,_xlpm.m,_xlpm.d),"dd-mmm-yyyy")     )</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2" i="5" l="1" a="1"/>
  <c r="G42" i="5" s="1"/>
  <c r="K40" i="5"/>
  <c r="G28" i="5" a="1"/>
  <c r="G28" i="5" s="1"/>
  <c r="J27" i="5"/>
  <c r="S17" i="5" a="1"/>
  <c r="S17" i="5" s="1"/>
  <c r="S26" i="5" s="1"/>
  <c r="G10" i="5" a="1"/>
  <c r="G10" i="5" s="1"/>
  <c r="G15" i="5" s="1" a="1"/>
  <c r="G15" i="2" a="1"/>
  <c r="G15" i="2" s="1"/>
  <c r="G10" i="2" a="1"/>
  <c r="G10" i="2" s="1"/>
  <c r="G42" i="2" a="1"/>
  <c r="G42" i="2" s="1"/>
  <c r="K40" i="2"/>
  <c r="J27" i="2"/>
  <c r="D32" i="4" a="1"/>
  <c r="D32" i="4" s="1"/>
  <c r="B32" i="4" a="1"/>
  <c r="B32" i="4" s="1"/>
  <c r="O21" i="4" a="1"/>
  <c r="O21" i="4" s="1"/>
  <c r="O30" i="4" s="1"/>
  <c r="G28" i="2" a="1"/>
  <c r="J28" i="2" s="1"/>
  <c r="O21" i="1" a="1"/>
  <c r="O21" i="1" s="1"/>
  <c r="S17" i="2" a="1"/>
  <c r="S17" i="2" s="1"/>
  <c r="S26" i="2" s="1"/>
  <c r="K28" i="5" l="1" a="1"/>
  <c r="K28" i="5" s="1"/>
  <c r="L28" i="5" a="1"/>
  <c r="L28" i="5" s="1"/>
  <c r="J42" i="5" a="1"/>
  <c r="J42" i="5" s="1"/>
  <c r="K16" i="5" a="1"/>
  <c r="K16" i="5" s="1"/>
  <c r="G15" i="5"/>
  <c r="E51" i="5" s="1" a="1"/>
  <c r="E51" i="5" s="1"/>
  <c r="J28" i="5"/>
  <c r="J30" i="5"/>
  <c r="J29" i="5"/>
  <c r="J31" i="5"/>
  <c r="J32" i="5"/>
  <c r="K42" i="5" a="1"/>
  <c r="K42" i="5" s="1"/>
  <c r="L42" i="5" s="1" a="1"/>
  <c r="L42" i="5" s="1"/>
  <c r="J33" i="5"/>
  <c r="K16" i="2" a="1"/>
  <c r="K16" i="2" s="1"/>
  <c r="K42" i="2" a="1"/>
  <c r="K42" i="2" s="1"/>
  <c r="J29" i="2"/>
  <c r="G28" i="2"/>
  <c r="O30" i="1"/>
  <c r="M42" i="5" l="1"/>
  <c r="H9" i="5" s="1"/>
  <c r="J35" i="5"/>
  <c r="J34" i="5"/>
  <c r="M28" i="5" a="1"/>
  <c r="M28" i="5" s="1"/>
  <c r="N28" i="5" s="1" a="1"/>
  <c r="N28" i="5" s="1"/>
  <c r="O28" i="5" s="1" a="1"/>
  <c r="O28" i="5" s="1"/>
  <c r="L28" i="2" a="1"/>
  <c r="L28" i="2" s="1"/>
  <c r="K28" i="2" a="1"/>
  <c r="K28" i="2" s="1"/>
  <c r="J30" i="2"/>
  <c r="J36" i="5" l="1"/>
  <c r="M28" i="2" a="1"/>
  <c r="M28" i="2" s="1"/>
  <c r="N28" i="2" s="1" a="1"/>
  <c r="N28" i="2" s="1"/>
  <c r="O28" i="2" s="1" a="1"/>
  <c r="O28" i="2" s="1"/>
  <c r="J42" i="2" a="1"/>
  <c r="J42" i="2" s="1"/>
  <c r="L42" i="2" a="1"/>
  <c r="L42" i="2" s="1"/>
  <c r="J31" i="2"/>
  <c r="P32" i="5" l="1"/>
  <c r="J37" i="5"/>
  <c r="J38" i="5" s="1"/>
  <c r="M42" i="2"/>
  <c r="H9" i="2" s="1"/>
  <c r="J32" i="2"/>
  <c r="J33" i="2" l="1"/>
  <c r="J34" i="2" s="1"/>
  <c r="J35" i="2" s="1"/>
  <c r="J36" i="2" l="1"/>
  <c r="J37" i="2" l="1"/>
  <c r="J38" i="2" l="1"/>
  <c r="P3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<sst xmlns="http://schemas.openxmlformats.org/spreadsheetml/2006/main" count="225" uniqueCount="24">
  <si>
    <t>Result</t>
  </si>
  <si>
    <t>Date</t>
  </si>
  <si>
    <t>Sales</t>
  </si>
  <si>
    <t>Customer</t>
  </si>
  <si>
    <t>Balance</t>
  </si>
  <si>
    <t>A</t>
  </si>
  <si>
    <t>B</t>
  </si>
  <si>
    <t>C</t>
  </si>
  <si>
    <t>Question table 1</t>
  </si>
  <si>
    <t>Question table 2: Balance on 31/08/2024</t>
  </si>
  <si>
    <t>DSO (day)</t>
  </si>
  <si>
    <t>Days</t>
  </si>
  <si>
    <t>Report Date</t>
  </si>
  <si>
    <t>part to cover Balance</t>
  </si>
  <si>
    <t>DSO= weighted Average</t>
  </si>
  <si>
    <t>Detail of calculation for customer A</t>
  </si>
  <si>
    <t>https://www.linkedin.com/feed/update/urn:li:activity:7244450548014350336/</t>
  </si>
  <si>
    <t>Days Out</t>
  </si>
  <si>
    <t>Model Development</t>
  </si>
  <si>
    <t>Check</t>
  </si>
  <si>
    <t>I like this approach</t>
  </si>
  <si>
    <t>r</t>
  </si>
  <si>
    <t>fd</t>
  </si>
  <si>
    <t>My Single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</si>
</sst>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dddd"/>
    <numFmt numFmtId="165" formatCode="_(* #,##0.00_);_(* \(#,##0.00\);_(* &quot;-&quot;_);_(@_)"/>
    <numFmt numFmtId="166" formatCode="0;\-0;0;@"/>
  </numFmts>
  <fonts count="13" x14ac:knownFonts="1">
    <font>
      <sz val="11"/>
      <color theme="1"/>
      <name val="Garamond"/>
      <family val="2"/>
      <scheme val="minor"/>
    </font>
    <font>
      <sz val="8"/>
      <name val="Garamond"/>
      <family val="2"/>
      <scheme val="minor"/>
    </font>
    <font>
      <sz val="11"/>
      <color theme="1"/>
      <name val="Times New Roman"/>
      <family val="1"/>
    </font>
    <font>
      <b/>
      <sz val="11"/>
      <color theme="1"/>
      <name val="Garamond"/>
      <family val="1"/>
      <scheme val="minor"/>
    </font>
    <font>
      <sz val="11"/>
      <color theme="1"/>
      <name val="Garamond"/>
      <family val="2"/>
      <scheme val="minor"/>
    </font>
    <font>
      <b/>
      <sz val="11"/>
      <color theme="1"/>
      <name val="Garamond"/>
      <family val="2"/>
      <scheme val="minor"/>
    </font>
    <font>
      <b/>
      <sz val="11"/>
      <color theme="1"/>
      <name val="Times New Roman"/>
      <family val="1"/>
    </font>
    <font>
      <b/>
      <sz val="12"/>
      <color theme="1"/>
      <name val="Times New Roman"/>
      <family val="1"/>
    </font>
    <font>
      <b/>
      <sz val="12"/>
      <color theme="1"/>
      <name val="Garamond"/>
      <family val="2"/>
      <scheme val="minor"/>
    </font>
    <font>
      <b/>
      <sz val="11"/>
      <color rgb="FFFF0000"/>
      <name val="Times New Roman"/>
      <family val="1"/>
    </font>
    <font>
      <sz val="10"/>
      <color theme="1"/>
      <name val="Garamond"/>
      <family val="2"/>
      <scheme val="minor"/>
    </font>
    <font>
      <b/>
      <sz val="10"/>
      <color theme="1"/>
      <name val="Garamond"/>
      <family val="2"/>
      <scheme val="minor"/>
    </font>
    <font>
      <b/>
      <sz val="11"/>
      <color theme="1"/>
      <name val="Aptos Mono"/>
      <family val="2"/>
    </font>
  </fonts>
  <fills count="7">
    <fill>
      <patternFill patternType="none"/>
    </fill>
    <fill>
      <patternFill patternType="gray125"/>
    </fill>
    <fill>
      <patternFill patternType="solid">
        <fgColor theme="5" tint="0.59999389629810485"/>
        <bgColor indexed="64"/>
      </patternFill>
    </fill>
    <fill>
      <patternFill patternType="solid">
        <fgColor theme="7" tint="0.39997558519241921"/>
        <bgColor indexed="64"/>
      </patternFill>
    </fill>
    <fill>
      <patternFill patternType="solid">
        <fgColor rgb="FFFFC000"/>
        <bgColor indexed="64"/>
      </patternFill>
    </fill>
    <fill>
      <patternFill patternType="solid">
        <fgColor theme="7" tint="0.79998168889431442"/>
        <bgColor indexed="64"/>
      </patternFill>
    </fill>
    <fill>
      <patternFill patternType="solid">
        <fgColor theme="6" tint="0.59996337778862885"/>
        <bgColor indexed="64"/>
      </patternFill>
    </fill>
  </fills>
  <borders count="13">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right/>
      <top/>
      <bottom style="thin">
        <color auto="1"/>
      </bottom>
      <diagonal/>
    </border>
    <border>
      <left style="thin">
        <color auto="1"/>
      </left>
      <right style="hair">
        <color auto="1"/>
      </right>
      <top style="thin">
        <color auto="1"/>
      </top>
      <bottom/>
      <diagonal/>
    </border>
    <border>
      <left/>
      <right style="hair">
        <color auto="1"/>
      </right>
      <top style="thin">
        <color auto="1"/>
      </top>
      <bottom/>
      <diagonal/>
    </border>
    <border>
      <left/>
      <right style="thin">
        <color auto="1"/>
      </right>
      <top style="thin">
        <color auto="1"/>
      </top>
      <bottom style="hair">
        <color auto="1"/>
      </bottom>
      <diagonal/>
    </border>
    <border>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right style="thin">
        <color auto="1"/>
      </right>
      <top style="hair">
        <color auto="1"/>
      </top>
      <bottom style="thin">
        <color auto="1"/>
      </bottom>
      <diagonal/>
    </border>
    <border>
      <left/>
      <right/>
      <top style="thin">
        <color auto="1"/>
      </top>
      <bottom style="hair">
        <color auto="1"/>
      </bottom>
      <diagonal/>
    </border>
    <border>
      <left/>
      <right/>
      <top style="hair">
        <color auto="1"/>
      </top>
      <bottom style="hair">
        <color auto="1"/>
      </bottom>
      <diagonal/>
    </border>
    <border>
      <left style="thin">
        <color indexed="64"/>
      </left>
      <right style="thin">
        <color indexed="64"/>
      </right>
      <top style="thin">
        <color indexed="64"/>
      </top>
      <bottom style="thin">
        <color indexed="64"/>
      </bottom>
      <diagonal/>
    </border>
  </borders>
  <cellStyleXfs count="5">
    <xf numFmtId="0" fontId="0" fillId="0" borderId="0"/>
    <xf numFmtId="41" fontId="4" fillId="0" borderId="0" applyFont="0" applyFill="0" applyBorder="0" applyAlignment="0" applyProtection="0"/>
    <xf numFmtId="0" fontId="10" fillId="0" borderId="0"/>
    <xf numFmtId="0" fontId="11" fillId="6" borderId="0" applyNumberFormat="0" applyAlignment="0" applyProtection="0"/>
    <xf numFmtId="0" fontId="12" fillId="0" borderId="0" applyFill="0" applyAlignment="0" applyProtection="0"/>
  </cellStyleXfs>
  <cellXfs count="54">
    <xf numFmtId="0" fontId="0" fillId="0" borderId="0" xfId="0"/>
    <xf numFmtId="14" fontId="0" fillId="0" borderId="0" xfId="0" applyNumberFormat="1"/>
    <xf numFmtId="0" fontId="2" fillId="0" borderId="0" xfId="0" applyFont="1"/>
    <xf numFmtId="14" fontId="2" fillId="0" borderId="0" xfId="0" applyNumberFormat="1" applyFont="1"/>
    <xf numFmtId="0" fontId="0" fillId="0" borderId="0" xfId="0" applyAlignment="1">
      <alignment horizontal="center"/>
    </xf>
    <xf numFmtId="164" fontId="2" fillId="0" borderId="0" xfId="0" applyNumberFormat="1" applyFont="1"/>
    <xf numFmtId="0" fontId="3" fillId="0" borderId="0" xfId="0" applyFont="1" applyAlignment="1">
      <alignment vertical="center"/>
    </xf>
    <xf numFmtId="14" fontId="0" fillId="0" borderId="0" xfId="0" applyNumberFormat="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3" fontId="2" fillId="0" borderId="6" xfId="0" applyNumberFormat="1" applyFont="1" applyBorder="1" applyAlignment="1">
      <alignment horizontal="center"/>
    </xf>
    <xf numFmtId="3" fontId="2" fillId="0" borderId="7" xfId="0" applyNumberFormat="1" applyFont="1" applyBorder="1" applyAlignment="1">
      <alignment horizontal="center"/>
    </xf>
    <xf numFmtId="14" fontId="2" fillId="0" borderId="1" xfId="0" applyNumberFormat="1" applyFont="1" applyBorder="1" applyAlignment="1">
      <alignment horizontal="center"/>
    </xf>
    <xf numFmtId="14" fontId="2" fillId="0" borderId="2" xfId="0" applyNumberFormat="1" applyFont="1" applyBorder="1" applyAlignment="1">
      <alignment horizontal="center"/>
    </xf>
    <xf numFmtId="14" fontId="2" fillId="0" borderId="10" xfId="0" applyNumberFormat="1" applyFont="1" applyBorder="1" applyAlignment="1">
      <alignment horizontal="center"/>
    </xf>
    <xf numFmtId="14" fontId="2" fillId="0" borderId="11" xfId="0" applyNumberFormat="1" applyFont="1" applyBorder="1" applyAlignment="1">
      <alignment horizontal="center"/>
    </xf>
    <xf numFmtId="0" fontId="3" fillId="4" borderId="0" xfId="0" applyFont="1" applyFill="1" applyAlignment="1">
      <alignment horizontal="center" vertical="center"/>
    </xf>
    <xf numFmtId="0" fontId="2" fillId="4" borderId="5" xfId="0" applyFont="1" applyFill="1" applyBorder="1" applyAlignment="1">
      <alignment horizontal="center"/>
    </xf>
    <xf numFmtId="14" fontId="2" fillId="5" borderId="2" xfId="0" applyNumberFormat="1" applyFont="1" applyFill="1" applyBorder="1" applyAlignment="1">
      <alignment horizontal="center"/>
    </xf>
    <xf numFmtId="14" fontId="2" fillId="5" borderId="11" xfId="0" applyNumberFormat="1" applyFont="1" applyFill="1" applyBorder="1" applyAlignment="1">
      <alignment horizontal="center"/>
    </xf>
    <xf numFmtId="3" fontId="2" fillId="5" borderId="7" xfId="0" applyNumberFormat="1" applyFont="1" applyFill="1" applyBorder="1" applyAlignment="1">
      <alignment horizontal="center"/>
    </xf>
    <xf numFmtId="14" fontId="2" fillId="5" borderId="8" xfId="0" applyNumberFormat="1" applyFont="1" applyFill="1" applyBorder="1" applyAlignment="1">
      <alignment horizontal="center"/>
    </xf>
    <xf numFmtId="3" fontId="2" fillId="5" borderId="9" xfId="0" applyNumberFormat="1" applyFont="1" applyFill="1" applyBorder="1" applyAlignment="1">
      <alignment horizontal="center"/>
    </xf>
    <xf numFmtId="41" fontId="2" fillId="0" borderId="0" xfId="0" applyNumberFormat="1" applyFont="1"/>
    <xf numFmtId="43" fontId="2" fillId="0" borderId="0" xfId="0" applyNumberFormat="1" applyFont="1"/>
    <xf numFmtId="41" fontId="0" fillId="0" borderId="0" xfId="1" applyFont="1"/>
    <xf numFmtId="41" fontId="6" fillId="0" borderId="0" xfId="1" applyFont="1"/>
    <xf numFmtId="41" fontId="5" fillId="0" borderId="0" xfId="1" applyFont="1"/>
    <xf numFmtId="15" fontId="7" fillId="0" borderId="0" xfId="1" applyNumberFormat="1" applyFont="1"/>
    <xf numFmtId="41" fontId="7" fillId="0" borderId="0" xfId="1" applyFont="1"/>
    <xf numFmtId="15" fontId="8" fillId="0" borderId="0" xfId="0" applyNumberFormat="1" applyFont="1"/>
    <xf numFmtId="41" fontId="8" fillId="0" borderId="0" xfId="1" applyFont="1"/>
    <xf numFmtId="4" fontId="2" fillId="0" borderId="6" xfId="0" applyNumberFormat="1" applyFont="1" applyBorder="1" applyAlignment="1">
      <alignment horizontal="center"/>
    </xf>
    <xf numFmtId="14" fontId="2" fillId="0" borderId="12" xfId="0" applyNumberFormat="1" applyFont="1" applyBorder="1"/>
    <xf numFmtId="0" fontId="2" fillId="2" borderId="12" xfId="0" applyFont="1" applyFill="1" applyBorder="1" applyAlignment="1">
      <alignment horizontal="center"/>
    </xf>
    <xf numFmtId="41" fontId="0" fillId="0" borderId="0" xfId="0" applyNumberFormat="1"/>
    <xf numFmtId="4" fontId="2" fillId="5" borderId="9" xfId="0" applyNumberFormat="1" applyFont="1" applyFill="1" applyBorder="1" applyAlignment="1">
      <alignment horizontal="center"/>
    </xf>
    <xf numFmtId="4" fontId="2" fillId="0" borderId="7" xfId="0" applyNumberFormat="1" applyFont="1" applyBorder="1" applyAlignment="1">
      <alignment horizontal="center"/>
    </xf>
    <xf numFmtId="41" fontId="9" fillId="0" borderId="0" xfId="1" applyFont="1"/>
    <xf numFmtId="165" fontId="0" fillId="0" borderId="0" xfId="1" applyNumberFormat="1" applyFont="1"/>
    <xf numFmtId="165" fontId="2" fillId="0" borderId="0" xfId="1" applyNumberFormat="1" applyFont="1"/>
    <xf numFmtId="4" fontId="8" fillId="0" borderId="0" xfId="1" applyNumberFormat="1" applyFont="1"/>
    <xf numFmtId="41" fontId="0" fillId="0" borderId="0" xfId="1" applyFont="1" applyAlignment="1">
      <alignment horizontal="center"/>
    </xf>
    <xf numFmtId="15" fontId="0" fillId="0" borderId="0" xfId="0" applyNumberFormat="1"/>
    <xf numFmtId="166" fontId="0" fillId="0" borderId="0" xfId="0" applyNumberFormat="1"/>
    <xf numFmtId="0" fontId="0" fillId="0" borderId="0" xfId="0" applyAlignment="1">
      <alignment horizontal="center" wrapText="1"/>
    </xf>
    <xf numFmtId="1" fontId="0" fillId="0" borderId="0" xfId="0" applyNumberFormat="1"/>
    <xf numFmtId="14" fontId="12" fillId="0" borderId="0" xfId="4" applyNumberFormat="1"/>
    <xf numFmtId="2" fontId="2" fillId="0" borderId="0" xfId="0" applyNumberFormat="1" applyFont="1"/>
    <xf numFmtId="0" fontId="12" fillId="0" borderId="0" xfId="4"/>
    <xf numFmtId="0" fontId="12" fillId="0" borderId="0" xfId="4" applyAlignment="1">
      <alignment horizontal="center"/>
    </xf>
    <xf numFmtId="0" fontId="3" fillId="3" borderId="3" xfId="0" applyFont="1" applyFill="1" applyBorder="1" applyAlignment="1">
      <alignment horizontal="center" vertical="center"/>
    </xf>
    <xf numFmtId="0" fontId="3" fillId="3" borderId="3" xfId="0" applyFont="1" applyFill="1" applyBorder="1" applyAlignment="1">
      <alignment horizontal="center" vertical="center" shrinkToFit="1"/>
    </xf>
    <xf numFmtId="41" fontId="0" fillId="0" borderId="0" xfId="1" applyFont="1" applyAlignment="1">
      <alignment horizontal="center"/>
    </xf>
  </cellXfs>
  <cellStyles count="5">
    <cellStyle name="Comma [0]" xfId="1" builtinId="6"/>
    <cellStyle name="Heading 1" xfId="4" builtinId="16" customBuiltin="1"/>
    <cellStyle name="Intro_Hd" xfId="3" xr:uid="{E7BBA5C7-3535-43FA-B02B-9829CA9D4357}"/>
    <cellStyle name="Normal" xfId="0" builtinId="0"/>
    <cellStyle name="Normal 2" xfId="2" xr:uid="{60FBE962-0AD5-4744-8805-F21A700A416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4</xdr:col>
      <xdr:colOff>295274</xdr:colOff>
      <xdr:row>5</xdr:row>
      <xdr:rowOff>123824</xdr:rowOff>
    </xdr:from>
    <xdr:to>
      <xdr:col>8</xdr:col>
      <xdr:colOff>590549</xdr:colOff>
      <xdr:row>34</xdr:row>
      <xdr:rowOff>53340</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3053714" y="1114424"/>
          <a:ext cx="4562475" cy="5431156"/>
        </a:xfrm>
        <a:prstGeom prst="rect">
          <a:avLst/>
        </a:prstGeom>
        <a:solidFill>
          <a:schemeClr val="accent2">
            <a:alpha val="88000"/>
          </a:schemeClr>
        </a:solidFill>
        <a:ln w="9525" cmpd="sng">
          <a:solidFill>
            <a:schemeClr val="lt1">
              <a:shade val="50000"/>
            </a:schemeClr>
          </a:solidFill>
        </a:ln>
        <a:scene3d>
          <a:camera prst="orthographicFront"/>
          <a:lightRig rig="freezing" dir="t"/>
        </a:scene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2000" b="1">
              <a:solidFill>
                <a:srgbClr val="FFC000"/>
              </a:solidFill>
              <a:effectLst/>
              <a:latin typeface="+mn-lt"/>
              <a:ea typeface="+mn-ea"/>
              <a:cs typeface="+mn-cs"/>
            </a:rPr>
            <a:t>Challenge 118: DSO</a:t>
          </a:r>
        </a:p>
        <a:p>
          <a:pPr algn="ctr"/>
          <a:r>
            <a:rPr lang="en-AU" sz="2000" b="1">
              <a:solidFill>
                <a:srgbClr val="FFC000"/>
              </a:solidFill>
              <a:effectLst/>
            </a:rPr>
            <a:t>Designed by:</a:t>
          </a:r>
          <a:r>
            <a:rPr lang="en-AU" sz="2000" b="1" baseline="0">
              <a:solidFill>
                <a:srgbClr val="FFC000"/>
              </a:solidFill>
              <a:effectLst/>
            </a:rPr>
            <a:t> @Mahmoud Bani Asadi</a:t>
          </a:r>
          <a:endParaRPr lang="en-AU" sz="2000" b="1">
            <a:solidFill>
              <a:srgbClr val="FFC000"/>
            </a:solidFill>
            <a:effectLst/>
          </a:endParaRPr>
        </a:p>
        <a:p>
          <a:pPr algn="ctr"/>
          <a:r>
            <a:rPr lang="en-AU" sz="2000" b="1" baseline="0">
              <a:solidFill>
                <a:schemeClr val="bg1"/>
              </a:solidFill>
              <a:effectLst/>
              <a:latin typeface="+mn-lt"/>
              <a:ea typeface="+mn-ea"/>
              <a:cs typeface="+mn-cs"/>
            </a:rPr>
            <a:t>Using the sales transactions from the provided table and the account balance as of 31/08/2024, calculate the Daily Sales Outstanding (DSO) for each customer.</a:t>
          </a:r>
        </a:p>
        <a:p>
          <a:pPr algn="ctr"/>
          <a:endParaRPr lang="en-AU" sz="2000" b="1" baseline="0">
            <a:solidFill>
              <a:schemeClr val="bg1"/>
            </a:solidFill>
            <a:effectLst/>
            <a:latin typeface="+mn-lt"/>
            <a:ea typeface="+mn-ea"/>
            <a:cs typeface="+mn-cs"/>
          </a:endParaRPr>
        </a:p>
        <a:p>
          <a:pPr algn="ctr"/>
          <a:r>
            <a:rPr lang="en-AU" sz="2000" b="1" baseline="0">
              <a:solidFill>
                <a:schemeClr val="bg1"/>
              </a:solidFill>
              <a:effectLst/>
              <a:latin typeface="+mn-lt"/>
              <a:ea typeface="+mn-ea"/>
              <a:cs typeface="+mn-cs"/>
            </a:rPr>
            <a:t>To calculate the DSO for customer C, since the sum of the last three transactions matches the balance amount, the DSO is the weighted average (based on Sales) of duration between 03/04/2024 and 31/08/2024.</a:t>
          </a:r>
          <a:br>
            <a:rPr lang="en-AU" sz="2000" b="1" baseline="0">
              <a:solidFill>
                <a:schemeClr val="bg1"/>
              </a:solidFill>
              <a:effectLst/>
              <a:latin typeface="+mn-lt"/>
              <a:ea typeface="+mn-ea"/>
              <a:cs typeface="+mn-cs"/>
            </a:rPr>
          </a:br>
          <a:r>
            <a:rPr lang="en-AU" sz="2000" b="1" baseline="0">
              <a:solidFill>
                <a:schemeClr val="bg1"/>
              </a:solidFill>
              <a:effectLst/>
              <a:latin typeface="+mn-lt"/>
              <a:ea typeface="+mn-ea"/>
              <a:cs typeface="+mn-cs"/>
            </a:rPr>
            <a:t>Note: Sample calculation for Customer A is provided in the next table.</a:t>
          </a:r>
          <a:endParaRPr lang="fa-IR" sz="2000" b="1" baseline="0">
            <a:solidFill>
              <a:schemeClr val="bg1"/>
            </a:solidFill>
            <a:effectLst/>
            <a:latin typeface="+mn-lt"/>
            <a:ea typeface="+mn-ea"/>
            <a:cs typeface="+mn-cs"/>
          </a:endParaRPr>
        </a:p>
      </xdr:txBody>
    </xdr:sp>
    <xdr:clientData/>
  </xdr:twoCellAnchor>
</xdr:wsDr>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Organic">
  <a:themeElements>
    <a:clrScheme name="Organic">
      <a:dk1>
        <a:sysClr val="windowText" lastClr="000000"/>
      </a:dk1>
      <a:lt1>
        <a:sysClr val="window" lastClr="FFFFFF"/>
      </a:lt1>
      <a:dk2>
        <a:srgbClr val="212121"/>
      </a:dk2>
      <a:lt2>
        <a:srgbClr val="DADADA"/>
      </a:lt2>
      <a:accent1>
        <a:srgbClr val="83992A"/>
      </a:accent1>
      <a:accent2>
        <a:srgbClr val="3C9770"/>
      </a:accent2>
      <a:accent3>
        <a:srgbClr val="44709D"/>
      </a:accent3>
      <a:accent4>
        <a:srgbClr val="A23C33"/>
      </a:accent4>
      <a:accent5>
        <a:srgbClr val="D97828"/>
      </a:accent5>
      <a:accent6>
        <a:srgbClr val="DEB340"/>
      </a:accent6>
      <a:hlink>
        <a:srgbClr val="A8BF4D"/>
      </a:hlink>
      <a:folHlink>
        <a:srgbClr val="B4CA80"/>
      </a:folHlink>
    </a:clrScheme>
    <a:fontScheme name="Organic">
      <a:majorFont>
        <a:latin typeface="Garamond" panose="02020404030301010803"/>
        <a:ea typeface=""/>
        <a:cs typeface=""/>
        <a:font script="Jpan" typeface="ＭＳ Ｐゴシック"/>
        <a:font script="Hang" typeface="돋움"/>
        <a:font script="Hans" typeface="方正舒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Garamond" panose="02020404030301010803"/>
        <a:ea typeface=""/>
        <a:cs typeface=""/>
        <a:font script="Jpan" typeface="ＭＳ Ｐ明朝"/>
        <a:font script="Hang" typeface="바탕"/>
        <a:font script="Hans" typeface="方正舒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Organic">
      <a:fillStyleLst>
        <a:solidFill>
          <a:schemeClr val="phClr"/>
        </a:solidFill>
        <a:gradFill rotWithShape="1">
          <a:gsLst>
            <a:gs pos="0">
              <a:schemeClr val="phClr">
                <a:tint val="60000"/>
                <a:lumMod val="110000"/>
              </a:schemeClr>
            </a:gs>
            <a:gs pos="100000">
              <a:schemeClr val="phClr">
                <a:tint val="82000"/>
              </a:schemeClr>
            </a:gs>
          </a:gsLst>
          <a:lin ang="5400000" scaled="0"/>
        </a:gradFill>
        <a:blipFill>
          <a:blip xmlns:r="http://schemas.openxmlformats.org/officeDocument/2006/relationships" r:embed="rId1">
            <a:duotone>
              <a:schemeClr val="phClr">
                <a:shade val="74000"/>
                <a:satMod val="130000"/>
                <a:lumMod val="90000"/>
              </a:schemeClr>
              <a:schemeClr val="phClr">
                <a:tint val="94000"/>
                <a:satMod val="120000"/>
                <a:lumMod val="104000"/>
              </a:schemeClr>
            </a:duotone>
          </a:blip>
          <a:tile tx="0" ty="0" sx="100000" sy="100000" flip="none" algn="tl"/>
        </a:blipFill>
      </a:fillStyleLst>
      <a:lnStyleLst>
        <a:ln w="9525" cap="flat" cmpd="sng" algn="ctr">
          <a:solidFill>
            <a:schemeClr val="phClr"/>
          </a:solidFill>
          <a:prstDash val="solid"/>
        </a:ln>
        <a:ln w="15875"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innerShdw blurRad="25400" dist="12700" dir="13500000">
              <a:srgbClr val="000000">
                <a:alpha val="45000"/>
              </a:srgbClr>
            </a:innerShdw>
          </a:effectLst>
        </a:effectStyle>
        <a:effectStyle>
          <a:effectLst>
            <a:outerShdw blurRad="38100" dist="25400" dir="5400000" rotWithShape="0">
              <a:srgbClr val="000000">
                <a:alpha val="60000"/>
              </a:srgbClr>
            </a:outerShdw>
          </a:effectLst>
        </a:effectStyle>
      </a:effectStyleLst>
      <a:bgFillStyleLst>
        <a:solidFill>
          <a:schemeClr val="phClr"/>
        </a:solidFill>
        <a:gradFill rotWithShape="1">
          <a:gsLst>
            <a:gs pos="0">
              <a:schemeClr val="phClr">
                <a:tint val="90000"/>
                <a:lumMod val="110000"/>
              </a:schemeClr>
            </a:gs>
            <a:gs pos="100000">
              <a:schemeClr val="phClr">
                <a:shade val="88000"/>
                <a:lumMod val="98000"/>
              </a:schemeClr>
            </a:gs>
          </a:gsLst>
          <a:lin ang="5400000" scaled="0"/>
        </a:gradFill>
        <a:blipFill>
          <a:blip xmlns:r="http://schemas.openxmlformats.org/officeDocument/2006/relationships" r:embed="rId2"/>
          <a:stretch/>
        </a:blipFill>
      </a:bgFillStyleLst>
    </a:fmtScheme>
  </a:themeElements>
  <a:objectDefaults/>
  <a:extraClrSchemeLst/>
  <a:extLst>
    <a:ext uri="{05A4C25C-085E-4340-85A3-A5531E510DB2}">
      <thm15:themeFamily xmlns:thm15="http://schemas.microsoft.com/office/thememl/2012/main" name="Organic" id="{28CDC826-8792-45C0-861B-85EB3ADEDA33}" vid="{7DAC20F1-423D-49E2-BD0B-50532748BAD0}"/>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3"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36B00EE-5555-4CF0-BD09-647120F72919}">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31"/>
  <sheetViews>
    <sheetView showGridLines="0" topLeftCell="A18" workbookViewId="0">
      <selection activeCell="N21" sqref="N21:N28"/>
    </sheetView>
  </sheetViews>
  <sheetFormatPr defaultRowHeight="14.5" x14ac:dyDescent="0.35"/>
  <cols>
    <col min="1" max="1" width="3.19921875" customWidth="1"/>
    <col min="2" max="4" width="14" style="4" customWidth="1"/>
    <col min="5" max="5" width="12.3984375" customWidth="1"/>
    <col min="6" max="7" width="22.59765625" customWidth="1"/>
    <col min="8" max="9" width="12.3984375" customWidth="1"/>
    <col min="10" max="10" width="12.19921875" customWidth="1"/>
    <col min="11" max="11" width="12.59765625" bestFit="1" customWidth="1"/>
    <col min="12" max="12" width="9.09765625" customWidth="1"/>
    <col min="13" max="13" width="10.09765625" bestFit="1" customWidth="1"/>
    <col min="14" max="14" width="19.3984375" style="25" bestFit="1" customWidth="1"/>
    <col min="15" max="15" width="11.3984375" bestFit="1" customWidth="1"/>
    <col min="16" max="16" width="2.3984375" customWidth="1"/>
    <col min="17" max="17" width="12.09765625" bestFit="1" customWidth="1"/>
  </cols>
  <sheetData>
    <row r="1" spans="2:18" s="6" customFormat="1" ht="22.5" customHeight="1" x14ac:dyDescent="0.35">
      <c r="B1" s="51" t="s">
        <v>8</v>
      </c>
      <c r="C1" s="51"/>
      <c r="D1" s="51"/>
      <c r="F1" s="52" t="s">
        <v>9</v>
      </c>
      <c r="G1" s="52"/>
      <c r="H1" s="16" t="s">
        <v>0</v>
      </c>
      <c r="J1" s="6" t="s">
        <v>16</v>
      </c>
      <c r="K1"/>
      <c r="N1" s="25"/>
    </row>
    <row r="2" spans="2:18" s="2" customFormat="1" ht="14" x14ac:dyDescent="0.3">
      <c r="B2" s="8" t="s">
        <v>1</v>
      </c>
      <c r="C2" s="9" t="s">
        <v>3</v>
      </c>
      <c r="D2" s="9" t="s">
        <v>2</v>
      </c>
      <c r="E2" s="3"/>
      <c r="F2" s="8" t="s">
        <v>3</v>
      </c>
      <c r="G2" s="9" t="s">
        <v>4</v>
      </c>
      <c r="H2" s="17" t="s">
        <v>10</v>
      </c>
      <c r="I2" s="3"/>
      <c r="P2" s="23"/>
    </row>
    <row r="3" spans="2:18" s="2" customFormat="1" x14ac:dyDescent="0.35">
      <c r="B3" s="12">
        <v>45368</v>
      </c>
      <c r="C3" s="14" t="s">
        <v>6</v>
      </c>
      <c r="D3" s="10">
        <v>91647</v>
      </c>
      <c r="E3" s="5"/>
      <c r="F3" s="12" t="s">
        <v>5</v>
      </c>
      <c r="G3" s="10">
        <v>355000</v>
      </c>
      <c r="H3" s="32">
        <v>37.553661971830984</v>
      </c>
      <c r="I3" s="39"/>
    </row>
    <row r="4" spans="2:18" s="2" customFormat="1" ht="14" x14ac:dyDescent="0.3">
      <c r="B4" s="13">
        <v>45371</v>
      </c>
      <c r="C4" s="15" t="s">
        <v>7</v>
      </c>
      <c r="D4" s="11">
        <v>25883</v>
      </c>
      <c r="E4" s="5"/>
      <c r="F4" s="13" t="s">
        <v>6</v>
      </c>
      <c r="G4" s="11">
        <v>450000</v>
      </c>
      <c r="H4" s="37">
        <v>92.808335555555558</v>
      </c>
      <c r="I4" s="40"/>
    </row>
    <row r="5" spans="2:18" s="2" customFormat="1" ht="14" x14ac:dyDescent="0.3">
      <c r="B5" s="13">
        <v>45380</v>
      </c>
      <c r="C5" s="15" t="s">
        <v>6</v>
      </c>
      <c r="D5" s="11">
        <v>25273</v>
      </c>
      <c r="E5" s="5"/>
      <c r="F5" s="21" t="s">
        <v>7</v>
      </c>
      <c r="G5" s="22">
        <v>75000</v>
      </c>
      <c r="H5" s="36">
        <v>61.12</v>
      </c>
      <c r="I5" s="40"/>
      <c r="Q5" s="38"/>
      <c r="R5" s="26"/>
    </row>
    <row r="6" spans="2:18" s="2" customFormat="1" ht="15.5" x14ac:dyDescent="0.35">
      <c r="B6" s="13">
        <v>45383</v>
      </c>
      <c r="C6" s="15" t="s">
        <v>6</v>
      </c>
      <c r="D6" s="11">
        <v>32927</v>
      </c>
      <c r="E6" s="5"/>
      <c r="F6" s="1"/>
      <c r="G6" s="1"/>
      <c r="H6" s="5"/>
      <c r="I6" s="5"/>
      <c r="P6" s="23"/>
      <c r="Q6" s="29"/>
      <c r="R6" s="26"/>
    </row>
    <row r="7" spans="2:18" s="2" customFormat="1" ht="15.5" x14ac:dyDescent="0.35">
      <c r="B7" s="18">
        <v>45385</v>
      </c>
      <c r="C7" s="19" t="s">
        <v>7</v>
      </c>
      <c r="D7" s="20">
        <v>15000</v>
      </c>
      <c r="E7" s="5"/>
      <c r="F7" s="1"/>
      <c r="G7" s="1"/>
      <c r="H7" s="5"/>
      <c r="I7" s="5"/>
      <c r="P7" s="24"/>
      <c r="Q7" s="29"/>
      <c r="R7" s="26"/>
    </row>
    <row r="8" spans="2:18" s="2" customFormat="1" ht="15.5" x14ac:dyDescent="0.35">
      <c r="B8" s="13">
        <v>45386</v>
      </c>
      <c r="C8" s="15" t="s">
        <v>6</v>
      </c>
      <c r="D8" s="11">
        <v>23360</v>
      </c>
      <c r="E8" s="5"/>
      <c r="F8" s="1"/>
      <c r="G8" s="1"/>
      <c r="H8" s="5"/>
      <c r="I8" s="5"/>
      <c r="Q8" s="29"/>
      <c r="R8" s="26"/>
    </row>
    <row r="9" spans="2:18" s="2" customFormat="1" x14ac:dyDescent="0.35">
      <c r="B9" s="13">
        <v>45407</v>
      </c>
      <c r="C9" s="15" t="s">
        <v>6</v>
      </c>
      <c r="D9" s="11">
        <v>65558</v>
      </c>
      <c r="E9" s="5"/>
      <c r="F9" s="1"/>
      <c r="G9" s="1"/>
      <c r="H9" s="5"/>
      <c r="I9" s="5"/>
      <c r="Q9" s="25"/>
      <c r="R9" s="26"/>
    </row>
    <row r="10" spans="2:18" s="2" customFormat="1" x14ac:dyDescent="0.35">
      <c r="B10" s="13">
        <v>45417</v>
      </c>
      <c r="C10" s="15" t="s">
        <v>6</v>
      </c>
      <c r="D10" s="11">
        <v>59716</v>
      </c>
      <c r="F10" s="1"/>
      <c r="G10" s="1"/>
      <c r="Q10" s="25"/>
      <c r="R10" s="26"/>
    </row>
    <row r="11" spans="2:18" s="2" customFormat="1" x14ac:dyDescent="0.35">
      <c r="B11" s="13">
        <v>45425</v>
      </c>
      <c r="C11" s="15" t="s">
        <v>5</v>
      </c>
      <c r="D11" s="11">
        <v>12620</v>
      </c>
      <c r="E11"/>
      <c r="F11" s="1"/>
      <c r="G11" s="1"/>
      <c r="H11"/>
      <c r="I11"/>
      <c r="Q11" s="25"/>
      <c r="R11" s="26"/>
    </row>
    <row r="12" spans="2:18" x14ac:dyDescent="0.35">
      <c r="B12" s="13">
        <v>45433</v>
      </c>
      <c r="C12" s="15" t="s">
        <v>6</v>
      </c>
      <c r="D12" s="11">
        <v>51253</v>
      </c>
      <c r="F12" s="1"/>
      <c r="G12" s="1"/>
      <c r="Q12" s="25"/>
      <c r="R12" s="27"/>
    </row>
    <row r="13" spans="2:18" x14ac:dyDescent="0.35">
      <c r="B13" s="13">
        <v>45453</v>
      </c>
      <c r="C13" s="15" t="s">
        <v>5</v>
      </c>
      <c r="D13" s="11">
        <v>80241</v>
      </c>
      <c r="E13" s="1"/>
      <c r="H13" s="1"/>
      <c r="I13" s="1"/>
      <c r="Q13" s="25"/>
    </row>
    <row r="14" spans="2:18" x14ac:dyDescent="0.35">
      <c r="B14" s="13">
        <v>45455</v>
      </c>
      <c r="C14" s="15" t="s">
        <v>6</v>
      </c>
      <c r="D14" s="11">
        <v>16485</v>
      </c>
      <c r="E14" s="1"/>
      <c r="H14" s="1"/>
      <c r="I14" s="1"/>
      <c r="P14" s="25"/>
      <c r="Q14" s="25"/>
    </row>
    <row r="15" spans="2:18" x14ac:dyDescent="0.35">
      <c r="B15" s="13">
        <v>45458</v>
      </c>
      <c r="C15" s="15" t="s">
        <v>5</v>
      </c>
      <c r="D15" s="11">
        <v>95454</v>
      </c>
      <c r="E15" s="1"/>
      <c r="H15" s="1"/>
      <c r="I15" s="1"/>
      <c r="K15" s="25"/>
      <c r="L15" s="25"/>
      <c r="M15" s="25"/>
      <c r="O15" s="25"/>
      <c r="P15" s="25"/>
      <c r="Q15" s="25"/>
    </row>
    <row r="16" spans="2:18" x14ac:dyDescent="0.35">
      <c r="B16" s="18">
        <v>45459</v>
      </c>
      <c r="C16" s="19" t="s">
        <v>7</v>
      </c>
      <c r="D16" s="20">
        <v>18000</v>
      </c>
      <c r="E16" s="1"/>
      <c r="H16" s="1"/>
      <c r="I16" s="1"/>
      <c r="K16" s="25"/>
      <c r="L16" s="25"/>
      <c r="M16" s="25"/>
      <c r="O16" s="25"/>
      <c r="P16" s="25"/>
      <c r="Q16" s="25"/>
    </row>
    <row r="17" spans="2:17" x14ac:dyDescent="0.35">
      <c r="B17" s="13">
        <v>45480</v>
      </c>
      <c r="C17" s="15" t="s">
        <v>5</v>
      </c>
      <c r="D17" s="11">
        <v>15131</v>
      </c>
      <c r="E17" s="1"/>
      <c r="H17" s="1"/>
      <c r="I17" s="1"/>
      <c r="K17" s="53" t="s">
        <v>15</v>
      </c>
      <c r="L17" s="53"/>
      <c r="M17" s="53"/>
      <c r="N17" s="53"/>
      <c r="O17" s="53"/>
      <c r="P17" s="25"/>
      <c r="Q17" s="25"/>
    </row>
    <row r="18" spans="2:17" x14ac:dyDescent="0.35">
      <c r="B18" s="13">
        <v>45485</v>
      </c>
      <c r="C18" s="15" t="s">
        <v>6</v>
      </c>
      <c r="D18" s="11">
        <v>61430</v>
      </c>
      <c r="E18" s="1"/>
      <c r="H18" s="1"/>
      <c r="I18" s="1"/>
      <c r="K18" s="25"/>
      <c r="L18" s="25"/>
      <c r="M18" s="25"/>
      <c r="O18" s="25"/>
      <c r="P18" s="25"/>
      <c r="Q18" s="25"/>
    </row>
    <row r="19" spans="2:17" x14ac:dyDescent="0.35">
      <c r="B19" s="13">
        <v>45507</v>
      </c>
      <c r="C19" s="15" t="s">
        <v>5</v>
      </c>
      <c r="D19" s="11">
        <v>13660</v>
      </c>
      <c r="E19" s="1"/>
      <c r="H19" s="1"/>
      <c r="I19" s="1"/>
      <c r="K19" s="2"/>
      <c r="L19" s="2"/>
      <c r="M19" s="2"/>
      <c r="N19" s="34" t="s">
        <v>12</v>
      </c>
      <c r="O19" s="33">
        <v>45535</v>
      </c>
      <c r="P19" s="25"/>
      <c r="Q19" s="25"/>
    </row>
    <row r="20" spans="2:17" x14ac:dyDescent="0.35">
      <c r="B20" s="13">
        <v>45510</v>
      </c>
      <c r="C20" s="15" t="s">
        <v>5</v>
      </c>
      <c r="D20" s="11">
        <v>65995</v>
      </c>
      <c r="E20" s="1"/>
      <c r="H20" s="1"/>
      <c r="I20" s="1"/>
      <c r="K20" s="34" t="s">
        <v>1</v>
      </c>
      <c r="L20" s="34" t="s">
        <v>3</v>
      </c>
      <c r="M20" s="34" t="s">
        <v>2</v>
      </c>
      <c r="N20" s="34" t="s">
        <v>13</v>
      </c>
      <c r="O20" s="34" t="s">
        <v>11</v>
      </c>
      <c r="Q20" s="35"/>
    </row>
    <row r="21" spans="2:17" ht="15.5" x14ac:dyDescent="0.35">
      <c r="B21" s="13">
        <v>45511</v>
      </c>
      <c r="C21" s="15" t="s">
        <v>5</v>
      </c>
      <c r="D21" s="11">
        <v>75300</v>
      </c>
      <c r="E21" s="1"/>
      <c r="H21" s="1"/>
      <c r="I21" s="1"/>
      <c r="K21" s="28">
        <v>45529</v>
      </c>
      <c r="L21" s="29" t="s">
        <v>5</v>
      </c>
      <c r="M21" s="29">
        <v>79288</v>
      </c>
      <c r="N21" s="25">
        <v>79288</v>
      </c>
      <c r="O21" s="29" cm="1">
        <f t="array" ref="O21:O28">O19-K21:K28</f>
        <v>6</v>
      </c>
      <c r="Q21" s="25"/>
    </row>
    <row r="22" spans="2:17" ht="15.5" x14ac:dyDescent="0.35">
      <c r="B22" s="18">
        <v>45512</v>
      </c>
      <c r="C22" s="19" t="s">
        <v>7</v>
      </c>
      <c r="D22" s="20">
        <v>42000</v>
      </c>
      <c r="E22" s="1"/>
      <c r="H22" s="1"/>
      <c r="I22" s="1"/>
      <c r="K22" s="28">
        <v>45511</v>
      </c>
      <c r="L22" s="29" t="s">
        <v>5</v>
      </c>
      <c r="M22" s="29">
        <v>75300</v>
      </c>
      <c r="N22" s="25">
        <v>75300</v>
      </c>
      <c r="O22" s="29">
        <v>24</v>
      </c>
      <c r="Q22" s="25"/>
    </row>
    <row r="23" spans="2:17" ht="15.5" x14ac:dyDescent="0.35">
      <c r="B23" s="13">
        <v>45512</v>
      </c>
      <c r="C23" s="15" t="s">
        <v>6</v>
      </c>
      <c r="D23" s="11">
        <v>21649</v>
      </c>
      <c r="E23" s="1"/>
      <c r="H23" s="1"/>
      <c r="I23" s="1"/>
      <c r="K23" s="28">
        <v>45510</v>
      </c>
      <c r="L23" s="29" t="s">
        <v>5</v>
      </c>
      <c r="M23" s="29">
        <v>65995</v>
      </c>
      <c r="N23" s="25">
        <v>65995</v>
      </c>
      <c r="O23" s="29">
        <v>25</v>
      </c>
      <c r="Q23" s="25"/>
    </row>
    <row r="24" spans="2:17" ht="15.5" x14ac:dyDescent="0.35">
      <c r="B24" s="13">
        <v>45516</v>
      </c>
      <c r="C24" s="15" t="s">
        <v>6</v>
      </c>
      <c r="D24" s="11">
        <v>78482</v>
      </c>
      <c r="E24" s="1"/>
      <c r="H24" s="1"/>
      <c r="I24" s="1"/>
      <c r="K24" s="28">
        <v>45507</v>
      </c>
      <c r="L24" s="29" t="s">
        <v>5</v>
      </c>
      <c r="M24" s="29">
        <v>13660</v>
      </c>
      <c r="N24" s="25">
        <v>13660</v>
      </c>
      <c r="O24" s="29">
        <v>28</v>
      </c>
      <c r="Q24" s="25"/>
    </row>
    <row r="25" spans="2:17" ht="15.5" x14ac:dyDescent="0.35">
      <c r="B25" s="13">
        <v>45529</v>
      </c>
      <c r="C25" s="15" t="s">
        <v>5</v>
      </c>
      <c r="D25" s="11">
        <v>79288</v>
      </c>
      <c r="E25" s="1"/>
      <c r="H25" s="1"/>
      <c r="I25" s="1"/>
      <c r="K25" s="28">
        <v>45480</v>
      </c>
      <c r="L25" s="29" t="s">
        <v>5</v>
      </c>
      <c r="M25" s="29">
        <v>15131</v>
      </c>
      <c r="N25" s="25">
        <v>15131</v>
      </c>
      <c r="O25" s="29">
        <v>55</v>
      </c>
      <c r="Q25" s="35"/>
    </row>
    <row r="26" spans="2:17" ht="15.5" x14ac:dyDescent="0.35">
      <c r="K26" s="28">
        <v>45458</v>
      </c>
      <c r="L26" s="29" t="s">
        <v>5</v>
      </c>
      <c r="M26" s="29">
        <v>95454</v>
      </c>
      <c r="N26" s="25">
        <v>95454</v>
      </c>
      <c r="O26" s="29">
        <v>77</v>
      </c>
      <c r="Q26" s="25"/>
    </row>
    <row r="27" spans="2:17" ht="15.5" x14ac:dyDescent="0.35">
      <c r="K27" s="28">
        <v>45453</v>
      </c>
      <c r="L27" s="29" t="s">
        <v>5</v>
      </c>
      <c r="M27" s="29">
        <v>80241</v>
      </c>
      <c r="N27" s="25">
        <v>10172</v>
      </c>
      <c r="O27" s="29">
        <v>82</v>
      </c>
      <c r="Q27" s="25"/>
    </row>
    <row r="28" spans="2:17" ht="15.5" x14ac:dyDescent="0.35">
      <c r="K28" s="28">
        <v>45425</v>
      </c>
      <c r="L28" s="29" t="s">
        <v>5</v>
      </c>
      <c r="M28" s="29">
        <v>12620</v>
      </c>
      <c r="N28" s="25">
        <v>0</v>
      </c>
      <c r="O28" s="29">
        <v>110</v>
      </c>
      <c r="Q28" s="25"/>
    </row>
    <row r="29" spans="2:17" ht="15.5" x14ac:dyDescent="0.35">
      <c r="B29" s="7"/>
      <c r="K29" s="30"/>
      <c r="L29" s="31"/>
      <c r="M29" s="31"/>
      <c r="O29" s="31"/>
      <c r="Q29" s="25"/>
    </row>
    <row r="30" spans="2:17" ht="15.5" x14ac:dyDescent="0.35">
      <c r="K30" s="30"/>
      <c r="L30" s="31"/>
      <c r="M30" s="31"/>
      <c r="N30" s="25" t="s">
        <v>14</v>
      </c>
      <c r="O30" s="41">
        <f>SUMPRODUCT(_xlfn.ANCHORARRAY(O21),N21:N28)/355000</f>
        <v>37.553661971830984</v>
      </c>
      <c r="Q30" s="25"/>
    </row>
    <row r="31" spans="2:17" x14ac:dyDescent="0.35">
      <c r="K31" s="25"/>
      <c r="L31" s="25"/>
      <c r="M31" s="25"/>
      <c r="O31" s="25"/>
    </row>
  </sheetData>
  <sortState xmlns:xlrd2="http://schemas.microsoft.com/office/spreadsheetml/2017/richdata2" ref="B3:D25">
    <sortCondition ref="B18:B25"/>
  </sortState>
  <mergeCells count="3">
    <mergeCell ref="B1:D1"/>
    <mergeCell ref="F1:G1"/>
    <mergeCell ref="K17:O17"/>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3B3CF-1900-4C46-93AC-2BD28E08A5EF}">
  <dimension ref="B1:V49"/>
  <sheetViews>
    <sheetView topLeftCell="A20" workbookViewId="0">
      <selection activeCell="F54" sqref="F54"/>
    </sheetView>
  </sheetViews>
  <sheetFormatPr defaultRowHeight="14.5" x14ac:dyDescent="0.35"/>
  <cols>
    <col min="1" max="1" width="3.19921875" customWidth="1"/>
    <col min="2" max="4" width="14" style="4" customWidth="1"/>
    <col min="5" max="5" width="12.3984375" customWidth="1"/>
    <col min="6" max="7" width="22.59765625" customWidth="1"/>
    <col min="8" max="13" width="12.3984375" customWidth="1"/>
    <col min="14" max="14" width="12.19921875" customWidth="1"/>
    <col min="15" max="15" width="12.59765625" bestFit="1" customWidth="1"/>
    <col min="16" max="16" width="9.09765625" customWidth="1"/>
    <col min="17" max="17" width="10.09765625" bestFit="1" customWidth="1"/>
    <col min="18" max="18" width="19.3984375" style="25" bestFit="1" customWidth="1"/>
    <col min="19" max="19" width="11.3984375" bestFit="1" customWidth="1"/>
    <col min="20" max="20" width="2.3984375" customWidth="1"/>
    <col min="21" max="21" width="12.09765625" bestFit="1" customWidth="1"/>
  </cols>
  <sheetData>
    <row r="1" spans="2:22" s="6" customFormat="1" ht="22.5" customHeight="1" x14ac:dyDescent="0.35">
      <c r="B1" s="51" t="s">
        <v>8</v>
      </c>
      <c r="C1" s="51"/>
      <c r="D1" s="51"/>
      <c r="F1" s="52" t="s">
        <v>9</v>
      </c>
      <c r="G1" s="52"/>
      <c r="H1" s="16" t="s">
        <v>0</v>
      </c>
      <c r="N1" s="6" t="s">
        <v>16</v>
      </c>
      <c r="O1"/>
      <c r="R1" s="25"/>
    </row>
    <row r="2" spans="2:22" s="2" customFormat="1" ht="14" x14ac:dyDescent="0.3">
      <c r="B2" s="8" t="s">
        <v>1</v>
      </c>
      <c r="C2" s="9" t="s">
        <v>3</v>
      </c>
      <c r="D2" s="9" t="s">
        <v>2</v>
      </c>
      <c r="E2" s="3"/>
      <c r="F2" s="8" t="s">
        <v>3</v>
      </c>
      <c r="G2" s="9" t="s">
        <v>4</v>
      </c>
      <c r="H2" s="17" t="s">
        <v>10</v>
      </c>
      <c r="I2" s="3"/>
      <c r="J2" s="3"/>
      <c r="K2" s="3"/>
      <c r="L2" s="3"/>
      <c r="M2" s="3"/>
      <c r="T2" s="23"/>
    </row>
    <row r="3" spans="2:22" s="2" customFormat="1" x14ac:dyDescent="0.35">
      <c r="B3" s="12">
        <v>45368</v>
      </c>
      <c r="C3" s="14" t="s">
        <v>6</v>
      </c>
      <c r="D3" s="10">
        <v>91647</v>
      </c>
      <c r="E3" s="5"/>
      <c r="F3" s="12" t="s">
        <v>5</v>
      </c>
      <c r="G3" s="10">
        <v>355000</v>
      </c>
      <c r="H3" s="32">
        <v>37.553661971830984</v>
      </c>
      <c r="I3" s="39"/>
      <c r="J3" s="39"/>
      <c r="K3" s="39"/>
      <c r="L3" s="39"/>
      <c r="M3" s="39"/>
    </row>
    <row r="4" spans="2:22" s="2" customFormat="1" ht="14" x14ac:dyDescent="0.3">
      <c r="B4" s="13">
        <v>45371</v>
      </c>
      <c r="C4" s="15" t="s">
        <v>7</v>
      </c>
      <c r="D4" s="11">
        <v>25883</v>
      </c>
      <c r="E4" s="5"/>
      <c r="F4" s="13" t="s">
        <v>6</v>
      </c>
      <c r="G4" s="11">
        <v>450000</v>
      </c>
      <c r="H4" s="37">
        <v>92.808335555555558</v>
      </c>
      <c r="I4" s="40"/>
      <c r="J4" s="40"/>
      <c r="K4" s="40"/>
      <c r="L4" s="40"/>
      <c r="M4" s="40"/>
    </row>
    <row r="5" spans="2:22" s="2" customFormat="1" ht="14" x14ac:dyDescent="0.3">
      <c r="B5" s="13">
        <v>45380</v>
      </c>
      <c r="C5" s="15" t="s">
        <v>6</v>
      </c>
      <c r="D5" s="11">
        <v>25273</v>
      </c>
      <c r="E5" s="5"/>
      <c r="F5" s="21" t="s">
        <v>7</v>
      </c>
      <c r="G5" s="22">
        <v>75000</v>
      </c>
      <c r="H5" s="36">
        <v>61.12</v>
      </c>
      <c r="I5" s="40"/>
      <c r="J5" s="40"/>
      <c r="K5" s="40"/>
      <c r="L5" s="40"/>
      <c r="M5" s="40"/>
      <c r="U5" s="38"/>
      <c r="V5" s="26"/>
    </row>
    <row r="6" spans="2:22" s="2" customFormat="1" ht="15.5" x14ac:dyDescent="0.35">
      <c r="B6" s="13">
        <v>45383</v>
      </c>
      <c r="C6" s="15" t="s">
        <v>6</v>
      </c>
      <c r="D6" s="11">
        <v>32927</v>
      </c>
      <c r="E6" s="5"/>
      <c r="F6" s="1"/>
      <c r="G6" s="1"/>
      <c r="H6" s="5"/>
      <c r="I6" s="5"/>
      <c r="J6" s="5"/>
      <c r="K6" s="5"/>
      <c r="L6" s="5"/>
      <c r="M6" s="5"/>
      <c r="T6" s="23"/>
      <c r="U6" s="29"/>
      <c r="V6" s="26"/>
    </row>
    <row r="7" spans="2:22" s="2" customFormat="1" ht="15.5" x14ac:dyDescent="0.35">
      <c r="B7" s="18">
        <v>45385</v>
      </c>
      <c r="C7" s="19" t="s">
        <v>7</v>
      </c>
      <c r="D7" s="20">
        <v>15000</v>
      </c>
      <c r="E7" s="5"/>
      <c r="F7" s="1"/>
      <c r="G7" s="1"/>
      <c r="H7" s="5"/>
      <c r="I7" s="5"/>
      <c r="J7" s="5"/>
      <c r="K7" s="5"/>
      <c r="L7" s="5"/>
      <c r="M7" s="5"/>
      <c r="T7" s="24"/>
      <c r="U7" s="29"/>
      <c r="V7" s="26"/>
    </row>
    <row r="8" spans="2:22" s="2" customFormat="1" ht="15.5" x14ac:dyDescent="0.35">
      <c r="B8" s="13">
        <v>45386</v>
      </c>
      <c r="C8" s="15" t="s">
        <v>6</v>
      </c>
      <c r="D8" s="11">
        <v>23360</v>
      </c>
      <c r="E8" s="5"/>
      <c r="F8" s="47" t="s">
        <v>18</v>
      </c>
      <c r="G8" s="1"/>
      <c r="H8" s="5"/>
      <c r="I8" s="5"/>
      <c r="J8" s="5"/>
      <c r="K8" s="5"/>
      <c r="L8" s="5"/>
      <c r="M8" s="5"/>
      <c r="U8" s="29"/>
      <c r="V8" s="26"/>
    </row>
    <row r="9" spans="2:22" s="2" customFormat="1" x14ac:dyDescent="0.35">
      <c r="B9" s="13">
        <v>45407</v>
      </c>
      <c r="C9" s="15" t="s">
        <v>6</v>
      </c>
      <c r="D9" s="11">
        <v>65558</v>
      </c>
      <c r="E9" s="5"/>
      <c r="F9" s="1"/>
      <c r="G9" s="1"/>
      <c r="H9" s="48">
        <f>M42</f>
        <v>37.553661971830984</v>
      </c>
      <c r="I9" s="5"/>
      <c r="J9" s="5"/>
      <c r="K9" s="5"/>
      <c r="L9" s="5"/>
      <c r="M9" s="5"/>
      <c r="U9" s="25"/>
      <c r="V9" s="26"/>
    </row>
    <row r="10" spans="2:22" s="2" customFormat="1" x14ac:dyDescent="0.35">
      <c r="B10" s="13">
        <v>45417</v>
      </c>
      <c r="C10" s="15" t="s">
        <v>6</v>
      </c>
      <c r="D10" s="11">
        <v>59716</v>
      </c>
      <c r="F10" s="1"/>
      <c r="G10" s="1" t="str" cm="1">
        <f t="array" ref="G10:G12">_xlfn._xlws.SORT(_xlfn.UNIQUE(C3:C25))</f>
        <v>A</v>
      </c>
      <c r="H10" s="2">
        <f t="dataTable" ref="H10:H12" dt2D="0" dtr="0" r1="F42"/>
        <v>37.553661971830984</v>
      </c>
      <c r="U10" s="25"/>
      <c r="V10" s="26"/>
    </row>
    <row r="11" spans="2:22" s="2" customFormat="1" x14ac:dyDescent="0.35">
      <c r="B11" s="13">
        <v>45425</v>
      </c>
      <c r="C11" s="15" t="s">
        <v>5</v>
      </c>
      <c r="D11" s="11">
        <v>12620</v>
      </c>
      <c r="E11"/>
      <c r="F11" s="1"/>
      <c r="G11" s="1" t="str">
        <v>B</v>
      </c>
      <c r="H11">
        <v>92.808335555555558</v>
      </c>
      <c r="I11"/>
      <c r="J11"/>
      <c r="K11"/>
      <c r="L11"/>
      <c r="M11"/>
      <c r="U11" s="25"/>
      <c r="V11" s="26"/>
    </row>
    <row r="12" spans="2:22" x14ac:dyDescent="0.35">
      <c r="B12" s="13">
        <v>45433</v>
      </c>
      <c r="C12" s="15" t="s">
        <v>6</v>
      </c>
      <c r="D12" s="11">
        <v>51253</v>
      </c>
      <c r="F12" s="1"/>
      <c r="G12" s="1" t="str">
        <v>C</v>
      </c>
      <c r="H12">
        <v>61.12</v>
      </c>
      <c r="U12" s="25"/>
      <c r="V12" s="27"/>
    </row>
    <row r="13" spans="2:22" x14ac:dyDescent="0.35">
      <c r="B13" s="13">
        <v>45453</v>
      </c>
      <c r="C13" s="15" t="s">
        <v>5</v>
      </c>
      <c r="D13" s="11">
        <v>80241</v>
      </c>
      <c r="E13" s="1"/>
      <c r="H13" s="1"/>
      <c r="I13" s="1"/>
      <c r="J13" s="1"/>
      <c r="K13" s="1"/>
      <c r="L13" s="1"/>
      <c r="M13" s="1"/>
      <c r="O13" s="42" t="s">
        <v>15</v>
      </c>
      <c r="P13" s="42"/>
      <c r="Q13" s="42"/>
      <c r="R13" s="42"/>
      <c r="S13" s="42"/>
      <c r="U13" s="25"/>
    </row>
    <row r="14" spans="2:22" x14ac:dyDescent="0.35">
      <c r="B14" s="13">
        <v>45455</v>
      </c>
      <c r="C14" s="15" t="s">
        <v>6</v>
      </c>
      <c r="D14" s="11">
        <v>16485</v>
      </c>
      <c r="E14" s="1"/>
      <c r="H14" s="1"/>
      <c r="I14" s="1"/>
      <c r="J14" s="1"/>
      <c r="K14" s="1"/>
      <c r="L14" s="1"/>
      <c r="M14" s="1"/>
      <c r="O14" s="25"/>
      <c r="P14" s="25"/>
      <c r="Q14" s="25"/>
      <c r="S14" s="25"/>
      <c r="T14" s="25"/>
      <c r="U14" s="25"/>
    </row>
    <row r="15" spans="2:22" x14ac:dyDescent="0.35">
      <c r="B15" s="13">
        <v>45458</v>
      </c>
      <c r="C15" s="15" t="s">
        <v>5</v>
      </c>
      <c r="D15" s="11">
        <v>95454</v>
      </c>
      <c r="E15" s="1"/>
      <c r="G15" s="8" t="str" cm="1">
        <f t="array" aca="1" ref="G15:I18" ca="1">_xlfn.LET(_xlpm.z,_xlfn.XLOOKUP(_xlfn.ANCHORARRAY(G10),F3:F5,G3:G5),_xlfn.VSTACK({"Customer","Balance","DSO (day)"},_xlfn.HSTACK(_xlfn.ANCHORARRAY(G10),_xlpm.z,OFFSET(_xlfn.ANCHORARRAY(G10),,1))))</f>
        <v>Customer</v>
      </c>
      <c r="H15" s="9" t="str">
        <f ca="1"/>
        <v>Balance</v>
      </c>
      <c r="I15" s="17" t="str">
        <f ca="1"/>
        <v>DSO (day)</v>
      </c>
      <c r="J15" s="1"/>
      <c r="K15" s="1" t="s">
        <v>19</v>
      </c>
      <c r="L15" s="1"/>
      <c r="M15" s="1"/>
      <c r="O15" s="2"/>
      <c r="P15" s="2"/>
      <c r="Q15" s="2"/>
      <c r="R15" s="34" t="s">
        <v>12</v>
      </c>
      <c r="S15" s="33">
        <v>45535</v>
      </c>
      <c r="T15" s="25"/>
      <c r="U15" s="25"/>
    </row>
    <row r="16" spans="2:22" x14ac:dyDescent="0.35">
      <c r="B16" s="18">
        <v>45459</v>
      </c>
      <c r="C16" s="19" t="s">
        <v>7</v>
      </c>
      <c r="D16" s="20">
        <v>18000</v>
      </c>
      <c r="E16" s="1"/>
      <c r="G16" s="12" t="str">
        <f ca="1"/>
        <v>A</v>
      </c>
      <c r="H16" s="10">
        <f ca="1"/>
        <v>355000</v>
      </c>
      <c r="I16" s="32">
        <f ca="1"/>
        <v>37.553661971830984</v>
      </c>
      <c r="J16" s="1"/>
      <c r="K16" s="1" t="b" cm="1">
        <f t="array" aca="1" ref="K16:M18" ca="1">G16:I18=F3:H5</f>
        <v>1</v>
      </c>
      <c r="L16" s="1" t="b">
        <f ca="1"/>
        <v>1</v>
      </c>
      <c r="M16" s="1" t="b">
        <f ca="1"/>
        <v>1</v>
      </c>
      <c r="O16" s="34" t="s">
        <v>1</v>
      </c>
      <c r="P16" s="34" t="s">
        <v>3</v>
      </c>
      <c r="Q16" s="34" t="s">
        <v>2</v>
      </c>
      <c r="R16" s="34" t="s">
        <v>13</v>
      </c>
      <c r="S16" s="34" t="s">
        <v>11</v>
      </c>
      <c r="T16" s="25"/>
      <c r="U16" s="25"/>
    </row>
    <row r="17" spans="2:21" ht="15.5" x14ac:dyDescent="0.35">
      <c r="B17" s="13">
        <v>45480</v>
      </c>
      <c r="C17" s="15" t="s">
        <v>5</v>
      </c>
      <c r="D17" s="11">
        <v>15131</v>
      </c>
      <c r="E17" s="1"/>
      <c r="G17" s="13" t="str">
        <f ca="1"/>
        <v>B</v>
      </c>
      <c r="H17" s="11">
        <f ca="1"/>
        <v>450000</v>
      </c>
      <c r="I17" s="37">
        <f ca="1"/>
        <v>92.808335555555558</v>
      </c>
      <c r="J17" s="1"/>
      <c r="K17" s="1" t="b">
        <f ca="1"/>
        <v>1</v>
      </c>
      <c r="L17" s="1" t="b">
        <f ca="1"/>
        <v>1</v>
      </c>
      <c r="M17" s="1" t="b">
        <f ca="1"/>
        <v>1</v>
      </c>
      <c r="O17" s="28">
        <v>45529</v>
      </c>
      <c r="P17" s="29" t="s">
        <v>5</v>
      </c>
      <c r="Q17" s="29">
        <v>79288</v>
      </c>
      <c r="R17" s="25">
        <v>79288</v>
      </c>
      <c r="S17" s="29" cm="1">
        <f t="array" ref="S17:S24">S15-O17:O24</f>
        <v>6</v>
      </c>
      <c r="T17" s="25"/>
      <c r="U17" s="25"/>
    </row>
    <row r="18" spans="2:21" ht="15.5" x14ac:dyDescent="0.35">
      <c r="B18" s="13">
        <v>45485</v>
      </c>
      <c r="C18" s="15" t="s">
        <v>6</v>
      </c>
      <c r="D18" s="11">
        <v>61430</v>
      </c>
      <c r="E18" s="1"/>
      <c r="G18" s="21" t="str">
        <f ca="1"/>
        <v>C</v>
      </c>
      <c r="H18" s="22">
        <f ca="1"/>
        <v>75000</v>
      </c>
      <c r="I18" s="36">
        <f ca="1"/>
        <v>61.12</v>
      </c>
      <c r="J18" s="1"/>
      <c r="K18" s="1" t="b">
        <f ca="1"/>
        <v>1</v>
      </c>
      <c r="L18" s="1" t="b">
        <f ca="1"/>
        <v>1</v>
      </c>
      <c r="M18" s="1" t="b">
        <f ca="1"/>
        <v>1</v>
      </c>
      <c r="O18" s="28">
        <v>45511</v>
      </c>
      <c r="P18" s="29" t="s">
        <v>5</v>
      </c>
      <c r="Q18" s="29">
        <v>75300</v>
      </c>
      <c r="R18" s="25">
        <v>75300</v>
      </c>
      <c r="S18" s="29">
        <v>24</v>
      </c>
      <c r="T18" s="25"/>
      <c r="U18" s="25"/>
    </row>
    <row r="19" spans="2:21" ht="15.5" x14ac:dyDescent="0.35">
      <c r="B19" s="13">
        <v>45507</v>
      </c>
      <c r="C19" s="15" t="s">
        <v>5</v>
      </c>
      <c r="D19" s="11">
        <v>13660</v>
      </c>
      <c r="E19" s="1"/>
      <c r="H19" s="1"/>
      <c r="I19" s="1"/>
      <c r="J19" s="1"/>
      <c r="K19" s="1"/>
      <c r="L19" s="1"/>
      <c r="M19" s="1"/>
      <c r="O19" s="28">
        <v>45510</v>
      </c>
      <c r="P19" s="29" t="s">
        <v>5</v>
      </c>
      <c r="Q19" s="29">
        <v>65995</v>
      </c>
      <c r="R19" s="25">
        <v>65995</v>
      </c>
      <c r="S19" s="29">
        <v>25</v>
      </c>
      <c r="T19" s="25"/>
      <c r="U19" s="25"/>
    </row>
    <row r="20" spans="2:21" ht="15.5" x14ac:dyDescent="0.35">
      <c r="B20" s="13">
        <v>45510</v>
      </c>
      <c r="C20" s="15" t="s">
        <v>5</v>
      </c>
      <c r="D20" s="11">
        <v>65995</v>
      </c>
      <c r="E20" s="1"/>
      <c r="H20" s="1"/>
      <c r="I20" s="1"/>
      <c r="J20" s="1"/>
      <c r="K20" s="1"/>
      <c r="L20" s="1"/>
      <c r="M20" s="1"/>
      <c r="O20" s="28">
        <v>45507</v>
      </c>
      <c r="P20" s="29" t="s">
        <v>5</v>
      </c>
      <c r="Q20" s="29">
        <v>13660</v>
      </c>
      <c r="R20" s="25">
        <v>13660</v>
      </c>
      <c r="S20" s="29">
        <v>28</v>
      </c>
      <c r="U20" s="35"/>
    </row>
    <row r="21" spans="2:21" ht="15.5" x14ac:dyDescent="0.35">
      <c r="B21" s="13">
        <v>45511</v>
      </c>
      <c r="C21" s="15" t="s">
        <v>5</v>
      </c>
      <c r="D21" s="11">
        <v>75300</v>
      </c>
      <c r="E21" s="1"/>
      <c r="H21" s="1"/>
      <c r="I21" s="1"/>
      <c r="J21" s="1"/>
      <c r="K21" s="1"/>
      <c r="L21" s="1"/>
      <c r="M21" s="1"/>
      <c r="O21" s="28">
        <v>45480</v>
      </c>
      <c r="P21" s="29" t="s">
        <v>5</v>
      </c>
      <c r="Q21" s="29">
        <v>15131</v>
      </c>
      <c r="R21" s="25">
        <v>15131</v>
      </c>
      <c r="S21" s="29">
        <v>55</v>
      </c>
      <c r="U21" s="25"/>
    </row>
    <row r="22" spans="2:21" ht="15.5" x14ac:dyDescent="0.35">
      <c r="B22" s="18">
        <v>45512</v>
      </c>
      <c r="C22" s="19" t="s">
        <v>7</v>
      </c>
      <c r="D22" s="20">
        <v>42000</v>
      </c>
      <c r="E22" s="1"/>
      <c r="H22" s="1"/>
      <c r="I22" s="1"/>
      <c r="J22" s="1"/>
      <c r="K22" s="1"/>
      <c r="L22" s="1"/>
      <c r="M22" s="1"/>
      <c r="O22" s="28">
        <v>45458</v>
      </c>
      <c r="P22" s="29" t="s">
        <v>5</v>
      </c>
      <c r="Q22" s="29">
        <v>95454</v>
      </c>
      <c r="R22" s="25">
        <v>95454</v>
      </c>
      <c r="S22" s="29">
        <v>77</v>
      </c>
      <c r="U22" s="25"/>
    </row>
    <row r="23" spans="2:21" ht="15.5" x14ac:dyDescent="0.35">
      <c r="B23" s="13">
        <v>45512</v>
      </c>
      <c r="C23" s="15" t="s">
        <v>6</v>
      </c>
      <c r="D23" s="11">
        <v>21649</v>
      </c>
      <c r="E23" s="1"/>
      <c r="H23" s="1"/>
      <c r="I23" s="1"/>
      <c r="J23" s="1"/>
      <c r="K23" s="1"/>
      <c r="L23" s="1"/>
      <c r="M23" s="1"/>
      <c r="O23" s="28">
        <v>45453</v>
      </c>
      <c r="P23" s="29" t="s">
        <v>5</v>
      </c>
      <c r="Q23" s="29">
        <v>80241</v>
      </c>
      <c r="R23" s="25">
        <v>10172</v>
      </c>
      <c r="S23" s="29">
        <v>82</v>
      </c>
      <c r="U23" s="25"/>
    </row>
    <row r="24" spans="2:21" ht="15.5" x14ac:dyDescent="0.35">
      <c r="B24" s="13">
        <v>45516</v>
      </c>
      <c r="C24" s="15" t="s">
        <v>6</v>
      </c>
      <c r="D24" s="11">
        <v>78482</v>
      </c>
      <c r="E24" s="1"/>
      <c r="H24" s="1"/>
      <c r="I24" s="1"/>
      <c r="J24" s="1"/>
      <c r="K24" s="1"/>
      <c r="L24" s="1"/>
      <c r="M24" s="1"/>
      <c r="O24" s="28">
        <v>45425</v>
      </c>
      <c r="P24" s="29" t="s">
        <v>5</v>
      </c>
      <c r="Q24" s="29">
        <v>12620</v>
      </c>
      <c r="R24" s="25">
        <v>0</v>
      </c>
      <c r="S24" s="29">
        <v>110</v>
      </c>
      <c r="U24" s="25"/>
    </row>
    <row r="25" spans="2:21" ht="15.5" x14ac:dyDescent="0.35">
      <c r="B25" s="13">
        <v>45529</v>
      </c>
      <c r="C25" s="15" t="s">
        <v>5</v>
      </c>
      <c r="D25" s="11">
        <v>79288</v>
      </c>
      <c r="E25" s="1"/>
      <c r="H25" s="1"/>
      <c r="I25" s="1"/>
      <c r="J25" s="1"/>
      <c r="K25" s="1"/>
      <c r="L25" s="1"/>
      <c r="M25" s="1"/>
      <c r="O25" s="30"/>
      <c r="P25" s="31"/>
      <c r="Q25" s="31"/>
      <c r="S25" s="31"/>
      <c r="U25" s="35"/>
    </row>
    <row r="26" spans="2:21" ht="15.5" x14ac:dyDescent="0.35">
      <c r="O26" s="30"/>
      <c r="P26" s="31"/>
      <c r="Q26" s="31"/>
      <c r="R26" s="25" t="s">
        <v>14</v>
      </c>
      <c r="S26" s="41">
        <f>SUMPRODUCT(_xlfn.ANCHORARRAY(S17),R17:R24)/SUM(R17:R24)</f>
        <v>37.553661971830984</v>
      </c>
      <c r="U26" s="25"/>
    </row>
    <row r="27" spans="2:21" x14ac:dyDescent="0.35">
      <c r="J27">
        <f>_xlfn.XLOOKUP(F28,$F$3:$F$5,$G$3:$G$5)</f>
        <v>355000</v>
      </c>
      <c r="K27" s="43">
        <v>45535</v>
      </c>
      <c r="L27" s="43" t="s">
        <v>2</v>
      </c>
      <c r="M27" s="43"/>
      <c r="U27" s="25"/>
    </row>
    <row r="28" spans="2:21" x14ac:dyDescent="0.35">
      <c r="F28" s="7" t="s">
        <v>5</v>
      </c>
      <c r="G28" cm="1">
        <f t="array" ref="G28:I35">_xlfn._xlws.SORT(_xlfn._xlws.FILTER(B3:D25,C3:C25=F28),1,-1)</f>
        <v>45529</v>
      </c>
      <c r="H28" t="str">
        <v>A</v>
      </c>
      <c r="I28">
        <v>79288</v>
      </c>
      <c r="J28">
        <f>IF(SUM($I$28:I28)&lt;$J$27,I28,$J$27-SUM($J27:J$28))</f>
        <v>79288</v>
      </c>
      <c r="K28" s="44" cm="1">
        <f t="array" ref="K28:K35">K27-_xlfn.TAKE(_xlfn.ANCHORARRAY(G28),,1)</f>
        <v>6</v>
      </c>
      <c r="L28" s="44" cm="1">
        <f t="array" ref="L28:L35">_xlfn.SCAN(0,
_xlfn.TAKE(_xlfn.ANCHORARRAY(G28),,-1),
_xlfn.LAMBDA(_xlpm.a,_xlpm.v,_xlpm.a+_xlpm.v)
)</f>
        <v>79288</v>
      </c>
      <c r="M28" s="44" cm="1">
        <f t="array" ref="M28:M35">_xlfn.LET(_xlpm.z,$J$27-_xlfn.ANCHORARRAY(L28),IF(_xlpm.z&lt;0,0,_xlpm.z))</f>
        <v>275712</v>
      </c>
      <c r="N28" cm="1">
        <f t="array" ref="N28:N35">_xlfn.LET(_xlpm.idx,_xlfn.XMATCH(0,_xlfn.ANCHORARRAY(M28)),_xlpm.d,_xlfn.ANCHORARRAY(M28),_xlpm.f,_xlfn.TAKE(_xlfn.ANCHORARRAY(G28),,-1),IF(_xlpm.d&gt;0,_xlpm.f,INDEX(_xlfn.ANCHORARRAY(M28),_xlpm.idx-1)))</f>
        <v>79288</v>
      </c>
      <c r="O28" cm="1">
        <f t="array" ref="O28:O35">IF(_xlfn.ANCHORARRAY(L28)&lt;$J$27,_xlfn.ANCHORARRAY(N28),$J$27-SUM(_xlfn.ANCHORARRAY(L28)))</f>
        <v>79288</v>
      </c>
      <c r="U28" s="25"/>
    </row>
    <row r="29" spans="2:21" x14ac:dyDescent="0.35">
      <c r="G29">
        <v>45511</v>
      </c>
      <c r="H29" t="str">
        <v>A</v>
      </c>
      <c r="I29">
        <v>75300</v>
      </c>
      <c r="J29">
        <f>IF(SUM($I$28:I29)&lt;$J$27,I29,$J$27-SUM($J28:J$28))</f>
        <v>75300</v>
      </c>
      <c r="K29" s="44">
        <v>24</v>
      </c>
      <c r="L29" s="44">
        <v>154588</v>
      </c>
      <c r="M29" s="44">
        <v>200412</v>
      </c>
      <c r="N29">
        <v>75300</v>
      </c>
      <c r="O29">
        <v>75300</v>
      </c>
      <c r="U29" s="25"/>
    </row>
    <row r="30" spans="2:21" x14ac:dyDescent="0.35">
      <c r="G30">
        <v>45510</v>
      </c>
      <c r="H30" t="str">
        <v>A</v>
      </c>
      <c r="I30">
        <v>65995</v>
      </c>
      <c r="J30">
        <f>IF(SUM($I$28:I30)&lt;$J$27,I30,$J$27-SUM($J$28:J29))</f>
        <v>65995</v>
      </c>
      <c r="K30" s="44">
        <v>25</v>
      </c>
      <c r="L30" s="44">
        <v>220583</v>
      </c>
      <c r="M30" s="44">
        <v>134417</v>
      </c>
      <c r="N30">
        <v>65995</v>
      </c>
      <c r="O30">
        <v>65995</v>
      </c>
      <c r="U30" s="25"/>
    </row>
    <row r="31" spans="2:21" x14ac:dyDescent="0.35">
      <c r="G31">
        <v>45507</v>
      </c>
      <c r="H31" t="str">
        <v>A</v>
      </c>
      <c r="I31">
        <v>13660</v>
      </c>
      <c r="J31">
        <f>IF(SUM($I$28:I31)&lt;$J$27,I31,$J$27-SUM($J$28:J30))</f>
        <v>13660</v>
      </c>
      <c r="K31" s="44">
        <v>28</v>
      </c>
      <c r="L31" s="44">
        <v>234243</v>
      </c>
      <c r="M31" s="44">
        <v>120757</v>
      </c>
      <c r="N31">
        <v>13660</v>
      </c>
      <c r="O31" s="25">
        <v>13660</v>
      </c>
      <c r="P31" s="25"/>
      <c r="Q31" s="25"/>
      <c r="S31" s="25"/>
    </row>
    <row r="32" spans="2:21" x14ac:dyDescent="0.35">
      <c r="G32">
        <v>45480</v>
      </c>
      <c r="H32" t="str">
        <v>A</v>
      </c>
      <c r="I32">
        <v>15131</v>
      </c>
      <c r="J32">
        <f>IF(SUM($I$28:I32)&lt;$J$27,I32,$J$27-SUM($J$28:J31))</f>
        <v>15131</v>
      </c>
      <c r="K32" s="44">
        <v>55</v>
      </c>
      <c r="L32">
        <v>249374</v>
      </c>
      <c r="M32">
        <v>105626</v>
      </c>
      <c r="N32">
        <v>15131</v>
      </c>
      <c r="O32">
        <v>15131</v>
      </c>
      <c r="P32">
        <f>SUMPRODUCT(J28:J38,K28:K38)/$J$27</f>
        <v>37.553661971830984</v>
      </c>
    </row>
    <row r="33" spans="5:15" x14ac:dyDescent="0.35">
      <c r="G33">
        <v>45458</v>
      </c>
      <c r="H33" t="str">
        <v>A</v>
      </c>
      <c r="I33">
        <v>95454</v>
      </c>
      <c r="J33">
        <f>IF(SUM($I$28:I33)&lt;$J$27,I33,$J$27-SUM($J$28:J32))</f>
        <v>95454</v>
      </c>
      <c r="K33" s="44">
        <v>77</v>
      </c>
      <c r="L33" s="44">
        <v>344828</v>
      </c>
      <c r="M33" s="44">
        <v>10172</v>
      </c>
      <c r="N33">
        <v>95454</v>
      </c>
      <c r="O33">
        <v>95454</v>
      </c>
    </row>
    <row r="34" spans="5:15" x14ac:dyDescent="0.35">
      <c r="G34">
        <v>45453</v>
      </c>
      <c r="H34" t="str">
        <v>A</v>
      </c>
      <c r="I34">
        <v>80241</v>
      </c>
      <c r="J34">
        <f>IF(SUM($I$28:I34)&lt;$J$27,I34,$J$27-SUM($J$28:J33))</f>
        <v>10172</v>
      </c>
      <c r="K34" s="44">
        <v>82</v>
      </c>
      <c r="L34" s="44">
        <v>425069</v>
      </c>
      <c r="M34" s="44">
        <v>0</v>
      </c>
      <c r="N34">
        <v>10172</v>
      </c>
      <c r="O34">
        <v>-1790662</v>
      </c>
    </row>
    <row r="35" spans="5:15" x14ac:dyDescent="0.35">
      <c r="G35">
        <v>45425</v>
      </c>
      <c r="H35" t="str">
        <v>A</v>
      </c>
      <c r="I35">
        <v>12620</v>
      </c>
      <c r="J35">
        <f>IF(SUM($I$28:I35)&lt;$J$27,I35,$J$27-SUM($J$28:J34))</f>
        <v>0</v>
      </c>
      <c r="K35" s="44">
        <v>110</v>
      </c>
      <c r="L35" s="44">
        <v>437689</v>
      </c>
      <c r="M35" s="44">
        <v>0</v>
      </c>
      <c r="N35">
        <v>10172</v>
      </c>
      <c r="O35">
        <v>-1790662</v>
      </c>
    </row>
    <row r="36" spans="5:15" x14ac:dyDescent="0.35">
      <c r="J36">
        <f>IF(SUM($I$28:I36)&lt;$J$27,I36,$J$27-SUM($J$28:J35))</f>
        <v>0</v>
      </c>
      <c r="K36" s="44"/>
      <c r="L36" s="44"/>
      <c r="M36" s="44"/>
    </row>
    <row r="37" spans="5:15" x14ac:dyDescent="0.35">
      <c r="J37">
        <f>IF(SUM($I$28:I37)&lt;$J$27,I37,$J$27-SUM($J$28:J36))</f>
        <v>0</v>
      </c>
      <c r="K37" s="44"/>
      <c r="L37" s="44"/>
      <c r="M37" s="44"/>
    </row>
    <row r="38" spans="5:15" x14ac:dyDescent="0.35">
      <c r="J38">
        <f>IF(SUM($I$28:I38)&lt;$J$27,I38,$J$27-SUM($J$28:J37))</f>
        <v>0</v>
      </c>
      <c r="K38" s="44"/>
      <c r="L38" s="44"/>
      <c r="M38" s="44"/>
    </row>
    <row r="39" spans="5:15" x14ac:dyDescent="0.35">
      <c r="K39" s="44"/>
      <c r="L39" s="44"/>
      <c r="M39" s="44"/>
    </row>
    <row r="40" spans="5:15" x14ac:dyDescent="0.35">
      <c r="E40" s="49" t="s">
        <v>20</v>
      </c>
      <c r="K40">
        <f>_xlfn.XLOOKUP(F42,$F$3:$F$5,$G$3:$G$5)</f>
        <v>355000</v>
      </c>
      <c r="L40" s="43">
        <v>45535</v>
      </c>
    </row>
    <row r="41" spans="5:15" x14ac:dyDescent="0.35">
      <c r="J41" t="s">
        <v>17</v>
      </c>
    </row>
    <row r="42" spans="5:15" x14ac:dyDescent="0.35">
      <c r="F42" t="s">
        <v>5</v>
      </c>
      <c r="G42" cm="1">
        <f t="array" ref="G42:I49">_xlfn._xlws.SORT(_xlfn._xlws.FILTER(B3:D25,C3:C25=F42),1,-1)</f>
        <v>45529</v>
      </c>
      <c r="H42" t="str">
        <v>A</v>
      </c>
      <c r="I42">
        <v>79288</v>
      </c>
      <c r="J42" s="46" cm="1">
        <f t="array" ref="J42:J49">K27-_xlfn.TAKE(_xlfn.ANCHORARRAY(G42),,1)</f>
        <v>6</v>
      </c>
      <c r="K42" cm="1">
        <f t="array" ref="K42:K49">_xlfn.DROP(_xlfn.VSTACK(K40,_xlfn.LET(_xlpm.d,$K$40-_xlfn.SCAN(0,_xlfn.TAKE(_xlfn.ANCHORARRAY(G42),,-1),_xlfn.LAMBDA(_xlpm.a,_xlpm.v,_xlpm.a+_xlpm.v)),IF(_xlpm.d&lt;0,0,_xlpm.d))),-1)</f>
        <v>355000</v>
      </c>
      <c r="L42" cm="1">
        <f t="array" ref="L42:L49">_xlfn.MAP(_xlfn.TAKE(_xlfn.ANCHORARRAY(G42),,-1),_xlfn.ANCHORARRAY(K42),_xlfn.LAMBDA(_xlpm.x,_xlpm.y,MIN(_xlpm.x,_xlpm.y)))</f>
        <v>79288</v>
      </c>
      <c r="M42">
        <f>SUMPRODUCT(_xlfn.ANCHORARRAY(J42),_xlfn.ANCHORARRAY(L42))/$K$40</f>
        <v>37.553661971830984</v>
      </c>
    </row>
    <row r="43" spans="5:15" x14ac:dyDescent="0.35">
      <c r="G43">
        <v>45511</v>
      </c>
      <c r="H43" t="str">
        <v>A</v>
      </c>
      <c r="I43">
        <v>75300</v>
      </c>
      <c r="J43" s="46">
        <v>24</v>
      </c>
      <c r="K43">
        <v>275712</v>
      </c>
      <c r="L43">
        <v>75300</v>
      </c>
    </row>
    <row r="44" spans="5:15" x14ac:dyDescent="0.35">
      <c r="G44">
        <v>45510</v>
      </c>
      <c r="H44" t="str">
        <v>A</v>
      </c>
      <c r="I44">
        <v>65995</v>
      </c>
      <c r="J44" s="46">
        <v>25</v>
      </c>
      <c r="K44">
        <v>200412</v>
      </c>
      <c r="L44">
        <v>65995</v>
      </c>
    </row>
    <row r="45" spans="5:15" x14ac:dyDescent="0.35">
      <c r="G45">
        <v>45507</v>
      </c>
      <c r="H45" t="str">
        <v>A</v>
      </c>
      <c r="I45">
        <v>13660</v>
      </c>
      <c r="J45" s="46">
        <v>28</v>
      </c>
      <c r="K45">
        <v>134417</v>
      </c>
      <c r="L45">
        <v>13660</v>
      </c>
    </row>
    <row r="46" spans="5:15" x14ac:dyDescent="0.35">
      <c r="G46">
        <v>45480</v>
      </c>
      <c r="H46" t="str">
        <v>A</v>
      </c>
      <c r="I46">
        <v>15131</v>
      </c>
      <c r="J46" s="46">
        <v>55</v>
      </c>
      <c r="K46">
        <v>120757</v>
      </c>
      <c r="L46">
        <v>15131</v>
      </c>
    </row>
    <row r="47" spans="5:15" x14ac:dyDescent="0.35">
      <c r="G47">
        <v>45458</v>
      </c>
      <c r="H47" t="str">
        <v>A</v>
      </c>
      <c r="I47">
        <v>95454</v>
      </c>
      <c r="J47" s="46">
        <v>77</v>
      </c>
      <c r="K47">
        <v>105626</v>
      </c>
      <c r="L47">
        <v>95454</v>
      </c>
    </row>
    <row r="48" spans="5:15" x14ac:dyDescent="0.35">
      <c r="G48">
        <v>45453</v>
      </c>
      <c r="H48" t="str">
        <v>A</v>
      </c>
      <c r="I48">
        <v>80241</v>
      </c>
      <c r="J48" s="46">
        <v>82</v>
      </c>
      <c r="K48">
        <v>10172</v>
      </c>
      <c r="L48">
        <v>10172</v>
      </c>
    </row>
    <row r="49" spans="7:12" x14ac:dyDescent="0.35">
      <c r="G49">
        <v>45425</v>
      </c>
      <c r="H49" t="str">
        <v>A</v>
      </c>
      <c r="I49">
        <v>12620</v>
      </c>
      <c r="J49" s="46">
        <v>110</v>
      </c>
      <c r="K49">
        <v>0</v>
      </c>
      <c r="L49">
        <v>0</v>
      </c>
    </row>
  </sheetData>
  <mergeCells count="2">
    <mergeCell ref="B1:D1"/>
    <mergeCell ref="F1:G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FD16E-83AA-4CA9-8818-67DB9D7BCA8A}">
  <dimension ref="B1:R34"/>
  <sheetViews>
    <sheetView topLeftCell="A21" workbookViewId="0">
      <selection activeCell="G29" sqref="G29"/>
    </sheetView>
  </sheetViews>
  <sheetFormatPr defaultRowHeight="14.5" x14ac:dyDescent="0.35"/>
  <cols>
    <col min="1" max="1" width="3.19921875" customWidth="1"/>
    <col min="2" max="4" width="14" style="4" customWidth="1"/>
    <col min="5" max="5" width="12.3984375" customWidth="1"/>
    <col min="6" max="7" width="22.59765625" customWidth="1"/>
    <col min="8" max="9" width="12.3984375" customWidth="1"/>
    <col min="10" max="10" width="12.19921875" customWidth="1"/>
    <col min="11" max="11" width="12.59765625" bestFit="1" customWidth="1"/>
    <col min="12" max="12" width="9.09765625" customWidth="1"/>
    <col min="13" max="13" width="10.09765625" bestFit="1" customWidth="1"/>
    <col min="14" max="14" width="19.3984375" style="25" bestFit="1" customWidth="1"/>
    <col min="15" max="15" width="11.3984375" bestFit="1" customWidth="1"/>
    <col min="16" max="16" width="2.3984375" customWidth="1"/>
    <col min="17" max="17" width="12.09765625" bestFit="1" customWidth="1"/>
  </cols>
  <sheetData>
    <row r="1" spans="2:18" s="6" customFormat="1" ht="22.5" customHeight="1" x14ac:dyDescent="0.35">
      <c r="B1" s="51" t="s">
        <v>8</v>
      </c>
      <c r="C1" s="51"/>
      <c r="D1" s="51"/>
      <c r="F1" s="52" t="s">
        <v>9</v>
      </c>
      <c r="G1" s="52"/>
      <c r="H1" s="16" t="s">
        <v>0</v>
      </c>
      <c r="J1" s="6" t="s">
        <v>16</v>
      </c>
      <c r="K1"/>
      <c r="N1" s="25"/>
    </row>
    <row r="2" spans="2:18" s="2" customFormat="1" ht="14" x14ac:dyDescent="0.3">
      <c r="B2" s="8" t="s">
        <v>1</v>
      </c>
      <c r="C2" s="9" t="s">
        <v>3</v>
      </c>
      <c r="D2" s="9" t="s">
        <v>2</v>
      </c>
      <c r="E2" s="3"/>
      <c r="F2" s="8" t="s">
        <v>3</v>
      </c>
      <c r="G2" s="9" t="s">
        <v>4</v>
      </c>
      <c r="H2" s="17" t="s">
        <v>10</v>
      </c>
      <c r="I2" s="3"/>
      <c r="P2" s="23"/>
    </row>
    <row r="3" spans="2:18" s="2" customFormat="1" x14ac:dyDescent="0.35">
      <c r="B3" s="12">
        <v>45368</v>
      </c>
      <c r="C3" s="14" t="s">
        <v>6</v>
      </c>
      <c r="D3" s="10">
        <v>91647</v>
      </c>
      <c r="E3" s="5"/>
      <c r="F3" s="12" t="s">
        <v>5</v>
      </c>
      <c r="G3" s="10">
        <v>355000</v>
      </c>
      <c r="H3" s="32">
        <v>37.553661971830984</v>
      </c>
      <c r="I3" s="39"/>
    </row>
    <row r="4" spans="2:18" s="2" customFormat="1" ht="14" x14ac:dyDescent="0.3">
      <c r="B4" s="13">
        <v>45371</v>
      </c>
      <c r="C4" s="15" t="s">
        <v>7</v>
      </c>
      <c r="D4" s="11">
        <v>25883</v>
      </c>
      <c r="E4" s="5"/>
      <c r="F4" s="13" t="s">
        <v>6</v>
      </c>
      <c r="G4" s="11">
        <v>450000</v>
      </c>
      <c r="H4" s="37">
        <v>92.808335555555558</v>
      </c>
      <c r="I4" s="40"/>
    </row>
    <row r="5" spans="2:18" s="2" customFormat="1" ht="14" x14ac:dyDescent="0.3">
      <c r="B5" s="13">
        <v>45380</v>
      </c>
      <c r="C5" s="15" t="s">
        <v>6</v>
      </c>
      <c r="D5" s="11">
        <v>25273</v>
      </c>
      <c r="E5" s="5"/>
      <c r="F5" s="21" t="s">
        <v>7</v>
      </c>
      <c r="G5" s="22">
        <v>75000</v>
      </c>
      <c r="H5" s="36">
        <v>61.12</v>
      </c>
      <c r="I5" s="40"/>
      <c r="Q5" s="38"/>
      <c r="R5" s="26"/>
    </row>
    <row r="6" spans="2:18" s="2" customFormat="1" ht="15.5" x14ac:dyDescent="0.35">
      <c r="B6" s="13">
        <v>45383</v>
      </c>
      <c r="C6" s="15" t="s">
        <v>6</v>
      </c>
      <c r="D6" s="11">
        <v>32927</v>
      </c>
      <c r="E6" s="5"/>
      <c r="F6" s="1"/>
      <c r="G6" s="1"/>
      <c r="H6" s="5"/>
      <c r="I6" s="5"/>
      <c r="P6" s="23"/>
      <c r="Q6" s="29"/>
      <c r="R6" s="26"/>
    </row>
    <row r="7" spans="2:18" s="2" customFormat="1" ht="15.5" x14ac:dyDescent="0.35">
      <c r="B7" s="18">
        <v>45385</v>
      </c>
      <c r="C7" s="19" t="s">
        <v>7</v>
      </c>
      <c r="D7" s="20">
        <v>15000</v>
      </c>
      <c r="E7" s="5"/>
      <c r="F7" s="1"/>
      <c r="G7" s="1"/>
      <c r="H7" s="5"/>
      <c r="I7" s="5"/>
      <c r="P7" s="24"/>
      <c r="Q7" s="29"/>
      <c r="R7" s="26"/>
    </row>
    <row r="8" spans="2:18" s="2" customFormat="1" ht="15.5" x14ac:dyDescent="0.35">
      <c r="B8" s="13">
        <v>45386</v>
      </c>
      <c r="C8" s="15" t="s">
        <v>6</v>
      </c>
      <c r="D8" s="11">
        <v>23360</v>
      </c>
      <c r="E8" s="5"/>
      <c r="F8" s="1"/>
      <c r="G8" s="1"/>
      <c r="H8" s="5"/>
      <c r="I8" s="5"/>
      <c r="Q8" s="29"/>
      <c r="R8" s="26"/>
    </row>
    <row r="9" spans="2:18" s="2" customFormat="1" x14ac:dyDescent="0.35">
      <c r="B9" s="13">
        <v>45407</v>
      </c>
      <c r="C9" s="15" t="s">
        <v>6</v>
      </c>
      <c r="D9" s="11">
        <v>65558</v>
      </c>
      <c r="E9" s="5"/>
      <c r="F9" s="1"/>
      <c r="G9" s="1"/>
      <c r="H9" s="5"/>
      <c r="I9" s="5"/>
      <c r="Q9" s="25"/>
      <c r="R9" s="26"/>
    </row>
    <row r="10" spans="2:18" s="2" customFormat="1" x14ac:dyDescent="0.35">
      <c r="B10" s="13">
        <v>45417</v>
      </c>
      <c r="C10" s="15" t="s">
        <v>6</v>
      </c>
      <c r="D10" s="11">
        <v>59716</v>
      </c>
      <c r="F10" s="1"/>
      <c r="G10" s="1"/>
      <c r="Q10" s="25"/>
      <c r="R10" s="26"/>
    </row>
    <row r="11" spans="2:18" s="2" customFormat="1" x14ac:dyDescent="0.35">
      <c r="B11" s="13">
        <v>45425</v>
      </c>
      <c r="C11" s="15" t="s">
        <v>5</v>
      </c>
      <c r="D11" s="11">
        <v>12620</v>
      </c>
      <c r="E11"/>
      <c r="F11" s="1"/>
      <c r="G11" s="1"/>
      <c r="H11"/>
      <c r="I11"/>
      <c r="Q11" s="25"/>
      <c r="R11" s="26"/>
    </row>
    <row r="12" spans="2:18" x14ac:dyDescent="0.35">
      <c r="B12" s="13">
        <v>45433</v>
      </c>
      <c r="C12" s="15" t="s">
        <v>6</v>
      </c>
      <c r="D12" s="11">
        <v>51253</v>
      </c>
      <c r="F12" s="1"/>
      <c r="G12" s="1"/>
      <c r="Q12" s="25"/>
      <c r="R12" s="27"/>
    </row>
    <row r="13" spans="2:18" x14ac:dyDescent="0.35">
      <c r="B13" s="13">
        <v>45453</v>
      </c>
      <c r="C13" s="15" t="s">
        <v>5</v>
      </c>
      <c r="D13" s="11">
        <v>80241</v>
      </c>
      <c r="E13" s="1"/>
      <c r="H13" s="1"/>
      <c r="I13" s="1"/>
      <c r="Q13" s="25"/>
    </row>
    <row r="14" spans="2:18" x14ac:dyDescent="0.35">
      <c r="B14" s="13">
        <v>45455</v>
      </c>
      <c r="C14" s="15" t="s">
        <v>6</v>
      </c>
      <c r="D14" s="11">
        <v>16485</v>
      </c>
      <c r="E14" s="1"/>
      <c r="H14" s="1"/>
      <c r="I14" s="1"/>
      <c r="P14" s="25"/>
      <c r="Q14" s="25"/>
    </row>
    <row r="15" spans="2:18" x14ac:dyDescent="0.35">
      <c r="B15" s="13">
        <v>45458</v>
      </c>
      <c r="C15" s="15" t="s">
        <v>5</v>
      </c>
      <c r="D15" s="11">
        <v>95454</v>
      </c>
      <c r="E15" s="1"/>
      <c r="H15" s="1"/>
      <c r="I15" s="1"/>
      <c r="K15" s="25"/>
      <c r="L15" s="25"/>
      <c r="M15" s="25"/>
      <c r="O15" s="25"/>
      <c r="P15" s="25"/>
      <c r="Q15" s="25"/>
    </row>
    <row r="16" spans="2:18" x14ac:dyDescent="0.35">
      <c r="B16" s="18">
        <v>45459</v>
      </c>
      <c r="C16" s="19" t="s">
        <v>7</v>
      </c>
      <c r="D16" s="20">
        <v>18000</v>
      </c>
      <c r="E16" s="1"/>
      <c r="H16" s="1"/>
      <c r="I16" s="1"/>
      <c r="K16" s="25"/>
      <c r="L16" s="25"/>
      <c r="M16" s="25"/>
      <c r="O16" s="25"/>
      <c r="P16" s="25"/>
      <c r="Q16" s="25"/>
    </row>
    <row r="17" spans="2:17" x14ac:dyDescent="0.35">
      <c r="B17" s="13">
        <v>45480</v>
      </c>
      <c r="C17" s="15" t="s">
        <v>5</v>
      </c>
      <c r="D17" s="11">
        <v>15131</v>
      </c>
      <c r="E17" s="1"/>
      <c r="H17" s="1"/>
      <c r="I17" s="1"/>
      <c r="K17" s="53" t="s">
        <v>15</v>
      </c>
      <c r="L17" s="53"/>
      <c r="M17" s="53"/>
      <c r="N17" s="53"/>
      <c r="O17" s="53"/>
      <c r="P17" s="25"/>
      <c r="Q17" s="25"/>
    </row>
    <row r="18" spans="2:17" x14ac:dyDescent="0.35">
      <c r="B18" s="13">
        <v>45485</v>
      </c>
      <c r="C18" s="15" t="s">
        <v>6</v>
      </c>
      <c r="D18" s="11">
        <v>61430</v>
      </c>
      <c r="E18" s="1"/>
      <c r="H18" s="1"/>
      <c r="I18" s="1"/>
      <c r="K18" s="25"/>
      <c r="L18" s="25"/>
      <c r="M18" s="25"/>
      <c r="O18" s="25"/>
      <c r="P18" s="25"/>
      <c r="Q18" s="25"/>
    </row>
    <row r="19" spans="2:17" x14ac:dyDescent="0.35">
      <c r="B19" s="13">
        <v>45507</v>
      </c>
      <c r="C19" s="15" t="s">
        <v>5</v>
      </c>
      <c r="D19" s="11">
        <v>13660</v>
      </c>
      <c r="E19" s="1"/>
      <c r="H19" s="1"/>
      <c r="I19" s="1"/>
      <c r="K19" s="2"/>
      <c r="L19" s="2"/>
      <c r="M19" s="2"/>
      <c r="N19" s="34" t="s">
        <v>12</v>
      </c>
      <c r="O19" s="33">
        <v>45535</v>
      </c>
      <c r="P19" s="25"/>
      <c r="Q19" s="25"/>
    </row>
    <row r="20" spans="2:17" x14ac:dyDescent="0.35">
      <c r="B20" s="13">
        <v>45510</v>
      </c>
      <c r="C20" s="15" t="s">
        <v>5</v>
      </c>
      <c r="D20" s="11">
        <v>65995</v>
      </c>
      <c r="E20" s="1"/>
      <c r="H20" s="1"/>
      <c r="I20" s="1"/>
      <c r="K20" s="34" t="s">
        <v>1</v>
      </c>
      <c r="L20" s="34" t="s">
        <v>3</v>
      </c>
      <c r="M20" s="34" t="s">
        <v>2</v>
      </c>
      <c r="N20" s="34" t="s">
        <v>13</v>
      </c>
      <c r="O20" s="34" t="s">
        <v>11</v>
      </c>
      <c r="Q20" s="35"/>
    </row>
    <row r="21" spans="2:17" ht="15.5" x14ac:dyDescent="0.35">
      <c r="B21" s="13">
        <v>45511</v>
      </c>
      <c r="C21" s="15" t="s">
        <v>5</v>
      </c>
      <c r="D21" s="11">
        <v>75300</v>
      </c>
      <c r="E21" s="1"/>
      <c r="H21" s="1"/>
      <c r="I21" s="1"/>
      <c r="K21" s="28">
        <v>45529</v>
      </c>
      <c r="L21" s="29" t="s">
        <v>5</v>
      </c>
      <c r="M21" s="29">
        <v>79288</v>
      </c>
      <c r="N21" s="25">
        <v>79288</v>
      </c>
      <c r="O21" s="29" cm="1">
        <f t="array" ref="O21:O28">O19-K21:K28</f>
        <v>6</v>
      </c>
      <c r="Q21" s="25"/>
    </row>
    <row r="22" spans="2:17" ht="15.5" x14ac:dyDescent="0.35">
      <c r="B22" s="18">
        <v>45512</v>
      </c>
      <c r="C22" s="19" t="s">
        <v>7</v>
      </c>
      <c r="D22" s="20">
        <v>42000</v>
      </c>
      <c r="E22" s="1"/>
      <c r="H22" s="1"/>
      <c r="I22" s="1"/>
      <c r="K22" s="28">
        <v>45511</v>
      </c>
      <c r="L22" s="29" t="s">
        <v>5</v>
      </c>
      <c r="M22" s="29">
        <v>75300</v>
      </c>
      <c r="N22" s="25">
        <v>75300</v>
      </c>
      <c r="O22" s="29">
        <v>24</v>
      </c>
      <c r="Q22" s="25"/>
    </row>
    <row r="23" spans="2:17" ht="15.5" x14ac:dyDescent="0.35">
      <c r="B23" s="13">
        <v>45512</v>
      </c>
      <c r="C23" s="15" t="s">
        <v>6</v>
      </c>
      <c r="D23" s="11">
        <v>21649</v>
      </c>
      <c r="E23" s="1"/>
      <c r="H23" s="1"/>
      <c r="I23" s="1"/>
      <c r="K23" s="28">
        <v>45510</v>
      </c>
      <c r="L23" s="29" t="s">
        <v>5</v>
      </c>
      <c r="M23" s="29">
        <v>65995</v>
      </c>
      <c r="N23" s="25">
        <v>65995</v>
      </c>
      <c r="O23" s="29">
        <v>25</v>
      </c>
      <c r="Q23" s="25"/>
    </row>
    <row r="24" spans="2:17" ht="15.5" x14ac:dyDescent="0.35">
      <c r="B24" s="13">
        <v>45516</v>
      </c>
      <c r="C24" s="15" t="s">
        <v>6</v>
      </c>
      <c r="D24" s="11">
        <v>78482</v>
      </c>
      <c r="E24" s="1"/>
      <c r="H24" s="1"/>
      <c r="I24" s="1"/>
      <c r="K24" s="28">
        <v>45507</v>
      </c>
      <c r="L24" s="29" t="s">
        <v>5</v>
      </c>
      <c r="M24" s="29">
        <v>13660</v>
      </c>
      <c r="N24" s="25">
        <v>13660</v>
      </c>
      <c r="O24" s="29">
        <v>28</v>
      </c>
      <c r="Q24" s="25"/>
    </row>
    <row r="25" spans="2:17" ht="15.5" x14ac:dyDescent="0.35">
      <c r="B25" s="13">
        <v>45529</v>
      </c>
      <c r="C25" s="15" t="s">
        <v>5</v>
      </c>
      <c r="D25" s="11">
        <v>79288</v>
      </c>
      <c r="E25" s="1"/>
      <c r="H25" s="1"/>
      <c r="I25" s="1"/>
      <c r="K25" s="28">
        <v>45480</v>
      </c>
      <c r="L25" s="29" t="s">
        <v>5</v>
      </c>
      <c r="M25" s="29">
        <v>15131</v>
      </c>
      <c r="N25" s="25">
        <v>15131</v>
      </c>
      <c r="O25" s="29">
        <v>55</v>
      </c>
      <c r="Q25" s="35"/>
    </row>
    <row r="26" spans="2:17" ht="15.5" x14ac:dyDescent="0.35">
      <c r="K26" s="28">
        <v>45458</v>
      </c>
      <c r="L26" s="29" t="s">
        <v>5</v>
      </c>
      <c r="M26" s="29">
        <v>95454</v>
      </c>
      <c r="N26" s="25">
        <v>95454</v>
      </c>
      <c r="O26" s="29">
        <v>77</v>
      </c>
      <c r="Q26" s="25"/>
    </row>
    <row r="27" spans="2:17" ht="15.5" x14ac:dyDescent="0.35">
      <c r="K27" s="28">
        <v>45453</v>
      </c>
      <c r="L27" s="29" t="s">
        <v>5</v>
      </c>
      <c r="M27" s="29">
        <v>80241</v>
      </c>
      <c r="N27" s="25">
        <v>10172</v>
      </c>
      <c r="O27" s="29">
        <v>82</v>
      </c>
      <c r="Q27" s="25"/>
    </row>
    <row r="28" spans="2:17" ht="15.5" x14ac:dyDescent="0.35">
      <c r="K28" s="28">
        <v>45425</v>
      </c>
      <c r="L28" s="29" t="s">
        <v>5</v>
      </c>
      <c r="M28" s="29">
        <v>12620</v>
      </c>
      <c r="N28" s="25">
        <v>0</v>
      </c>
      <c r="O28" s="29">
        <v>110</v>
      </c>
      <c r="Q28" s="25"/>
    </row>
    <row r="29" spans="2:17" ht="15.5" x14ac:dyDescent="0.35">
      <c r="B29" s="7"/>
      <c r="K29" s="30"/>
      <c r="L29" s="31"/>
      <c r="M29" s="31"/>
      <c r="O29" s="31"/>
      <c r="Q29" s="25"/>
    </row>
    <row r="30" spans="2:17" ht="15.5" x14ac:dyDescent="0.35">
      <c r="K30" s="30"/>
      <c r="L30" s="31"/>
      <c r="M30" s="31"/>
      <c r="N30" s="25" t="s">
        <v>14</v>
      </c>
      <c r="O30" s="41">
        <f>SUMPRODUCT(_xlfn.ANCHORARRAY(O21),N21:N28)/355000</f>
        <v>37.553661971830984</v>
      </c>
      <c r="Q30" s="25"/>
    </row>
    <row r="31" spans="2:17" x14ac:dyDescent="0.35">
      <c r="K31" s="25"/>
      <c r="L31" s="25"/>
      <c r="M31" s="25"/>
      <c r="O31" s="25"/>
    </row>
    <row r="32" spans="2:17" ht="12" customHeight="1" x14ac:dyDescent="0.35">
      <c r="B32" s="45" t="e" cm="1">
        <f t="array" ref="B32:B34">_xlfn.MAP(
    F3:F5,
    G3:G5,
    _xlfn.LAMBDA(_xlpm.A,_xlpm.B,
        _xlfn.LET(
            _xlpm.T, _xlfn._xlws.SORT(B3:D25, , -1),
            _xlpm.D, DATE(2024, 8, 31) - _xlfn.TAKE(_xlpm.T, , 1),
            _xlpm.C, _xlfn.CHOOSECOLS(_xlpm.T, 2),
            _xlpm.S, _xlfn.TAKE(_xlpm.T, , -1),
            _xlpm.F, _xlfn._xlws.FILTER(_xlpm.S, _xlpm.C = _xlpm.A),
            _xlpm.R, _xlpm.B - _xlfn.SCAN(0, _xlpm.F, _xleta.SUM),
            _xlpm.I, IF(_xlpm.R &gt; 0, _xlpm.F, 0),
            _xlpm.X, _xlfn.IFNA(_xlfn.XMATCH(0, _xlpm.I), ROWS(_xlpm.I)),
            _xlpm.V, _xlfn.VSTACK(_xlfn.TAKE(_xlpm.I, _xlpm.X - 1), INDEX(_xlpm.R, _xlpm.X - 1)),
            SUM(_xlpm.V * _xlfn.TAKE(_xlfn._xlws.FILTER(_xlpm.D, _xlpm.C = _xlpm.A), _xlpm.X)) / _xlpm.B
        )
    )
)</f>
        <v>#NAME?</v>
      </c>
      <c r="D32" s="4" t="e" cm="1">
        <f t="array" ref="D32">_xlfn.LET(
    _xlpm.A,"A",
    _xlpm.B,355000,
            _xlpm.T, _xlfn._xlws.SORT(B3:D25, , -1),
            _xlpm.D, DATE(2024, 8, 31) - _xlfn.TAKE(_xlpm.T, , 1),
            _xlpm.C, _xlfn.CHOOSECOLS(_xlpm.T, 2),
            _xlpm.S, _xlfn.TAKE(_xlpm.T, , -1),
            _xlpm.F, _xlfn._xlws.FILTER(_xlpm.S, _xlpm.C = _xlpm.A),
            _xlpm.R, _xlpm.B - _xlfn.SCAN(0, _xlpm.F, _xleta.SUM),
            _xlpm.I, IF(_xlpm.R &gt; 0, _xlpm.F, 0),
            _xlpm.X, _xlfn.IFNA(_xlfn.XMATCH(0, _xlpm.I), ROWS(_xlpm.I)),
            _xlpm.V, _xlfn.VSTACK(_xlfn.TAKE(_xlpm.I, _xlpm.X - 1), INDEX(_xlpm.R, _xlpm.X - 1)),
           _xlpm.R
)</f>
        <v>#NAME?</v>
      </c>
    </row>
    <row r="33" spans="2:2" x14ac:dyDescent="0.35">
      <c r="B33" s="4" t="e">
        <v>#NAME?</v>
      </c>
    </row>
    <row r="34" spans="2:2" x14ac:dyDescent="0.35">
      <c r="B34" s="4" t="e">
        <v>#NAME?</v>
      </c>
    </row>
  </sheetData>
  <mergeCells count="3">
    <mergeCell ref="B1:D1"/>
    <mergeCell ref="F1:G1"/>
    <mergeCell ref="K17:O1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948BA-F5E8-4739-9E31-66FDA022F863}">
  <dimension ref="B1:V54"/>
  <sheetViews>
    <sheetView tabSelected="1" topLeftCell="A43" workbookViewId="0">
      <selection activeCell="E51" sqref="E51"/>
    </sheetView>
  </sheetViews>
  <sheetFormatPr defaultRowHeight="14.5" x14ac:dyDescent="0.35"/>
  <cols>
    <col min="1" max="1" width="3.19921875" customWidth="1"/>
    <col min="2" max="4" width="14" style="4" customWidth="1"/>
    <col min="5" max="5" width="12.3984375" customWidth="1"/>
    <col min="6" max="7" width="22.59765625" customWidth="1"/>
    <col min="8" max="13" width="12.3984375" customWidth="1"/>
    <col min="14" max="14" width="12.19921875" customWidth="1"/>
    <col min="15" max="15" width="12.59765625" bestFit="1" customWidth="1"/>
    <col min="16" max="16" width="9.09765625" customWidth="1"/>
    <col min="17" max="17" width="10.09765625" bestFit="1" customWidth="1"/>
    <col min="18" max="18" width="19.3984375" style="25" bestFit="1" customWidth="1"/>
    <col min="19" max="19" width="11.3984375" bestFit="1" customWidth="1"/>
    <col min="20" max="20" width="2.3984375" customWidth="1"/>
    <col min="21" max="21" width="12.09765625" bestFit="1" customWidth="1"/>
  </cols>
  <sheetData>
    <row r="1" spans="2:22" s="6" customFormat="1" ht="22.5" customHeight="1" x14ac:dyDescent="0.35">
      <c r="B1" s="51" t="s">
        <v>8</v>
      </c>
      <c r="C1" s="51"/>
      <c r="D1" s="51"/>
      <c r="F1" s="52" t="s">
        <v>9</v>
      </c>
      <c r="G1" s="52"/>
      <c r="H1" s="16" t="s">
        <v>0</v>
      </c>
      <c r="N1" s="6" t="s">
        <v>16</v>
      </c>
      <c r="O1"/>
      <c r="R1" s="25"/>
    </row>
    <row r="2" spans="2:22" s="2" customFormat="1" ht="14" x14ac:dyDescent="0.3">
      <c r="B2" s="8" t="s">
        <v>1</v>
      </c>
      <c r="C2" s="9" t="s">
        <v>3</v>
      </c>
      <c r="D2" s="9" t="s">
        <v>2</v>
      </c>
      <c r="E2" s="3"/>
      <c r="F2" s="8" t="s">
        <v>3</v>
      </c>
      <c r="G2" s="9" t="s">
        <v>4</v>
      </c>
      <c r="H2" s="17" t="s">
        <v>10</v>
      </c>
      <c r="I2" s="3"/>
      <c r="J2" s="3"/>
      <c r="K2" s="3"/>
      <c r="L2" s="3"/>
      <c r="M2" s="3"/>
      <c r="T2" s="23"/>
    </row>
    <row r="3" spans="2:22" s="2" customFormat="1" x14ac:dyDescent="0.35">
      <c r="B3" s="12">
        <v>45368</v>
      </c>
      <c r="C3" s="14" t="s">
        <v>6</v>
      </c>
      <c r="D3" s="10">
        <v>91647</v>
      </c>
      <c r="E3" s="5"/>
      <c r="F3" s="12" t="s">
        <v>5</v>
      </c>
      <c r="G3" s="10">
        <v>355000</v>
      </c>
      <c r="H3" s="32">
        <v>37.553661971830984</v>
      </c>
      <c r="I3" s="39"/>
      <c r="J3" s="39"/>
      <c r="K3" s="39"/>
      <c r="L3" s="39"/>
      <c r="M3" s="39"/>
    </row>
    <row r="4" spans="2:22" s="2" customFormat="1" ht="14" x14ac:dyDescent="0.3">
      <c r="B4" s="13">
        <v>45371</v>
      </c>
      <c r="C4" s="15" t="s">
        <v>7</v>
      </c>
      <c r="D4" s="11">
        <v>25883</v>
      </c>
      <c r="E4" s="5"/>
      <c r="F4" s="13" t="s">
        <v>6</v>
      </c>
      <c r="G4" s="11">
        <v>450000</v>
      </c>
      <c r="H4" s="37">
        <v>92.808335555555558</v>
      </c>
      <c r="I4" s="40"/>
      <c r="J4" s="40"/>
      <c r="K4" s="40"/>
      <c r="L4" s="40"/>
      <c r="M4" s="40"/>
    </row>
    <row r="5" spans="2:22" s="2" customFormat="1" ht="14" x14ac:dyDescent="0.3">
      <c r="B5" s="13">
        <v>45380</v>
      </c>
      <c r="C5" s="15" t="s">
        <v>6</v>
      </c>
      <c r="D5" s="11">
        <v>25273</v>
      </c>
      <c r="E5" s="5"/>
      <c r="F5" s="21" t="s">
        <v>7</v>
      </c>
      <c r="G5" s="22">
        <v>75000</v>
      </c>
      <c r="H5" s="36">
        <v>61.12</v>
      </c>
      <c r="I5" s="40"/>
      <c r="J5" s="40"/>
      <c r="K5" s="40"/>
      <c r="L5" s="40"/>
      <c r="M5" s="40"/>
      <c r="U5" s="38"/>
      <c r="V5" s="26"/>
    </row>
    <row r="6" spans="2:22" s="2" customFormat="1" ht="15.5" x14ac:dyDescent="0.35">
      <c r="B6" s="13">
        <v>45383</v>
      </c>
      <c r="C6" s="15" t="s">
        <v>6</v>
      </c>
      <c r="D6" s="11">
        <v>32927</v>
      </c>
      <c r="E6" s="5"/>
      <c r="F6" s="1"/>
      <c r="G6" s="1"/>
      <c r="H6" s="5"/>
      <c r="I6" s="5"/>
      <c r="J6" s="5"/>
      <c r="K6" s="5"/>
      <c r="L6" s="5"/>
      <c r="M6" s="5"/>
      <c r="T6" s="23"/>
      <c r="U6" s="29"/>
      <c r="V6" s="26"/>
    </row>
    <row r="7" spans="2:22" s="2" customFormat="1" ht="15.5" x14ac:dyDescent="0.35">
      <c r="B7" s="18">
        <v>45385</v>
      </c>
      <c r="C7" s="19" t="s">
        <v>7</v>
      </c>
      <c r="D7" s="20">
        <v>15000</v>
      </c>
      <c r="E7" s="5"/>
      <c r="F7" s="1"/>
      <c r="G7" s="1"/>
      <c r="H7" s="5"/>
      <c r="I7" s="5"/>
      <c r="J7" s="5"/>
      <c r="K7" s="5"/>
      <c r="L7" s="5"/>
      <c r="M7" s="5"/>
      <c r="T7" s="24"/>
      <c r="U7" s="29"/>
      <c r="V7" s="26"/>
    </row>
    <row r="8" spans="2:22" s="2" customFormat="1" ht="15.5" x14ac:dyDescent="0.35">
      <c r="B8" s="13">
        <v>45386</v>
      </c>
      <c r="C8" s="15" t="s">
        <v>6</v>
      </c>
      <c r="D8" s="11">
        <v>23360</v>
      </c>
      <c r="E8" s="5"/>
      <c r="F8" s="47" t="s">
        <v>18</v>
      </c>
      <c r="G8" s="1"/>
      <c r="H8" s="5"/>
      <c r="I8" s="5"/>
      <c r="J8" s="5"/>
      <c r="K8" s="5"/>
      <c r="L8" s="5"/>
      <c r="M8" s="5"/>
      <c r="U8" s="29"/>
      <c r="V8" s="26"/>
    </row>
    <row r="9" spans="2:22" s="2" customFormat="1" x14ac:dyDescent="0.35">
      <c r="B9" s="13">
        <v>45407</v>
      </c>
      <c r="C9" s="15" t="s">
        <v>6</v>
      </c>
      <c r="D9" s="11">
        <v>65558</v>
      </c>
      <c r="E9" s="5"/>
      <c r="F9" s="1"/>
      <c r="G9" s="1"/>
      <c r="H9" s="48">
        <f>M42</f>
        <v>37.553661971830984</v>
      </c>
      <c r="I9" s="5"/>
      <c r="J9" s="5"/>
      <c r="K9" s="5"/>
      <c r="L9" s="5"/>
      <c r="M9" s="5"/>
      <c r="U9" s="25"/>
      <c r="V9" s="26"/>
    </row>
    <row r="10" spans="2:22" s="2" customFormat="1" x14ac:dyDescent="0.35">
      <c r="B10" s="13">
        <v>45417</v>
      </c>
      <c r="C10" s="15" t="s">
        <v>6</v>
      </c>
      <c r="D10" s="11">
        <v>59716</v>
      </c>
      <c r="F10" s="1"/>
      <c r="G10" s="1" t="str" cm="1">
        <f t="array" ref="G10:G12">_xlfn._xlws.SORT(_xlfn.UNIQUE(C3:C25))</f>
        <v>A</v>
      </c>
      <c r="H10" s="2">
        <f t="dataTable" ref="H10:H12" dt2D="0" dtr="0" r1="F42"/>
        <v>37.553661971830984</v>
      </c>
      <c r="U10" s="25"/>
      <c r="V10" s="26"/>
    </row>
    <row r="11" spans="2:22" s="2" customFormat="1" x14ac:dyDescent="0.35">
      <c r="B11" s="13">
        <v>45425</v>
      </c>
      <c r="C11" s="15" t="s">
        <v>5</v>
      </c>
      <c r="D11" s="11">
        <v>12620</v>
      </c>
      <c r="E11"/>
      <c r="F11" s="1"/>
      <c r="G11" s="1" t="str">
        <v>B</v>
      </c>
      <c r="H11">
        <v>92.808335555555558</v>
      </c>
      <c r="I11"/>
      <c r="J11"/>
      <c r="K11"/>
      <c r="L11"/>
      <c r="M11"/>
      <c r="U11" s="25"/>
      <c r="V11" s="26"/>
    </row>
    <row r="12" spans="2:22" x14ac:dyDescent="0.35">
      <c r="B12" s="13">
        <v>45433</v>
      </c>
      <c r="C12" s="15" t="s">
        <v>6</v>
      </c>
      <c r="D12" s="11">
        <v>51253</v>
      </c>
      <c r="F12" s="1"/>
      <c r="G12" s="1" t="str">
        <v>C</v>
      </c>
      <c r="H12">
        <v>61.12</v>
      </c>
      <c r="U12" s="25"/>
      <c r="V12" s="27"/>
    </row>
    <row r="13" spans="2:22" x14ac:dyDescent="0.35">
      <c r="B13" s="13">
        <v>45453</v>
      </c>
      <c r="C13" s="15" t="s">
        <v>5</v>
      </c>
      <c r="D13" s="11">
        <v>80241</v>
      </c>
      <c r="E13" s="1"/>
      <c r="H13" s="1"/>
      <c r="I13" s="1"/>
      <c r="J13" s="1"/>
      <c r="K13" s="1"/>
      <c r="L13" s="1"/>
      <c r="M13" s="1"/>
      <c r="O13" s="42" t="s">
        <v>15</v>
      </c>
      <c r="P13" s="42"/>
      <c r="Q13" s="42"/>
      <c r="R13" s="42"/>
      <c r="S13" s="42"/>
      <c r="U13" s="25"/>
    </row>
    <row r="14" spans="2:22" x14ac:dyDescent="0.35">
      <c r="B14" s="13">
        <v>45455</v>
      </c>
      <c r="C14" s="15" t="s">
        <v>6</v>
      </c>
      <c r="D14" s="11">
        <v>16485</v>
      </c>
      <c r="E14" s="1"/>
      <c r="H14" s="1"/>
      <c r="I14" s="1"/>
      <c r="J14" s="1"/>
      <c r="K14" s="1"/>
      <c r="L14" s="1"/>
      <c r="M14" s="1"/>
      <c r="O14" s="25"/>
      <c r="P14" s="25"/>
      <c r="Q14" s="25"/>
      <c r="S14" s="25"/>
      <c r="T14" s="25"/>
      <c r="U14" s="25"/>
    </row>
    <row r="15" spans="2:22" x14ac:dyDescent="0.35">
      <c r="B15" s="13">
        <v>45458</v>
      </c>
      <c r="C15" s="15" t="s">
        <v>5</v>
      </c>
      <c r="D15" s="11">
        <v>95454</v>
      </c>
      <c r="E15" s="1"/>
      <c r="G15" s="8" t="str" cm="1">
        <f t="array" aca="1" ref="G15:I18" ca="1">_xlfn.LET(_xlpm.z,_xlfn.XLOOKUP(_xlfn.ANCHORARRAY(G10),F3:F5,G3:G5),_xlfn.VSTACK({"Customer","Balance","DSO (day)"},_xlfn.HSTACK(_xlfn.ANCHORARRAY(G10),_xlpm.z,OFFSET(_xlfn.ANCHORARRAY(G10),,1))))</f>
        <v>Customer</v>
      </c>
      <c r="H15" s="9" t="str">
        <f ca="1"/>
        <v>Balance</v>
      </c>
      <c r="I15" s="17" t="str">
        <f ca="1"/>
        <v>DSO (day)</v>
      </c>
      <c r="J15" s="1"/>
      <c r="K15" s="1" t="s">
        <v>19</v>
      </c>
      <c r="L15" s="1"/>
      <c r="M15" s="1"/>
      <c r="O15" s="2"/>
      <c r="P15" s="2"/>
      <c r="Q15" s="2"/>
      <c r="R15" s="34" t="s">
        <v>12</v>
      </c>
      <c r="S15" s="33">
        <v>45535</v>
      </c>
      <c r="T15" s="25"/>
      <c r="U15" s="25"/>
    </row>
    <row r="16" spans="2:22" x14ac:dyDescent="0.35">
      <c r="B16" s="18">
        <v>45459</v>
      </c>
      <c r="C16" s="19" t="s">
        <v>7</v>
      </c>
      <c r="D16" s="20">
        <v>18000</v>
      </c>
      <c r="E16" s="1"/>
      <c r="G16" s="12" t="str">
        <f ca="1"/>
        <v>A</v>
      </c>
      <c r="H16" s="10">
        <f ca="1"/>
        <v>355000</v>
      </c>
      <c r="I16" s="32">
        <f ca="1"/>
        <v>37.553661971830984</v>
      </c>
      <c r="J16" s="1"/>
      <c r="K16" s="1" t="b" cm="1">
        <f t="array" aca="1" ref="K16:M18" ca="1">G16:I18=F3:H5</f>
        <v>1</v>
      </c>
      <c r="L16" s="1" t="b">
        <f ca="1"/>
        <v>1</v>
      </c>
      <c r="M16" s="1" t="b">
        <f ca="1"/>
        <v>1</v>
      </c>
      <c r="O16" s="34" t="s">
        <v>1</v>
      </c>
      <c r="P16" s="34" t="s">
        <v>3</v>
      </c>
      <c r="Q16" s="34" t="s">
        <v>2</v>
      </c>
      <c r="R16" s="34" t="s">
        <v>13</v>
      </c>
      <c r="S16" s="34" t="s">
        <v>11</v>
      </c>
      <c r="T16" s="25"/>
      <c r="U16" s="25"/>
    </row>
    <row r="17" spans="2:21" ht="15.5" x14ac:dyDescent="0.35">
      <c r="B17" s="13">
        <v>45480</v>
      </c>
      <c r="C17" s="15" t="s">
        <v>5</v>
      </c>
      <c r="D17" s="11">
        <v>15131</v>
      </c>
      <c r="E17" s="1"/>
      <c r="G17" s="13" t="str">
        <f ca="1"/>
        <v>B</v>
      </c>
      <c r="H17" s="11">
        <f ca="1"/>
        <v>450000</v>
      </c>
      <c r="I17" s="37">
        <f ca="1"/>
        <v>92.808335555555558</v>
      </c>
      <c r="J17" s="1"/>
      <c r="K17" s="1" t="b">
        <f ca="1"/>
        <v>1</v>
      </c>
      <c r="L17" s="1" t="b">
        <f ca="1"/>
        <v>1</v>
      </c>
      <c r="M17" s="1" t="b">
        <f ca="1"/>
        <v>1</v>
      </c>
      <c r="O17" s="28">
        <v>45529</v>
      </c>
      <c r="P17" s="29" t="s">
        <v>5</v>
      </c>
      <c r="Q17" s="29">
        <v>79288</v>
      </c>
      <c r="R17" s="25">
        <v>79288</v>
      </c>
      <c r="S17" s="29" cm="1">
        <f t="array" ref="S17:S24">S15-O17:O24</f>
        <v>6</v>
      </c>
      <c r="T17" s="25"/>
      <c r="U17" s="25"/>
    </row>
    <row r="18" spans="2:21" ht="15.5" x14ac:dyDescent="0.35">
      <c r="B18" s="13">
        <v>45485</v>
      </c>
      <c r="C18" s="15" t="s">
        <v>6</v>
      </c>
      <c r="D18" s="11">
        <v>61430</v>
      </c>
      <c r="E18" s="1"/>
      <c r="G18" s="21" t="str">
        <f ca="1"/>
        <v>C</v>
      </c>
      <c r="H18" s="22">
        <f ca="1"/>
        <v>75000</v>
      </c>
      <c r="I18" s="36">
        <f ca="1"/>
        <v>61.12</v>
      </c>
      <c r="J18" s="1"/>
      <c r="K18" s="1" t="b">
        <f ca="1"/>
        <v>1</v>
      </c>
      <c r="L18" s="1" t="b">
        <f ca="1"/>
        <v>1</v>
      </c>
      <c r="M18" s="1" t="b">
        <f ca="1"/>
        <v>1</v>
      </c>
      <c r="O18" s="28">
        <v>45511</v>
      </c>
      <c r="P18" s="29" t="s">
        <v>5</v>
      </c>
      <c r="Q18" s="29">
        <v>75300</v>
      </c>
      <c r="R18" s="25">
        <v>75300</v>
      </c>
      <c r="S18" s="29">
        <v>24</v>
      </c>
      <c r="T18" s="25"/>
      <c r="U18" s="25"/>
    </row>
    <row r="19" spans="2:21" ht="15.5" x14ac:dyDescent="0.35">
      <c r="B19" s="13">
        <v>45507</v>
      </c>
      <c r="C19" s="15" t="s">
        <v>5</v>
      </c>
      <c r="D19" s="11">
        <v>13660</v>
      </c>
      <c r="E19" s="1"/>
      <c r="H19" s="1"/>
      <c r="I19" s="1"/>
      <c r="J19" s="1"/>
      <c r="K19" s="1"/>
      <c r="L19" s="1"/>
      <c r="M19" s="1"/>
      <c r="O19" s="28">
        <v>45510</v>
      </c>
      <c r="P19" s="29" t="s">
        <v>5</v>
      </c>
      <c r="Q19" s="29">
        <v>65995</v>
      </c>
      <c r="R19" s="25">
        <v>65995</v>
      </c>
      <c r="S19" s="29">
        <v>25</v>
      </c>
      <c r="T19" s="25"/>
      <c r="U19" s="25"/>
    </row>
    <row r="20" spans="2:21" ht="15.5" x14ac:dyDescent="0.35">
      <c r="B20" s="13">
        <v>45510</v>
      </c>
      <c r="C20" s="15" t="s">
        <v>5</v>
      </c>
      <c r="D20" s="11">
        <v>65995</v>
      </c>
      <c r="E20" s="1"/>
      <c r="H20" s="1"/>
      <c r="I20" s="1"/>
      <c r="J20" s="1"/>
      <c r="K20" s="1"/>
      <c r="L20" s="1"/>
      <c r="M20" s="1"/>
      <c r="O20" s="28">
        <v>45507</v>
      </c>
      <c r="P20" s="29" t="s">
        <v>5</v>
      </c>
      <c r="Q20" s="29">
        <v>13660</v>
      </c>
      <c r="R20" s="25">
        <v>13660</v>
      </c>
      <c r="S20" s="29">
        <v>28</v>
      </c>
      <c r="U20" s="35"/>
    </row>
    <row r="21" spans="2:21" ht="15.5" x14ac:dyDescent="0.35">
      <c r="B21" s="13">
        <v>45511</v>
      </c>
      <c r="C21" s="15" t="s">
        <v>5</v>
      </c>
      <c r="D21" s="11">
        <v>75300</v>
      </c>
      <c r="E21" s="1"/>
      <c r="H21" s="1"/>
      <c r="I21" s="1"/>
      <c r="J21" s="1"/>
      <c r="K21" s="1"/>
      <c r="L21" s="1"/>
      <c r="M21" s="1"/>
      <c r="O21" s="28">
        <v>45480</v>
      </c>
      <c r="P21" s="29" t="s">
        <v>5</v>
      </c>
      <c r="Q21" s="29">
        <v>15131</v>
      </c>
      <c r="R21" s="25">
        <v>15131</v>
      </c>
      <c r="S21" s="29">
        <v>55</v>
      </c>
      <c r="U21" s="25"/>
    </row>
    <row r="22" spans="2:21" ht="15.5" x14ac:dyDescent="0.35">
      <c r="B22" s="18">
        <v>45512</v>
      </c>
      <c r="C22" s="19" t="s">
        <v>7</v>
      </c>
      <c r="D22" s="20">
        <v>42000</v>
      </c>
      <c r="E22" s="1"/>
      <c r="H22" s="1"/>
      <c r="I22" s="1"/>
      <c r="J22" s="1"/>
      <c r="K22" s="1"/>
      <c r="L22" s="1"/>
      <c r="M22" s="1"/>
      <c r="O22" s="28">
        <v>45458</v>
      </c>
      <c r="P22" s="29" t="s">
        <v>5</v>
      </c>
      <c r="Q22" s="29">
        <v>95454</v>
      </c>
      <c r="R22" s="25">
        <v>95454</v>
      </c>
      <c r="S22" s="29">
        <v>77</v>
      </c>
      <c r="U22" s="25"/>
    </row>
    <row r="23" spans="2:21" ht="15.5" x14ac:dyDescent="0.35">
      <c r="B23" s="13">
        <v>45512</v>
      </c>
      <c r="C23" s="15" t="s">
        <v>6</v>
      </c>
      <c r="D23" s="11">
        <v>21649</v>
      </c>
      <c r="E23" s="1"/>
      <c r="H23" s="1"/>
      <c r="I23" s="1"/>
      <c r="J23" s="1"/>
      <c r="K23" s="1"/>
      <c r="L23" s="1"/>
      <c r="M23" s="1"/>
      <c r="O23" s="28">
        <v>45453</v>
      </c>
      <c r="P23" s="29" t="s">
        <v>5</v>
      </c>
      <c r="Q23" s="29">
        <v>80241</v>
      </c>
      <c r="R23" s="25">
        <v>10172</v>
      </c>
      <c r="S23" s="29">
        <v>82</v>
      </c>
      <c r="U23" s="25"/>
    </row>
    <row r="24" spans="2:21" ht="15.5" x14ac:dyDescent="0.35">
      <c r="B24" s="13">
        <v>45516</v>
      </c>
      <c r="C24" s="15" t="s">
        <v>6</v>
      </c>
      <c r="D24" s="11">
        <v>78482</v>
      </c>
      <c r="E24" s="1"/>
      <c r="H24" s="1"/>
      <c r="I24" s="1"/>
      <c r="J24" s="1"/>
      <c r="K24" s="1"/>
      <c r="L24" s="1"/>
      <c r="M24" s="1"/>
      <c r="O24" s="28">
        <v>45425</v>
      </c>
      <c r="P24" s="29" t="s">
        <v>5</v>
      </c>
      <c r="Q24" s="29">
        <v>12620</v>
      </c>
      <c r="R24" s="25">
        <v>0</v>
      </c>
      <c r="S24" s="29">
        <v>110</v>
      </c>
      <c r="U24" s="25"/>
    </row>
    <row r="25" spans="2:21" ht="15.5" x14ac:dyDescent="0.35">
      <c r="B25" s="13">
        <v>45529</v>
      </c>
      <c r="C25" s="15" t="s">
        <v>5</v>
      </c>
      <c r="D25" s="11">
        <v>79288</v>
      </c>
      <c r="E25" s="1"/>
      <c r="H25" s="1"/>
      <c r="I25" s="1"/>
      <c r="J25" s="1"/>
      <c r="K25" s="1"/>
      <c r="L25" s="1"/>
      <c r="M25" s="1"/>
      <c r="O25" s="30"/>
      <c r="P25" s="31"/>
      <c r="Q25" s="31"/>
      <c r="S25" s="31"/>
      <c r="U25" s="35"/>
    </row>
    <row r="26" spans="2:21" ht="15.5" x14ac:dyDescent="0.35">
      <c r="O26" s="30"/>
      <c r="P26" s="31"/>
      <c r="Q26" s="31"/>
      <c r="R26" s="25" t="s">
        <v>14</v>
      </c>
      <c r="S26" s="41">
        <f>SUMPRODUCT(_xlfn.ANCHORARRAY(S17),R17:R24)/SUM(R17:R24)</f>
        <v>37.553661971830984</v>
      </c>
      <c r="U26" s="25"/>
    </row>
    <row r="27" spans="2:21" x14ac:dyDescent="0.35">
      <c r="J27">
        <f>_xlfn.XLOOKUP(F28,$F$3:$F$5,$G$3:$G$5)</f>
        <v>355000</v>
      </c>
      <c r="K27" s="43">
        <v>45535</v>
      </c>
      <c r="L27" s="43" t="s">
        <v>2</v>
      </c>
      <c r="M27" s="43"/>
      <c r="U27" s="25"/>
    </row>
    <row r="28" spans="2:21" x14ac:dyDescent="0.35">
      <c r="F28" s="7" t="s">
        <v>5</v>
      </c>
      <c r="G28" cm="1">
        <f t="array" ref="G28:I35">_xlfn._xlws.SORT(_xlfn._xlws.FILTER(B3:D25,C3:C25=F28),1,-1)</f>
        <v>45529</v>
      </c>
      <c r="H28" t="str">
        <v>A</v>
      </c>
      <c r="I28">
        <v>79288</v>
      </c>
      <c r="J28">
        <f>IF(SUM($I$28:I28)&lt;$J$27,I28,$J$27-SUM($J27:J$28))</f>
        <v>79288</v>
      </c>
      <c r="K28" s="44" cm="1">
        <f t="array" ref="K28:K35">K27-_xlfn.TAKE(_xlfn.ANCHORARRAY(G28),,1)</f>
        <v>6</v>
      </c>
      <c r="L28" s="44" cm="1">
        <f t="array" ref="L28:L35">_xlfn.SCAN(0,
_xlfn.TAKE(_xlfn.ANCHORARRAY(G28),,-1),
_xlfn.LAMBDA(_xlpm.a,_xlpm.v,_xlpm.a+_xlpm.v)
)</f>
        <v>79288</v>
      </c>
      <c r="M28" s="44" cm="1">
        <f t="array" ref="M28:M35">_xlfn.LET(_xlpm.z,$J$27-_xlfn.ANCHORARRAY(L28),IF(_xlpm.z&lt;0,0,_xlpm.z))</f>
        <v>275712</v>
      </c>
      <c r="N28" cm="1">
        <f t="array" ref="N28:N35">_xlfn.LET(_xlpm.idx,_xlfn.XMATCH(0,_xlfn.ANCHORARRAY(M28)),_xlpm.d,_xlfn.ANCHORARRAY(M28),_xlpm.f,_xlfn.TAKE(_xlfn.ANCHORARRAY(G28),,-1),IF(_xlpm.d&gt;0,_xlpm.f,INDEX(_xlfn.ANCHORARRAY(M28),_xlpm.idx-1)))</f>
        <v>79288</v>
      </c>
      <c r="O28" cm="1">
        <f t="array" ref="O28:O35">IF(_xlfn.ANCHORARRAY(L28)&lt;$J$27,_xlfn.ANCHORARRAY(N28),$J$27-SUM(_xlfn.ANCHORARRAY(L28)))</f>
        <v>79288</v>
      </c>
      <c r="U28" s="25"/>
    </row>
    <row r="29" spans="2:21" x14ac:dyDescent="0.35">
      <c r="G29">
        <v>45511</v>
      </c>
      <c r="H29" t="str">
        <v>A</v>
      </c>
      <c r="I29">
        <v>75300</v>
      </c>
      <c r="J29">
        <f>IF(SUM($I$28:I29)&lt;$J$27,I29,$J$27-SUM($J28:J$28))</f>
        <v>75300</v>
      </c>
      <c r="K29" s="44">
        <v>24</v>
      </c>
      <c r="L29" s="44">
        <v>154588</v>
      </c>
      <c r="M29" s="44">
        <v>200412</v>
      </c>
      <c r="N29">
        <v>75300</v>
      </c>
      <c r="O29">
        <v>75300</v>
      </c>
      <c r="U29" s="25"/>
    </row>
    <row r="30" spans="2:21" x14ac:dyDescent="0.35">
      <c r="G30">
        <v>45510</v>
      </c>
      <c r="H30" t="str">
        <v>A</v>
      </c>
      <c r="I30">
        <v>65995</v>
      </c>
      <c r="J30">
        <f>IF(SUM($I$28:I30)&lt;$J$27,I30,$J$27-SUM($J$28:J29))</f>
        <v>65995</v>
      </c>
      <c r="K30" s="44">
        <v>25</v>
      </c>
      <c r="L30" s="44">
        <v>220583</v>
      </c>
      <c r="M30" s="44">
        <v>134417</v>
      </c>
      <c r="N30">
        <v>65995</v>
      </c>
      <c r="O30">
        <v>65995</v>
      </c>
      <c r="U30" s="25"/>
    </row>
    <row r="31" spans="2:21" x14ac:dyDescent="0.35">
      <c r="G31">
        <v>45507</v>
      </c>
      <c r="H31" t="str">
        <v>A</v>
      </c>
      <c r="I31">
        <v>13660</v>
      </c>
      <c r="J31">
        <f>IF(SUM($I$28:I31)&lt;$J$27,I31,$J$27-SUM($J$28:J30))</f>
        <v>13660</v>
      </c>
      <c r="K31" s="44">
        <v>28</v>
      </c>
      <c r="L31" s="44">
        <v>234243</v>
      </c>
      <c r="M31" s="44">
        <v>120757</v>
      </c>
      <c r="N31">
        <v>13660</v>
      </c>
      <c r="O31" s="25">
        <v>13660</v>
      </c>
      <c r="P31" s="25"/>
      <c r="Q31" s="25"/>
      <c r="S31" s="25"/>
    </row>
    <row r="32" spans="2:21" x14ac:dyDescent="0.35">
      <c r="G32">
        <v>45480</v>
      </c>
      <c r="H32" t="str">
        <v>A</v>
      </c>
      <c r="I32">
        <v>15131</v>
      </c>
      <c r="J32">
        <f>IF(SUM($I$28:I32)&lt;$J$27,I32,$J$27-SUM($J$28:J31))</f>
        <v>15131</v>
      </c>
      <c r="K32" s="44">
        <v>55</v>
      </c>
      <c r="L32">
        <v>249374</v>
      </c>
      <c r="M32">
        <v>105626</v>
      </c>
      <c r="N32">
        <v>15131</v>
      </c>
      <c r="O32">
        <v>15131</v>
      </c>
      <c r="P32">
        <f>SUMPRODUCT(J28:J38,K28:K38)/$J$27</f>
        <v>37.553661971830984</v>
      </c>
    </row>
    <row r="33" spans="5:15" x14ac:dyDescent="0.35">
      <c r="G33">
        <v>45458</v>
      </c>
      <c r="H33" t="str">
        <v>A</v>
      </c>
      <c r="I33">
        <v>95454</v>
      </c>
      <c r="J33">
        <f>IF(SUM($I$28:I33)&lt;$J$27,I33,$J$27-SUM($J$28:J32))</f>
        <v>95454</v>
      </c>
      <c r="K33" s="44">
        <v>77</v>
      </c>
      <c r="L33" s="44">
        <v>344828</v>
      </c>
      <c r="M33" s="44">
        <v>10172</v>
      </c>
      <c r="N33">
        <v>95454</v>
      </c>
      <c r="O33">
        <v>95454</v>
      </c>
    </row>
    <row r="34" spans="5:15" x14ac:dyDescent="0.35">
      <c r="G34">
        <v>45453</v>
      </c>
      <c r="H34" t="str">
        <v>A</v>
      </c>
      <c r="I34">
        <v>80241</v>
      </c>
      <c r="J34">
        <f>IF(SUM($I$28:I34)&lt;$J$27,I34,$J$27-SUM($J$28:J33))</f>
        <v>10172</v>
      </c>
      <c r="K34" s="44">
        <v>82</v>
      </c>
      <c r="L34" s="44">
        <v>425069</v>
      </c>
      <c r="M34" s="44">
        <v>0</v>
      </c>
      <c r="N34">
        <v>10172</v>
      </c>
      <c r="O34">
        <v>-1790662</v>
      </c>
    </row>
    <row r="35" spans="5:15" x14ac:dyDescent="0.35">
      <c r="G35">
        <v>45425</v>
      </c>
      <c r="H35" t="str">
        <v>A</v>
      </c>
      <c r="I35">
        <v>12620</v>
      </c>
      <c r="J35">
        <f>IF(SUM($I$28:I35)&lt;$J$27,I35,$J$27-SUM($J$28:J34))</f>
        <v>0</v>
      </c>
      <c r="K35" s="44">
        <v>110</v>
      </c>
      <c r="L35" s="44">
        <v>437689</v>
      </c>
      <c r="M35" s="44">
        <v>0</v>
      </c>
      <c r="N35">
        <v>10172</v>
      </c>
      <c r="O35">
        <v>-1790662</v>
      </c>
    </row>
    <row r="36" spans="5:15" x14ac:dyDescent="0.35">
      <c r="J36">
        <f>IF(SUM($I$28:I36)&lt;$J$27,I36,$J$27-SUM($J$28:J35))</f>
        <v>0</v>
      </c>
      <c r="K36" s="44"/>
      <c r="L36" s="44"/>
      <c r="M36" s="44"/>
    </row>
    <row r="37" spans="5:15" x14ac:dyDescent="0.35">
      <c r="J37">
        <f>IF(SUM($I$28:I37)&lt;$J$27,I37,$J$27-SUM($J$28:J36))</f>
        <v>0</v>
      </c>
      <c r="K37" s="44"/>
      <c r="L37" s="44"/>
      <c r="M37" s="44"/>
    </row>
    <row r="38" spans="5:15" x14ac:dyDescent="0.35">
      <c r="J38">
        <f>IF(SUM($I$28:I38)&lt;$J$27,I38,$J$27-SUM($J$28:J37))</f>
        <v>0</v>
      </c>
      <c r="K38" s="44"/>
      <c r="L38" s="44"/>
      <c r="M38" s="44"/>
    </row>
    <row r="39" spans="5:15" x14ac:dyDescent="0.35">
      <c r="K39" s="44"/>
      <c r="L39" s="44"/>
      <c r="M39" s="44"/>
    </row>
    <row r="40" spans="5:15" x14ac:dyDescent="0.35">
      <c r="E40" s="49" t="s">
        <v>20</v>
      </c>
      <c r="K40">
        <f>_xlfn.XLOOKUP(F42,$F$3:$F$5,$G$3:$G$5)</f>
        <v>355000</v>
      </c>
      <c r="L40" s="43">
        <v>45535</v>
      </c>
    </row>
    <row r="41" spans="5:15" x14ac:dyDescent="0.35">
      <c r="J41" t="s">
        <v>17</v>
      </c>
    </row>
    <row r="42" spans="5:15" x14ac:dyDescent="0.35">
      <c r="F42" t="s">
        <v>5</v>
      </c>
      <c r="G42" cm="1">
        <f t="array" ref="G42:I49">_xlfn._xlws.SORT(_xlfn._xlws.FILTER(B3:D25,C3:C25=F42),1,-1)</f>
        <v>45529</v>
      </c>
      <c r="H42" t="str">
        <v>A</v>
      </c>
      <c r="I42">
        <v>79288</v>
      </c>
      <c r="J42" s="46" cm="1">
        <f t="array" ref="J42:J49">K27-_xlfn.TAKE(_xlfn.ANCHORARRAY(G42),,1)</f>
        <v>6</v>
      </c>
      <c r="K42" cm="1">
        <f t="array" ref="K42:K49">_xlfn.DROP(_xlfn.VSTACK(K40,_xlfn.LET(_xlpm.d,$K$40-_xlfn.SCAN(0,_xlfn.TAKE(_xlfn.ANCHORARRAY(G42),,-1),_xlfn.LAMBDA(_xlpm.a,_xlpm.v,_xlpm.a+_xlpm.v)),IF(_xlpm.d&lt;0,0,_xlpm.d))),-1)</f>
        <v>355000</v>
      </c>
      <c r="L42" cm="1">
        <f t="array" ref="L42:L49">_xlfn.MAP(_xlfn.TAKE(_xlfn.ANCHORARRAY(G42),,-1),_xlfn.ANCHORARRAY(K42),_xlfn.LAMBDA(_xlpm.x,_xlpm.y,MIN(_xlpm.x,_xlpm.y)))</f>
        <v>79288</v>
      </c>
      <c r="M42">
        <f>SUMPRODUCT(_xlfn.ANCHORARRAY(J42),_xlfn.ANCHORARRAY(L42))/$K$40</f>
        <v>37.553661971830984</v>
      </c>
    </row>
    <row r="43" spans="5:15" x14ac:dyDescent="0.35">
      <c r="G43">
        <v>45511</v>
      </c>
      <c r="H43" t="str">
        <v>A</v>
      </c>
      <c r="I43">
        <v>75300</v>
      </c>
      <c r="J43" s="46">
        <v>24</v>
      </c>
      <c r="K43">
        <v>275712</v>
      </c>
      <c r="L43">
        <v>75300</v>
      </c>
    </row>
    <row r="44" spans="5:15" x14ac:dyDescent="0.35">
      <c r="G44">
        <v>45510</v>
      </c>
      <c r="H44" t="str">
        <v>A</v>
      </c>
      <c r="I44">
        <v>65995</v>
      </c>
      <c r="J44" s="46">
        <v>25</v>
      </c>
      <c r="K44">
        <v>200412</v>
      </c>
      <c r="L44">
        <v>65995</v>
      </c>
    </row>
    <row r="45" spans="5:15" x14ac:dyDescent="0.35">
      <c r="G45">
        <v>45507</v>
      </c>
      <c r="H45" t="str">
        <v>A</v>
      </c>
      <c r="I45">
        <v>13660</v>
      </c>
      <c r="J45" s="46">
        <v>28</v>
      </c>
      <c r="K45">
        <v>134417</v>
      </c>
      <c r="L45">
        <v>13660</v>
      </c>
    </row>
    <row r="46" spans="5:15" x14ac:dyDescent="0.35">
      <c r="G46">
        <v>45480</v>
      </c>
      <c r="H46" t="str">
        <v>A</v>
      </c>
      <c r="I46">
        <v>15131</v>
      </c>
      <c r="J46" s="46">
        <v>55</v>
      </c>
      <c r="K46">
        <v>120757</v>
      </c>
      <c r="L46">
        <v>15131</v>
      </c>
    </row>
    <row r="47" spans="5:15" x14ac:dyDescent="0.35">
      <c r="G47">
        <v>45458</v>
      </c>
      <c r="H47" t="str">
        <v>A</v>
      </c>
      <c r="I47">
        <v>95454</v>
      </c>
      <c r="J47" s="46">
        <v>77</v>
      </c>
      <c r="K47">
        <v>105626</v>
      </c>
      <c r="L47">
        <v>95454</v>
      </c>
    </row>
    <row r="48" spans="5:15" x14ac:dyDescent="0.35">
      <c r="G48">
        <v>45453</v>
      </c>
      <c r="H48" t="str">
        <v>A</v>
      </c>
      <c r="I48">
        <v>80241</v>
      </c>
      <c r="J48" s="46">
        <v>82</v>
      </c>
      <c r="K48">
        <v>10172</v>
      </c>
      <c r="L48">
        <v>10172</v>
      </c>
    </row>
    <row r="49" spans="3:12" x14ac:dyDescent="0.35">
      <c r="G49">
        <v>45425</v>
      </c>
      <c r="H49" t="str">
        <v>A</v>
      </c>
      <c r="I49">
        <v>12620</v>
      </c>
      <c r="J49" s="46">
        <v>110</v>
      </c>
      <c r="K49">
        <v>0</v>
      </c>
      <c r="L49">
        <v>0</v>
      </c>
    </row>
    <row r="50" spans="3:12" x14ac:dyDescent="0.35">
      <c r="C50" s="50" t="s">
        <v>23</v>
      </c>
      <c r="J50" t="s">
        <v>22</v>
      </c>
      <c r="K50" t="s">
        <v>21</v>
      </c>
    </row>
    <row r="51" spans="3:12" x14ac:dyDescent="0.35">
      <c r="E51" s="8" t="str" cm="1">
        <f t="array" aca="1" ref="E51:G54" ca="1">_xlfn.LAMBDA(_xlpm.data,_xlpm.cust,_xlpm.bal,_xlpm.date,
   _xlfn.LET(
       _xlpm.c_1, "Sorting the data so the latest sales is at the bottom of the list",
            _xlpm.x, _xlfn._xlws.SORT(_xlpm.data,1,-1),
       _xlpm.c_2, "Make a list of all the unique customers",
            _xlpm.u, _xlfn.UNIQUE(_xlfn.CHOOSECOLS(_xlpm.x,2)),
       _xlpm.c_3, "Function to generate number of days to the end point",
            _xlpm.fd,_xlfn.LAMBDA(_xlpm.ds,_xlpm.dc,_xlpm.ds-_xlpm.dc),
       _xlpm.c_4, "List of the remaining unmatched revenue immediately prior to apply a new sales value",
            _xlpm.fr,_xlfn.LAMBDA(_xlpm.p,_xlpm.sc, _xlfn.DROP(_xlfn.VSTACK(_xlpm.p,_xlfn.LET(_xlpm.d,_xlpm.p-_xlfn.SCAN(0,_xlfn.TAKE(_xlpm.sc,,-1),_xlfn.LAMBDA(_xlpm.a,_xlpm.v,_xlpm.a+_xlpm.v)),IF(_xlpm.d&lt;0,0,_xlpm.d))),-1)),
       _xlpm.c_5, "List of payment matches amount to each sale",
            _xlpm.fx,_xlfn.LAMBDA(_xlpm.rc,_xlpm.sc,_xlfn.MAP(_xlpm.sc,_xlpm.rc,_xlfn.LAMBDA(_xlpm.x,_xlpm.y,MIN(_xlpm.x,_xlpm.y)))),
       _xlpm.c_6, "Okay, use reduce to process each customer",
            _xlpm.z, _xlfn.REDUCE(0,_xlpm.u,_xlfn.LAMBDA(_xlpm.a,_xlpm.v,_xlfn.LET(
                                   _xlpm.d, _xlfn._xlws.FILTER(_xlpm.x,_xlfn.CHOOSECOLS(_xlpm.x,2)=_xlpm.v),
                                   _xlpm.p, _xlfn.XLOOKUP(_xlpm.v,_xlpm.cust,_xlpm.bal),
                                   _xlpm.ds, _xlfn.TAKE(_xlpm.d,,-1),
                                   _xlpm.dc, _xlfn.TAKE(_xlpm.d,,1),
                                   _xlpm.do, _xlpm.fd(_xlpm.date,_xlpm.dc),
                                   _xlpm.r,  _xlpm.fx(_xlpm.fr(_xlpm.p,_xlpm.ds),_xlpm.ds),
                                   _xlpm.z, SUMPRODUCT(_xlpm.do,_xlpm.r)/_xlpm.p,
                                   _xlfn.VSTACK(_xlpm.a,_xlpm.z)
                                 )
                          )
              ),
               _xlfn.VSTACK(G15:I15,_xlfn.HSTACK(_xlpm.u,_xlfn.XLOOKUP(_xlpm.u,_xlpm.cust,_xlpm.bal),_xlfn.DROP(_xlpm.z,1)))
      )
)(B3:D25,G16:G18, H16:H18,L40)</f>
        <v>Customer</v>
      </c>
      <c r="F51" s="9" t="str">
        <f ca="1"/>
        <v>Balance</v>
      </c>
      <c r="G51" s="17" t="str">
        <f ca="1"/>
        <v>DSO (day)</v>
      </c>
    </row>
    <row r="52" spans="3:12" x14ac:dyDescent="0.35">
      <c r="E52" s="12" t="str">
        <f ca="1"/>
        <v>A</v>
      </c>
      <c r="F52" s="10">
        <f ca="1"/>
        <v>355000</v>
      </c>
      <c r="G52" s="32">
        <f ca="1"/>
        <v>37.553661971830984</v>
      </c>
    </row>
    <row r="53" spans="3:12" x14ac:dyDescent="0.35">
      <c r="E53" s="13" t="str">
        <f ca="1"/>
        <v>B</v>
      </c>
      <c r="F53" s="11">
        <f ca="1"/>
        <v>450000</v>
      </c>
      <c r="G53" s="37">
        <f ca="1"/>
        <v>92.808335555555558</v>
      </c>
    </row>
    <row r="54" spans="3:12" x14ac:dyDescent="0.35">
      <c r="E54" s="21" t="str">
        <f ca="1"/>
        <v>C</v>
      </c>
      <c r="F54" s="22">
        <f ca="1"/>
        <v>75000</v>
      </c>
      <c r="G54" s="36">
        <f ca="1"/>
        <v>61.12</v>
      </c>
    </row>
  </sheetData>
  <mergeCells count="2">
    <mergeCell ref="B1:D1"/>
    <mergeCell ref="F1:G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vt:lpstr>
      <vt:lpstr>EDA</vt:lpstr>
      <vt:lpstr>Alt1</vt:lpstr>
      <vt:lpstr>SingleFunction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2024-09-25T19:50:37Z</dcterms:modified>
</cp:coreProperties>
</file>